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0" windowWidth="19770" windowHeight="1185" tabRatio="687" firstSheet="3" activeTab="29"/>
  </bookViews>
  <sheets>
    <sheet name="1" sheetId="1" r:id="rId1"/>
    <sheet name="2" sheetId="3" r:id="rId2"/>
    <sheet name="3" sheetId="4" r:id="rId3"/>
    <sheet name="4" sheetId="5" r:id="rId4"/>
    <sheet name="5" sheetId="10" r:id="rId5"/>
    <sheet name="6" sheetId="6" r:id="rId6"/>
    <sheet name="7" sheetId="7" r:id="rId7"/>
    <sheet name="8" sheetId="8" r:id="rId8"/>
    <sheet name="9" sheetId="9" r:id="rId9"/>
    <sheet name="10" sheetId="11" r:id="rId10"/>
    <sheet name="11" sheetId="13" r:id="rId11"/>
    <sheet name="12" sheetId="14" r:id="rId12"/>
    <sheet name="13" sheetId="15" r:id="rId13"/>
    <sheet name="14" sheetId="17" r:id="rId14"/>
    <sheet name="15" sheetId="18" r:id="rId15"/>
    <sheet name="16" sheetId="19" r:id="rId16"/>
    <sheet name="17" sheetId="20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5" r:id="rId30"/>
    <sheet name="sample" sheetId="2" r:id="rId31"/>
    <sheet name="Sheet5" sheetId="12" r:id="rId32"/>
    <sheet name="Sheet2" sheetId="16" r:id="rId33"/>
  </sheets>
  <externalReferences>
    <externalReference r:id="rId34"/>
    <externalReference r:id="rId35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0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0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0">#REF!</definedName>
    <definedName name="sdasdf">#REF!</definedName>
  </definedNames>
  <calcPr calcId="145621"/>
  <fileRecoveryPr repairLoad="1"/>
</workbook>
</file>

<file path=xl/calcChain.xml><?xml version="1.0" encoding="utf-8"?>
<calcChain xmlns="http://schemas.openxmlformats.org/spreadsheetml/2006/main">
  <c r="AA37" i="35" l="1"/>
  <c r="Z68" i="35"/>
  <c r="Z56" i="35"/>
  <c r="Z52" i="35"/>
  <c r="Z38" i="35"/>
  <c r="Y37" i="35"/>
  <c r="X58" i="35"/>
  <c r="X37" i="35"/>
  <c r="W58" i="35"/>
  <c r="W37" i="35"/>
  <c r="U58" i="35"/>
  <c r="U37" i="35"/>
  <c r="T37" i="35"/>
  <c r="S37" i="35"/>
  <c r="R37" i="35"/>
  <c r="P37" i="35"/>
  <c r="O37" i="35"/>
  <c r="N37" i="35"/>
  <c r="M37" i="35"/>
  <c r="L37" i="35"/>
  <c r="J37" i="35"/>
  <c r="I37" i="35"/>
  <c r="H37" i="35"/>
  <c r="G37" i="35"/>
  <c r="F37" i="35"/>
  <c r="E37" i="35"/>
  <c r="AH100" i="35"/>
  <c r="AI100" i="35" s="1"/>
  <c r="AH99" i="35"/>
  <c r="AI99" i="35" s="1"/>
  <c r="D95" i="35"/>
  <c r="D37" i="35"/>
  <c r="C37" i="35"/>
  <c r="B95" i="35"/>
  <c r="B37" i="35"/>
  <c r="B80" i="35"/>
  <c r="B79" i="35"/>
  <c r="B82" i="35" s="1"/>
  <c r="B78" i="35"/>
  <c r="B77" i="35"/>
  <c r="B76" i="35"/>
  <c r="B72" i="35"/>
  <c r="B68" i="35"/>
  <c r="B56" i="35"/>
  <c r="B51" i="35"/>
  <c r="B52" i="35" s="1"/>
  <c r="B38" i="35"/>
  <c r="AF239" i="35"/>
  <c r="AE239" i="35"/>
  <c r="AD239" i="35"/>
  <c r="AC239" i="35"/>
  <c r="AB239" i="35"/>
  <c r="AA239" i="35"/>
  <c r="Z239" i="35"/>
  <c r="Y239" i="35"/>
  <c r="X239" i="35"/>
  <c r="W239" i="35"/>
  <c r="V239" i="35"/>
  <c r="U239" i="35"/>
  <c r="T239" i="35"/>
  <c r="S239" i="35"/>
  <c r="R239" i="35"/>
  <c r="Q239" i="35"/>
  <c r="P239" i="35"/>
  <c r="O239" i="35"/>
  <c r="N239" i="35"/>
  <c r="M239" i="35"/>
  <c r="L239" i="35"/>
  <c r="K239" i="35"/>
  <c r="J239" i="35"/>
  <c r="I239" i="35"/>
  <c r="H239" i="35"/>
  <c r="G239" i="35"/>
  <c r="F239" i="35"/>
  <c r="E239" i="35"/>
  <c r="D239" i="35"/>
  <c r="C239" i="35"/>
  <c r="B239" i="35"/>
  <c r="A239" i="35"/>
  <c r="AF238" i="35"/>
  <c r="AE238" i="35"/>
  <c r="AD238" i="35"/>
  <c r="AC238" i="35"/>
  <c r="AB238" i="35"/>
  <c r="AA238" i="35"/>
  <c r="Z238" i="35"/>
  <c r="Y238" i="35"/>
  <c r="X238" i="35"/>
  <c r="W238" i="35"/>
  <c r="V238" i="35"/>
  <c r="U238" i="35"/>
  <c r="T238" i="35"/>
  <c r="S238" i="35"/>
  <c r="R238" i="35"/>
  <c r="Q238" i="35"/>
  <c r="P238" i="35"/>
  <c r="O238" i="35"/>
  <c r="N238" i="35"/>
  <c r="M238" i="35"/>
  <c r="L238" i="35"/>
  <c r="K238" i="35"/>
  <c r="J238" i="35"/>
  <c r="I238" i="35"/>
  <c r="H238" i="35"/>
  <c r="G238" i="35"/>
  <c r="F238" i="35"/>
  <c r="E238" i="35"/>
  <c r="D238" i="35"/>
  <c r="C238" i="35"/>
  <c r="B238" i="35"/>
  <c r="A238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B237" i="35"/>
  <c r="A237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C235" i="35"/>
  <c r="B235" i="35"/>
  <c r="S210" i="35"/>
  <c r="AG200" i="35"/>
  <c r="C200" i="35"/>
  <c r="E199" i="35"/>
  <c r="D235" i="35" s="1"/>
  <c r="D199" i="35"/>
  <c r="E198" i="35"/>
  <c r="F198" i="35" s="1"/>
  <c r="G198" i="35" s="1"/>
  <c r="H198" i="35" s="1"/>
  <c r="I198" i="35" s="1"/>
  <c r="J198" i="35" s="1"/>
  <c r="K198" i="35" s="1"/>
  <c r="L198" i="35" s="1"/>
  <c r="M198" i="35" s="1"/>
  <c r="N198" i="35" s="1"/>
  <c r="O198" i="35" s="1"/>
  <c r="P198" i="35" s="1"/>
  <c r="Q198" i="35" s="1"/>
  <c r="R198" i="35" s="1"/>
  <c r="S198" i="35" s="1"/>
  <c r="T198" i="35" s="1"/>
  <c r="U198" i="35" s="1"/>
  <c r="V198" i="35" s="1"/>
  <c r="W198" i="35" s="1"/>
  <c r="X198" i="35" s="1"/>
  <c r="Y198" i="35" s="1"/>
  <c r="Z198" i="35" s="1"/>
  <c r="AA198" i="35" s="1"/>
  <c r="AB198" i="35" s="1"/>
  <c r="AC198" i="35" s="1"/>
  <c r="AD198" i="35" s="1"/>
  <c r="AE198" i="35" s="1"/>
  <c r="AF198" i="35" s="1"/>
  <c r="B198" i="35" s="1"/>
  <c r="D198" i="35"/>
  <c r="Y197" i="35"/>
  <c r="Z197" i="35" s="1"/>
  <c r="AA197" i="35" s="1"/>
  <c r="AB197" i="35" s="1"/>
  <c r="AC197" i="35" s="1"/>
  <c r="AD197" i="35" s="1"/>
  <c r="AE197" i="35" s="1"/>
  <c r="AF197" i="35" s="1"/>
  <c r="B197" i="35" s="1"/>
  <c r="O197" i="35"/>
  <c r="P197" i="35" s="1"/>
  <c r="Q197" i="35" s="1"/>
  <c r="R197" i="35" s="1"/>
  <c r="S197" i="35" s="1"/>
  <c r="T197" i="35" s="1"/>
  <c r="U197" i="35" s="1"/>
  <c r="V197" i="35" s="1"/>
  <c r="W197" i="35" s="1"/>
  <c r="X197" i="35" s="1"/>
  <c r="G197" i="35"/>
  <c r="H197" i="35" s="1"/>
  <c r="I197" i="35" s="1"/>
  <c r="J197" i="35" s="1"/>
  <c r="K197" i="35" s="1"/>
  <c r="L197" i="35" s="1"/>
  <c r="M197" i="35" s="1"/>
  <c r="N197" i="35" s="1"/>
  <c r="E197" i="35"/>
  <c r="F197" i="35" s="1"/>
  <c r="D197" i="35"/>
  <c r="N196" i="35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Y196" i="35" s="1"/>
  <c r="Z196" i="35" s="1"/>
  <c r="AA196" i="35" s="1"/>
  <c r="AB196" i="35" s="1"/>
  <c r="AC196" i="35" s="1"/>
  <c r="AD196" i="35" s="1"/>
  <c r="AE196" i="35" s="1"/>
  <c r="AF196" i="35" s="1"/>
  <c r="B196" i="35" s="1"/>
  <c r="F196" i="35"/>
  <c r="G196" i="35" s="1"/>
  <c r="H196" i="35" s="1"/>
  <c r="I196" i="35" s="1"/>
  <c r="J196" i="35" s="1"/>
  <c r="K196" i="35" s="1"/>
  <c r="L196" i="35" s="1"/>
  <c r="M196" i="35" s="1"/>
  <c r="E196" i="35"/>
  <c r="D196" i="35"/>
  <c r="E195" i="35"/>
  <c r="F195" i="35" s="1"/>
  <c r="G195" i="35" s="1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AD195" i="35" s="1"/>
  <c r="AE195" i="35" s="1"/>
  <c r="AF195" i="35" s="1"/>
  <c r="B195" i="35" s="1"/>
  <c r="D195" i="35"/>
  <c r="D194" i="35"/>
  <c r="D200" i="35" s="1"/>
  <c r="AG192" i="35"/>
  <c r="C192" i="35"/>
  <c r="S191" i="35"/>
  <c r="T191" i="35" s="1"/>
  <c r="U191" i="35" s="1"/>
  <c r="V191" i="35" s="1"/>
  <c r="W191" i="35" s="1"/>
  <c r="X191" i="35" s="1"/>
  <c r="Y191" i="35" s="1"/>
  <c r="Z191" i="35" s="1"/>
  <c r="AA191" i="35" s="1"/>
  <c r="AB191" i="35" s="1"/>
  <c r="AC191" i="35" s="1"/>
  <c r="AD191" i="35" s="1"/>
  <c r="AE191" i="35" s="1"/>
  <c r="AF191" i="35" s="1"/>
  <c r="B191" i="35" s="1"/>
  <c r="I191" i="35"/>
  <c r="J191" i="35" s="1"/>
  <c r="K191" i="35" s="1"/>
  <c r="L191" i="35" s="1"/>
  <c r="M191" i="35" s="1"/>
  <c r="N191" i="35" s="1"/>
  <c r="O191" i="35" s="1"/>
  <c r="P191" i="35" s="1"/>
  <c r="Q191" i="35" s="1"/>
  <c r="R191" i="35" s="1"/>
  <c r="G191" i="35"/>
  <c r="H191" i="35" s="1"/>
  <c r="E191" i="35"/>
  <c r="F191" i="35" s="1"/>
  <c r="D191" i="35"/>
  <c r="F190" i="35"/>
  <c r="G190" i="35" s="1"/>
  <c r="H190" i="35" s="1"/>
  <c r="I190" i="35" s="1"/>
  <c r="J190" i="35" s="1"/>
  <c r="K190" i="35" s="1"/>
  <c r="L190" i="35" s="1"/>
  <c r="M190" i="35" s="1"/>
  <c r="N190" i="35" s="1"/>
  <c r="O190" i="35" s="1"/>
  <c r="P190" i="35" s="1"/>
  <c r="Q190" i="35" s="1"/>
  <c r="R190" i="35" s="1"/>
  <c r="S190" i="35" s="1"/>
  <c r="T190" i="35" s="1"/>
  <c r="U190" i="35" s="1"/>
  <c r="V190" i="35" s="1"/>
  <c r="W190" i="35" s="1"/>
  <c r="X190" i="35" s="1"/>
  <c r="Y190" i="35" s="1"/>
  <c r="Z190" i="35" s="1"/>
  <c r="AA190" i="35" s="1"/>
  <c r="AB190" i="35" s="1"/>
  <c r="AC190" i="35" s="1"/>
  <c r="AD190" i="35" s="1"/>
  <c r="AE190" i="35" s="1"/>
  <c r="AF190" i="35" s="1"/>
  <c r="B190" i="35" s="1"/>
  <c r="E190" i="35"/>
  <c r="D190" i="35"/>
  <c r="E189" i="35"/>
  <c r="F189" i="35" s="1"/>
  <c r="G189" i="35" s="1"/>
  <c r="H189" i="35" s="1"/>
  <c r="I189" i="35" s="1"/>
  <c r="J189" i="35" s="1"/>
  <c r="K189" i="35" s="1"/>
  <c r="L189" i="35" s="1"/>
  <c r="M189" i="35" s="1"/>
  <c r="N189" i="35" s="1"/>
  <c r="O189" i="35" s="1"/>
  <c r="P189" i="35" s="1"/>
  <c r="Q189" i="35" s="1"/>
  <c r="R189" i="35" s="1"/>
  <c r="S189" i="35" s="1"/>
  <c r="T189" i="35" s="1"/>
  <c r="U189" i="35" s="1"/>
  <c r="V189" i="35" s="1"/>
  <c r="W189" i="35" s="1"/>
  <c r="X189" i="35" s="1"/>
  <c r="Y189" i="35" s="1"/>
  <c r="Z189" i="35" s="1"/>
  <c r="AA189" i="35" s="1"/>
  <c r="AB189" i="35" s="1"/>
  <c r="AC189" i="35" s="1"/>
  <c r="AD189" i="35" s="1"/>
  <c r="AE189" i="35" s="1"/>
  <c r="AF189" i="35" s="1"/>
  <c r="B189" i="35" s="1"/>
  <c r="D189" i="35"/>
  <c r="AA188" i="35"/>
  <c r="AB188" i="35" s="1"/>
  <c r="AC188" i="35" s="1"/>
  <c r="AD188" i="35" s="1"/>
  <c r="AE188" i="35" s="1"/>
  <c r="AF188" i="35" s="1"/>
  <c r="B188" i="35" s="1"/>
  <c r="Q188" i="35"/>
  <c r="R188" i="35" s="1"/>
  <c r="S188" i="35" s="1"/>
  <c r="T188" i="35" s="1"/>
  <c r="U188" i="35" s="1"/>
  <c r="V188" i="35" s="1"/>
  <c r="W188" i="35" s="1"/>
  <c r="X188" i="35" s="1"/>
  <c r="Y188" i="35" s="1"/>
  <c r="Z188" i="35" s="1"/>
  <c r="E188" i="35"/>
  <c r="F188" i="35" s="1"/>
  <c r="G188" i="35" s="1"/>
  <c r="H188" i="35" s="1"/>
  <c r="I188" i="35" s="1"/>
  <c r="J188" i="35" s="1"/>
  <c r="K188" i="35" s="1"/>
  <c r="L188" i="35" s="1"/>
  <c r="M188" i="35" s="1"/>
  <c r="N188" i="35" s="1"/>
  <c r="O188" i="35" s="1"/>
  <c r="P188" i="35" s="1"/>
  <c r="D188" i="35"/>
  <c r="E187" i="35"/>
  <c r="F187" i="35" s="1"/>
  <c r="G187" i="35" s="1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B187" i="35" s="1"/>
  <c r="D187" i="35"/>
  <c r="X186" i="35"/>
  <c r="Y186" i="35" s="1"/>
  <c r="Z186" i="35" s="1"/>
  <c r="AA186" i="35" s="1"/>
  <c r="AB186" i="35" s="1"/>
  <c r="AC186" i="35" s="1"/>
  <c r="AD186" i="35" s="1"/>
  <c r="AE186" i="35" s="1"/>
  <c r="AF186" i="35" s="1"/>
  <c r="B186" i="35" s="1"/>
  <c r="N186" i="35"/>
  <c r="O186" i="35" s="1"/>
  <c r="P186" i="35" s="1"/>
  <c r="Q186" i="35" s="1"/>
  <c r="R186" i="35" s="1"/>
  <c r="S186" i="35" s="1"/>
  <c r="T186" i="35" s="1"/>
  <c r="U186" i="35" s="1"/>
  <c r="V186" i="35" s="1"/>
  <c r="W186" i="35" s="1"/>
  <c r="E186" i="35"/>
  <c r="F186" i="35" s="1"/>
  <c r="G186" i="35" s="1"/>
  <c r="H186" i="35" s="1"/>
  <c r="I186" i="35" s="1"/>
  <c r="J186" i="35" s="1"/>
  <c r="K186" i="35" s="1"/>
  <c r="L186" i="35" s="1"/>
  <c r="M186" i="35" s="1"/>
  <c r="D186" i="35"/>
  <c r="D185" i="35"/>
  <c r="E185" i="35" s="1"/>
  <c r="F185" i="35" s="1"/>
  <c r="G185" i="35" s="1"/>
  <c r="H185" i="35" s="1"/>
  <c r="I185" i="35" s="1"/>
  <c r="J185" i="35" s="1"/>
  <c r="K185" i="35" s="1"/>
  <c r="L185" i="35" s="1"/>
  <c r="M185" i="35" s="1"/>
  <c r="N185" i="35" s="1"/>
  <c r="O185" i="35" s="1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B185" i="35" s="1"/>
  <c r="U184" i="35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B184" i="35" s="1"/>
  <c r="D184" i="35"/>
  <c r="E184" i="35" s="1"/>
  <c r="F184" i="35" s="1"/>
  <c r="G184" i="35" s="1"/>
  <c r="H184" i="35" s="1"/>
  <c r="I184" i="35" s="1"/>
  <c r="J184" i="35" s="1"/>
  <c r="K184" i="35" s="1"/>
  <c r="L184" i="35" s="1"/>
  <c r="M184" i="35" s="1"/>
  <c r="N184" i="35" s="1"/>
  <c r="O184" i="35" s="1"/>
  <c r="P184" i="35" s="1"/>
  <c r="Q184" i="35" s="1"/>
  <c r="R184" i="35" s="1"/>
  <c r="S184" i="35" s="1"/>
  <c r="T184" i="35" s="1"/>
  <c r="I183" i="35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B183" i="35" s="1"/>
  <c r="G183" i="35"/>
  <c r="H183" i="35" s="1"/>
  <c r="E183" i="35"/>
  <c r="F183" i="35" s="1"/>
  <c r="D183" i="35"/>
  <c r="M182" i="35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AB182" i="35" s="1"/>
  <c r="AC182" i="35" s="1"/>
  <c r="AD182" i="35" s="1"/>
  <c r="AE182" i="35" s="1"/>
  <c r="AF182" i="35" s="1"/>
  <c r="B182" i="35" s="1"/>
  <c r="H182" i="35"/>
  <c r="I182" i="35" s="1"/>
  <c r="J182" i="35" s="1"/>
  <c r="K182" i="35" s="1"/>
  <c r="L182" i="35" s="1"/>
  <c r="F182" i="35"/>
  <c r="G182" i="35" s="1"/>
  <c r="E182" i="35"/>
  <c r="D182" i="35"/>
  <c r="V181" i="35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B181" i="35" s="1"/>
  <c r="E181" i="35"/>
  <c r="F181" i="35" s="1"/>
  <c r="G181" i="35" s="1"/>
  <c r="H181" i="35" s="1"/>
  <c r="I181" i="35" s="1"/>
  <c r="J181" i="35" s="1"/>
  <c r="K181" i="35" s="1"/>
  <c r="L181" i="35" s="1"/>
  <c r="M181" i="35" s="1"/>
  <c r="N181" i="35" s="1"/>
  <c r="O181" i="35" s="1"/>
  <c r="P181" i="35" s="1"/>
  <c r="Q181" i="35" s="1"/>
  <c r="R181" i="35" s="1"/>
  <c r="S181" i="35" s="1"/>
  <c r="T181" i="35" s="1"/>
  <c r="U181" i="35" s="1"/>
  <c r="D181" i="35"/>
  <c r="I180" i="35"/>
  <c r="J180" i="35" s="1"/>
  <c r="K180" i="35" s="1"/>
  <c r="L180" i="35" s="1"/>
  <c r="M180" i="35" s="1"/>
  <c r="N180" i="35" s="1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B180" i="35" s="1"/>
  <c r="D180" i="35"/>
  <c r="E180" i="35" s="1"/>
  <c r="F180" i="35" s="1"/>
  <c r="G180" i="35" s="1"/>
  <c r="H180" i="35" s="1"/>
  <c r="E179" i="35"/>
  <c r="F179" i="35" s="1"/>
  <c r="G179" i="35" s="1"/>
  <c r="H179" i="35" s="1"/>
  <c r="I179" i="35" s="1"/>
  <c r="J179" i="35" s="1"/>
  <c r="K179" i="35" s="1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AF179" i="35" s="1"/>
  <c r="B179" i="35" s="1"/>
  <c r="D179" i="35"/>
  <c r="G177" i="35"/>
  <c r="H177" i="35" s="1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B177" i="35" s="1"/>
  <c r="F177" i="35"/>
  <c r="D177" i="35"/>
  <c r="E177" i="35" s="1"/>
  <c r="D176" i="35"/>
  <c r="E176" i="35" s="1"/>
  <c r="F176" i="35" s="1"/>
  <c r="G176" i="35" s="1"/>
  <c r="H176" i="35" s="1"/>
  <c r="I176" i="35" s="1"/>
  <c r="J176" i="35" s="1"/>
  <c r="K176" i="35" s="1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B176" i="35" s="1"/>
  <c r="F175" i="35"/>
  <c r="G175" i="35" s="1"/>
  <c r="H175" i="35" s="1"/>
  <c r="I175" i="35" s="1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B175" i="35" s="1"/>
  <c r="E175" i="35"/>
  <c r="D175" i="35"/>
  <c r="D174" i="35"/>
  <c r="E174" i="35" s="1"/>
  <c r="F174" i="35" s="1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B174" i="35" s="1"/>
  <c r="L173" i="35"/>
  <c r="M173" i="35" s="1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X173" i="35" s="1"/>
  <c r="Y173" i="35" s="1"/>
  <c r="Z173" i="35" s="1"/>
  <c r="AA173" i="35" s="1"/>
  <c r="AB173" i="35" s="1"/>
  <c r="AC173" i="35" s="1"/>
  <c r="AD173" i="35" s="1"/>
  <c r="AE173" i="35" s="1"/>
  <c r="AF173" i="35" s="1"/>
  <c r="B173" i="35" s="1"/>
  <c r="F173" i="35"/>
  <c r="G173" i="35" s="1"/>
  <c r="H173" i="35" s="1"/>
  <c r="I173" i="35" s="1"/>
  <c r="J173" i="35" s="1"/>
  <c r="K173" i="35" s="1"/>
  <c r="D173" i="35"/>
  <c r="E173" i="35" s="1"/>
  <c r="J172" i="35"/>
  <c r="K172" i="35" s="1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B172" i="35" s="1"/>
  <c r="H172" i="35"/>
  <c r="I172" i="35" s="1"/>
  <c r="E172" i="35"/>
  <c r="F172" i="35" s="1"/>
  <c r="G172" i="35" s="1"/>
  <c r="D172" i="35"/>
  <c r="V171" i="35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B171" i="35" s="1"/>
  <c r="F171" i="35"/>
  <c r="G171" i="35" s="1"/>
  <c r="H171" i="35" s="1"/>
  <c r="I171" i="35" s="1"/>
  <c r="J171" i="35" s="1"/>
  <c r="K171" i="35" s="1"/>
  <c r="L171" i="35" s="1"/>
  <c r="M171" i="35" s="1"/>
  <c r="N171" i="35" s="1"/>
  <c r="O171" i="35" s="1"/>
  <c r="P171" i="35" s="1"/>
  <c r="Q171" i="35" s="1"/>
  <c r="R171" i="35" s="1"/>
  <c r="S171" i="35" s="1"/>
  <c r="T171" i="35" s="1"/>
  <c r="U171" i="35" s="1"/>
  <c r="E171" i="35"/>
  <c r="D171" i="35"/>
  <c r="L170" i="35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B170" i="35" s="1"/>
  <c r="D170" i="35"/>
  <c r="E170" i="35" s="1"/>
  <c r="F170" i="35" s="1"/>
  <c r="G170" i="35" s="1"/>
  <c r="H170" i="35" s="1"/>
  <c r="I170" i="35" s="1"/>
  <c r="J170" i="35" s="1"/>
  <c r="K170" i="35" s="1"/>
  <c r="E168" i="35"/>
  <c r="F168" i="35" s="1"/>
  <c r="G168" i="35" s="1"/>
  <c r="H168" i="35" s="1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B168" i="35" s="1"/>
  <c r="D168" i="35"/>
  <c r="S167" i="35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B167" i="35" s="1"/>
  <c r="D167" i="35"/>
  <c r="E167" i="35" s="1"/>
  <c r="F167" i="35" s="1"/>
  <c r="G167" i="35" s="1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H166" i="35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B166" i="35" s="1"/>
  <c r="E166" i="35"/>
  <c r="F166" i="35" s="1"/>
  <c r="G166" i="35" s="1"/>
  <c r="D166" i="35"/>
  <c r="O165" i="35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B165" i="35" s="1"/>
  <c r="E165" i="35"/>
  <c r="F165" i="35" s="1"/>
  <c r="G165" i="35" s="1"/>
  <c r="H165" i="35" s="1"/>
  <c r="I165" i="35" s="1"/>
  <c r="J165" i="35" s="1"/>
  <c r="K165" i="35" s="1"/>
  <c r="L165" i="35" s="1"/>
  <c r="M165" i="35" s="1"/>
  <c r="N165" i="35" s="1"/>
  <c r="D165" i="35"/>
  <c r="M164" i="35"/>
  <c r="N164" i="35" s="1"/>
  <c r="O164" i="35" s="1"/>
  <c r="P164" i="35" s="1"/>
  <c r="Q164" i="35" s="1"/>
  <c r="R164" i="35" s="1"/>
  <c r="S164" i="35" s="1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B164" i="35" s="1"/>
  <c r="I164" i="35"/>
  <c r="J164" i="35" s="1"/>
  <c r="K164" i="35" s="1"/>
  <c r="L164" i="35" s="1"/>
  <c r="F164" i="35"/>
  <c r="G164" i="35" s="1"/>
  <c r="H164" i="35" s="1"/>
  <c r="E164" i="35"/>
  <c r="D164" i="35"/>
  <c r="G163" i="35"/>
  <c r="H163" i="35" s="1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B163" i="35" s="1"/>
  <c r="D163" i="35"/>
  <c r="E163" i="35" s="1"/>
  <c r="F163" i="35" s="1"/>
  <c r="M162" i="35"/>
  <c r="N162" i="35" s="1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B162" i="35" s="1"/>
  <c r="H162" i="35"/>
  <c r="I162" i="35" s="1"/>
  <c r="J162" i="35" s="1"/>
  <c r="K162" i="35" s="1"/>
  <c r="L162" i="35" s="1"/>
  <c r="G162" i="35"/>
  <c r="F162" i="35"/>
  <c r="E162" i="35"/>
  <c r="D162" i="35"/>
  <c r="G161" i="35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B161" i="35" s="1"/>
  <c r="D161" i="35"/>
  <c r="E161" i="35" s="1"/>
  <c r="F161" i="35" s="1"/>
  <c r="J160" i="35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B160" i="35" s="1"/>
  <c r="E160" i="35"/>
  <c r="F160" i="35" s="1"/>
  <c r="G160" i="35" s="1"/>
  <c r="H160" i="35" s="1"/>
  <c r="I160" i="35" s="1"/>
  <c r="D160" i="35"/>
  <c r="U159" i="35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B159" i="35" s="1"/>
  <c r="L159" i="35"/>
  <c r="M159" i="35" s="1"/>
  <c r="N159" i="35" s="1"/>
  <c r="O159" i="35" s="1"/>
  <c r="P159" i="35" s="1"/>
  <c r="Q159" i="35" s="1"/>
  <c r="R159" i="35" s="1"/>
  <c r="S159" i="35" s="1"/>
  <c r="T159" i="35" s="1"/>
  <c r="H159" i="35"/>
  <c r="I159" i="35" s="1"/>
  <c r="J159" i="35" s="1"/>
  <c r="K159" i="35" s="1"/>
  <c r="G159" i="35"/>
  <c r="E159" i="35"/>
  <c r="F159" i="35" s="1"/>
  <c r="D159" i="35"/>
  <c r="O158" i="35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B158" i="35" s="1"/>
  <c r="F158" i="35"/>
  <c r="G158" i="35" s="1"/>
  <c r="H158" i="35" s="1"/>
  <c r="I158" i="35" s="1"/>
  <c r="J158" i="35" s="1"/>
  <c r="K158" i="35" s="1"/>
  <c r="L158" i="35" s="1"/>
  <c r="M158" i="35" s="1"/>
  <c r="N158" i="35" s="1"/>
  <c r="E158" i="35"/>
  <c r="D158" i="35"/>
  <c r="S157" i="35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B157" i="35" s="1"/>
  <c r="N157" i="35"/>
  <c r="O157" i="35" s="1"/>
  <c r="P157" i="35" s="1"/>
  <c r="Q157" i="35" s="1"/>
  <c r="R157" i="35" s="1"/>
  <c r="I157" i="35"/>
  <c r="J157" i="35" s="1"/>
  <c r="K157" i="35" s="1"/>
  <c r="L157" i="35" s="1"/>
  <c r="M157" i="35" s="1"/>
  <c r="E157" i="35"/>
  <c r="F157" i="35" s="1"/>
  <c r="G157" i="35" s="1"/>
  <c r="H157" i="35" s="1"/>
  <c r="D157" i="35"/>
  <c r="Q156" i="35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B156" i="35" s="1"/>
  <c r="L156" i="35"/>
  <c r="M156" i="35" s="1"/>
  <c r="N156" i="35" s="1"/>
  <c r="O156" i="35" s="1"/>
  <c r="P156" i="35" s="1"/>
  <c r="G156" i="35"/>
  <c r="H156" i="35" s="1"/>
  <c r="I156" i="35" s="1"/>
  <c r="J156" i="35" s="1"/>
  <c r="K156" i="35" s="1"/>
  <c r="F156" i="35"/>
  <c r="E156" i="35"/>
  <c r="D156" i="35"/>
  <c r="E154" i="35"/>
  <c r="F154" i="35" s="1"/>
  <c r="G154" i="35" s="1"/>
  <c r="H154" i="35" s="1"/>
  <c r="I154" i="35" s="1"/>
  <c r="J154" i="35" s="1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B154" i="35" s="1"/>
  <c r="D154" i="35"/>
  <c r="Q153" i="35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B153" i="35" s="1"/>
  <c r="E153" i="35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D153" i="35"/>
  <c r="P152" i="35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B152" i="35" s="1"/>
  <c r="L152" i="35"/>
  <c r="M152" i="35" s="1"/>
  <c r="N152" i="35" s="1"/>
  <c r="O152" i="35" s="1"/>
  <c r="G152" i="35"/>
  <c r="H152" i="35" s="1"/>
  <c r="I152" i="35" s="1"/>
  <c r="J152" i="35" s="1"/>
  <c r="K152" i="35" s="1"/>
  <c r="F152" i="35"/>
  <c r="E152" i="35"/>
  <c r="D152" i="35"/>
  <c r="AB151" i="35"/>
  <c r="AC151" i="35" s="1"/>
  <c r="AD151" i="35" s="1"/>
  <c r="AE151" i="35" s="1"/>
  <c r="AF151" i="35" s="1"/>
  <c r="B151" i="35" s="1"/>
  <c r="K151" i="35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H151" i="35"/>
  <c r="I151" i="35" s="1"/>
  <c r="J151" i="35" s="1"/>
  <c r="D151" i="35"/>
  <c r="E151" i="35" s="1"/>
  <c r="F151" i="35" s="1"/>
  <c r="G151" i="35" s="1"/>
  <c r="I149" i="35"/>
  <c r="J149" i="35" s="1"/>
  <c r="K149" i="35" s="1"/>
  <c r="L149" i="35" s="1"/>
  <c r="M149" i="35" s="1"/>
  <c r="N149" i="35" s="1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B149" i="35" s="1"/>
  <c r="F149" i="35"/>
  <c r="G149" i="35" s="1"/>
  <c r="H149" i="35" s="1"/>
  <c r="E149" i="35"/>
  <c r="D149" i="35"/>
  <c r="D148" i="35"/>
  <c r="E148" i="35" s="1"/>
  <c r="F148" i="35" s="1"/>
  <c r="G148" i="35" s="1"/>
  <c r="H148" i="35" s="1"/>
  <c r="I148" i="35" s="1"/>
  <c r="J148" i="35" s="1"/>
  <c r="K148" i="35" s="1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B148" i="35" s="1"/>
  <c r="M146" i="35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B146" i="35" s="1"/>
  <c r="J146" i="35"/>
  <c r="K146" i="35" s="1"/>
  <c r="L146" i="35" s="1"/>
  <c r="F146" i="35"/>
  <c r="G146" i="35" s="1"/>
  <c r="H146" i="35" s="1"/>
  <c r="I146" i="35" s="1"/>
  <c r="E146" i="35"/>
  <c r="D146" i="35"/>
  <c r="T145" i="35"/>
  <c r="U145" i="35" s="1"/>
  <c r="V145" i="35" s="1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B145" i="35" s="1"/>
  <c r="K145" i="35"/>
  <c r="L145" i="35" s="1"/>
  <c r="M145" i="35" s="1"/>
  <c r="N145" i="35" s="1"/>
  <c r="O145" i="35" s="1"/>
  <c r="P145" i="35" s="1"/>
  <c r="Q145" i="35" s="1"/>
  <c r="R145" i="35" s="1"/>
  <c r="S145" i="35" s="1"/>
  <c r="H145" i="35"/>
  <c r="I145" i="35" s="1"/>
  <c r="J145" i="35" s="1"/>
  <c r="D145" i="35"/>
  <c r="E145" i="35" s="1"/>
  <c r="F145" i="35" s="1"/>
  <c r="G145" i="35" s="1"/>
  <c r="AD144" i="35"/>
  <c r="AE144" i="35" s="1"/>
  <c r="AF144" i="35" s="1"/>
  <c r="B144" i="35" s="1"/>
  <c r="J144" i="35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I144" i="35"/>
  <c r="F144" i="35"/>
  <c r="G144" i="35" s="1"/>
  <c r="H144" i="35" s="1"/>
  <c r="E144" i="35"/>
  <c r="D144" i="35"/>
  <c r="D143" i="35"/>
  <c r="E143" i="35" s="1"/>
  <c r="F143" i="35" s="1"/>
  <c r="G143" i="35" s="1"/>
  <c r="H143" i="35" s="1"/>
  <c r="I143" i="35" s="1"/>
  <c r="J143" i="35" s="1"/>
  <c r="K143" i="35" s="1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B143" i="35" s="1"/>
  <c r="N142" i="35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B142" i="35" s="1"/>
  <c r="F142" i="35"/>
  <c r="G142" i="35" s="1"/>
  <c r="H142" i="35" s="1"/>
  <c r="I142" i="35" s="1"/>
  <c r="J142" i="35" s="1"/>
  <c r="K142" i="35" s="1"/>
  <c r="L142" i="35" s="1"/>
  <c r="M142" i="35" s="1"/>
  <c r="E142" i="35"/>
  <c r="D142" i="35"/>
  <c r="E141" i="35"/>
  <c r="F141" i="35" s="1"/>
  <c r="G141" i="35" s="1"/>
  <c r="H141" i="35" s="1"/>
  <c r="I141" i="35" s="1"/>
  <c r="J141" i="35" s="1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B141" i="35" s="1"/>
  <c r="D141" i="35"/>
  <c r="Q140" i="35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B140" i="35" s="1"/>
  <c r="F140" i="35"/>
  <c r="G140" i="35" s="1"/>
  <c r="H140" i="35" s="1"/>
  <c r="I140" i="35" s="1"/>
  <c r="J140" i="35" s="1"/>
  <c r="K140" i="35" s="1"/>
  <c r="L140" i="35" s="1"/>
  <c r="M140" i="35" s="1"/>
  <c r="N140" i="35" s="1"/>
  <c r="O140" i="35" s="1"/>
  <c r="P140" i="35" s="1"/>
  <c r="E140" i="35"/>
  <c r="D140" i="35"/>
  <c r="F138" i="35"/>
  <c r="G138" i="35" s="1"/>
  <c r="H138" i="35" s="1"/>
  <c r="I138" i="35" s="1"/>
  <c r="J138" i="35" s="1"/>
  <c r="K138" i="35" s="1"/>
  <c r="L138" i="35" s="1"/>
  <c r="M138" i="35" s="1"/>
  <c r="N138" i="35" s="1"/>
  <c r="O138" i="35" s="1"/>
  <c r="P138" i="35" s="1"/>
  <c r="Q138" i="35" s="1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B138" i="35" s="1"/>
  <c r="E138" i="35"/>
  <c r="D138" i="35"/>
  <c r="N137" i="35"/>
  <c r="O137" i="35" s="1"/>
  <c r="P137" i="35" s="1"/>
  <c r="Q137" i="35" s="1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B137" i="35" s="1"/>
  <c r="D137" i="35"/>
  <c r="E137" i="35" s="1"/>
  <c r="F137" i="35" s="1"/>
  <c r="G137" i="35" s="1"/>
  <c r="H137" i="35" s="1"/>
  <c r="I137" i="35" s="1"/>
  <c r="J137" i="35" s="1"/>
  <c r="K137" i="35" s="1"/>
  <c r="L137" i="35" s="1"/>
  <c r="M137" i="35" s="1"/>
  <c r="E136" i="35"/>
  <c r="F136" i="35" s="1"/>
  <c r="G136" i="35" s="1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B136" i="35" s="1"/>
  <c r="D136" i="35"/>
  <c r="F135" i="35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B135" i="35" s="1"/>
  <c r="E135" i="35"/>
  <c r="D135" i="35"/>
  <c r="I134" i="35"/>
  <c r="J134" i="35" s="1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B134" i="35" s="1"/>
  <c r="E134" i="35"/>
  <c r="F134" i="35" s="1"/>
  <c r="G134" i="35" s="1"/>
  <c r="H134" i="35" s="1"/>
  <c r="D134" i="35"/>
  <c r="G133" i="35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B133" i="35" s="1"/>
  <c r="D133" i="35"/>
  <c r="E133" i="35" s="1"/>
  <c r="F133" i="35" s="1"/>
  <c r="H132" i="35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B132" i="35" s="1"/>
  <c r="E132" i="35"/>
  <c r="F132" i="35" s="1"/>
  <c r="G132" i="35" s="1"/>
  <c r="D132" i="35"/>
  <c r="P131" i="35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B131" i="35" s="1"/>
  <c r="O131" i="35"/>
  <c r="F131" i="35"/>
  <c r="G131" i="35" s="1"/>
  <c r="H131" i="35" s="1"/>
  <c r="I131" i="35" s="1"/>
  <c r="J131" i="35" s="1"/>
  <c r="K131" i="35" s="1"/>
  <c r="L131" i="35" s="1"/>
  <c r="M131" i="35" s="1"/>
  <c r="N131" i="35" s="1"/>
  <c r="E131" i="35"/>
  <c r="D131" i="35"/>
  <c r="O129" i="35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B129" i="35" s="1"/>
  <c r="F129" i="35"/>
  <c r="G129" i="35" s="1"/>
  <c r="H129" i="35" s="1"/>
  <c r="I129" i="35" s="1"/>
  <c r="J129" i="35" s="1"/>
  <c r="K129" i="35" s="1"/>
  <c r="L129" i="35" s="1"/>
  <c r="M129" i="35" s="1"/>
  <c r="N129" i="35" s="1"/>
  <c r="E129" i="35"/>
  <c r="D129" i="35"/>
  <c r="D128" i="35"/>
  <c r="E128" i="35" s="1"/>
  <c r="F128" i="35" s="1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B128" i="35" s="1"/>
  <c r="L127" i="35"/>
  <c r="M127" i="35" s="1"/>
  <c r="N127" i="35" s="1"/>
  <c r="O127" i="35" s="1"/>
  <c r="P127" i="35" s="1"/>
  <c r="Q127" i="35" s="1"/>
  <c r="R127" i="35" s="1"/>
  <c r="S127" i="35" s="1"/>
  <c r="T127" i="35" s="1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B127" i="35" s="1"/>
  <c r="D127" i="35"/>
  <c r="E127" i="35" s="1"/>
  <c r="F127" i="35" s="1"/>
  <c r="G127" i="35" s="1"/>
  <c r="H127" i="35" s="1"/>
  <c r="I127" i="35" s="1"/>
  <c r="J127" i="35" s="1"/>
  <c r="K127" i="35" s="1"/>
  <c r="F126" i="35"/>
  <c r="G126" i="35" s="1"/>
  <c r="H126" i="35" s="1"/>
  <c r="I126" i="35" s="1"/>
  <c r="J126" i="35" s="1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B126" i="35" s="1"/>
  <c r="E126" i="35"/>
  <c r="D126" i="35"/>
  <c r="I125" i="35"/>
  <c r="J125" i="35" s="1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B125" i="35" s="1"/>
  <c r="E125" i="35"/>
  <c r="F125" i="35" s="1"/>
  <c r="G125" i="35" s="1"/>
  <c r="H125" i="35" s="1"/>
  <c r="D125" i="35"/>
  <c r="D124" i="35"/>
  <c r="E124" i="35" s="1"/>
  <c r="F124" i="35" s="1"/>
  <c r="G124" i="35" s="1"/>
  <c r="H124" i="35" s="1"/>
  <c r="I124" i="35" s="1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B124" i="35" s="1"/>
  <c r="P123" i="35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B123" i="35" s="1"/>
  <c r="G123" i="35"/>
  <c r="H123" i="35" s="1"/>
  <c r="I123" i="35" s="1"/>
  <c r="J123" i="35" s="1"/>
  <c r="K123" i="35" s="1"/>
  <c r="L123" i="35" s="1"/>
  <c r="M123" i="35" s="1"/>
  <c r="N123" i="35" s="1"/>
  <c r="O123" i="35" s="1"/>
  <c r="E123" i="35"/>
  <c r="F123" i="35" s="1"/>
  <c r="D123" i="35"/>
  <c r="H122" i="35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B122" i="35" s="1"/>
  <c r="E122" i="35"/>
  <c r="F122" i="35" s="1"/>
  <c r="G122" i="35" s="1"/>
  <c r="D122" i="35"/>
  <c r="L121" i="35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B121" i="35" s="1"/>
  <c r="D121" i="35"/>
  <c r="E121" i="35" s="1"/>
  <c r="F121" i="35" s="1"/>
  <c r="G121" i="35" s="1"/>
  <c r="H121" i="35" s="1"/>
  <c r="I121" i="35" s="1"/>
  <c r="J121" i="35" s="1"/>
  <c r="K121" i="35" s="1"/>
  <c r="F120" i="35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B120" i="35" s="1"/>
  <c r="E120" i="35"/>
  <c r="D120" i="35"/>
  <c r="D119" i="35"/>
  <c r="E119" i="35" s="1"/>
  <c r="F119" i="35" s="1"/>
  <c r="G119" i="35" s="1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B119" i="35" s="1"/>
  <c r="Q118" i="35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B118" i="35" s="1"/>
  <c r="E118" i="35"/>
  <c r="F118" i="35" s="1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D118" i="35"/>
  <c r="D117" i="35"/>
  <c r="E117" i="35" s="1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B117" i="35" s="1"/>
  <c r="D116" i="35"/>
  <c r="E116" i="35" s="1"/>
  <c r="F116" i="35" s="1"/>
  <c r="G116" i="35" s="1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B116" i="35" s="1"/>
  <c r="D115" i="35"/>
  <c r="E115" i="35" s="1"/>
  <c r="F115" i="35" s="1"/>
  <c r="G115" i="35" s="1"/>
  <c r="H115" i="35" s="1"/>
  <c r="I115" i="35" s="1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B115" i="35" s="1"/>
  <c r="L114" i="35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B114" i="35" s="1"/>
  <c r="K114" i="35"/>
  <c r="D114" i="35"/>
  <c r="E114" i="35" s="1"/>
  <c r="F114" i="35" s="1"/>
  <c r="G114" i="35" s="1"/>
  <c r="H114" i="35" s="1"/>
  <c r="I114" i="35" s="1"/>
  <c r="D113" i="35"/>
  <c r="E113" i="35" s="1"/>
  <c r="F113" i="35" s="1"/>
  <c r="G113" i="35" s="1"/>
  <c r="H113" i="35" s="1"/>
  <c r="I113" i="35" s="1"/>
  <c r="J113" i="35" s="1"/>
  <c r="K113" i="35" s="1"/>
  <c r="L113" i="35" s="1"/>
  <c r="M113" i="35" s="1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B113" i="35" s="1"/>
  <c r="G112" i="35"/>
  <c r="H112" i="35" s="1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B112" i="35" s="1"/>
  <c r="D112" i="35"/>
  <c r="E112" i="35" s="1"/>
  <c r="F112" i="35" s="1"/>
  <c r="F110" i="35"/>
  <c r="G110" i="35" s="1"/>
  <c r="H110" i="35" s="1"/>
  <c r="I110" i="35" s="1"/>
  <c r="J110" i="35" s="1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B110" i="35" s="1"/>
  <c r="E110" i="35"/>
  <c r="D110" i="35"/>
  <c r="D109" i="35"/>
  <c r="F107" i="35"/>
  <c r="G107" i="35" s="1"/>
  <c r="H107" i="35" s="1"/>
  <c r="I107" i="35" s="1"/>
  <c r="J107" i="35" s="1"/>
  <c r="K107" i="35" s="1"/>
  <c r="L107" i="35" s="1"/>
  <c r="M107" i="35" s="1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B107" i="35" s="1"/>
  <c r="D107" i="35"/>
  <c r="E107" i="35" s="1"/>
  <c r="E106" i="35"/>
  <c r="F106" i="35" s="1"/>
  <c r="G106" i="35" s="1"/>
  <c r="H106" i="35" s="1"/>
  <c r="I106" i="35" s="1"/>
  <c r="J106" i="35" s="1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B106" i="35" s="1"/>
  <c r="D106" i="35"/>
  <c r="E105" i="35"/>
  <c r="F105" i="35" s="1"/>
  <c r="G105" i="35" s="1"/>
  <c r="H105" i="35" s="1"/>
  <c r="I105" i="35" s="1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B105" i="35" s="1"/>
  <c r="D105" i="35"/>
  <c r="F104" i="35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B104" i="35" s="1"/>
  <c r="D104" i="35"/>
  <c r="E104" i="35" s="1"/>
  <c r="E103" i="35"/>
  <c r="F103" i="35" s="1"/>
  <c r="D103" i="35"/>
  <c r="D102" i="35"/>
  <c r="AH98" i="35"/>
  <c r="AI98" i="35" s="1"/>
  <c r="AH97" i="35"/>
  <c r="AI97" i="35" s="1"/>
  <c r="AH96" i="35"/>
  <c r="AI96" i="35" s="1"/>
  <c r="AH95" i="35"/>
  <c r="AI95" i="35" s="1"/>
  <c r="AH94" i="35"/>
  <c r="AI94" i="35" s="1"/>
  <c r="C93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G82" i="35"/>
  <c r="AI81" i="35"/>
  <c r="AH81" i="35"/>
  <c r="AF80" i="35"/>
  <c r="AE80" i="35"/>
  <c r="AD80" i="35"/>
  <c r="AC80" i="35"/>
  <c r="AB80" i="35"/>
  <c r="AA80" i="35"/>
  <c r="Z80" i="35"/>
  <c r="Y80" i="35"/>
  <c r="X80" i="35"/>
  <c r="W80" i="35"/>
  <c r="V80" i="35"/>
  <c r="U80" i="35"/>
  <c r="T80" i="35"/>
  <c r="S80" i="35"/>
  <c r="R80" i="35"/>
  <c r="Q80" i="35"/>
  <c r="P80" i="35"/>
  <c r="O80" i="35"/>
  <c r="N80" i="35"/>
  <c r="M80" i="35"/>
  <c r="L80" i="35"/>
  <c r="K80" i="35"/>
  <c r="J80" i="35"/>
  <c r="I80" i="35"/>
  <c r="H80" i="35"/>
  <c r="G80" i="35"/>
  <c r="F80" i="35"/>
  <c r="E80" i="35"/>
  <c r="D80" i="35"/>
  <c r="C80" i="35"/>
  <c r="AF79" i="35"/>
  <c r="AE79" i="35"/>
  <c r="AD79" i="35"/>
  <c r="AC79" i="35"/>
  <c r="AB79" i="35"/>
  <c r="AA79" i="35"/>
  <c r="Z79" i="35"/>
  <c r="Y79" i="35"/>
  <c r="X79" i="35"/>
  <c r="W79" i="35"/>
  <c r="V79" i="35"/>
  <c r="U79" i="35"/>
  <c r="T79" i="35"/>
  <c r="S79" i="35"/>
  <c r="R79" i="35"/>
  <c r="Q79" i="35"/>
  <c r="P79" i="35"/>
  <c r="O79" i="35"/>
  <c r="N79" i="35"/>
  <c r="M79" i="35"/>
  <c r="L79" i="35"/>
  <c r="K79" i="35"/>
  <c r="J79" i="35"/>
  <c r="I79" i="35"/>
  <c r="H79" i="35"/>
  <c r="G79" i="35"/>
  <c r="F79" i="35"/>
  <c r="E79" i="35"/>
  <c r="D79" i="35"/>
  <c r="C79" i="35"/>
  <c r="AF78" i="35"/>
  <c r="AE78" i="35"/>
  <c r="AD78" i="35"/>
  <c r="AC78" i="35"/>
  <c r="AB78" i="35"/>
  <c r="AA78" i="35"/>
  <c r="Z78" i="35"/>
  <c r="Z82" i="35" s="1"/>
  <c r="Y78" i="35"/>
  <c r="X78" i="35"/>
  <c r="W78" i="35"/>
  <c r="V78" i="35"/>
  <c r="U78" i="35"/>
  <c r="T78" i="35"/>
  <c r="S78" i="35"/>
  <c r="R78" i="35"/>
  <c r="Q78" i="35"/>
  <c r="P78" i="35"/>
  <c r="O78" i="35"/>
  <c r="N78" i="35"/>
  <c r="M78" i="35"/>
  <c r="L78" i="35"/>
  <c r="K78" i="35"/>
  <c r="J78" i="35"/>
  <c r="I78" i="35"/>
  <c r="H78" i="35"/>
  <c r="G78" i="35"/>
  <c r="F78" i="35"/>
  <c r="E78" i="35"/>
  <c r="D78" i="35"/>
  <c r="C78" i="35"/>
  <c r="AF77" i="35"/>
  <c r="AE77" i="35"/>
  <c r="AD77" i="35"/>
  <c r="AC77" i="35"/>
  <c r="AB77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AF76" i="35"/>
  <c r="AE76" i="35"/>
  <c r="AD76" i="35"/>
  <c r="AC76" i="35"/>
  <c r="AB76" i="35"/>
  <c r="AA76" i="35"/>
  <c r="Z76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AI74" i="35"/>
  <c r="AH74" i="35"/>
  <c r="AG72" i="35"/>
  <c r="AF72" i="35"/>
  <c r="AE72" i="35"/>
  <c r="AD72" i="35"/>
  <c r="AC72" i="35"/>
  <c r="AB72" i="35"/>
  <c r="AA72" i="35"/>
  <c r="Z72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AI71" i="35"/>
  <c r="AH71" i="35"/>
  <c r="AI70" i="35"/>
  <c r="AH70" i="35"/>
  <c r="AI69" i="35"/>
  <c r="AH69" i="35"/>
  <c r="AG68" i="35"/>
  <c r="AF68" i="35"/>
  <c r="AE68" i="35"/>
  <c r="AD5" i="35" s="1"/>
  <c r="AD68" i="35"/>
  <c r="AC5" i="35" s="1"/>
  <c r="AC68" i="35"/>
  <c r="AB5" i="35" s="1"/>
  <c r="AB68" i="35"/>
  <c r="AA5" i="35" s="1"/>
  <c r="AA68" i="35"/>
  <c r="Y68" i="35"/>
  <c r="X68" i="35"/>
  <c r="W68" i="35"/>
  <c r="V5" i="35" s="1"/>
  <c r="V68" i="35"/>
  <c r="U68" i="35"/>
  <c r="T68" i="35"/>
  <c r="S5" i="35" s="1"/>
  <c r="S68" i="35"/>
  <c r="R68" i="35"/>
  <c r="Q5" i="35" s="1"/>
  <c r="Q68" i="35"/>
  <c r="P68" i="35"/>
  <c r="O68" i="35"/>
  <c r="N5" i="35" s="1"/>
  <c r="N68" i="35"/>
  <c r="M5" i="35" s="1"/>
  <c r="M68" i="35"/>
  <c r="L5" i="35" s="1"/>
  <c r="L68" i="35"/>
  <c r="K5" i="35" s="1"/>
  <c r="K68" i="35"/>
  <c r="J5" i="35" s="1"/>
  <c r="J68" i="35"/>
  <c r="I5" i="35" s="1"/>
  <c r="I68" i="35"/>
  <c r="H5" i="35" s="1"/>
  <c r="H68" i="35"/>
  <c r="G68" i="35"/>
  <c r="F68" i="35"/>
  <c r="E68" i="35"/>
  <c r="D68" i="35"/>
  <c r="C5" i="35" s="1"/>
  <c r="C68" i="35"/>
  <c r="B5" i="35" s="1"/>
  <c r="AI67" i="35"/>
  <c r="AH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G56" i="35"/>
  <c r="AF56" i="35"/>
  <c r="AE56" i="35"/>
  <c r="AD56" i="35"/>
  <c r="AC56" i="35"/>
  <c r="AB56" i="35"/>
  <c r="AA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AI55" i="35"/>
  <c r="AH55" i="35"/>
  <c r="AI54" i="35"/>
  <c r="AH54" i="35"/>
  <c r="AI53" i="35"/>
  <c r="AH53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AG51" i="35"/>
  <c r="AG52" i="35" s="1"/>
  <c r="AG3" i="35" s="1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G38" i="35"/>
  <c r="AG2" i="35" s="1"/>
  <c r="AG6" i="35" s="1"/>
  <c r="AF38" i="35"/>
  <c r="AE38" i="35"/>
  <c r="AD38" i="35"/>
  <c r="AC38" i="35"/>
  <c r="AB38" i="35"/>
  <c r="AA38" i="35"/>
  <c r="Z73" i="35"/>
  <c r="Y38" i="35"/>
  <c r="X38" i="35"/>
  <c r="W38" i="35"/>
  <c r="V38" i="35"/>
  <c r="U38" i="35"/>
  <c r="T38" i="35"/>
  <c r="S38" i="35"/>
  <c r="S73" i="35" s="1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E38" i="35"/>
  <c r="D38" i="35"/>
  <c r="C38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F5" i="35"/>
  <c r="Z5" i="35"/>
  <c r="Y5" i="35"/>
  <c r="U5" i="35"/>
  <c r="T5" i="35"/>
  <c r="R5" i="35"/>
  <c r="F5" i="35"/>
  <c r="E5" i="35"/>
  <c r="D5" i="35"/>
  <c r="AG4" i="35"/>
  <c r="K4" i="35"/>
  <c r="B4" i="35"/>
  <c r="AF95" i="33"/>
  <c r="AF37" i="33"/>
  <c r="AE95" i="33"/>
  <c r="AE37" i="33"/>
  <c r="AD95" i="33"/>
  <c r="AD94" i="33"/>
  <c r="AD37" i="33"/>
  <c r="AC95" i="33"/>
  <c r="AC37" i="33"/>
  <c r="AB37" i="33"/>
  <c r="AK19" i="33"/>
  <c r="AK18" i="33"/>
  <c r="M58" i="33"/>
  <c r="L58" i="33"/>
  <c r="L37" i="33"/>
  <c r="K58" i="33"/>
  <c r="K37" i="33"/>
  <c r="J58" i="33"/>
  <c r="J37" i="33"/>
  <c r="I58" i="33"/>
  <c r="I37" i="33"/>
  <c r="G37" i="33"/>
  <c r="F37" i="33"/>
  <c r="E37" i="33"/>
  <c r="AH100" i="33"/>
  <c r="AI100" i="33" s="1"/>
  <c r="AH99" i="33"/>
  <c r="AI99" i="33" s="1"/>
  <c r="B51" i="33"/>
  <c r="AF239" i="33"/>
  <c r="AE239" i="33"/>
  <c r="AD239" i="33"/>
  <c r="AC239" i="33"/>
  <c r="AB239" i="33"/>
  <c r="AA239" i="33"/>
  <c r="Z239" i="33"/>
  <c r="Y239" i="33"/>
  <c r="X239" i="33"/>
  <c r="W239" i="33"/>
  <c r="V239" i="33"/>
  <c r="U239" i="33"/>
  <c r="T239" i="33"/>
  <c r="S239" i="33"/>
  <c r="R239" i="33"/>
  <c r="Q239" i="33"/>
  <c r="P239" i="33"/>
  <c r="O239" i="33"/>
  <c r="N239" i="33"/>
  <c r="M239" i="33"/>
  <c r="L239" i="33"/>
  <c r="K239" i="33"/>
  <c r="J239" i="33"/>
  <c r="I239" i="33"/>
  <c r="H239" i="33"/>
  <c r="G239" i="33"/>
  <c r="F239" i="33"/>
  <c r="E239" i="33"/>
  <c r="D239" i="33"/>
  <c r="C239" i="33"/>
  <c r="B239" i="33"/>
  <c r="A239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B235" i="33"/>
  <c r="S210" i="33"/>
  <c r="AG200" i="33"/>
  <c r="C200" i="33"/>
  <c r="E199" i="33"/>
  <c r="D199" i="33"/>
  <c r="C235" i="33" s="1"/>
  <c r="H198" i="33"/>
  <c r="I198" i="33" s="1"/>
  <c r="J198" i="33" s="1"/>
  <c r="K198" i="33" s="1"/>
  <c r="L198" i="33" s="1"/>
  <c r="M198" i="33" s="1"/>
  <c r="N198" i="33" s="1"/>
  <c r="O198" i="33" s="1"/>
  <c r="P198" i="33" s="1"/>
  <c r="Q198" i="33" s="1"/>
  <c r="R198" i="33" s="1"/>
  <c r="S198" i="33" s="1"/>
  <c r="T198" i="33" s="1"/>
  <c r="U198" i="33" s="1"/>
  <c r="V198" i="33" s="1"/>
  <c r="W198" i="33" s="1"/>
  <c r="X198" i="33" s="1"/>
  <c r="Y198" i="33" s="1"/>
  <c r="Z198" i="33" s="1"/>
  <c r="AA198" i="33" s="1"/>
  <c r="AB198" i="33" s="1"/>
  <c r="AC198" i="33" s="1"/>
  <c r="AD198" i="33" s="1"/>
  <c r="AE198" i="33" s="1"/>
  <c r="AF198" i="33" s="1"/>
  <c r="B198" i="33" s="1"/>
  <c r="E198" i="33"/>
  <c r="F198" i="33" s="1"/>
  <c r="G198" i="33" s="1"/>
  <c r="D198" i="33"/>
  <c r="H197" i="33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D197" i="33"/>
  <c r="E197" i="33" s="1"/>
  <c r="F197" i="33" s="1"/>
  <c r="G197" i="33" s="1"/>
  <c r="G196" i="33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V196" i="33" s="1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F196" i="33"/>
  <c r="D196" i="33"/>
  <c r="E196" i="33" s="1"/>
  <c r="D195" i="33"/>
  <c r="E195" i="33" s="1"/>
  <c r="F194" i="33"/>
  <c r="E194" i="33"/>
  <c r="D194" i="33"/>
  <c r="AG192" i="33"/>
  <c r="C192" i="33"/>
  <c r="D191" i="33"/>
  <c r="E191" i="33" s="1"/>
  <c r="F191" i="33" s="1"/>
  <c r="G191" i="33" s="1"/>
  <c r="H191" i="33" s="1"/>
  <c r="I191" i="33" s="1"/>
  <c r="J191" i="33" s="1"/>
  <c r="K191" i="33" s="1"/>
  <c r="L191" i="33" s="1"/>
  <c r="M191" i="33" s="1"/>
  <c r="N191" i="33" s="1"/>
  <c r="O191" i="33" s="1"/>
  <c r="P191" i="33" s="1"/>
  <c r="Q191" i="33" s="1"/>
  <c r="R191" i="33" s="1"/>
  <c r="S191" i="33" s="1"/>
  <c r="T191" i="33" s="1"/>
  <c r="U191" i="33" s="1"/>
  <c r="V191" i="33" s="1"/>
  <c r="W191" i="33" s="1"/>
  <c r="X191" i="33" s="1"/>
  <c r="Y191" i="33" s="1"/>
  <c r="Z191" i="33" s="1"/>
  <c r="AA191" i="33" s="1"/>
  <c r="AB191" i="33" s="1"/>
  <c r="AC191" i="33" s="1"/>
  <c r="AD191" i="33" s="1"/>
  <c r="AE191" i="33" s="1"/>
  <c r="AF191" i="33" s="1"/>
  <c r="B191" i="33" s="1"/>
  <c r="AB190" i="33"/>
  <c r="AC190" i="33" s="1"/>
  <c r="AD190" i="33" s="1"/>
  <c r="AE190" i="33" s="1"/>
  <c r="AF190" i="33" s="1"/>
  <c r="B190" i="33" s="1"/>
  <c r="P190" i="33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G190" i="33"/>
  <c r="H190" i="33" s="1"/>
  <c r="I190" i="33" s="1"/>
  <c r="J190" i="33" s="1"/>
  <c r="K190" i="33" s="1"/>
  <c r="L190" i="33" s="1"/>
  <c r="M190" i="33" s="1"/>
  <c r="N190" i="33" s="1"/>
  <c r="O190" i="33" s="1"/>
  <c r="D190" i="33"/>
  <c r="E190" i="33" s="1"/>
  <c r="F190" i="33" s="1"/>
  <c r="D189" i="33"/>
  <c r="E189" i="33" s="1"/>
  <c r="F189" i="33" s="1"/>
  <c r="G189" i="33" s="1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U189" i="33" s="1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B189" i="33" s="1"/>
  <c r="N188" i="33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E188" i="33"/>
  <c r="F188" i="33" s="1"/>
  <c r="G188" i="33" s="1"/>
  <c r="H188" i="33" s="1"/>
  <c r="I188" i="33" s="1"/>
  <c r="J188" i="33" s="1"/>
  <c r="K188" i="33" s="1"/>
  <c r="L188" i="33" s="1"/>
  <c r="M188" i="33" s="1"/>
  <c r="D188" i="33"/>
  <c r="X187" i="33"/>
  <c r="Y187" i="33" s="1"/>
  <c r="Z187" i="33" s="1"/>
  <c r="AA187" i="33" s="1"/>
  <c r="AB187" i="33" s="1"/>
  <c r="AC187" i="33" s="1"/>
  <c r="AD187" i="33" s="1"/>
  <c r="AE187" i="33" s="1"/>
  <c r="AF187" i="33" s="1"/>
  <c r="B187" i="33" s="1"/>
  <c r="H187" i="33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G187" i="33"/>
  <c r="F187" i="33"/>
  <c r="D187" i="33"/>
  <c r="E187" i="33" s="1"/>
  <c r="E186" i="33"/>
  <c r="F186" i="33" s="1"/>
  <c r="G186" i="33" s="1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D186" i="33"/>
  <c r="M185" i="33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B185" i="33" s="1"/>
  <c r="L185" i="33"/>
  <c r="G185" i="33"/>
  <c r="H185" i="33" s="1"/>
  <c r="I185" i="33" s="1"/>
  <c r="J185" i="33" s="1"/>
  <c r="K185" i="33" s="1"/>
  <c r="D185" i="33"/>
  <c r="E185" i="33" s="1"/>
  <c r="F185" i="33" s="1"/>
  <c r="Z184" i="33"/>
  <c r="AA184" i="33" s="1"/>
  <c r="AB184" i="33" s="1"/>
  <c r="AC184" i="33" s="1"/>
  <c r="AD184" i="33" s="1"/>
  <c r="AE184" i="33" s="1"/>
  <c r="AF184" i="33" s="1"/>
  <c r="B184" i="33" s="1"/>
  <c r="E184" i="33"/>
  <c r="F184" i="33" s="1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D184" i="33"/>
  <c r="H183" i="33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G183" i="33"/>
  <c r="F183" i="33"/>
  <c r="D183" i="33"/>
  <c r="E183" i="33" s="1"/>
  <c r="D182" i="33"/>
  <c r="E182" i="33" s="1"/>
  <c r="F182" i="33" s="1"/>
  <c r="G182" i="33" s="1"/>
  <c r="H182" i="33" s="1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B182" i="33" s="1"/>
  <c r="H181" i="33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B181" i="33" s="1"/>
  <c r="G181" i="33"/>
  <c r="E181" i="33"/>
  <c r="F181" i="33" s="1"/>
  <c r="D181" i="33"/>
  <c r="E180" i="33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D180" i="33"/>
  <c r="AB179" i="33"/>
  <c r="AC179" i="33" s="1"/>
  <c r="AD179" i="33" s="1"/>
  <c r="AE179" i="33" s="1"/>
  <c r="AF179" i="33" s="1"/>
  <c r="B179" i="33" s="1"/>
  <c r="Q179" i="33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F179" i="33"/>
  <c r="G179" i="33" s="1"/>
  <c r="H179" i="33" s="1"/>
  <c r="I179" i="33" s="1"/>
  <c r="J179" i="33" s="1"/>
  <c r="K179" i="33" s="1"/>
  <c r="L179" i="33" s="1"/>
  <c r="M179" i="33" s="1"/>
  <c r="N179" i="33" s="1"/>
  <c r="O179" i="33" s="1"/>
  <c r="P179" i="33" s="1"/>
  <c r="E179" i="33"/>
  <c r="D179" i="33"/>
  <c r="P177" i="33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B177" i="33" s="1"/>
  <c r="E177" i="33"/>
  <c r="F177" i="33" s="1"/>
  <c r="G177" i="33" s="1"/>
  <c r="H177" i="33" s="1"/>
  <c r="I177" i="33" s="1"/>
  <c r="J177" i="33" s="1"/>
  <c r="K177" i="33" s="1"/>
  <c r="L177" i="33" s="1"/>
  <c r="M177" i="33" s="1"/>
  <c r="N177" i="33" s="1"/>
  <c r="O177" i="33" s="1"/>
  <c r="D177" i="33"/>
  <c r="E176" i="33"/>
  <c r="F176" i="33" s="1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D176" i="33"/>
  <c r="O175" i="33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E175" i="33"/>
  <c r="F175" i="33" s="1"/>
  <c r="G175" i="33" s="1"/>
  <c r="H175" i="33" s="1"/>
  <c r="I175" i="33" s="1"/>
  <c r="J175" i="33" s="1"/>
  <c r="K175" i="33" s="1"/>
  <c r="L175" i="33" s="1"/>
  <c r="M175" i="33" s="1"/>
  <c r="N175" i="33" s="1"/>
  <c r="D175" i="33"/>
  <c r="E174" i="33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D174" i="33"/>
  <c r="D173" i="33"/>
  <c r="E173" i="33" s="1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B173" i="33"/>
  <c r="G172" i="33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B172" i="33" s="1"/>
  <c r="F172" i="33"/>
  <c r="E172" i="33"/>
  <c r="D172" i="33"/>
  <c r="W171" i="33"/>
  <c r="X171" i="33" s="1"/>
  <c r="Y171" i="33" s="1"/>
  <c r="Z171" i="33" s="1"/>
  <c r="AA171" i="33" s="1"/>
  <c r="AB171" i="33" s="1"/>
  <c r="AC171" i="33" s="1"/>
  <c r="AD171" i="33" s="1"/>
  <c r="AE171" i="33" s="1"/>
  <c r="AF171" i="33" s="1"/>
  <c r="B171" i="33" s="1"/>
  <c r="L171" i="33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G171" i="33"/>
  <c r="H171" i="33" s="1"/>
  <c r="I171" i="33" s="1"/>
  <c r="J171" i="33" s="1"/>
  <c r="K171" i="33" s="1"/>
  <c r="F171" i="33"/>
  <c r="E171" i="33"/>
  <c r="D171" i="33"/>
  <c r="L170" i="33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B170" i="33" s="1"/>
  <c r="G170" i="33"/>
  <c r="H170" i="33" s="1"/>
  <c r="I170" i="33" s="1"/>
  <c r="J170" i="33" s="1"/>
  <c r="K170" i="33" s="1"/>
  <c r="E170" i="33"/>
  <c r="F170" i="33" s="1"/>
  <c r="D170" i="33"/>
  <c r="L168" i="33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B168" i="33" s="1"/>
  <c r="K168" i="33"/>
  <c r="E168" i="33"/>
  <c r="F168" i="33" s="1"/>
  <c r="G168" i="33" s="1"/>
  <c r="H168" i="33" s="1"/>
  <c r="I168" i="33" s="1"/>
  <c r="J168" i="33" s="1"/>
  <c r="D168" i="33"/>
  <c r="E167" i="33"/>
  <c r="F167" i="33" s="1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D167" i="33"/>
  <c r="D166" i="33"/>
  <c r="E166" i="33" s="1"/>
  <c r="F166" i="33" s="1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B166" i="33" s="1"/>
  <c r="AC165" i="33"/>
  <c r="AD165" i="33" s="1"/>
  <c r="AE165" i="33" s="1"/>
  <c r="AF165" i="33" s="1"/>
  <c r="B165" i="33" s="1"/>
  <c r="G165" i="33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D165" i="33"/>
  <c r="E165" i="33" s="1"/>
  <c r="F165" i="33" s="1"/>
  <c r="I164" i="33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D164" i="33"/>
  <c r="E164" i="33" s="1"/>
  <c r="F164" i="33" s="1"/>
  <c r="G164" i="33" s="1"/>
  <c r="H164" i="33" s="1"/>
  <c r="M163" i="33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B163" i="33" s="1"/>
  <c r="K163" i="33"/>
  <c r="L163" i="33" s="1"/>
  <c r="G163" i="33"/>
  <c r="H163" i="33" s="1"/>
  <c r="I163" i="33" s="1"/>
  <c r="J163" i="33" s="1"/>
  <c r="F163" i="33"/>
  <c r="E163" i="33"/>
  <c r="D163" i="33"/>
  <c r="G162" i="33"/>
  <c r="H162" i="33" s="1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B162" i="33" s="1"/>
  <c r="F162" i="33"/>
  <c r="E162" i="33"/>
  <c r="D162" i="33"/>
  <c r="M161" i="33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B161" i="33" s="1"/>
  <c r="D161" i="33"/>
  <c r="E161" i="33" s="1"/>
  <c r="F161" i="33" s="1"/>
  <c r="G161" i="33" s="1"/>
  <c r="H161" i="33" s="1"/>
  <c r="I161" i="33" s="1"/>
  <c r="J161" i="33" s="1"/>
  <c r="K161" i="33" s="1"/>
  <c r="L161" i="33" s="1"/>
  <c r="G160" i="33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E160" i="33"/>
  <c r="F160" i="33" s="1"/>
  <c r="D160" i="33"/>
  <c r="I159" i="33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E159" i="33"/>
  <c r="F159" i="33" s="1"/>
  <c r="G159" i="33" s="1"/>
  <c r="H159" i="33" s="1"/>
  <c r="D159" i="33"/>
  <c r="E158" i="33"/>
  <c r="F158" i="33" s="1"/>
  <c r="G158" i="33" s="1"/>
  <c r="H158" i="33" s="1"/>
  <c r="I158" i="33" s="1"/>
  <c r="J158" i="33" s="1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B158" i="33" s="1"/>
  <c r="D158" i="33"/>
  <c r="N157" i="33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B157" i="33" s="1"/>
  <c r="F157" i="33"/>
  <c r="G157" i="33" s="1"/>
  <c r="H157" i="33" s="1"/>
  <c r="I157" i="33" s="1"/>
  <c r="J157" i="33" s="1"/>
  <c r="K157" i="33" s="1"/>
  <c r="L157" i="33" s="1"/>
  <c r="M157" i="33" s="1"/>
  <c r="E157" i="33"/>
  <c r="D157" i="33"/>
  <c r="Q156" i="33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E156" i="33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D156" i="33"/>
  <c r="AE154" i="33"/>
  <c r="AF154" i="33" s="1"/>
  <c r="B154" i="33" s="1"/>
  <c r="Q154" i="33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G154" i="33"/>
  <c r="H154" i="33" s="1"/>
  <c r="I154" i="33" s="1"/>
  <c r="J154" i="33" s="1"/>
  <c r="K154" i="33" s="1"/>
  <c r="L154" i="33" s="1"/>
  <c r="M154" i="33" s="1"/>
  <c r="N154" i="33" s="1"/>
  <c r="O154" i="33" s="1"/>
  <c r="P154" i="33" s="1"/>
  <c r="F154" i="33"/>
  <c r="E154" i="33"/>
  <c r="D154" i="33"/>
  <c r="E153" i="33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B153" i="33" s="1"/>
  <c r="D153" i="33"/>
  <c r="E152" i="33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D152" i="33"/>
  <c r="G151" i="33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E151" i="33"/>
  <c r="F151" i="33" s="1"/>
  <c r="D151" i="33"/>
  <c r="I149" i="33"/>
  <c r="J149" i="33" s="1"/>
  <c r="K149" i="33" s="1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B149" i="33" s="1"/>
  <c r="E149" i="33"/>
  <c r="F149" i="33" s="1"/>
  <c r="G149" i="33" s="1"/>
  <c r="H149" i="33" s="1"/>
  <c r="D149" i="33"/>
  <c r="D148" i="33"/>
  <c r="E148" i="33" s="1"/>
  <c r="F148" i="33" s="1"/>
  <c r="G148" i="33" s="1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B148" i="33" s="1"/>
  <c r="D146" i="33"/>
  <c r="E146" i="33" s="1"/>
  <c r="F146" i="33" s="1"/>
  <c r="G146" i="33" s="1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B146" i="33" s="1"/>
  <c r="D145" i="33"/>
  <c r="E145" i="33" s="1"/>
  <c r="F145" i="33" s="1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B145" i="33" s="1"/>
  <c r="M144" i="33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H144" i="33"/>
  <c r="I144" i="33" s="1"/>
  <c r="J144" i="33" s="1"/>
  <c r="K144" i="33" s="1"/>
  <c r="L144" i="33" s="1"/>
  <c r="D144" i="33"/>
  <c r="E144" i="33" s="1"/>
  <c r="F144" i="33" s="1"/>
  <c r="G144" i="33" s="1"/>
  <c r="F143" i="33"/>
  <c r="G143" i="33" s="1"/>
  <c r="H143" i="33" s="1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B143" i="33" s="1"/>
  <c r="E143" i="33"/>
  <c r="D143" i="33"/>
  <c r="I142" i="33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D142" i="33"/>
  <c r="E142" i="33" s="1"/>
  <c r="F142" i="33" s="1"/>
  <c r="G142" i="33" s="1"/>
  <c r="H142" i="33" s="1"/>
  <c r="D141" i="33"/>
  <c r="E141" i="33" s="1"/>
  <c r="F141" i="33" s="1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E140" i="33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B140" i="33" s="1"/>
  <c r="D140" i="33"/>
  <c r="K138" i="33"/>
  <c r="L138" i="33" s="1"/>
  <c r="M138" i="33" s="1"/>
  <c r="N138" i="33" s="1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B138" i="33" s="1"/>
  <c r="D138" i="33"/>
  <c r="E138" i="33" s="1"/>
  <c r="F138" i="33" s="1"/>
  <c r="G138" i="33" s="1"/>
  <c r="H138" i="33" s="1"/>
  <c r="I138" i="33" s="1"/>
  <c r="J138" i="33" s="1"/>
  <c r="O137" i="33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D137" i="33"/>
  <c r="E137" i="33" s="1"/>
  <c r="F137" i="33" s="1"/>
  <c r="G137" i="33" s="1"/>
  <c r="H137" i="33" s="1"/>
  <c r="I137" i="33" s="1"/>
  <c r="J137" i="33" s="1"/>
  <c r="K137" i="33" s="1"/>
  <c r="L137" i="33" s="1"/>
  <c r="M137" i="33" s="1"/>
  <c r="N137" i="33" s="1"/>
  <c r="F136" i="33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E136" i="33"/>
  <c r="D136" i="33"/>
  <c r="D135" i="33"/>
  <c r="E135" i="33" s="1"/>
  <c r="F135" i="33" s="1"/>
  <c r="G135" i="33" s="1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B135" i="33" s="1"/>
  <c r="H134" i="33"/>
  <c r="I134" i="33" s="1"/>
  <c r="J134" i="33" s="1"/>
  <c r="K134" i="33" s="1"/>
  <c r="L134" i="33" s="1"/>
  <c r="M134" i="33" s="1"/>
  <c r="N134" i="33" s="1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G134" i="33"/>
  <c r="F134" i="33"/>
  <c r="E134" i="33"/>
  <c r="D134" i="33"/>
  <c r="E133" i="33"/>
  <c r="F133" i="33" s="1"/>
  <c r="G133" i="33" s="1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B133" i="33" s="1"/>
  <c r="D133" i="33"/>
  <c r="M132" i="33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D132" i="33"/>
  <c r="E132" i="33" s="1"/>
  <c r="F132" i="33" s="1"/>
  <c r="G132" i="33" s="1"/>
  <c r="H132" i="33" s="1"/>
  <c r="I132" i="33" s="1"/>
  <c r="J132" i="33" s="1"/>
  <c r="K132" i="33" s="1"/>
  <c r="L132" i="33" s="1"/>
  <c r="D131" i="33"/>
  <c r="E131" i="33" s="1"/>
  <c r="F131" i="33" s="1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B131" i="33" s="1"/>
  <c r="I129" i="33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B129" i="33" s="1"/>
  <c r="F129" i="33"/>
  <c r="G129" i="33" s="1"/>
  <c r="H129" i="33" s="1"/>
  <c r="E129" i="33"/>
  <c r="D129" i="33"/>
  <c r="E128" i="33"/>
  <c r="F128" i="33" s="1"/>
  <c r="G128" i="33" s="1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D128" i="33"/>
  <c r="J127" i="33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E127" i="33"/>
  <c r="F127" i="33" s="1"/>
  <c r="G127" i="33" s="1"/>
  <c r="H127" i="33" s="1"/>
  <c r="I127" i="33" s="1"/>
  <c r="D127" i="33"/>
  <c r="L126" i="33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D126" i="33"/>
  <c r="E126" i="33" s="1"/>
  <c r="F126" i="33" s="1"/>
  <c r="G126" i="33" s="1"/>
  <c r="H126" i="33" s="1"/>
  <c r="I126" i="33" s="1"/>
  <c r="J126" i="33" s="1"/>
  <c r="K126" i="33" s="1"/>
  <c r="F125" i="33"/>
  <c r="G125" i="33" s="1"/>
  <c r="H125" i="33" s="1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B125" i="33" s="1"/>
  <c r="E125" i="33"/>
  <c r="D125" i="33"/>
  <c r="D124" i="33"/>
  <c r="E124" i="33" s="1"/>
  <c r="F124" i="33" s="1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D123" i="33"/>
  <c r="E123" i="33" s="1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K122" i="33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E122" i="33"/>
  <c r="F122" i="33" s="1"/>
  <c r="G122" i="33" s="1"/>
  <c r="H122" i="33" s="1"/>
  <c r="I122" i="33" s="1"/>
  <c r="J122" i="33" s="1"/>
  <c r="D122" i="33"/>
  <c r="H121" i="33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B121" i="33" s="1"/>
  <c r="E121" i="33"/>
  <c r="F121" i="33" s="1"/>
  <c r="G121" i="33" s="1"/>
  <c r="D121" i="33"/>
  <c r="D120" i="33"/>
  <c r="E120" i="33" s="1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B120" i="33" s="1"/>
  <c r="E119" i="33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B119" i="33" s="1"/>
  <c r="D119" i="33"/>
  <c r="D118" i="33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E117" i="33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D117" i="33"/>
  <c r="H116" i="33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E116" i="33"/>
  <c r="F116" i="33" s="1"/>
  <c r="G116" i="33" s="1"/>
  <c r="D116" i="33"/>
  <c r="D115" i="33"/>
  <c r="E115" i="33" s="1"/>
  <c r="F115" i="33" s="1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K114" i="33"/>
  <c r="L114" i="33" s="1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B114" i="33" s="1"/>
  <c r="F114" i="33"/>
  <c r="G114" i="33" s="1"/>
  <c r="H114" i="33" s="1"/>
  <c r="I114" i="33" s="1"/>
  <c r="D114" i="33"/>
  <c r="E114" i="33" s="1"/>
  <c r="D113" i="33"/>
  <c r="E113" i="33" s="1"/>
  <c r="F113" i="33" s="1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F112" i="33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E112" i="33"/>
  <c r="D112" i="33"/>
  <c r="D110" i="33"/>
  <c r="E110" i="33" s="1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B110" i="33" s="1"/>
  <c r="F109" i="33"/>
  <c r="G109" i="33" s="1"/>
  <c r="H109" i="33" s="1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B109" i="33" s="1"/>
  <c r="D109" i="33"/>
  <c r="E109" i="33" s="1"/>
  <c r="E107" i="33"/>
  <c r="F107" i="33" s="1"/>
  <c r="G107" i="33" s="1"/>
  <c r="H107" i="33" s="1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B107" i="33" s="1"/>
  <c r="D107" i="33"/>
  <c r="F106" i="33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B106" i="33" s="1"/>
  <c r="E106" i="33"/>
  <c r="D106" i="33"/>
  <c r="E105" i="33"/>
  <c r="F105" i="33" s="1"/>
  <c r="G105" i="33" s="1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D105" i="33"/>
  <c r="D104" i="33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D103" i="33"/>
  <c r="E103" i="33" s="1"/>
  <c r="D102" i="33"/>
  <c r="AH98" i="33"/>
  <c r="AI98" i="33" s="1"/>
  <c r="AH97" i="33"/>
  <c r="AI97" i="33" s="1"/>
  <c r="AH96" i="33"/>
  <c r="AI96" i="33" s="1"/>
  <c r="AH95" i="33"/>
  <c r="AI95" i="33" s="1"/>
  <c r="AH94" i="33"/>
  <c r="AI94" i="33" s="1"/>
  <c r="D93" i="33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G82" i="33"/>
  <c r="AI81" i="33"/>
  <c r="AH81" i="33"/>
  <c r="AF80" i="33"/>
  <c r="AE80" i="33"/>
  <c r="AD80" i="33"/>
  <c r="AC80" i="33"/>
  <c r="AB80" i="33"/>
  <c r="AA80" i="33"/>
  <c r="Z80" i="33"/>
  <c r="Y80" i="33"/>
  <c r="X80" i="33"/>
  <c r="W80" i="33"/>
  <c r="V80" i="33"/>
  <c r="U80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B80" i="33"/>
  <c r="AF79" i="33"/>
  <c r="AE79" i="33"/>
  <c r="AD79" i="33"/>
  <c r="AC79" i="33"/>
  <c r="AB79" i="33"/>
  <c r="AA79" i="33"/>
  <c r="Z79" i="33"/>
  <c r="Y79" i="33"/>
  <c r="Y82" i="33" s="1"/>
  <c r="X79" i="33"/>
  <c r="W79" i="33"/>
  <c r="V79" i="33"/>
  <c r="U79" i="33"/>
  <c r="T79" i="33"/>
  <c r="S79" i="33"/>
  <c r="R79" i="33"/>
  <c r="Q79" i="33"/>
  <c r="Q82" i="33" s="1"/>
  <c r="P79" i="33"/>
  <c r="O79" i="33"/>
  <c r="N79" i="33"/>
  <c r="M79" i="33"/>
  <c r="L79" i="33"/>
  <c r="K79" i="33"/>
  <c r="J79" i="33"/>
  <c r="I79" i="33"/>
  <c r="H79" i="33"/>
  <c r="G79" i="33"/>
  <c r="F79" i="33"/>
  <c r="E79" i="33"/>
  <c r="D79" i="33"/>
  <c r="C79" i="33"/>
  <c r="B79" i="33"/>
  <c r="AF78" i="33"/>
  <c r="AE78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B78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O82" i="33" s="1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AF76" i="33"/>
  <c r="AE76" i="33"/>
  <c r="AD76" i="33"/>
  <c r="AD82" i="33" s="1"/>
  <c r="AC76" i="33"/>
  <c r="AC82" i="33" s="1"/>
  <c r="AB76" i="33"/>
  <c r="AA76" i="33"/>
  <c r="Z76" i="33"/>
  <c r="Y76" i="33"/>
  <c r="X76" i="33"/>
  <c r="W76" i="33"/>
  <c r="V76" i="33"/>
  <c r="U76" i="33"/>
  <c r="T76" i="33"/>
  <c r="T82" i="33" s="1"/>
  <c r="S76" i="33"/>
  <c r="R76" i="33"/>
  <c r="Q76" i="33"/>
  <c r="P76" i="33"/>
  <c r="O76" i="33"/>
  <c r="N76" i="33"/>
  <c r="N82" i="33" s="1"/>
  <c r="M76" i="33"/>
  <c r="L76" i="33"/>
  <c r="K76" i="33"/>
  <c r="J76" i="33"/>
  <c r="I76" i="33"/>
  <c r="H76" i="33"/>
  <c r="G76" i="33"/>
  <c r="F76" i="33"/>
  <c r="E76" i="33"/>
  <c r="D76" i="33"/>
  <c r="C76" i="33"/>
  <c r="C82" i="33" s="1"/>
  <c r="B76" i="33"/>
  <c r="AI74" i="33"/>
  <c r="AH74" i="33"/>
  <c r="AG72" i="33"/>
  <c r="AF72" i="33"/>
  <c r="AE72" i="33"/>
  <c r="AD72" i="33"/>
  <c r="AC72" i="33"/>
  <c r="AB72" i="33"/>
  <c r="AA72" i="33"/>
  <c r="Z72" i="33"/>
  <c r="Y72" i="33"/>
  <c r="X72" i="33"/>
  <c r="W72" i="33"/>
  <c r="V72" i="33"/>
  <c r="U72" i="33"/>
  <c r="T72" i="33"/>
  <c r="S72" i="33"/>
  <c r="R72" i="33"/>
  <c r="Q72" i="33"/>
  <c r="P72" i="33"/>
  <c r="O72" i="33"/>
  <c r="N72" i="33"/>
  <c r="M72" i="33"/>
  <c r="L72" i="33"/>
  <c r="K72" i="33"/>
  <c r="J72" i="33"/>
  <c r="I72" i="33"/>
  <c r="H72" i="33"/>
  <c r="G72" i="33"/>
  <c r="F72" i="33"/>
  <c r="E72" i="33"/>
  <c r="D72" i="33"/>
  <c r="C72" i="33"/>
  <c r="AI72" i="33" s="1"/>
  <c r="B72" i="33"/>
  <c r="AI71" i="33"/>
  <c r="AH71" i="33"/>
  <c r="AI70" i="33"/>
  <c r="AH70" i="33"/>
  <c r="AI69" i="33"/>
  <c r="AH69" i="33"/>
  <c r="AG68" i="33"/>
  <c r="AG73" i="33" s="1"/>
  <c r="AF68" i="33"/>
  <c r="AE5" i="33" s="1"/>
  <c r="AE68" i="33"/>
  <c r="AD5" i="33" s="1"/>
  <c r="AD68" i="33"/>
  <c r="AC68" i="33"/>
  <c r="AB5" i="33" s="1"/>
  <c r="AB68" i="33"/>
  <c r="AA68" i="33"/>
  <c r="Z5" i="33" s="1"/>
  <c r="Z68" i="33"/>
  <c r="Y5" i="33" s="1"/>
  <c r="Y68" i="33"/>
  <c r="X68" i="33"/>
  <c r="W5" i="33" s="1"/>
  <c r="W68" i="33"/>
  <c r="V68" i="33"/>
  <c r="U68" i="33"/>
  <c r="T5" i="33" s="1"/>
  <c r="T68" i="33"/>
  <c r="S68" i="33"/>
  <c r="R68" i="33"/>
  <c r="Q68" i="33"/>
  <c r="P5" i="33" s="1"/>
  <c r="P68" i="33"/>
  <c r="O5" i="33" s="1"/>
  <c r="O68" i="33"/>
  <c r="N68" i="33"/>
  <c r="M5" i="33" s="1"/>
  <c r="M68" i="33"/>
  <c r="L68" i="33"/>
  <c r="K68" i="33"/>
  <c r="J5" i="33" s="1"/>
  <c r="J68" i="33"/>
  <c r="I5" i="33" s="1"/>
  <c r="I68" i="33"/>
  <c r="H5" i="33" s="1"/>
  <c r="H68" i="33"/>
  <c r="G68" i="33"/>
  <c r="F5" i="33" s="1"/>
  <c r="F68" i="33"/>
  <c r="E5" i="33" s="1"/>
  <c r="E68" i="33"/>
  <c r="D5" i="33" s="1"/>
  <c r="D68" i="33"/>
  <c r="C68" i="33"/>
  <c r="B68" i="33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F56" i="33"/>
  <c r="AE56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AI55" i="33"/>
  <c r="AH55" i="33"/>
  <c r="AI54" i="33"/>
  <c r="AH54" i="33"/>
  <c r="AI53" i="33"/>
  <c r="AH53" i="33"/>
  <c r="AG52" i="33"/>
  <c r="Z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AG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F38" i="33"/>
  <c r="AE38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C5" i="33"/>
  <c r="X5" i="33"/>
  <c r="V5" i="33"/>
  <c r="U5" i="33"/>
  <c r="R5" i="33"/>
  <c r="Q5" i="33"/>
  <c r="N5" i="33"/>
  <c r="L5" i="33"/>
  <c r="G5" i="33"/>
  <c r="B5" i="33"/>
  <c r="AG4" i="33"/>
  <c r="K4" i="33"/>
  <c r="B4" i="33"/>
  <c r="AG3" i="33"/>
  <c r="AG2" i="33"/>
  <c r="Z93" i="32"/>
  <c r="Y93" i="32"/>
  <c r="Z68" i="32"/>
  <c r="Z56" i="32"/>
  <c r="Z52" i="32"/>
  <c r="Y52" i="32"/>
  <c r="Z38" i="32"/>
  <c r="Z73" i="32" s="1"/>
  <c r="Z83" i="32" s="1"/>
  <c r="AA93" i="32"/>
  <c r="AA68" i="32"/>
  <c r="AA56" i="32"/>
  <c r="AA52" i="32"/>
  <c r="AA38" i="32"/>
  <c r="AA75" i="32" s="1"/>
  <c r="AA95" i="32"/>
  <c r="Y96" i="32"/>
  <c r="Y37" i="32"/>
  <c r="AH37" i="32"/>
  <c r="X95" i="32"/>
  <c r="X58" i="32"/>
  <c r="X37" i="32"/>
  <c r="W95" i="32"/>
  <c r="W37" i="32"/>
  <c r="V95" i="32"/>
  <c r="V37" i="32"/>
  <c r="U95" i="32"/>
  <c r="U37" i="32"/>
  <c r="T95" i="32"/>
  <c r="T58" i="32"/>
  <c r="T37" i="32"/>
  <c r="S58" i="32"/>
  <c r="L37" i="32"/>
  <c r="K37" i="32"/>
  <c r="J37" i="32"/>
  <c r="I37" i="32"/>
  <c r="H37" i="32"/>
  <c r="G37" i="32"/>
  <c r="F37" i="32"/>
  <c r="E37" i="32"/>
  <c r="AH100" i="32"/>
  <c r="AI100" i="32" s="1"/>
  <c r="AH99" i="32"/>
  <c r="AI99" i="32" s="1"/>
  <c r="AF239" i="32"/>
  <c r="AE239" i="32"/>
  <c r="AD239" i="32"/>
  <c r="AC239" i="32"/>
  <c r="AB239" i="32"/>
  <c r="AA239" i="32"/>
  <c r="Z239" i="32"/>
  <c r="Y239" i="32"/>
  <c r="X239" i="32"/>
  <c r="W239" i="32"/>
  <c r="V239" i="32"/>
  <c r="U239" i="32"/>
  <c r="T239" i="32"/>
  <c r="S239" i="32"/>
  <c r="R239" i="32"/>
  <c r="Q239" i="32"/>
  <c r="P239" i="32"/>
  <c r="O239" i="32"/>
  <c r="N239" i="32"/>
  <c r="M239" i="32"/>
  <c r="L239" i="32"/>
  <c r="K239" i="32"/>
  <c r="J239" i="32"/>
  <c r="I239" i="32"/>
  <c r="H239" i="32"/>
  <c r="G239" i="32"/>
  <c r="F239" i="32"/>
  <c r="E239" i="32"/>
  <c r="D239" i="32"/>
  <c r="C239" i="32"/>
  <c r="B239" i="32"/>
  <c r="A239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B238" i="32"/>
  <c r="A238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B237" i="32"/>
  <c r="A237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B235" i="32"/>
  <c r="S210" i="32"/>
  <c r="AG200" i="32"/>
  <c r="C200" i="32"/>
  <c r="D199" i="32"/>
  <c r="D198" i="32"/>
  <c r="E198" i="32" s="1"/>
  <c r="F198" i="32" s="1"/>
  <c r="G198" i="32" s="1"/>
  <c r="H198" i="32" s="1"/>
  <c r="I198" i="32" s="1"/>
  <c r="J198" i="32" s="1"/>
  <c r="K198" i="32" s="1"/>
  <c r="L198" i="32" s="1"/>
  <c r="M198" i="32" s="1"/>
  <c r="N198" i="32" s="1"/>
  <c r="O198" i="32" s="1"/>
  <c r="P198" i="32" s="1"/>
  <c r="Q198" i="32" s="1"/>
  <c r="R198" i="32" s="1"/>
  <c r="S198" i="32" s="1"/>
  <c r="T198" i="32" s="1"/>
  <c r="U198" i="32" s="1"/>
  <c r="V198" i="32" s="1"/>
  <c r="W198" i="32" s="1"/>
  <c r="X198" i="32" s="1"/>
  <c r="Y198" i="32" s="1"/>
  <c r="Z198" i="32" s="1"/>
  <c r="AA198" i="32" s="1"/>
  <c r="AB198" i="32" s="1"/>
  <c r="AC198" i="32" s="1"/>
  <c r="AD198" i="32" s="1"/>
  <c r="AE198" i="32" s="1"/>
  <c r="AF198" i="32" s="1"/>
  <c r="B198" i="32" s="1"/>
  <c r="AF197" i="32"/>
  <c r="B197" i="32" s="1"/>
  <c r="AE197" i="32"/>
  <c r="K197" i="32"/>
  <c r="L197" i="32" s="1"/>
  <c r="M197" i="32" s="1"/>
  <c r="N197" i="32" s="1"/>
  <c r="O197" i="32" s="1"/>
  <c r="P197" i="32" s="1"/>
  <c r="Q197" i="32" s="1"/>
  <c r="R197" i="32" s="1"/>
  <c r="S197" i="32" s="1"/>
  <c r="T197" i="32" s="1"/>
  <c r="U197" i="32" s="1"/>
  <c r="V197" i="32" s="1"/>
  <c r="W197" i="32" s="1"/>
  <c r="X197" i="32" s="1"/>
  <c r="Y197" i="32" s="1"/>
  <c r="Z197" i="32" s="1"/>
  <c r="AA197" i="32" s="1"/>
  <c r="AB197" i="32" s="1"/>
  <c r="AC197" i="32" s="1"/>
  <c r="AD197" i="32" s="1"/>
  <c r="J197" i="32"/>
  <c r="G197" i="32"/>
  <c r="H197" i="32" s="1"/>
  <c r="I197" i="32" s="1"/>
  <c r="D197" i="32"/>
  <c r="E197" i="32" s="1"/>
  <c r="F197" i="32" s="1"/>
  <c r="E196" i="32"/>
  <c r="F196" i="32" s="1"/>
  <c r="G196" i="32" s="1"/>
  <c r="H196" i="32" s="1"/>
  <c r="I196" i="32" s="1"/>
  <c r="J196" i="32" s="1"/>
  <c r="K196" i="32" s="1"/>
  <c r="L196" i="32" s="1"/>
  <c r="M196" i="32" s="1"/>
  <c r="N196" i="32" s="1"/>
  <c r="O196" i="32" s="1"/>
  <c r="P196" i="32" s="1"/>
  <c r="Q196" i="32" s="1"/>
  <c r="R196" i="32" s="1"/>
  <c r="S196" i="32" s="1"/>
  <c r="T196" i="32" s="1"/>
  <c r="U196" i="32" s="1"/>
  <c r="V196" i="32" s="1"/>
  <c r="W196" i="32" s="1"/>
  <c r="X196" i="32" s="1"/>
  <c r="Y196" i="32" s="1"/>
  <c r="Z196" i="32" s="1"/>
  <c r="AA196" i="32" s="1"/>
  <c r="AB196" i="32" s="1"/>
  <c r="AC196" i="32" s="1"/>
  <c r="AD196" i="32" s="1"/>
  <c r="AE196" i="32" s="1"/>
  <c r="AF196" i="32" s="1"/>
  <c r="B196" i="32" s="1"/>
  <c r="D196" i="32"/>
  <c r="H195" i="32"/>
  <c r="I195" i="32" s="1"/>
  <c r="J195" i="32" s="1"/>
  <c r="K195" i="32" s="1"/>
  <c r="L195" i="32" s="1"/>
  <c r="M195" i="32" s="1"/>
  <c r="N195" i="32" s="1"/>
  <c r="O195" i="32" s="1"/>
  <c r="P195" i="32" s="1"/>
  <c r="Q195" i="32" s="1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B195" i="32" s="1"/>
  <c r="G195" i="32"/>
  <c r="F195" i="32"/>
  <c r="D195" i="32"/>
  <c r="E195" i="32" s="1"/>
  <c r="D194" i="32"/>
  <c r="AG192" i="32"/>
  <c r="C192" i="32"/>
  <c r="D191" i="32"/>
  <c r="E191" i="32" s="1"/>
  <c r="F191" i="32" s="1"/>
  <c r="G191" i="32" s="1"/>
  <c r="H191" i="32" s="1"/>
  <c r="I191" i="32" s="1"/>
  <c r="J191" i="32" s="1"/>
  <c r="K191" i="32" s="1"/>
  <c r="L191" i="32" s="1"/>
  <c r="M191" i="32" s="1"/>
  <c r="N191" i="32" s="1"/>
  <c r="O191" i="32" s="1"/>
  <c r="P191" i="32" s="1"/>
  <c r="Q191" i="32" s="1"/>
  <c r="R191" i="32" s="1"/>
  <c r="S191" i="32" s="1"/>
  <c r="T191" i="32" s="1"/>
  <c r="U191" i="32" s="1"/>
  <c r="V191" i="32" s="1"/>
  <c r="W191" i="32" s="1"/>
  <c r="X191" i="32" s="1"/>
  <c r="Y191" i="32" s="1"/>
  <c r="Z191" i="32" s="1"/>
  <c r="AA191" i="32" s="1"/>
  <c r="AB191" i="32" s="1"/>
  <c r="AC191" i="32" s="1"/>
  <c r="AD191" i="32" s="1"/>
  <c r="AE191" i="32" s="1"/>
  <c r="AF191" i="32" s="1"/>
  <c r="B191" i="32" s="1"/>
  <c r="J190" i="32"/>
  <c r="K190" i="32" s="1"/>
  <c r="L190" i="32" s="1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Y190" i="32" s="1"/>
  <c r="Z190" i="32" s="1"/>
  <c r="AA190" i="32" s="1"/>
  <c r="AB190" i="32" s="1"/>
  <c r="AC190" i="32" s="1"/>
  <c r="AD190" i="32" s="1"/>
  <c r="AE190" i="32" s="1"/>
  <c r="AF190" i="32" s="1"/>
  <c r="B190" i="32" s="1"/>
  <c r="H190" i="32"/>
  <c r="I190" i="32" s="1"/>
  <c r="E190" i="32"/>
  <c r="F190" i="32" s="1"/>
  <c r="G190" i="32" s="1"/>
  <c r="D190" i="32"/>
  <c r="AA189" i="32"/>
  <c r="AB189" i="32" s="1"/>
  <c r="AC189" i="32" s="1"/>
  <c r="AD189" i="32" s="1"/>
  <c r="AE189" i="32" s="1"/>
  <c r="AF189" i="32" s="1"/>
  <c r="B189" i="32" s="1"/>
  <c r="V189" i="32"/>
  <c r="W189" i="32" s="1"/>
  <c r="X189" i="32" s="1"/>
  <c r="Y189" i="32" s="1"/>
  <c r="Z189" i="32" s="1"/>
  <c r="F189" i="32"/>
  <c r="G189" i="32" s="1"/>
  <c r="H189" i="32" s="1"/>
  <c r="I189" i="32" s="1"/>
  <c r="J189" i="32" s="1"/>
  <c r="K189" i="32" s="1"/>
  <c r="L189" i="32" s="1"/>
  <c r="M189" i="32" s="1"/>
  <c r="N189" i="32" s="1"/>
  <c r="O189" i="32" s="1"/>
  <c r="P189" i="32" s="1"/>
  <c r="Q189" i="32" s="1"/>
  <c r="R189" i="32" s="1"/>
  <c r="S189" i="32" s="1"/>
  <c r="T189" i="32" s="1"/>
  <c r="U189" i="32" s="1"/>
  <c r="D189" i="32"/>
  <c r="E189" i="32" s="1"/>
  <c r="D188" i="32"/>
  <c r="E188" i="32" s="1"/>
  <c r="F188" i="32" s="1"/>
  <c r="G188" i="32" s="1"/>
  <c r="H188" i="32" s="1"/>
  <c r="I188" i="32" s="1"/>
  <c r="J188" i="32" s="1"/>
  <c r="K188" i="32" s="1"/>
  <c r="L188" i="32" s="1"/>
  <c r="M188" i="32" s="1"/>
  <c r="N188" i="32" s="1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B188" i="32" s="1"/>
  <c r="D187" i="32"/>
  <c r="E187" i="32" s="1"/>
  <c r="F187" i="32" s="1"/>
  <c r="G187" i="32" s="1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B187" i="32" s="1"/>
  <c r="E186" i="32"/>
  <c r="F186" i="32" s="1"/>
  <c r="G186" i="32" s="1"/>
  <c r="H186" i="32" s="1"/>
  <c r="I186" i="32" s="1"/>
  <c r="J186" i="32" s="1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B186" i="32" s="1"/>
  <c r="D186" i="32"/>
  <c r="L185" i="32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B185" i="32" s="1"/>
  <c r="K185" i="32"/>
  <c r="H185" i="32"/>
  <c r="I185" i="32" s="1"/>
  <c r="J185" i="32" s="1"/>
  <c r="F185" i="32"/>
  <c r="G185" i="32" s="1"/>
  <c r="D185" i="32"/>
  <c r="E185" i="32" s="1"/>
  <c r="Y184" i="32"/>
  <c r="Z184" i="32" s="1"/>
  <c r="AA184" i="32" s="1"/>
  <c r="AB184" i="32" s="1"/>
  <c r="AC184" i="32" s="1"/>
  <c r="AD184" i="32" s="1"/>
  <c r="AE184" i="32" s="1"/>
  <c r="AF184" i="32" s="1"/>
  <c r="B184" i="32" s="1"/>
  <c r="I184" i="32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F184" i="32"/>
  <c r="G184" i="32" s="1"/>
  <c r="H184" i="32" s="1"/>
  <c r="D184" i="32"/>
  <c r="E184" i="32" s="1"/>
  <c r="D183" i="32"/>
  <c r="E183" i="32" s="1"/>
  <c r="F183" i="32" s="1"/>
  <c r="G183" i="32" s="1"/>
  <c r="H183" i="32" s="1"/>
  <c r="I183" i="32" s="1"/>
  <c r="J183" i="32" s="1"/>
  <c r="K183" i="32" s="1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B183" i="32" s="1"/>
  <c r="E182" i="32"/>
  <c r="F182" i="32" s="1"/>
  <c r="G182" i="32" s="1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B182" i="32" s="1"/>
  <c r="D182" i="32"/>
  <c r="O181" i="32"/>
  <c r="P181" i="32" s="1"/>
  <c r="Q181" i="32" s="1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B181" i="32" s="1"/>
  <c r="F181" i="32"/>
  <c r="G181" i="32" s="1"/>
  <c r="H181" i="32" s="1"/>
  <c r="I181" i="32" s="1"/>
  <c r="J181" i="32" s="1"/>
  <c r="K181" i="32" s="1"/>
  <c r="L181" i="32" s="1"/>
  <c r="M181" i="32" s="1"/>
  <c r="N181" i="32" s="1"/>
  <c r="D181" i="32"/>
  <c r="E181" i="32" s="1"/>
  <c r="D180" i="32"/>
  <c r="E180" i="32" s="1"/>
  <c r="F180" i="32" s="1"/>
  <c r="G180" i="32" s="1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B180" i="32" s="1"/>
  <c r="AF179" i="32"/>
  <c r="B179" i="32" s="1"/>
  <c r="F179" i="32"/>
  <c r="G179" i="32" s="1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E179" i="32"/>
  <c r="D179" i="32"/>
  <c r="K177" i="32"/>
  <c r="L177" i="32" s="1"/>
  <c r="M177" i="32" s="1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Z177" i="32" s="1"/>
  <c r="AA177" i="32" s="1"/>
  <c r="AB177" i="32" s="1"/>
  <c r="AC177" i="32" s="1"/>
  <c r="AD177" i="32" s="1"/>
  <c r="AE177" i="32" s="1"/>
  <c r="AF177" i="32" s="1"/>
  <c r="B177" i="32" s="1"/>
  <c r="E177" i="32"/>
  <c r="F177" i="32" s="1"/>
  <c r="G177" i="32" s="1"/>
  <c r="H177" i="32" s="1"/>
  <c r="I177" i="32" s="1"/>
  <c r="J177" i="32" s="1"/>
  <c r="D177" i="32"/>
  <c r="N176" i="32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B176" i="32" s="1"/>
  <c r="E176" i="32"/>
  <c r="F176" i="32" s="1"/>
  <c r="G176" i="32" s="1"/>
  <c r="H176" i="32" s="1"/>
  <c r="I176" i="32" s="1"/>
  <c r="J176" i="32" s="1"/>
  <c r="K176" i="32" s="1"/>
  <c r="L176" i="32" s="1"/>
  <c r="M176" i="32" s="1"/>
  <c r="D176" i="32"/>
  <c r="AC175" i="32"/>
  <c r="AD175" i="32" s="1"/>
  <c r="AE175" i="32" s="1"/>
  <c r="AF175" i="32" s="1"/>
  <c r="B175" i="32" s="1"/>
  <c r="X175" i="32"/>
  <c r="Y175" i="32" s="1"/>
  <c r="Z175" i="32" s="1"/>
  <c r="AA175" i="32" s="1"/>
  <c r="AB175" i="32" s="1"/>
  <c r="T175" i="32"/>
  <c r="U175" i="32" s="1"/>
  <c r="V175" i="32" s="1"/>
  <c r="W175" i="32" s="1"/>
  <c r="D175" i="32"/>
  <c r="E175" i="32" s="1"/>
  <c r="F175" i="32" s="1"/>
  <c r="G175" i="32" s="1"/>
  <c r="H175" i="32" s="1"/>
  <c r="I175" i="32" s="1"/>
  <c r="J175" i="32" s="1"/>
  <c r="K175" i="32" s="1"/>
  <c r="L175" i="32" s="1"/>
  <c r="M175" i="32" s="1"/>
  <c r="N175" i="32" s="1"/>
  <c r="O175" i="32" s="1"/>
  <c r="P175" i="32" s="1"/>
  <c r="Q175" i="32" s="1"/>
  <c r="R175" i="32" s="1"/>
  <c r="S175" i="32" s="1"/>
  <c r="F174" i="32"/>
  <c r="G174" i="32" s="1"/>
  <c r="H174" i="32" s="1"/>
  <c r="I174" i="32" s="1"/>
  <c r="J174" i="32" s="1"/>
  <c r="K174" i="32" s="1"/>
  <c r="L174" i="32" s="1"/>
  <c r="M174" i="32" s="1"/>
  <c r="N174" i="32" s="1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B174" i="32" s="1"/>
  <c r="E174" i="32"/>
  <c r="D174" i="32"/>
  <c r="G173" i="32"/>
  <c r="H173" i="32" s="1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B173" i="32" s="1"/>
  <c r="E173" i="32"/>
  <c r="F173" i="32" s="1"/>
  <c r="D173" i="32"/>
  <c r="F172" i="32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B172" i="32" s="1"/>
  <c r="E172" i="32"/>
  <c r="D172" i="32"/>
  <c r="K171" i="32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B171" i="32" s="1"/>
  <c r="G171" i="32"/>
  <c r="H171" i="32" s="1"/>
  <c r="I171" i="32" s="1"/>
  <c r="J171" i="32" s="1"/>
  <c r="D171" i="32"/>
  <c r="E171" i="32" s="1"/>
  <c r="F171" i="32" s="1"/>
  <c r="Q170" i="32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B170" i="32" s="1"/>
  <c r="D170" i="32"/>
  <c r="E170" i="32" s="1"/>
  <c r="F170" i="32" s="1"/>
  <c r="G170" i="32" s="1"/>
  <c r="H170" i="32" s="1"/>
  <c r="I170" i="32" s="1"/>
  <c r="J170" i="32" s="1"/>
  <c r="K170" i="32" s="1"/>
  <c r="L170" i="32" s="1"/>
  <c r="M170" i="32" s="1"/>
  <c r="N170" i="32" s="1"/>
  <c r="O170" i="32" s="1"/>
  <c r="P170" i="32" s="1"/>
  <c r="AE168" i="32"/>
  <c r="AF168" i="32" s="1"/>
  <c r="B168" i="32" s="1"/>
  <c r="D168" i="32"/>
  <c r="E168" i="32" s="1"/>
  <c r="F168" i="32" s="1"/>
  <c r="G168" i="32" s="1"/>
  <c r="H168" i="32" s="1"/>
  <c r="I168" i="32" s="1"/>
  <c r="J168" i="32" s="1"/>
  <c r="K168" i="32" s="1"/>
  <c r="L168" i="32" s="1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N167" i="32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B167" i="32" s="1"/>
  <c r="E167" i="32"/>
  <c r="F167" i="32" s="1"/>
  <c r="G167" i="32" s="1"/>
  <c r="H167" i="32" s="1"/>
  <c r="I167" i="32" s="1"/>
  <c r="J167" i="32" s="1"/>
  <c r="K167" i="32" s="1"/>
  <c r="L167" i="32" s="1"/>
  <c r="M167" i="32" s="1"/>
  <c r="D167" i="32"/>
  <c r="E166" i="32"/>
  <c r="F166" i="32" s="1"/>
  <c r="G166" i="32" s="1"/>
  <c r="H166" i="32" s="1"/>
  <c r="I166" i="32" s="1"/>
  <c r="J166" i="32" s="1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B166" i="32" s="1"/>
  <c r="D166" i="32"/>
  <c r="L165" i="32"/>
  <c r="M165" i="32" s="1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B165" i="32" s="1"/>
  <c r="K165" i="32"/>
  <c r="D165" i="32"/>
  <c r="E165" i="32" s="1"/>
  <c r="F165" i="32" s="1"/>
  <c r="G165" i="32" s="1"/>
  <c r="H165" i="32" s="1"/>
  <c r="I165" i="32" s="1"/>
  <c r="J165" i="32" s="1"/>
  <c r="K164" i="32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B164" i="32" s="1"/>
  <c r="D164" i="32"/>
  <c r="E164" i="32" s="1"/>
  <c r="F164" i="32" s="1"/>
  <c r="G164" i="32" s="1"/>
  <c r="H164" i="32" s="1"/>
  <c r="I164" i="32" s="1"/>
  <c r="J164" i="32" s="1"/>
  <c r="F163" i="32"/>
  <c r="G163" i="32" s="1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B163" i="32" s="1"/>
  <c r="E163" i="32"/>
  <c r="D163" i="32"/>
  <c r="AD162" i="32"/>
  <c r="AE162" i="32" s="1"/>
  <c r="AF162" i="32" s="1"/>
  <c r="B162" i="32" s="1"/>
  <c r="J162" i="32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D162" i="32"/>
  <c r="E162" i="32" s="1"/>
  <c r="F162" i="32" s="1"/>
  <c r="G162" i="32" s="1"/>
  <c r="H162" i="32" s="1"/>
  <c r="I162" i="32" s="1"/>
  <c r="E161" i="32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B161" i="32" s="1"/>
  <c r="D161" i="32"/>
  <c r="H160" i="32"/>
  <c r="I160" i="32" s="1"/>
  <c r="J160" i="32" s="1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B160" i="32" s="1"/>
  <c r="F160" i="32"/>
  <c r="G160" i="32" s="1"/>
  <c r="E160" i="32"/>
  <c r="D160" i="32"/>
  <c r="P159" i="32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B159" i="32" s="1"/>
  <c r="D159" i="32"/>
  <c r="E159" i="32" s="1"/>
  <c r="F159" i="32" s="1"/>
  <c r="G159" i="32" s="1"/>
  <c r="H159" i="32" s="1"/>
  <c r="I159" i="32" s="1"/>
  <c r="J159" i="32" s="1"/>
  <c r="K159" i="32" s="1"/>
  <c r="L159" i="32" s="1"/>
  <c r="M159" i="32" s="1"/>
  <c r="N159" i="32" s="1"/>
  <c r="O159" i="32" s="1"/>
  <c r="AD158" i="32"/>
  <c r="AE158" i="32" s="1"/>
  <c r="AF158" i="32" s="1"/>
  <c r="B158" i="32" s="1"/>
  <c r="D158" i="32"/>
  <c r="E158" i="32" s="1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T157" i="32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B157" i="32" s="1"/>
  <c r="R157" i="32"/>
  <c r="S157" i="32" s="1"/>
  <c r="D157" i="32"/>
  <c r="E157" i="32" s="1"/>
  <c r="F157" i="32" s="1"/>
  <c r="G157" i="32" s="1"/>
  <c r="H157" i="32" s="1"/>
  <c r="I157" i="32" s="1"/>
  <c r="J157" i="32" s="1"/>
  <c r="K157" i="32" s="1"/>
  <c r="L157" i="32" s="1"/>
  <c r="M157" i="32" s="1"/>
  <c r="N157" i="32" s="1"/>
  <c r="O157" i="32" s="1"/>
  <c r="P157" i="32" s="1"/>
  <c r="Q157" i="32" s="1"/>
  <c r="H156" i="32"/>
  <c r="I156" i="32" s="1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B156" i="32" s="1"/>
  <c r="F156" i="32"/>
  <c r="G156" i="32" s="1"/>
  <c r="E156" i="32"/>
  <c r="D156" i="32"/>
  <c r="D154" i="32"/>
  <c r="E154" i="32" s="1"/>
  <c r="F154" i="32" s="1"/>
  <c r="G154" i="32" s="1"/>
  <c r="H154" i="32" s="1"/>
  <c r="I154" i="32" s="1"/>
  <c r="J154" i="32" s="1"/>
  <c r="K154" i="32" s="1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V154" i="32" s="1"/>
  <c r="W154" i="32" s="1"/>
  <c r="X154" i="32" s="1"/>
  <c r="Y154" i="32" s="1"/>
  <c r="Z154" i="32" s="1"/>
  <c r="AA154" i="32" s="1"/>
  <c r="AB154" i="32" s="1"/>
  <c r="AC154" i="32" s="1"/>
  <c r="AD154" i="32" s="1"/>
  <c r="AE154" i="32" s="1"/>
  <c r="AF154" i="32" s="1"/>
  <c r="B154" i="32" s="1"/>
  <c r="J153" i="32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B153" i="32" s="1"/>
  <c r="G153" i="32"/>
  <c r="H153" i="32" s="1"/>
  <c r="I153" i="32" s="1"/>
  <c r="D153" i="32"/>
  <c r="E153" i="32" s="1"/>
  <c r="F153" i="32" s="1"/>
  <c r="E152" i="32"/>
  <c r="F152" i="32" s="1"/>
  <c r="G152" i="32" s="1"/>
  <c r="H152" i="32" s="1"/>
  <c r="I152" i="32" s="1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B152" i="32" s="1"/>
  <c r="D152" i="32"/>
  <c r="D151" i="32"/>
  <c r="E151" i="32" s="1"/>
  <c r="F151" i="32" s="1"/>
  <c r="G151" i="32" s="1"/>
  <c r="H151" i="32" s="1"/>
  <c r="I151" i="32" s="1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B151" i="32" s="1"/>
  <c r="K149" i="32"/>
  <c r="L149" i="32" s="1"/>
  <c r="M149" i="32" s="1"/>
  <c r="N149" i="32" s="1"/>
  <c r="O149" i="32" s="1"/>
  <c r="P149" i="32" s="1"/>
  <c r="Q149" i="32" s="1"/>
  <c r="R149" i="32" s="1"/>
  <c r="S149" i="32" s="1"/>
  <c r="T149" i="32" s="1"/>
  <c r="U149" i="32" s="1"/>
  <c r="V149" i="32" s="1"/>
  <c r="W149" i="32" s="1"/>
  <c r="X149" i="32" s="1"/>
  <c r="Y149" i="32" s="1"/>
  <c r="Z149" i="32" s="1"/>
  <c r="AA149" i="32" s="1"/>
  <c r="AB149" i="32" s="1"/>
  <c r="AC149" i="32" s="1"/>
  <c r="AD149" i="32" s="1"/>
  <c r="AE149" i="32" s="1"/>
  <c r="AF149" i="32" s="1"/>
  <c r="B149" i="32" s="1"/>
  <c r="G149" i="32"/>
  <c r="H149" i="32" s="1"/>
  <c r="I149" i="32" s="1"/>
  <c r="J149" i="32" s="1"/>
  <c r="F149" i="32"/>
  <c r="D149" i="32"/>
  <c r="E149" i="32" s="1"/>
  <c r="D148" i="32"/>
  <c r="E148" i="32" s="1"/>
  <c r="F148" i="32" s="1"/>
  <c r="G148" i="32" s="1"/>
  <c r="H148" i="32" s="1"/>
  <c r="I148" i="32" s="1"/>
  <c r="J148" i="32" s="1"/>
  <c r="K148" i="32" s="1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B148" i="32" s="1"/>
  <c r="D146" i="32"/>
  <c r="E146" i="32" s="1"/>
  <c r="F146" i="32" s="1"/>
  <c r="G146" i="32" s="1"/>
  <c r="H146" i="32" s="1"/>
  <c r="I146" i="32" s="1"/>
  <c r="J146" i="32" s="1"/>
  <c r="K146" i="32" s="1"/>
  <c r="L146" i="32" s="1"/>
  <c r="M146" i="32" s="1"/>
  <c r="N146" i="32" s="1"/>
  <c r="O146" i="32" s="1"/>
  <c r="P146" i="32" s="1"/>
  <c r="Q146" i="32" s="1"/>
  <c r="R146" i="32" s="1"/>
  <c r="S146" i="32" s="1"/>
  <c r="T146" i="32" s="1"/>
  <c r="U146" i="32" s="1"/>
  <c r="V146" i="32" s="1"/>
  <c r="W146" i="32" s="1"/>
  <c r="X146" i="32" s="1"/>
  <c r="Y146" i="32" s="1"/>
  <c r="Z146" i="32" s="1"/>
  <c r="AA146" i="32" s="1"/>
  <c r="AB146" i="32" s="1"/>
  <c r="AC146" i="32" s="1"/>
  <c r="AD146" i="32" s="1"/>
  <c r="AE146" i="32" s="1"/>
  <c r="AF146" i="32" s="1"/>
  <c r="B146" i="32" s="1"/>
  <c r="J145" i="32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U145" i="32" s="1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B145" i="32" s="1"/>
  <c r="E145" i="32"/>
  <c r="F145" i="32" s="1"/>
  <c r="G145" i="32" s="1"/>
  <c r="H145" i="32" s="1"/>
  <c r="I145" i="32" s="1"/>
  <c r="D145" i="32"/>
  <c r="D144" i="32"/>
  <c r="E144" i="32" s="1"/>
  <c r="F144" i="32" s="1"/>
  <c r="G144" i="32" s="1"/>
  <c r="H144" i="32" s="1"/>
  <c r="I144" i="32" s="1"/>
  <c r="J144" i="32" s="1"/>
  <c r="K144" i="32" s="1"/>
  <c r="L144" i="32" s="1"/>
  <c r="M144" i="32" s="1"/>
  <c r="N144" i="32" s="1"/>
  <c r="O144" i="32" s="1"/>
  <c r="P144" i="32" s="1"/>
  <c r="Q144" i="32" s="1"/>
  <c r="R144" i="32" s="1"/>
  <c r="S144" i="32" s="1"/>
  <c r="T144" i="32" s="1"/>
  <c r="U144" i="32" s="1"/>
  <c r="V144" i="32" s="1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B144" i="32" s="1"/>
  <c r="I143" i="32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B143" i="32" s="1"/>
  <c r="E143" i="32"/>
  <c r="F143" i="32" s="1"/>
  <c r="G143" i="32" s="1"/>
  <c r="H143" i="32" s="1"/>
  <c r="D143" i="32"/>
  <c r="D142" i="32"/>
  <c r="E142" i="32" s="1"/>
  <c r="F142" i="32" s="1"/>
  <c r="G142" i="32" s="1"/>
  <c r="H142" i="32" s="1"/>
  <c r="I142" i="32" s="1"/>
  <c r="J142" i="32" s="1"/>
  <c r="K142" i="32" s="1"/>
  <c r="L142" i="32" s="1"/>
  <c r="M142" i="32" s="1"/>
  <c r="N142" i="32" s="1"/>
  <c r="O142" i="32" s="1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B142" i="32" s="1"/>
  <c r="I141" i="32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B141" i="32" s="1"/>
  <c r="E141" i="32"/>
  <c r="F141" i="32" s="1"/>
  <c r="G141" i="32" s="1"/>
  <c r="H141" i="32" s="1"/>
  <c r="D141" i="32"/>
  <c r="H140" i="32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D140" i="32"/>
  <c r="E140" i="32" s="1"/>
  <c r="F140" i="32" s="1"/>
  <c r="G140" i="32" s="1"/>
  <c r="B140" i="32"/>
  <c r="E138" i="32"/>
  <c r="F138" i="32" s="1"/>
  <c r="G138" i="32" s="1"/>
  <c r="H138" i="32" s="1"/>
  <c r="I138" i="32" s="1"/>
  <c r="J138" i="32" s="1"/>
  <c r="K138" i="32" s="1"/>
  <c r="L138" i="32" s="1"/>
  <c r="M138" i="32" s="1"/>
  <c r="N138" i="32" s="1"/>
  <c r="O138" i="32" s="1"/>
  <c r="P138" i="32" s="1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AB138" i="32" s="1"/>
  <c r="AC138" i="32" s="1"/>
  <c r="AD138" i="32" s="1"/>
  <c r="AE138" i="32" s="1"/>
  <c r="AF138" i="32" s="1"/>
  <c r="B138" i="32" s="1"/>
  <c r="D138" i="32"/>
  <c r="W137" i="32"/>
  <c r="X137" i="32" s="1"/>
  <c r="Y137" i="32" s="1"/>
  <c r="Z137" i="32" s="1"/>
  <c r="AA137" i="32" s="1"/>
  <c r="AB137" i="32" s="1"/>
  <c r="AC137" i="32" s="1"/>
  <c r="AD137" i="32" s="1"/>
  <c r="AE137" i="32" s="1"/>
  <c r="AF137" i="32" s="1"/>
  <c r="B137" i="32" s="1"/>
  <c r="G137" i="32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D137" i="32"/>
  <c r="E137" i="32" s="1"/>
  <c r="F137" i="32" s="1"/>
  <c r="Q136" i="32"/>
  <c r="R136" i="32" s="1"/>
  <c r="S136" i="32" s="1"/>
  <c r="T136" i="32" s="1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B136" i="32" s="1"/>
  <c r="E136" i="32"/>
  <c r="F136" i="32" s="1"/>
  <c r="G136" i="32" s="1"/>
  <c r="H136" i="32" s="1"/>
  <c r="I136" i="32" s="1"/>
  <c r="J136" i="32" s="1"/>
  <c r="K136" i="32" s="1"/>
  <c r="L136" i="32" s="1"/>
  <c r="M136" i="32" s="1"/>
  <c r="N136" i="32" s="1"/>
  <c r="O136" i="32" s="1"/>
  <c r="P136" i="32" s="1"/>
  <c r="D136" i="32"/>
  <c r="K135" i="32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B135" i="32" s="1"/>
  <c r="G135" i="32"/>
  <c r="H135" i="32" s="1"/>
  <c r="I135" i="32" s="1"/>
  <c r="J135" i="32" s="1"/>
  <c r="D135" i="32"/>
  <c r="E135" i="32" s="1"/>
  <c r="F135" i="32" s="1"/>
  <c r="G134" i="32"/>
  <c r="H134" i="32" s="1"/>
  <c r="I134" i="32" s="1"/>
  <c r="J134" i="32" s="1"/>
  <c r="K134" i="32" s="1"/>
  <c r="L134" i="32" s="1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B134" i="32" s="1"/>
  <c r="E134" i="32"/>
  <c r="F134" i="32" s="1"/>
  <c r="D134" i="32"/>
  <c r="H133" i="32"/>
  <c r="I133" i="32" s="1"/>
  <c r="J133" i="32" s="1"/>
  <c r="K133" i="32" s="1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B133" i="32" s="1"/>
  <c r="E133" i="32"/>
  <c r="F133" i="32" s="1"/>
  <c r="G133" i="32" s="1"/>
  <c r="D133" i="32"/>
  <c r="M132" i="32"/>
  <c r="N132" i="32" s="1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B132" i="32" s="1"/>
  <c r="J132" i="32"/>
  <c r="K132" i="32" s="1"/>
  <c r="L132" i="32" s="1"/>
  <c r="E132" i="32"/>
  <c r="F132" i="32" s="1"/>
  <c r="G132" i="32" s="1"/>
  <c r="H132" i="32" s="1"/>
  <c r="I132" i="32" s="1"/>
  <c r="D132" i="32"/>
  <c r="P131" i="32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B131" i="32" s="1"/>
  <c r="K131" i="32"/>
  <c r="L131" i="32" s="1"/>
  <c r="M131" i="32" s="1"/>
  <c r="N131" i="32" s="1"/>
  <c r="O131" i="32" s="1"/>
  <c r="G131" i="32"/>
  <c r="H131" i="32" s="1"/>
  <c r="I131" i="32" s="1"/>
  <c r="J131" i="32" s="1"/>
  <c r="D131" i="32"/>
  <c r="E131" i="32" s="1"/>
  <c r="F131" i="32" s="1"/>
  <c r="J129" i="32"/>
  <c r="K129" i="32" s="1"/>
  <c r="L129" i="32" s="1"/>
  <c r="M129" i="32" s="1"/>
  <c r="N129" i="32" s="1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B129" i="32" s="1"/>
  <c r="G129" i="32"/>
  <c r="H129" i="32" s="1"/>
  <c r="I129" i="32" s="1"/>
  <c r="F129" i="32"/>
  <c r="E129" i="32"/>
  <c r="D129" i="32"/>
  <c r="D128" i="32"/>
  <c r="E128" i="32" s="1"/>
  <c r="F128" i="32" s="1"/>
  <c r="G128" i="32" s="1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B128" i="32" s="1"/>
  <c r="E127" i="32"/>
  <c r="F127" i="32" s="1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B127" i="32" s="1"/>
  <c r="D127" i="32"/>
  <c r="G126" i="32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B126" i="32" s="1"/>
  <c r="D126" i="32"/>
  <c r="E126" i="32" s="1"/>
  <c r="F126" i="32" s="1"/>
  <c r="O125" i="32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B125" i="32" s="1"/>
  <c r="F125" i="32"/>
  <c r="G125" i="32" s="1"/>
  <c r="H125" i="32" s="1"/>
  <c r="I125" i="32" s="1"/>
  <c r="J125" i="32" s="1"/>
  <c r="K125" i="32" s="1"/>
  <c r="L125" i="32" s="1"/>
  <c r="M125" i="32" s="1"/>
  <c r="N125" i="32" s="1"/>
  <c r="E125" i="32"/>
  <c r="D125" i="32"/>
  <c r="U124" i="32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B124" i="32" s="1"/>
  <c r="D124" i="32"/>
  <c r="E124" i="32" s="1"/>
  <c r="F124" i="32" s="1"/>
  <c r="G124" i="32" s="1"/>
  <c r="H124" i="32" s="1"/>
  <c r="I124" i="32" s="1"/>
  <c r="J124" i="32" s="1"/>
  <c r="K124" i="32" s="1"/>
  <c r="L124" i="32" s="1"/>
  <c r="M124" i="32" s="1"/>
  <c r="N124" i="32" s="1"/>
  <c r="O124" i="32" s="1"/>
  <c r="P124" i="32" s="1"/>
  <c r="Q124" i="32" s="1"/>
  <c r="R124" i="32" s="1"/>
  <c r="S124" i="32" s="1"/>
  <c r="T124" i="32" s="1"/>
  <c r="E123" i="32"/>
  <c r="F123" i="32" s="1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B123" i="32" s="1"/>
  <c r="D123" i="32"/>
  <c r="G122" i="32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B122" i="32" s="1"/>
  <c r="D122" i="32"/>
  <c r="E122" i="32" s="1"/>
  <c r="F122" i="32" s="1"/>
  <c r="J121" i="32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B121" i="32" s="1"/>
  <c r="F121" i="32"/>
  <c r="G121" i="32" s="1"/>
  <c r="H121" i="32" s="1"/>
  <c r="I121" i="32" s="1"/>
  <c r="E121" i="32"/>
  <c r="D121" i="32"/>
  <c r="I120" i="32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B120" i="32" s="1"/>
  <c r="E120" i="32"/>
  <c r="F120" i="32" s="1"/>
  <c r="G120" i="32" s="1"/>
  <c r="H120" i="32" s="1"/>
  <c r="D120" i="32"/>
  <c r="V119" i="32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B119" i="32" s="1"/>
  <c r="G119" i="32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E119" i="32"/>
  <c r="F119" i="32" s="1"/>
  <c r="D119" i="32"/>
  <c r="G118" i="32"/>
  <c r="H118" i="32" s="1"/>
  <c r="I118" i="32" s="1"/>
  <c r="J118" i="32" s="1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B118" i="32" s="1"/>
  <c r="D118" i="32"/>
  <c r="E118" i="32" s="1"/>
  <c r="F118" i="32" s="1"/>
  <c r="E117" i="32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B117" i="32" s="1"/>
  <c r="D117" i="32"/>
  <c r="E116" i="32"/>
  <c r="F116" i="32" s="1"/>
  <c r="G116" i="32" s="1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B116" i="32" s="1"/>
  <c r="D116" i="32"/>
  <c r="E115" i="32"/>
  <c r="F115" i="32" s="1"/>
  <c r="G115" i="32" s="1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B115" i="32" s="1"/>
  <c r="D115" i="32"/>
  <c r="L114" i="32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B114" i="32" s="1"/>
  <c r="K114" i="32"/>
  <c r="G114" i="32"/>
  <c r="H114" i="32" s="1"/>
  <c r="I114" i="32" s="1"/>
  <c r="D114" i="32"/>
  <c r="E114" i="32" s="1"/>
  <c r="F114" i="32" s="1"/>
  <c r="E113" i="32"/>
  <c r="F113" i="32" s="1"/>
  <c r="G113" i="32" s="1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B113" i="32" s="1"/>
  <c r="D113" i="32"/>
  <c r="G112" i="32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B112" i="32" s="1"/>
  <c r="D112" i="32"/>
  <c r="E112" i="32" s="1"/>
  <c r="F112" i="32" s="1"/>
  <c r="E110" i="32"/>
  <c r="F110" i="32" s="1"/>
  <c r="G110" i="32" s="1"/>
  <c r="H110" i="32" s="1"/>
  <c r="I110" i="32" s="1"/>
  <c r="J110" i="32" s="1"/>
  <c r="K110" i="32" s="1"/>
  <c r="L110" i="32" s="1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B110" i="32" s="1"/>
  <c r="D110" i="32"/>
  <c r="D109" i="32"/>
  <c r="E107" i="32"/>
  <c r="F107" i="32" s="1"/>
  <c r="G107" i="32" s="1"/>
  <c r="H107" i="32" s="1"/>
  <c r="I107" i="32" s="1"/>
  <c r="J107" i="32" s="1"/>
  <c r="K107" i="32" s="1"/>
  <c r="L107" i="32" s="1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B107" i="32" s="1"/>
  <c r="D107" i="32"/>
  <c r="F106" i="32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B106" i="32" s="1"/>
  <c r="D106" i="32"/>
  <c r="E106" i="32" s="1"/>
  <c r="K105" i="32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B105" i="32" s="1"/>
  <c r="D105" i="32"/>
  <c r="E105" i="32" s="1"/>
  <c r="F105" i="32" s="1"/>
  <c r="G105" i="32" s="1"/>
  <c r="H105" i="32" s="1"/>
  <c r="I105" i="32" s="1"/>
  <c r="J105" i="32" s="1"/>
  <c r="D104" i="32"/>
  <c r="E104" i="32" s="1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B104" i="32" s="1"/>
  <c r="E103" i="32"/>
  <c r="D103" i="32"/>
  <c r="E102" i="32"/>
  <c r="D102" i="32"/>
  <c r="AH98" i="32"/>
  <c r="AI98" i="32" s="1"/>
  <c r="AH97" i="32"/>
  <c r="AI97" i="32" s="1"/>
  <c r="AH96" i="32"/>
  <c r="AI96" i="32" s="1"/>
  <c r="AH95" i="32"/>
  <c r="AI95" i="32" s="1"/>
  <c r="AH94" i="32"/>
  <c r="AI94" i="32" s="1"/>
  <c r="C93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G82" i="32"/>
  <c r="N82" i="32"/>
  <c r="AI81" i="32"/>
  <c r="AH81" i="32"/>
  <c r="AF80" i="32"/>
  <c r="AE80" i="32"/>
  <c r="AD80" i="32"/>
  <c r="AC80" i="32"/>
  <c r="AB80" i="32"/>
  <c r="Y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C80" i="32"/>
  <c r="B80" i="32"/>
  <c r="AF79" i="32"/>
  <c r="AE79" i="32"/>
  <c r="AD79" i="32"/>
  <c r="AC79" i="32"/>
  <c r="AB79" i="32"/>
  <c r="Y79" i="32"/>
  <c r="X79" i="32"/>
  <c r="W79" i="32"/>
  <c r="V79" i="32"/>
  <c r="U79" i="32"/>
  <c r="T79" i="32"/>
  <c r="S79" i="32"/>
  <c r="R79" i="32"/>
  <c r="Q79" i="32"/>
  <c r="P79" i="32"/>
  <c r="O79" i="32"/>
  <c r="N79" i="32"/>
  <c r="M79" i="32"/>
  <c r="L79" i="32"/>
  <c r="K79" i="32"/>
  <c r="J79" i="32"/>
  <c r="I79" i="32"/>
  <c r="H79" i="32"/>
  <c r="G79" i="32"/>
  <c r="F79" i="32"/>
  <c r="E79" i="32"/>
  <c r="D79" i="32"/>
  <c r="C79" i="32"/>
  <c r="B79" i="32"/>
  <c r="AF78" i="32"/>
  <c r="AE78" i="32"/>
  <c r="AD78" i="32"/>
  <c r="AC78" i="32"/>
  <c r="AB78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AF77" i="32"/>
  <c r="AE77" i="32"/>
  <c r="AD77" i="32"/>
  <c r="AC77" i="32"/>
  <c r="AB77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AF76" i="32"/>
  <c r="AE76" i="32"/>
  <c r="AD76" i="32"/>
  <c r="AC76" i="32"/>
  <c r="AC82" i="32" s="1"/>
  <c r="AB76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H82" i="32" s="1"/>
  <c r="G76" i="32"/>
  <c r="F76" i="32"/>
  <c r="E76" i="32"/>
  <c r="D76" i="32"/>
  <c r="C76" i="32"/>
  <c r="B76" i="32"/>
  <c r="AG75" i="32"/>
  <c r="AI74" i="32"/>
  <c r="AH74" i="32"/>
  <c r="AG72" i="32"/>
  <c r="AF72" i="32"/>
  <c r="AE72" i="32"/>
  <c r="AD72" i="32"/>
  <c r="AC72" i="32"/>
  <c r="AB72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AI71" i="32"/>
  <c r="AH71" i="32"/>
  <c r="AI70" i="32"/>
  <c r="AH70" i="32"/>
  <c r="AI69" i="32"/>
  <c r="AH69" i="32"/>
  <c r="AG68" i="32"/>
  <c r="AF68" i="32"/>
  <c r="AE5" i="32" s="1"/>
  <c r="AE68" i="32"/>
  <c r="AD5" i="32" s="1"/>
  <c r="AD68" i="32"/>
  <c r="AC5" i="32" s="1"/>
  <c r="AC68" i="32"/>
  <c r="AB5" i="32" s="1"/>
  <c r="AB68" i="32"/>
  <c r="AA5" i="32" s="1"/>
  <c r="Y68" i="32"/>
  <c r="X5" i="32" s="1"/>
  <c r="X68" i="32"/>
  <c r="W68" i="32"/>
  <c r="V68" i="32"/>
  <c r="U5" i="32" s="1"/>
  <c r="U68" i="32"/>
  <c r="T5" i="32" s="1"/>
  <c r="T68" i="32"/>
  <c r="S5" i="32" s="1"/>
  <c r="S68" i="32"/>
  <c r="R5" i="32" s="1"/>
  <c r="R68" i="32"/>
  <c r="Q5" i="32" s="1"/>
  <c r="Q68" i="32"/>
  <c r="P68" i="32"/>
  <c r="O5" i="32" s="1"/>
  <c r="O68" i="32"/>
  <c r="N5" i="32" s="1"/>
  <c r="N68" i="32"/>
  <c r="M5" i="32" s="1"/>
  <c r="M68" i="32"/>
  <c r="L5" i="32" s="1"/>
  <c r="L68" i="32"/>
  <c r="K68" i="32"/>
  <c r="J5" i="32" s="1"/>
  <c r="J68" i="32"/>
  <c r="I5" i="32" s="1"/>
  <c r="I68" i="32"/>
  <c r="H5" i="32" s="1"/>
  <c r="H68" i="32"/>
  <c r="G5" i="32" s="1"/>
  <c r="G68" i="32"/>
  <c r="F5" i="32" s="1"/>
  <c r="F68" i="32"/>
  <c r="E5" i="32" s="1"/>
  <c r="E68" i="32"/>
  <c r="D68" i="32"/>
  <c r="C68" i="32"/>
  <c r="B68" i="32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G56" i="32"/>
  <c r="AF56" i="32"/>
  <c r="AE56" i="32"/>
  <c r="AD56" i="32"/>
  <c r="AC56" i="32"/>
  <c r="AB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AI55" i="32"/>
  <c r="AH55" i="32"/>
  <c r="AI54" i="32"/>
  <c r="AH54" i="32"/>
  <c r="AI53" i="32"/>
  <c r="AH53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G52" i="32" s="1"/>
  <c r="AG73" i="32" s="1"/>
  <c r="AG83" i="32" s="1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G38" i="32"/>
  <c r="AF38" i="32"/>
  <c r="AE38" i="32"/>
  <c r="AD38" i="32"/>
  <c r="AC38" i="32"/>
  <c r="AB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AI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Z5" i="32"/>
  <c r="Y5" i="32"/>
  <c r="W5" i="32"/>
  <c r="V5" i="32"/>
  <c r="P5" i="32"/>
  <c r="K5" i="32"/>
  <c r="D5" i="32"/>
  <c r="C5" i="32"/>
  <c r="B5" i="32"/>
  <c r="AG4" i="32"/>
  <c r="AG6" i="32" s="1"/>
  <c r="K4" i="32"/>
  <c r="B4" i="32"/>
  <c r="AG3" i="32"/>
  <c r="AG2" i="32"/>
  <c r="AD37" i="31"/>
  <c r="AC37" i="31"/>
  <c r="AB37" i="31"/>
  <c r="R95" i="31"/>
  <c r="R37" i="31"/>
  <c r="Q95" i="31"/>
  <c r="Q37" i="31"/>
  <c r="P95" i="31"/>
  <c r="P94" i="31"/>
  <c r="P37" i="31"/>
  <c r="O95" i="31"/>
  <c r="O37" i="31"/>
  <c r="N95" i="31"/>
  <c r="N37" i="31"/>
  <c r="M58" i="31"/>
  <c r="M37" i="31"/>
  <c r="AH100" i="31"/>
  <c r="AI100" i="31" s="1"/>
  <c r="AH99" i="31"/>
  <c r="AI99" i="31" s="1"/>
  <c r="AF239" i="31"/>
  <c r="AE239" i="31"/>
  <c r="AD239" i="31"/>
  <c r="AC239" i="31"/>
  <c r="AB239" i="31"/>
  <c r="AA239" i="31"/>
  <c r="Z239" i="31"/>
  <c r="Y239" i="31"/>
  <c r="X239" i="31"/>
  <c r="W239" i="31"/>
  <c r="V239" i="31"/>
  <c r="U239" i="31"/>
  <c r="T239" i="31"/>
  <c r="S239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A239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D235" i="31"/>
  <c r="C235" i="31"/>
  <c r="B235" i="31"/>
  <c r="S210" i="31"/>
  <c r="AG200" i="31"/>
  <c r="C200" i="31"/>
  <c r="E199" i="31"/>
  <c r="F199" i="31" s="1"/>
  <c r="E235" i="31" s="1"/>
  <c r="D199" i="31"/>
  <c r="E198" i="31"/>
  <c r="F198" i="31" s="1"/>
  <c r="G198" i="31" s="1"/>
  <c r="H198" i="31" s="1"/>
  <c r="I198" i="31" s="1"/>
  <c r="J198" i="31" s="1"/>
  <c r="K198" i="31" s="1"/>
  <c r="L198" i="31" s="1"/>
  <c r="M198" i="31" s="1"/>
  <c r="N198" i="31" s="1"/>
  <c r="O198" i="31" s="1"/>
  <c r="P198" i="31" s="1"/>
  <c r="Q198" i="31" s="1"/>
  <c r="R198" i="31" s="1"/>
  <c r="S198" i="31" s="1"/>
  <c r="T198" i="31" s="1"/>
  <c r="U198" i="31" s="1"/>
  <c r="V198" i="31" s="1"/>
  <c r="W198" i="31" s="1"/>
  <c r="X198" i="31" s="1"/>
  <c r="Y198" i="31" s="1"/>
  <c r="Z198" i="31" s="1"/>
  <c r="AA198" i="31" s="1"/>
  <c r="AB198" i="31" s="1"/>
  <c r="AC198" i="31" s="1"/>
  <c r="AD198" i="31" s="1"/>
  <c r="AE198" i="31" s="1"/>
  <c r="AF198" i="31" s="1"/>
  <c r="B198" i="31" s="1"/>
  <c r="D198" i="31"/>
  <c r="Q197" i="3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O197" i="31"/>
  <c r="P197" i="31" s="1"/>
  <c r="G197" i="31"/>
  <c r="H197" i="31" s="1"/>
  <c r="I197" i="31" s="1"/>
  <c r="J197" i="31" s="1"/>
  <c r="K197" i="31" s="1"/>
  <c r="L197" i="31" s="1"/>
  <c r="M197" i="31" s="1"/>
  <c r="N197" i="31" s="1"/>
  <c r="E197" i="31"/>
  <c r="F197" i="31" s="1"/>
  <c r="D197" i="31"/>
  <c r="N196" i="31"/>
  <c r="O196" i="31" s="1"/>
  <c r="P196" i="31" s="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B196" i="31" s="1"/>
  <c r="F196" i="31"/>
  <c r="G196" i="31" s="1"/>
  <c r="H196" i="31" s="1"/>
  <c r="I196" i="31" s="1"/>
  <c r="J196" i="31" s="1"/>
  <c r="K196" i="31" s="1"/>
  <c r="L196" i="31" s="1"/>
  <c r="M196" i="31" s="1"/>
  <c r="E196" i="31"/>
  <c r="D196" i="31"/>
  <c r="E195" i="31"/>
  <c r="F195" i="31" s="1"/>
  <c r="G195" i="31" s="1"/>
  <c r="H195" i="31" s="1"/>
  <c r="I195" i="31" s="1"/>
  <c r="J195" i="31" s="1"/>
  <c r="K195" i="31" s="1"/>
  <c r="L195" i="31" s="1"/>
  <c r="M195" i="31" s="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B195" i="31" s="1"/>
  <c r="D195" i="31"/>
  <c r="D194" i="31"/>
  <c r="D200" i="31" s="1"/>
  <c r="AG192" i="31"/>
  <c r="C192" i="31"/>
  <c r="I191" i="31"/>
  <c r="J191" i="31" s="1"/>
  <c r="K191" i="31" s="1"/>
  <c r="L191" i="31" s="1"/>
  <c r="M191" i="31" s="1"/>
  <c r="N191" i="31" s="1"/>
  <c r="O191" i="31" s="1"/>
  <c r="P191" i="31" s="1"/>
  <c r="Q191" i="31" s="1"/>
  <c r="R191" i="31" s="1"/>
  <c r="S191" i="31" s="1"/>
  <c r="T191" i="31" s="1"/>
  <c r="U191" i="31" s="1"/>
  <c r="V191" i="31" s="1"/>
  <c r="W191" i="31" s="1"/>
  <c r="X191" i="31" s="1"/>
  <c r="Y191" i="31" s="1"/>
  <c r="Z191" i="31" s="1"/>
  <c r="AA191" i="31" s="1"/>
  <c r="AB191" i="31" s="1"/>
  <c r="AC191" i="31" s="1"/>
  <c r="AD191" i="31" s="1"/>
  <c r="AE191" i="31" s="1"/>
  <c r="AF191" i="31" s="1"/>
  <c r="B191" i="31" s="1"/>
  <c r="G191" i="31"/>
  <c r="H191" i="31" s="1"/>
  <c r="E191" i="31"/>
  <c r="F191" i="31" s="1"/>
  <c r="D191" i="31"/>
  <c r="D190" i="31"/>
  <c r="E190" i="31" s="1"/>
  <c r="F190" i="31" s="1"/>
  <c r="G190" i="31" s="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L189" i="3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E189" i="31"/>
  <c r="F189" i="31" s="1"/>
  <c r="G189" i="31" s="1"/>
  <c r="H189" i="31" s="1"/>
  <c r="I189" i="31" s="1"/>
  <c r="J189" i="31" s="1"/>
  <c r="K189" i="31" s="1"/>
  <c r="D189" i="31"/>
  <c r="B189" i="31"/>
  <c r="H188" i="3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E188" i="31"/>
  <c r="F188" i="31" s="1"/>
  <c r="G188" i="31" s="1"/>
  <c r="D188" i="31"/>
  <c r="H187" i="3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B187" i="31" s="1"/>
  <c r="F187" i="31"/>
  <c r="G187" i="31" s="1"/>
  <c r="E187" i="31"/>
  <c r="D187" i="31"/>
  <c r="E186" i="3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D186" i="31"/>
  <c r="E185" i="31"/>
  <c r="F185" i="31" s="1"/>
  <c r="G185" i="31" s="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B185" i="31" s="1"/>
  <c r="D185" i="31"/>
  <c r="H184" i="3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B184" i="31" s="1"/>
  <c r="E184" i="31"/>
  <c r="F184" i="31" s="1"/>
  <c r="G184" i="31" s="1"/>
  <c r="D184" i="31"/>
  <c r="H183" i="3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B183" i="31" s="1"/>
  <c r="E183" i="31"/>
  <c r="F183" i="31" s="1"/>
  <c r="G183" i="31" s="1"/>
  <c r="D183" i="31"/>
  <c r="E182" i="31"/>
  <c r="F182" i="31" s="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B182" i="31" s="1"/>
  <c r="D182" i="31"/>
  <c r="Z181" i="31"/>
  <c r="AA181" i="31" s="1"/>
  <c r="AB181" i="31" s="1"/>
  <c r="AC181" i="31" s="1"/>
  <c r="AD181" i="31" s="1"/>
  <c r="AE181" i="31" s="1"/>
  <c r="AF181" i="31" s="1"/>
  <c r="B181" i="31" s="1"/>
  <c r="E181" i="31"/>
  <c r="F181" i="31" s="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D181" i="31"/>
  <c r="H180" i="3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D180" i="31"/>
  <c r="E180" i="31" s="1"/>
  <c r="F180" i="31" s="1"/>
  <c r="G180" i="31" s="1"/>
  <c r="M179" i="3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F179" i="31"/>
  <c r="G179" i="31" s="1"/>
  <c r="H179" i="31" s="1"/>
  <c r="I179" i="31" s="1"/>
  <c r="J179" i="31" s="1"/>
  <c r="K179" i="31" s="1"/>
  <c r="L179" i="31" s="1"/>
  <c r="E179" i="31"/>
  <c r="D179" i="31"/>
  <c r="I177" i="3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B177" i="31" s="1"/>
  <c r="G177" i="31"/>
  <c r="H177" i="31" s="1"/>
  <c r="E177" i="31"/>
  <c r="F177" i="31" s="1"/>
  <c r="D177" i="31"/>
  <c r="E176" i="31"/>
  <c r="F176" i="31" s="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 s="1"/>
  <c r="D176" i="31"/>
  <c r="D175" i="3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T174" i="3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I174" i="3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D174" i="31"/>
  <c r="E174" i="31" s="1"/>
  <c r="F174" i="31" s="1"/>
  <c r="G174" i="31" s="1"/>
  <c r="H174" i="31" s="1"/>
  <c r="H173" i="31"/>
  <c r="I173" i="31" s="1"/>
  <c r="J173" i="31" s="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E173" i="31"/>
  <c r="F173" i="31" s="1"/>
  <c r="G173" i="31" s="1"/>
  <c r="D173" i="31"/>
  <c r="E172" i="31"/>
  <c r="F172" i="31" s="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D172" i="31"/>
  <c r="S171" i="3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F171" i="3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D171" i="31"/>
  <c r="E171" i="31" s="1"/>
  <c r="I170" i="3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D170" i="31"/>
  <c r="E170" i="31" s="1"/>
  <c r="F170" i="31" s="1"/>
  <c r="G170" i="31" s="1"/>
  <c r="H170" i="31" s="1"/>
  <c r="R168" i="3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B168" i="31" s="1"/>
  <c r="D168" i="3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F167" i="3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E167" i="31"/>
  <c r="D167" i="31"/>
  <c r="T166" i="3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S166" i="31"/>
  <c r="D166" i="31"/>
  <c r="E166" i="31" s="1"/>
  <c r="F166" i="31" s="1"/>
  <c r="G166" i="31" s="1"/>
  <c r="H166" i="31" s="1"/>
  <c r="I166" i="31" s="1"/>
  <c r="J166" i="31" s="1"/>
  <c r="K166" i="31" s="1"/>
  <c r="L166" i="31" s="1"/>
  <c r="M166" i="31" s="1"/>
  <c r="N166" i="31" s="1"/>
  <c r="O166" i="31" s="1"/>
  <c r="P166" i="31" s="1"/>
  <c r="Q166" i="31" s="1"/>
  <c r="R166" i="31" s="1"/>
  <c r="I165" i="3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D165" i="31"/>
  <c r="E165" i="31" s="1"/>
  <c r="F165" i="31" s="1"/>
  <c r="G165" i="31" s="1"/>
  <c r="H165" i="31" s="1"/>
  <c r="O164" i="3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G164" i="31"/>
  <c r="H164" i="31" s="1"/>
  <c r="I164" i="31" s="1"/>
  <c r="J164" i="31" s="1"/>
  <c r="K164" i="31" s="1"/>
  <c r="L164" i="31" s="1"/>
  <c r="M164" i="31" s="1"/>
  <c r="N164" i="31" s="1"/>
  <c r="D164" i="31"/>
  <c r="E164" i="31" s="1"/>
  <c r="F164" i="31" s="1"/>
  <c r="H163" i="3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B163" i="31" s="1"/>
  <c r="G163" i="31"/>
  <c r="F163" i="31"/>
  <c r="E163" i="31"/>
  <c r="D163" i="31"/>
  <c r="F162" i="3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E162" i="31"/>
  <c r="D162" i="31"/>
  <c r="D161" i="31"/>
  <c r="E161" i="31" s="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D160" i="31"/>
  <c r="E160" i="31" s="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H159" i="3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E159" i="31"/>
  <c r="F159" i="31" s="1"/>
  <c r="G159" i="31" s="1"/>
  <c r="D159" i="31"/>
  <c r="E158" i="3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B158" i="31" s="1"/>
  <c r="D158" i="31"/>
  <c r="F157" i="3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E157" i="31"/>
  <c r="D157" i="31"/>
  <c r="D156" i="3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E154" i="31"/>
  <c r="F154" i="31" s="1"/>
  <c r="G154" i="31" s="1"/>
  <c r="H154" i="31" s="1"/>
  <c r="I154" i="31" s="1"/>
  <c r="J154" i="31" s="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B154" i="31" s="1"/>
  <c r="D154" i="31"/>
  <c r="E153" i="31"/>
  <c r="F153" i="31" s="1"/>
  <c r="G153" i="31" s="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B153" i="31" s="1"/>
  <c r="D153" i="31"/>
  <c r="G152" i="3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B152" i="31" s="1"/>
  <c r="F152" i="31"/>
  <c r="E152" i="31"/>
  <c r="D152" i="31"/>
  <c r="D151" i="31"/>
  <c r="E151" i="31" s="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B151" i="31" s="1"/>
  <c r="G149" i="3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B149" i="31" s="1"/>
  <c r="E149" i="31"/>
  <c r="F149" i="31" s="1"/>
  <c r="D149" i="31"/>
  <c r="M148" i="3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H148" i="31"/>
  <c r="I148" i="31" s="1"/>
  <c r="J148" i="31" s="1"/>
  <c r="K148" i="31" s="1"/>
  <c r="L148" i="31" s="1"/>
  <c r="E148" i="31"/>
  <c r="F148" i="31" s="1"/>
  <c r="G148" i="31" s="1"/>
  <c r="D148" i="31"/>
  <c r="G146" i="3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B146" i="31" s="1"/>
  <c r="F146" i="31"/>
  <c r="D146" i="31"/>
  <c r="E146" i="31" s="1"/>
  <c r="M145" i="3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B145" i="31" s="1"/>
  <c r="G145" i="31"/>
  <c r="H145" i="31" s="1"/>
  <c r="I145" i="31" s="1"/>
  <c r="J145" i="31" s="1"/>
  <c r="K145" i="31" s="1"/>
  <c r="L145" i="31" s="1"/>
  <c r="E145" i="31"/>
  <c r="F145" i="31" s="1"/>
  <c r="D145" i="31"/>
  <c r="E144" i="31"/>
  <c r="F144" i="31" s="1"/>
  <c r="G144" i="31" s="1"/>
  <c r="H144" i="31" s="1"/>
  <c r="I144" i="31" s="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B144" i="31" s="1"/>
  <c r="D144" i="31"/>
  <c r="E143" i="3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B143" i="31" s="1"/>
  <c r="D143" i="31"/>
  <c r="AD142" i="31"/>
  <c r="AE142" i="31" s="1"/>
  <c r="AF142" i="31" s="1"/>
  <c r="B142" i="31" s="1"/>
  <c r="H142" i="31"/>
  <c r="I142" i="31" s="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D142" i="31"/>
  <c r="E142" i="31" s="1"/>
  <c r="F142" i="31" s="1"/>
  <c r="G142" i="31" s="1"/>
  <c r="D141" i="31"/>
  <c r="E141" i="31" s="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E140" i="3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D140" i="31"/>
  <c r="D138" i="31"/>
  <c r="E138" i="31" s="1"/>
  <c r="F138" i="31" s="1"/>
  <c r="G138" i="31" s="1"/>
  <c r="H138" i="31" s="1"/>
  <c r="I138" i="31" s="1"/>
  <c r="J138" i="31" s="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B138" i="31"/>
  <c r="D137" i="3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B137" i="31" s="1"/>
  <c r="D136" i="31"/>
  <c r="E136" i="31" s="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D135" i="31"/>
  <c r="E135" i="31" s="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F134" i="3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E134" i="31"/>
  <c r="D134" i="31"/>
  <c r="O133" i="3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D133" i="31"/>
  <c r="E133" i="31" s="1"/>
  <c r="F133" i="31" s="1"/>
  <c r="G133" i="31" s="1"/>
  <c r="H133" i="31" s="1"/>
  <c r="I133" i="31" s="1"/>
  <c r="J133" i="31" s="1"/>
  <c r="K133" i="31" s="1"/>
  <c r="L133" i="31" s="1"/>
  <c r="M133" i="31" s="1"/>
  <c r="N133" i="31" s="1"/>
  <c r="D132" i="31"/>
  <c r="E132" i="31" s="1"/>
  <c r="F132" i="31" s="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AE131" i="31"/>
  <c r="AF131" i="31" s="1"/>
  <c r="B131" i="31" s="1"/>
  <c r="O131" i="3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D131" i="31"/>
  <c r="E131" i="31" s="1"/>
  <c r="F131" i="31" s="1"/>
  <c r="G131" i="31" s="1"/>
  <c r="H131" i="31" s="1"/>
  <c r="I131" i="31" s="1"/>
  <c r="J131" i="31" s="1"/>
  <c r="K131" i="31" s="1"/>
  <c r="L131" i="31" s="1"/>
  <c r="M131" i="31" s="1"/>
  <c r="N131" i="31" s="1"/>
  <c r="D129" i="31"/>
  <c r="E129" i="31" s="1"/>
  <c r="F129" i="31" s="1"/>
  <c r="G129" i="31" s="1"/>
  <c r="H129" i="31" s="1"/>
  <c r="I129" i="31" s="1"/>
  <c r="J129" i="31" s="1"/>
  <c r="K129" i="31" s="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B129" i="31" s="1"/>
  <c r="F128" i="31"/>
  <c r="G128" i="31" s="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B128" i="31" s="1"/>
  <c r="D128" i="31"/>
  <c r="E128" i="31" s="1"/>
  <c r="E127" i="3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D127" i="31"/>
  <c r="U126" i="3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F126" i="3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E126" i="31"/>
  <c r="D126" i="31"/>
  <c r="D125" i="3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P124" i="3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E124" i="3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D124" i="31"/>
  <c r="X123" i="31"/>
  <c r="Y123" i="31" s="1"/>
  <c r="Z123" i="31" s="1"/>
  <c r="AA123" i="31" s="1"/>
  <c r="AB123" i="31" s="1"/>
  <c r="AC123" i="31" s="1"/>
  <c r="AD123" i="31" s="1"/>
  <c r="AE123" i="31" s="1"/>
  <c r="AF123" i="31" s="1"/>
  <c r="B123" i="31" s="1"/>
  <c r="N123" i="31"/>
  <c r="O123" i="31" s="1"/>
  <c r="P123" i="31" s="1"/>
  <c r="Q123" i="31" s="1"/>
  <c r="R123" i="31" s="1"/>
  <c r="S123" i="31" s="1"/>
  <c r="T123" i="31" s="1"/>
  <c r="U123" i="31" s="1"/>
  <c r="V123" i="31" s="1"/>
  <c r="W123" i="31" s="1"/>
  <c r="D123" i="31"/>
  <c r="E123" i="31" s="1"/>
  <c r="F123" i="31" s="1"/>
  <c r="G123" i="31" s="1"/>
  <c r="H123" i="31" s="1"/>
  <c r="I123" i="31" s="1"/>
  <c r="J123" i="31" s="1"/>
  <c r="K123" i="31" s="1"/>
  <c r="L123" i="31" s="1"/>
  <c r="M123" i="31" s="1"/>
  <c r="D122" i="3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J121" i="3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D121" i="31"/>
  <c r="E121" i="31" s="1"/>
  <c r="F121" i="31" s="1"/>
  <c r="G121" i="31" s="1"/>
  <c r="H121" i="31" s="1"/>
  <c r="I121" i="31" s="1"/>
  <c r="D120" i="31"/>
  <c r="E120" i="31" s="1"/>
  <c r="F120" i="31" s="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B120" i="31" s="1"/>
  <c r="K119" i="3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D119" i="31"/>
  <c r="E119" i="31" s="1"/>
  <c r="F119" i="31" s="1"/>
  <c r="G119" i="31" s="1"/>
  <c r="H119" i="31" s="1"/>
  <c r="I119" i="31" s="1"/>
  <c r="J119" i="31" s="1"/>
  <c r="D118" i="31"/>
  <c r="E118" i="31" s="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G117" i="3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D117" i="31"/>
  <c r="E117" i="31" s="1"/>
  <c r="F117" i="31" s="1"/>
  <c r="F116" i="3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E116" i="31"/>
  <c r="D116" i="31"/>
  <c r="L115" i="3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E115" i="31"/>
  <c r="F115" i="31" s="1"/>
  <c r="G115" i="31" s="1"/>
  <c r="H115" i="31" s="1"/>
  <c r="I115" i="31" s="1"/>
  <c r="J115" i="31" s="1"/>
  <c r="K115" i="31" s="1"/>
  <c r="D115" i="31"/>
  <c r="P114" i="3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N114" i="31"/>
  <c r="O114" i="31" s="1"/>
  <c r="K114" i="31"/>
  <c r="L114" i="31" s="1"/>
  <c r="M114" i="31" s="1"/>
  <c r="D114" i="31"/>
  <c r="E114" i="31" s="1"/>
  <c r="F114" i="31" s="1"/>
  <c r="G114" i="31" s="1"/>
  <c r="H114" i="31" s="1"/>
  <c r="I114" i="31" s="1"/>
  <c r="I113" i="3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H113" i="31"/>
  <c r="E113" i="31"/>
  <c r="F113" i="31" s="1"/>
  <c r="G113" i="31" s="1"/>
  <c r="D113" i="31"/>
  <c r="D112" i="31"/>
  <c r="E112" i="31" s="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B112" i="31" s="1"/>
  <c r="E110" i="31"/>
  <c r="F110" i="31" s="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B110" i="31" s="1"/>
  <c r="D110" i="31"/>
  <c r="D109" i="31"/>
  <c r="E109" i="31" s="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B109" i="31" s="1"/>
  <c r="H107" i="31"/>
  <c r="I107" i="31" s="1"/>
  <c r="J107" i="31" s="1"/>
  <c r="K107" i="31" s="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B107" i="31" s="1"/>
  <c r="E107" i="31"/>
  <c r="F107" i="31" s="1"/>
  <c r="G107" i="31" s="1"/>
  <c r="D107" i="31"/>
  <c r="D106" i="31"/>
  <c r="E106" i="31" s="1"/>
  <c r="F106" i="31" s="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E104" i="3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D104" i="31"/>
  <c r="E103" i="31"/>
  <c r="F103" i="31" s="1"/>
  <c r="D103" i="31"/>
  <c r="D102" i="31"/>
  <c r="AH98" i="31"/>
  <c r="AI98" i="31" s="1"/>
  <c r="AH97" i="31"/>
  <c r="AI97" i="31" s="1"/>
  <c r="AH96" i="31"/>
  <c r="AI96" i="31" s="1"/>
  <c r="AH95" i="31"/>
  <c r="AI95" i="31" s="1"/>
  <c r="AH94" i="31"/>
  <c r="AI94" i="31" s="1"/>
  <c r="C93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G82" i="31"/>
  <c r="AI81" i="31"/>
  <c r="AH81" i="31"/>
  <c r="AF80" i="31"/>
  <c r="AE80" i="31"/>
  <c r="AD80" i="31"/>
  <c r="AC80" i="31"/>
  <c r="AB80" i="31"/>
  <c r="AA80" i="31"/>
  <c r="Z80" i="31"/>
  <c r="Y80" i="31"/>
  <c r="X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B80" i="31"/>
  <c r="AF79" i="31"/>
  <c r="AE79" i="31"/>
  <c r="AD79" i="31"/>
  <c r="AC79" i="31"/>
  <c r="AB79" i="31"/>
  <c r="AA79" i="31"/>
  <c r="Z79" i="31"/>
  <c r="Y79" i="31"/>
  <c r="X79" i="31"/>
  <c r="W79" i="3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B79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AF76" i="31"/>
  <c r="AE76" i="31"/>
  <c r="AD76" i="31"/>
  <c r="AC76" i="31"/>
  <c r="AC82" i="31" s="1"/>
  <c r="AB76" i="31"/>
  <c r="AA76" i="31"/>
  <c r="Z76" i="31"/>
  <c r="Y76" i="31"/>
  <c r="X76" i="31"/>
  <c r="W76" i="31"/>
  <c r="V76" i="31"/>
  <c r="V82" i="31" s="1"/>
  <c r="U76" i="31"/>
  <c r="T76" i="31"/>
  <c r="S76" i="31"/>
  <c r="R76" i="31"/>
  <c r="Q76" i="31"/>
  <c r="P76" i="31"/>
  <c r="O76" i="31"/>
  <c r="N76" i="31"/>
  <c r="N82" i="31" s="1"/>
  <c r="M76" i="31"/>
  <c r="L76" i="31"/>
  <c r="K76" i="31"/>
  <c r="J76" i="31"/>
  <c r="I76" i="31"/>
  <c r="H76" i="31"/>
  <c r="G76" i="31"/>
  <c r="F76" i="31"/>
  <c r="E76" i="31"/>
  <c r="D76" i="31"/>
  <c r="C76" i="31"/>
  <c r="B76" i="31"/>
  <c r="AI74" i="31"/>
  <c r="AH74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AI71" i="31"/>
  <c r="AH71" i="31"/>
  <c r="AI70" i="31"/>
  <c r="AH70" i="31"/>
  <c r="AI69" i="31"/>
  <c r="AH69" i="31"/>
  <c r="AG68" i="31"/>
  <c r="AF68" i="31"/>
  <c r="AE5" i="31" s="1"/>
  <c r="AE68" i="31"/>
  <c r="AD5" i="31" s="1"/>
  <c r="AD68" i="31"/>
  <c r="AC5" i="31" s="1"/>
  <c r="AC68" i="31"/>
  <c r="AB5" i="31" s="1"/>
  <c r="AB68" i="31"/>
  <c r="AA5" i="31" s="1"/>
  <c r="AA68" i="31"/>
  <c r="Z68" i="31"/>
  <c r="Y68" i="31"/>
  <c r="X68" i="31"/>
  <c r="W5" i="31" s="1"/>
  <c r="W68" i="31"/>
  <c r="V5" i="31" s="1"/>
  <c r="V68" i="31"/>
  <c r="U5" i="31" s="1"/>
  <c r="U68" i="31"/>
  <c r="T5" i="31" s="1"/>
  <c r="T68" i="31"/>
  <c r="S5" i="31" s="1"/>
  <c r="S68" i="31"/>
  <c r="R68" i="31"/>
  <c r="Q68" i="31"/>
  <c r="P5" i="31" s="1"/>
  <c r="P68" i="31"/>
  <c r="O5" i="31" s="1"/>
  <c r="O68" i="31"/>
  <c r="N5" i="31" s="1"/>
  <c r="N68" i="31"/>
  <c r="M5" i="31" s="1"/>
  <c r="M68" i="31"/>
  <c r="L5" i="31" s="1"/>
  <c r="L68" i="31"/>
  <c r="K5" i="31" s="1"/>
  <c r="K68" i="31"/>
  <c r="J5" i="31" s="1"/>
  <c r="J68" i="31"/>
  <c r="I68" i="31"/>
  <c r="H68" i="31"/>
  <c r="G5" i="31" s="1"/>
  <c r="G68" i="31"/>
  <c r="F5" i="31" s="1"/>
  <c r="F68" i="31"/>
  <c r="E68" i="31"/>
  <c r="D5" i="31" s="1"/>
  <c r="D68" i="31"/>
  <c r="C5" i="31" s="1"/>
  <c r="C68" i="31"/>
  <c r="B68" i="31"/>
  <c r="AF5" i="31" s="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G56" i="31"/>
  <c r="AG73" i="31" s="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AI55" i="31"/>
  <c r="AH55" i="31"/>
  <c r="AI54" i="31"/>
  <c r="AH54" i="31"/>
  <c r="AI53" i="31"/>
  <c r="AH53" i="31"/>
  <c r="Z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G52" i="31" s="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H73" i="31" s="1"/>
  <c r="G38" i="31"/>
  <c r="F38" i="31"/>
  <c r="F75" i="31" s="1"/>
  <c r="E38" i="31"/>
  <c r="D38" i="31"/>
  <c r="D75" i="31" s="1"/>
  <c r="V214" i="31" s="1"/>
  <c r="C38" i="31"/>
  <c r="C73" i="31" s="1"/>
  <c r="B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Z5" i="31"/>
  <c r="X5" i="31"/>
  <c r="R5" i="31"/>
  <c r="H5" i="31"/>
  <c r="E5" i="31"/>
  <c r="B5" i="31"/>
  <c r="AG4" i="31"/>
  <c r="K4" i="31"/>
  <c r="B4" i="31"/>
  <c r="AG2" i="31"/>
  <c r="R37" i="30"/>
  <c r="P37" i="30"/>
  <c r="O37" i="30"/>
  <c r="N37" i="30"/>
  <c r="M58" i="30"/>
  <c r="M37" i="30"/>
  <c r="L83" i="30"/>
  <c r="B52" i="30"/>
  <c r="B80" i="30"/>
  <c r="B79" i="30"/>
  <c r="B78" i="30"/>
  <c r="B77" i="30"/>
  <c r="B76" i="30"/>
  <c r="B72" i="30"/>
  <c r="B68" i="30"/>
  <c r="B56" i="30"/>
  <c r="B38" i="30"/>
  <c r="AF239" i="30"/>
  <c r="AE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B239" i="30"/>
  <c r="A239" i="30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A238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B235" i="30"/>
  <c r="S210" i="30"/>
  <c r="AG200" i="30"/>
  <c r="C200" i="30"/>
  <c r="D199" i="30"/>
  <c r="E198" i="30"/>
  <c r="F198" i="30" s="1"/>
  <c r="G198" i="30" s="1"/>
  <c r="H198" i="30" s="1"/>
  <c r="I198" i="30" s="1"/>
  <c r="J198" i="30" s="1"/>
  <c r="K198" i="30" s="1"/>
  <c r="L198" i="30" s="1"/>
  <c r="M198" i="30" s="1"/>
  <c r="N198" i="30" s="1"/>
  <c r="O198" i="30" s="1"/>
  <c r="P198" i="30" s="1"/>
  <c r="Q198" i="30" s="1"/>
  <c r="R198" i="30" s="1"/>
  <c r="S198" i="30" s="1"/>
  <c r="T198" i="30" s="1"/>
  <c r="U198" i="30" s="1"/>
  <c r="V198" i="30" s="1"/>
  <c r="W198" i="30" s="1"/>
  <c r="X198" i="30" s="1"/>
  <c r="Y198" i="30" s="1"/>
  <c r="Z198" i="30" s="1"/>
  <c r="AA198" i="30" s="1"/>
  <c r="AB198" i="30" s="1"/>
  <c r="AC198" i="30" s="1"/>
  <c r="AD198" i="30" s="1"/>
  <c r="AE198" i="30" s="1"/>
  <c r="AF198" i="30" s="1"/>
  <c r="B198" i="30" s="1"/>
  <c r="D198" i="30"/>
  <c r="H197" i="30"/>
  <c r="I197" i="30" s="1"/>
  <c r="J197" i="30" s="1"/>
  <c r="K197" i="30" s="1"/>
  <c r="L197" i="30" s="1"/>
  <c r="M197" i="30" s="1"/>
  <c r="N197" i="30" s="1"/>
  <c r="O197" i="30" s="1"/>
  <c r="P197" i="30" s="1"/>
  <c r="Q197" i="30" s="1"/>
  <c r="R197" i="30" s="1"/>
  <c r="S197" i="30" s="1"/>
  <c r="T197" i="30" s="1"/>
  <c r="U197" i="30" s="1"/>
  <c r="V197" i="30" s="1"/>
  <c r="W197" i="30" s="1"/>
  <c r="X197" i="30" s="1"/>
  <c r="Y197" i="30" s="1"/>
  <c r="Z197" i="30" s="1"/>
  <c r="AA197" i="30" s="1"/>
  <c r="AB197" i="30" s="1"/>
  <c r="AC197" i="30" s="1"/>
  <c r="AD197" i="30" s="1"/>
  <c r="AE197" i="30" s="1"/>
  <c r="AF197" i="30" s="1"/>
  <c r="B197" i="30" s="1"/>
  <c r="D197" i="30"/>
  <c r="E197" i="30" s="1"/>
  <c r="F197" i="30" s="1"/>
  <c r="G197" i="30" s="1"/>
  <c r="J196" i="30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B196" i="30" s="1"/>
  <c r="F196" i="30"/>
  <c r="G196" i="30" s="1"/>
  <c r="H196" i="30" s="1"/>
  <c r="I196" i="30" s="1"/>
  <c r="D196" i="30"/>
  <c r="E196" i="30" s="1"/>
  <c r="D195" i="30"/>
  <c r="E195" i="30" s="1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B195" i="30" s="1"/>
  <c r="E194" i="30"/>
  <c r="F194" i="30" s="1"/>
  <c r="D194" i="30"/>
  <c r="AG192" i="30"/>
  <c r="C192" i="30"/>
  <c r="F191" i="30"/>
  <c r="G191" i="30" s="1"/>
  <c r="H191" i="30" s="1"/>
  <c r="I191" i="30" s="1"/>
  <c r="J191" i="30" s="1"/>
  <c r="K191" i="30" s="1"/>
  <c r="L191" i="30" s="1"/>
  <c r="M191" i="30" s="1"/>
  <c r="N191" i="30" s="1"/>
  <c r="O191" i="30" s="1"/>
  <c r="P191" i="30" s="1"/>
  <c r="Q191" i="30" s="1"/>
  <c r="R191" i="30" s="1"/>
  <c r="S191" i="30" s="1"/>
  <c r="T191" i="30" s="1"/>
  <c r="U191" i="30" s="1"/>
  <c r="V191" i="30" s="1"/>
  <c r="W191" i="30" s="1"/>
  <c r="X191" i="30" s="1"/>
  <c r="Y191" i="30" s="1"/>
  <c r="Z191" i="30" s="1"/>
  <c r="AA191" i="30" s="1"/>
  <c r="AB191" i="30" s="1"/>
  <c r="AC191" i="30" s="1"/>
  <c r="AD191" i="30" s="1"/>
  <c r="AE191" i="30" s="1"/>
  <c r="AF191" i="30" s="1"/>
  <c r="B191" i="30" s="1"/>
  <c r="D191" i="30"/>
  <c r="E191" i="30" s="1"/>
  <c r="R190" i="30"/>
  <c r="S190" i="30" s="1"/>
  <c r="T190" i="30" s="1"/>
  <c r="U190" i="30" s="1"/>
  <c r="V190" i="30" s="1"/>
  <c r="W190" i="30" s="1"/>
  <c r="X190" i="30" s="1"/>
  <c r="Y190" i="30" s="1"/>
  <c r="Z190" i="30" s="1"/>
  <c r="AA190" i="30" s="1"/>
  <c r="AB190" i="30" s="1"/>
  <c r="AC190" i="30" s="1"/>
  <c r="AD190" i="30" s="1"/>
  <c r="AE190" i="30" s="1"/>
  <c r="AF190" i="30" s="1"/>
  <c r="B190" i="30" s="1"/>
  <c r="D190" i="30"/>
  <c r="E190" i="30" s="1"/>
  <c r="F190" i="30" s="1"/>
  <c r="G190" i="30" s="1"/>
  <c r="H190" i="30" s="1"/>
  <c r="I190" i="30" s="1"/>
  <c r="J190" i="30" s="1"/>
  <c r="K190" i="30" s="1"/>
  <c r="L190" i="30" s="1"/>
  <c r="M190" i="30" s="1"/>
  <c r="N190" i="30" s="1"/>
  <c r="O190" i="30" s="1"/>
  <c r="P190" i="30" s="1"/>
  <c r="Q190" i="30" s="1"/>
  <c r="D189" i="30"/>
  <c r="E189" i="30" s="1"/>
  <c r="F189" i="30" s="1"/>
  <c r="G189" i="30" s="1"/>
  <c r="H189" i="30" s="1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B189" i="30" s="1"/>
  <c r="D188" i="30"/>
  <c r="E188" i="30" s="1"/>
  <c r="F188" i="30" s="1"/>
  <c r="G188" i="30" s="1"/>
  <c r="H188" i="30" s="1"/>
  <c r="I188" i="30" s="1"/>
  <c r="J188" i="30" s="1"/>
  <c r="K188" i="30" s="1"/>
  <c r="L188" i="30" s="1"/>
  <c r="M188" i="30" s="1"/>
  <c r="N188" i="30" s="1"/>
  <c r="O188" i="30" s="1"/>
  <c r="P188" i="30" s="1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B188" i="30" s="1"/>
  <c r="D187" i="30"/>
  <c r="E187" i="30" s="1"/>
  <c r="F187" i="30" s="1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B187" i="30" s="1"/>
  <c r="D186" i="30"/>
  <c r="E186" i="30" s="1"/>
  <c r="F186" i="30" s="1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B186" i="30" s="1"/>
  <c r="D185" i="30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B185" i="30" s="1"/>
  <c r="D184" i="30"/>
  <c r="E184" i="30" s="1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B184" i="30" s="1"/>
  <c r="D183" i="30"/>
  <c r="E183" i="30" s="1"/>
  <c r="F183" i="30" s="1"/>
  <c r="G183" i="30" s="1"/>
  <c r="H183" i="30" s="1"/>
  <c r="I183" i="30" s="1"/>
  <c r="J183" i="30" s="1"/>
  <c r="K183" i="30" s="1"/>
  <c r="L183" i="30" s="1"/>
  <c r="M183" i="30" s="1"/>
  <c r="N183" i="30" s="1"/>
  <c r="O183" i="30" s="1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AF183" i="30" s="1"/>
  <c r="B183" i="30" s="1"/>
  <c r="D182" i="30"/>
  <c r="E182" i="30" s="1"/>
  <c r="F182" i="30" s="1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B182" i="30" s="1"/>
  <c r="D181" i="30"/>
  <c r="E181" i="30" s="1"/>
  <c r="F181" i="30" s="1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B181" i="30" s="1"/>
  <c r="Z180" i="30"/>
  <c r="AA180" i="30" s="1"/>
  <c r="AB180" i="30" s="1"/>
  <c r="AC180" i="30" s="1"/>
  <c r="AD180" i="30" s="1"/>
  <c r="AE180" i="30" s="1"/>
  <c r="AF180" i="30" s="1"/>
  <c r="B180" i="30" s="1"/>
  <c r="E180" i="30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D180" i="30"/>
  <c r="J179" i="30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B179" i="30" s="1"/>
  <c r="D179" i="30"/>
  <c r="E179" i="30" s="1"/>
  <c r="F179" i="30" s="1"/>
  <c r="G179" i="30" s="1"/>
  <c r="H179" i="30" s="1"/>
  <c r="I179" i="30" s="1"/>
  <c r="D177" i="30"/>
  <c r="E177" i="30" s="1"/>
  <c r="F177" i="30" s="1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B177" i="30" s="1"/>
  <c r="E176" i="30"/>
  <c r="F176" i="30" s="1"/>
  <c r="G176" i="30" s="1"/>
  <c r="H176" i="30" s="1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B176" i="30" s="1"/>
  <c r="D176" i="30"/>
  <c r="D175" i="30"/>
  <c r="E175" i="30" s="1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B175" i="30" s="1"/>
  <c r="G174" i="30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B174" i="30" s="1"/>
  <c r="D174" i="30"/>
  <c r="E174" i="30" s="1"/>
  <c r="F174" i="30" s="1"/>
  <c r="M173" i="30"/>
  <c r="N173" i="30" s="1"/>
  <c r="O173" i="30" s="1"/>
  <c r="P173" i="30" s="1"/>
  <c r="Q173" i="30" s="1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B173" i="30" s="1"/>
  <c r="E173" i="30"/>
  <c r="F173" i="30" s="1"/>
  <c r="G173" i="30" s="1"/>
  <c r="H173" i="30" s="1"/>
  <c r="I173" i="30" s="1"/>
  <c r="J173" i="30" s="1"/>
  <c r="K173" i="30" s="1"/>
  <c r="L173" i="30" s="1"/>
  <c r="D173" i="30"/>
  <c r="E172" i="30"/>
  <c r="F172" i="30" s="1"/>
  <c r="G172" i="30" s="1"/>
  <c r="H172" i="30" s="1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B172" i="30" s="1"/>
  <c r="D172" i="30"/>
  <c r="K171" i="30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B171" i="30" s="1"/>
  <c r="D171" i="30"/>
  <c r="E171" i="30" s="1"/>
  <c r="F171" i="30" s="1"/>
  <c r="G171" i="30" s="1"/>
  <c r="H171" i="30" s="1"/>
  <c r="I171" i="30" s="1"/>
  <c r="J171" i="30" s="1"/>
  <c r="J170" i="30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B170" i="30" s="1"/>
  <c r="D170" i="30"/>
  <c r="E170" i="30" s="1"/>
  <c r="F170" i="30" s="1"/>
  <c r="G170" i="30" s="1"/>
  <c r="H170" i="30" s="1"/>
  <c r="I170" i="30" s="1"/>
  <c r="E168" i="30"/>
  <c r="F168" i="30" s="1"/>
  <c r="G168" i="30" s="1"/>
  <c r="H168" i="30" s="1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B168" i="30" s="1"/>
  <c r="D168" i="30"/>
  <c r="D167" i="30"/>
  <c r="E167" i="30" s="1"/>
  <c r="F167" i="30" s="1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B167" i="30" s="1"/>
  <c r="F166" i="30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B166" i="30" s="1"/>
  <c r="E166" i="30"/>
  <c r="D166" i="30"/>
  <c r="D165" i="30"/>
  <c r="E165" i="30" s="1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B165" i="30" s="1"/>
  <c r="D164" i="30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B164" i="30" s="1"/>
  <c r="D163" i="30"/>
  <c r="E163" i="30" s="1"/>
  <c r="F163" i="30" s="1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B163" i="30" s="1"/>
  <c r="D162" i="30"/>
  <c r="E162" i="30" s="1"/>
  <c r="F162" i="30" s="1"/>
  <c r="G162" i="30" s="1"/>
  <c r="H162" i="30" s="1"/>
  <c r="I162" i="30" s="1"/>
  <c r="J162" i="30" s="1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B162" i="30" s="1"/>
  <c r="AB161" i="30"/>
  <c r="AC161" i="30" s="1"/>
  <c r="AD161" i="30" s="1"/>
  <c r="AE161" i="30" s="1"/>
  <c r="AF161" i="30" s="1"/>
  <c r="B161" i="30" s="1"/>
  <c r="D161" i="30"/>
  <c r="E161" i="30" s="1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E160" i="30"/>
  <c r="F160" i="30" s="1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B160" i="30" s="1"/>
  <c r="D160" i="30"/>
  <c r="H159" i="30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B159" i="30" s="1"/>
  <c r="E159" i="30"/>
  <c r="F159" i="30" s="1"/>
  <c r="G159" i="30" s="1"/>
  <c r="D159" i="30"/>
  <c r="D158" i="30"/>
  <c r="E158" i="30" s="1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B158" i="30" s="1"/>
  <c r="D157" i="30"/>
  <c r="E157" i="30" s="1"/>
  <c r="F157" i="30" s="1"/>
  <c r="G157" i="30" s="1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B157" i="30" s="1"/>
  <c r="D156" i="30"/>
  <c r="E156" i="30" s="1"/>
  <c r="F156" i="30" s="1"/>
  <c r="G156" i="30" s="1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B156" i="30" s="1"/>
  <c r="D154" i="30"/>
  <c r="E154" i="30" s="1"/>
  <c r="F154" i="30" s="1"/>
  <c r="G154" i="30" s="1"/>
  <c r="H154" i="30" s="1"/>
  <c r="I154" i="30" s="1"/>
  <c r="J154" i="30" s="1"/>
  <c r="K154" i="30" s="1"/>
  <c r="L154" i="30" s="1"/>
  <c r="M154" i="30" s="1"/>
  <c r="N154" i="30" s="1"/>
  <c r="O154" i="30" s="1"/>
  <c r="P154" i="30" s="1"/>
  <c r="Q154" i="30" s="1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B154" i="30" s="1"/>
  <c r="D153" i="30"/>
  <c r="E153" i="30" s="1"/>
  <c r="F153" i="30" s="1"/>
  <c r="G153" i="30" s="1"/>
  <c r="H153" i="30" s="1"/>
  <c r="I153" i="30" s="1"/>
  <c r="J153" i="30" s="1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B153" i="30" s="1"/>
  <c r="E152" i="30"/>
  <c r="F152" i="30" s="1"/>
  <c r="G152" i="30" s="1"/>
  <c r="H152" i="30" s="1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B152" i="30" s="1"/>
  <c r="D152" i="30"/>
  <c r="D151" i="30"/>
  <c r="E151" i="30" s="1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B151" i="30" s="1"/>
  <c r="D149" i="30"/>
  <c r="E149" i="30" s="1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Q149" i="30" s="1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B149" i="30" s="1"/>
  <c r="E148" i="30"/>
  <c r="F148" i="30" s="1"/>
  <c r="G148" i="30" s="1"/>
  <c r="H148" i="30" s="1"/>
  <c r="I148" i="30" s="1"/>
  <c r="J148" i="30" s="1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B148" i="30" s="1"/>
  <c r="D148" i="30"/>
  <c r="J146" i="30"/>
  <c r="K146" i="30" s="1"/>
  <c r="L146" i="30" s="1"/>
  <c r="M146" i="30" s="1"/>
  <c r="N146" i="30" s="1"/>
  <c r="O146" i="30" s="1"/>
  <c r="P146" i="30" s="1"/>
  <c r="Q146" i="30" s="1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B146" i="30" s="1"/>
  <c r="D146" i="30"/>
  <c r="E146" i="30" s="1"/>
  <c r="F146" i="30" s="1"/>
  <c r="G146" i="30" s="1"/>
  <c r="H146" i="30" s="1"/>
  <c r="I146" i="30" s="1"/>
  <c r="D145" i="30"/>
  <c r="E145" i="30" s="1"/>
  <c r="F145" i="30" s="1"/>
  <c r="G145" i="30" s="1"/>
  <c r="H145" i="30" s="1"/>
  <c r="I145" i="30" s="1"/>
  <c r="J145" i="30" s="1"/>
  <c r="K145" i="30" s="1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B145" i="30" s="1"/>
  <c r="F144" i="30"/>
  <c r="G144" i="30" s="1"/>
  <c r="H144" i="30" s="1"/>
  <c r="I144" i="30" s="1"/>
  <c r="J144" i="30" s="1"/>
  <c r="K144" i="30" s="1"/>
  <c r="L144" i="30" s="1"/>
  <c r="M144" i="30" s="1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B144" i="30" s="1"/>
  <c r="E144" i="30"/>
  <c r="D144" i="30"/>
  <c r="D143" i="30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B143" i="30" s="1"/>
  <c r="E142" i="30"/>
  <c r="F142" i="30" s="1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B142" i="30" s="1"/>
  <c r="D142" i="30"/>
  <c r="D141" i="30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B141" i="30" s="1"/>
  <c r="D140" i="30"/>
  <c r="E140" i="30" s="1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B140" i="30" s="1"/>
  <c r="D138" i="30"/>
  <c r="E138" i="30" s="1"/>
  <c r="F138" i="30" s="1"/>
  <c r="G138" i="30" s="1"/>
  <c r="H138" i="30" s="1"/>
  <c r="I138" i="30" s="1"/>
  <c r="J138" i="30" s="1"/>
  <c r="K138" i="30" s="1"/>
  <c r="L138" i="30" s="1"/>
  <c r="M138" i="30" s="1"/>
  <c r="N138" i="30" s="1"/>
  <c r="O138" i="30" s="1"/>
  <c r="P138" i="30" s="1"/>
  <c r="Q138" i="30" s="1"/>
  <c r="R138" i="30" s="1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B138" i="30" s="1"/>
  <c r="F137" i="30"/>
  <c r="G137" i="30" s="1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B137" i="30" s="1"/>
  <c r="D137" i="30"/>
  <c r="E137" i="30" s="1"/>
  <c r="D136" i="30"/>
  <c r="E136" i="30" s="1"/>
  <c r="F136" i="30" s="1"/>
  <c r="G136" i="30" s="1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B136" i="30" s="1"/>
  <c r="D135" i="30"/>
  <c r="E135" i="30" s="1"/>
  <c r="F135" i="30" s="1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B135" i="30" s="1"/>
  <c r="F134" i="30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B134" i="30" s="1"/>
  <c r="E134" i="30"/>
  <c r="D134" i="30"/>
  <c r="D133" i="30"/>
  <c r="E133" i="30" s="1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B133" i="30" s="1"/>
  <c r="D132" i="30"/>
  <c r="E132" i="30" s="1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B132" i="30" s="1"/>
  <c r="E131" i="30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B131" i="30" s="1"/>
  <c r="D131" i="30"/>
  <c r="D129" i="30"/>
  <c r="E129" i="30" s="1"/>
  <c r="F129" i="30" s="1"/>
  <c r="G129" i="30" s="1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B129" i="30" s="1"/>
  <c r="I128" i="30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B128" i="30" s="1"/>
  <c r="D128" i="30"/>
  <c r="E128" i="30" s="1"/>
  <c r="F128" i="30" s="1"/>
  <c r="G128" i="30" s="1"/>
  <c r="H128" i="30" s="1"/>
  <c r="E127" i="30"/>
  <c r="F127" i="30" s="1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B127" i="30" s="1"/>
  <c r="D127" i="30"/>
  <c r="E126" i="30"/>
  <c r="F126" i="30" s="1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B126" i="30" s="1"/>
  <c r="D126" i="30"/>
  <c r="D125" i="30"/>
  <c r="E125" i="30" s="1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B125" i="30" s="1"/>
  <c r="D124" i="30"/>
  <c r="E124" i="30" s="1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B124" i="30" s="1"/>
  <c r="D123" i="30"/>
  <c r="E123" i="30" s="1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B123" i="30" s="1"/>
  <c r="D122" i="30"/>
  <c r="E122" i="30" s="1"/>
  <c r="F122" i="30" s="1"/>
  <c r="G122" i="30" s="1"/>
  <c r="H122" i="30" s="1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B122" i="30" s="1"/>
  <c r="D121" i="30"/>
  <c r="E121" i="30" s="1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B121" i="30" s="1"/>
  <c r="D120" i="30"/>
  <c r="E120" i="30" s="1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B120" i="30" s="1"/>
  <c r="L119" i="30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B119" i="30" s="1"/>
  <c r="G119" i="30"/>
  <c r="H119" i="30" s="1"/>
  <c r="I119" i="30" s="1"/>
  <c r="J119" i="30" s="1"/>
  <c r="K119" i="30" s="1"/>
  <c r="D119" i="30"/>
  <c r="E119" i="30" s="1"/>
  <c r="F119" i="30" s="1"/>
  <c r="D118" i="30"/>
  <c r="E118" i="30" s="1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B118" i="30" s="1"/>
  <c r="I117" i="30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B117" i="30" s="1"/>
  <c r="E117" i="30"/>
  <c r="F117" i="30" s="1"/>
  <c r="G117" i="30" s="1"/>
  <c r="H117" i="30" s="1"/>
  <c r="D117" i="30"/>
  <c r="D116" i="30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B116" i="30" s="1"/>
  <c r="D115" i="30"/>
  <c r="E115" i="30" s="1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B115" i="30" s="1"/>
  <c r="K114" i="30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B114" i="30" s="1"/>
  <c r="G114" i="30"/>
  <c r="H114" i="30" s="1"/>
  <c r="I114" i="30" s="1"/>
  <c r="D114" i="30"/>
  <c r="E114" i="30" s="1"/>
  <c r="F114" i="30" s="1"/>
  <c r="D113" i="30"/>
  <c r="E113" i="30" s="1"/>
  <c r="F113" i="30" s="1"/>
  <c r="G113" i="30" s="1"/>
  <c r="H113" i="30" s="1"/>
  <c r="I113" i="30" s="1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B113" i="30" s="1"/>
  <c r="E112" i="30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B112" i="30" s="1"/>
  <c r="D112" i="30"/>
  <c r="D110" i="30"/>
  <c r="E110" i="30" s="1"/>
  <c r="F110" i="30" s="1"/>
  <c r="G110" i="30" s="1"/>
  <c r="H110" i="30" s="1"/>
  <c r="I110" i="30" s="1"/>
  <c r="J110" i="30" s="1"/>
  <c r="K110" i="30" s="1"/>
  <c r="L110" i="30" s="1"/>
  <c r="M110" i="30" s="1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B110" i="30" s="1"/>
  <c r="E109" i="30"/>
  <c r="F109" i="30" s="1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B109" i="30" s="1"/>
  <c r="D109" i="30"/>
  <c r="D107" i="30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B107" i="30" s="1"/>
  <c r="D106" i="30"/>
  <c r="E106" i="30" s="1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B106" i="30" s="1"/>
  <c r="D105" i="30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B105" i="30" s="1"/>
  <c r="E104" i="30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B104" i="30" s="1"/>
  <c r="D104" i="30"/>
  <c r="D103" i="30"/>
  <c r="E103" i="30" s="1"/>
  <c r="D102" i="30"/>
  <c r="AH100" i="30"/>
  <c r="AI100" i="30" s="1"/>
  <c r="AH99" i="30"/>
  <c r="AI99" i="30" s="1"/>
  <c r="AH98" i="30"/>
  <c r="AI98" i="30" s="1"/>
  <c r="AH97" i="30"/>
  <c r="AI97" i="30" s="1"/>
  <c r="AH96" i="30"/>
  <c r="AI96" i="30" s="1"/>
  <c r="AH95" i="30"/>
  <c r="AI95" i="30" s="1"/>
  <c r="AH94" i="30"/>
  <c r="AI94" i="30" s="1"/>
  <c r="C93" i="30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G82" i="30"/>
  <c r="AI81" i="30"/>
  <c r="AH81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L77" i="30"/>
  <c r="J77" i="30"/>
  <c r="I77" i="30"/>
  <c r="H77" i="30"/>
  <c r="G77" i="30"/>
  <c r="F77" i="30"/>
  <c r="E77" i="30"/>
  <c r="D77" i="30"/>
  <c r="C77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AI74" i="30"/>
  <c r="AH74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AH72" i="30" s="1"/>
  <c r="AI71" i="30"/>
  <c r="AH71" i="30"/>
  <c r="AI70" i="30"/>
  <c r="AH70" i="30"/>
  <c r="AI69" i="30"/>
  <c r="AH69" i="30"/>
  <c r="AG68" i="30"/>
  <c r="AF68" i="30"/>
  <c r="AE5" i="30" s="1"/>
  <c r="AE68" i="30"/>
  <c r="AD5" i="30" s="1"/>
  <c r="AD68" i="30"/>
  <c r="AC68" i="30"/>
  <c r="AB5" i="30" s="1"/>
  <c r="AB68" i="30"/>
  <c r="AA5" i="30" s="1"/>
  <c r="AA68" i="30"/>
  <c r="Z68" i="30"/>
  <c r="Y68" i="30"/>
  <c r="X68" i="30"/>
  <c r="W5" i="30" s="1"/>
  <c r="W68" i="30"/>
  <c r="V5" i="30" s="1"/>
  <c r="V68" i="30"/>
  <c r="U68" i="30"/>
  <c r="T5" i="30" s="1"/>
  <c r="T68" i="30"/>
  <c r="S5" i="30" s="1"/>
  <c r="S68" i="30"/>
  <c r="R68" i="30"/>
  <c r="Q68" i="30"/>
  <c r="P5" i="30" s="1"/>
  <c r="P68" i="30"/>
  <c r="O5" i="30" s="1"/>
  <c r="O68" i="30"/>
  <c r="N5" i="30" s="1"/>
  <c r="N68" i="30"/>
  <c r="L68" i="30"/>
  <c r="J68" i="30"/>
  <c r="I68" i="30"/>
  <c r="H68" i="30"/>
  <c r="G5" i="30" s="1"/>
  <c r="G68" i="30"/>
  <c r="F5" i="30" s="1"/>
  <c r="F68" i="30"/>
  <c r="E68" i="30"/>
  <c r="D5" i="30" s="1"/>
  <c r="D68" i="30"/>
  <c r="C5" i="30" s="1"/>
  <c r="C68" i="30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M77" i="30"/>
  <c r="K68" i="30"/>
  <c r="AI57" i="30"/>
  <c r="AH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I55" i="30"/>
  <c r="AH55" i="30"/>
  <c r="AI54" i="30"/>
  <c r="AH54" i="30"/>
  <c r="AI53" i="30"/>
  <c r="AH53" i="30"/>
  <c r="Z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G52" i="30" s="1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G38" i="30"/>
  <c r="AG2" i="30" s="1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X5" i="30"/>
  <c r="K5" i="30"/>
  <c r="H5" i="30"/>
  <c r="AG4" i="30"/>
  <c r="K4" i="30"/>
  <c r="B4" i="30"/>
  <c r="R37" i="29"/>
  <c r="R58" i="29"/>
  <c r="E4" i="31"/>
  <c r="E4" i="30"/>
  <c r="E4" i="32"/>
  <c r="E4" i="35"/>
  <c r="E4" i="33"/>
  <c r="AF82" i="35" l="1"/>
  <c r="AE82" i="35"/>
  <c r="AC82" i="35"/>
  <c r="AA82" i="35"/>
  <c r="X82" i="35"/>
  <c r="W82" i="35"/>
  <c r="U82" i="35"/>
  <c r="T73" i="35"/>
  <c r="S82" i="35"/>
  <c r="R75" i="35"/>
  <c r="AJ214" i="35" s="1"/>
  <c r="R82" i="35"/>
  <c r="R73" i="35"/>
  <c r="Q75" i="35"/>
  <c r="P82" i="35"/>
  <c r="P75" i="35"/>
  <c r="O82" i="35"/>
  <c r="O73" i="35"/>
  <c r="N75" i="35"/>
  <c r="N73" i="35"/>
  <c r="M82" i="35"/>
  <c r="M73" i="35"/>
  <c r="K82" i="35"/>
  <c r="K73" i="35"/>
  <c r="J82" i="35"/>
  <c r="J73" i="35"/>
  <c r="H82" i="35"/>
  <c r="AI80" i="35"/>
  <c r="B73" i="35"/>
  <c r="G82" i="35"/>
  <c r="E82" i="35"/>
  <c r="L73" i="35"/>
  <c r="F73" i="35"/>
  <c r="G73" i="35"/>
  <c r="E73" i="35"/>
  <c r="AI78" i="35"/>
  <c r="AH79" i="35"/>
  <c r="D73" i="35"/>
  <c r="AI37" i="35"/>
  <c r="C73" i="35"/>
  <c r="C75" i="35" s="1"/>
  <c r="U214" i="35" s="1"/>
  <c r="AH38" i="35"/>
  <c r="AH37" i="35"/>
  <c r="B75" i="35"/>
  <c r="H4" i="35"/>
  <c r="AF214" i="35"/>
  <c r="N7" i="35"/>
  <c r="AH214" i="35"/>
  <c r="P7" i="35"/>
  <c r="H73" i="35"/>
  <c r="R83" i="35"/>
  <c r="AI214" i="35"/>
  <c r="Q7" i="35"/>
  <c r="I73" i="35"/>
  <c r="Q73" i="35"/>
  <c r="AG73" i="35"/>
  <c r="F75" i="35"/>
  <c r="F82" i="35"/>
  <c r="N82" i="35"/>
  <c r="N83" i="35" s="1"/>
  <c r="V82" i="35"/>
  <c r="AD82" i="35"/>
  <c r="AI68" i="35"/>
  <c r="D75" i="35"/>
  <c r="L75" i="35"/>
  <c r="T75" i="35"/>
  <c r="H75" i="35"/>
  <c r="S75" i="35"/>
  <c r="S83" i="35" s="1"/>
  <c r="AG75" i="35"/>
  <c r="AG83" i="35" s="1"/>
  <c r="P73" i="35"/>
  <c r="P83" i="35" s="1"/>
  <c r="AI38" i="35"/>
  <c r="E75" i="35"/>
  <c r="M75" i="35"/>
  <c r="I75" i="35"/>
  <c r="AE5" i="35"/>
  <c r="AI56" i="35"/>
  <c r="J75" i="35"/>
  <c r="I82" i="35"/>
  <c r="Q82" i="35"/>
  <c r="Y82" i="35"/>
  <c r="AH76" i="35"/>
  <c r="AH78" i="35"/>
  <c r="AI79" i="35"/>
  <c r="AH80" i="35"/>
  <c r="D93" i="35"/>
  <c r="E109" i="35"/>
  <c r="W5" i="35"/>
  <c r="G75" i="35"/>
  <c r="O75" i="35"/>
  <c r="O83" i="35" s="1"/>
  <c r="K75" i="35"/>
  <c r="AI76" i="35"/>
  <c r="AI77" i="35"/>
  <c r="D211" i="35"/>
  <c r="S211" i="35"/>
  <c r="O5" i="35"/>
  <c r="X5" i="35"/>
  <c r="R7" i="35"/>
  <c r="Z75" i="35"/>
  <c r="C82" i="35"/>
  <c r="AH77" i="35"/>
  <c r="D192" i="35"/>
  <c r="E102" i="35"/>
  <c r="G103" i="35"/>
  <c r="G5" i="35"/>
  <c r="P5" i="35"/>
  <c r="D82" i="35"/>
  <c r="L82" i="35"/>
  <c r="T82" i="35"/>
  <c r="AB82" i="35"/>
  <c r="AH56" i="35"/>
  <c r="AH68" i="35"/>
  <c r="AH72" i="35"/>
  <c r="AI72" i="35"/>
  <c r="F199" i="35"/>
  <c r="E194" i="35"/>
  <c r="AF82" i="33"/>
  <c r="AE82" i="33"/>
  <c r="AB82" i="33"/>
  <c r="W82" i="33"/>
  <c r="AA82" i="33"/>
  <c r="Z82" i="33"/>
  <c r="Z73" i="33"/>
  <c r="Z75" i="33"/>
  <c r="X82" i="33"/>
  <c r="V82" i="33"/>
  <c r="U82" i="33"/>
  <c r="S82" i="33"/>
  <c r="S73" i="33"/>
  <c r="S75" i="33"/>
  <c r="R73" i="33"/>
  <c r="R75" i="33"/>
  <c r="Q73" i="33"/>
  <c r="Q75" i="33"/>
  <c r="Q83" i="33" s="1"/>
  <c r="P75" i="33"/>
  <c r="AH214" i="33" s="1"/>
  <c r="AI78" i="33"/>
  <c r="P82" i="33"/>
  <c r="P73" i="33"/>
  <c r="O75" i="33"/>
  <c r="O73" i="33"/>
  <c r="N75" i="33"/>
  <c r="N73" i="33"/>
  <c r="M82" i="33"/>
  <c r="L82" i="33"/>
  <c r="K82" i="33"/>
  <c r="K73" i="33"/>
  <c r="K75" i="33"/>
  <c r="K7" i="33" s="1"/>
  <c r="J73" i="33"/>
  <c r="J75" i="33"/>
  <c r="I75" i="33"/>
  <c r="AA214" i="33" s="1"/>
  <c r="I73" i="33"/>
  <c r="H73" i="33"/>
  <c r="H75" i="33"/>
  <c r="Z214" i="33" s="1"/>
  <c r="G82" i="33"/>
  <c r="G75" i="33"/>
  <c r="Y214" i="33" s="1"/>
  <c r="G73" i="33"/>
  <c r="F82" i="33"/>
  <c r="F75" i="33"/>
  <c r="X214" i="33" s="1"/>
  <c r="AA83" i="32"/>
  <c r="AA7" i="32"/>
  <c r="F73" i="33"/>
  <c r="AH68" i="33"/>
  <c r="E82" i="33"/>
  <c r="AI80" i="33"/>
  <c r="C73" i="33"/>
  <c r="C75" i="33" s="1"/>
  <c r="C7" i="33" s="1"/>
  <c r="AH79" i="33"/>
  <c r="AF5" i="33"/>
  <c r="AI68" i="33"/>
  <c r="AI56" i="33"/>
  <c r="H4" i="33"/>
  <c r="AC214" i="33"/>
  <c r="D75" i="33"/>
  <c r="L75" i="33"/>
  <c r="T75" i="33"/>
  <c r="D82" i="33"/>
  <c r="AH76" i="33"/>
  <c r="F103" i="33"/>
  <c r="E93" i="33"/>
  <c r="AG214" i="33"/>
  <c r="O7" i="33"/>
  <c r="E75" i="33"/>
  <c r="M75" i="33"/>
  <c r="AK214" i="33"/>
  <c r="S7" i="33"/>
  <c r="AG6" i="33"/>
  <c r="AH56" i="33"/>
  <c r="C5" i="33"/>
  <c r="D73" i="33"/>
  <c r="K5" i="33"/>
  <c r="L73" i="33"/>
  <c r="S5" i="33"/>
  <c r="T73" i="33"/>
  <c r="T83" i="33" s="1"/>
  <c r="AA5" i="33"/>
  <c r="N83" i="33"/>
  <c r="AF214" i="33"/>
  <c r="N7" i="33"/>
  <c r="H82" i="33"/>
  <c r="AH80" i="33"/>
  <c r="E73" i="33"/>
  <c r="M73" i="33"/>
  <c r="O83" i="33"/>
  <c r="S83" i="33"/>
  <c r="AI38" i="33"/>
  <c r="AH78" i="33"/>
  <c r="B82" i="33"/>
  <c r="AI79" i="33"/>
  <c r="AI214" i="33"/>
  <c r="Q7" i="33"/>
  <c r="I82" i="33"/>
  <c r="AI77" i="33"/>
  <c r="AI76" i="33"/>
  <c r="J82" i="33"/>
  <c r="R82" i="33"/>
  <c r="R83" i="33" s="1"/>
  <c r="D211" i="33"/>
  <c r="S211" i="33"/>
  <c r="AG75" i="33"/>
  <c r="AG83" i="33" s="1"/>
  <c r="AH38" i="33"/>
  <c r="D192" i="33"/>
  <c r="P7" i="33"/>
  <c r="Z83" i="33"/>
  <c r="AH72" i="33"/>
  <c r="AH77" i="33"/>
  <c r="E102" i="33"/>
  <c r="E200" i="33"/>
  <c r="F195" i="33"/>
  <c r="G195" i="33" s="1"/>
  <c r="H195" i="33" s="1"/>
  <c r="I195" i="33" s="1"/>
  <c r="J195" i="33" s="1"/>
  <c r="K195" i="33" s="1"/>
  <c r="L195" i="33" s="1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B195" i="33" s="1"/>
  <c r="D200" i="33"/>
  <c r="D235" i="33"/>
  <c r="F199" i="33"/>
  <c r="G194" i="33"/>
  <c r="F200" i="33"/>
  <c r="AF82" i="32"/>
  <c r="AD82" i="32"/>
  <c r="AB82" i="32"/>
  <c r="Y82" i="32"/>
  <c r="X82" i="32"/>
  <c r="V82" i="32"/>
  <c r="AI77" i="32"/>
  <c r="U82" i="32"/>
  <c r="T82" i="32"/>
  <c r="T73" i="32"/>
  <c r="T75" i="32"/>
  <c r="AL214" i="32" s="1"/>
  <c r="Q82" i="32"/>
  <c r="Q73" i="32"/>
  <c r="P82" i="32"/>
  <c r="P73" i="32"/>
  <c r="P75" i="32"/>
  <c r="AH214" i="32" s="1"/>
  <c r="N73" i="32"/>
  <c r="M75" i="32"/>
  <c r="AE214" i="32" s="1"/>
  <c r="M73" i="32"/>
  <c r="L82" i="32"/>
  <c r="L75" i="32"/>
  <c r="AD214" i="32" s="1"/>
  <c r="L73" i="32"/>
  <c r="K73" i="32"/>
  <c r="I82" i="32"/>
  <c r="I75" i="32"/>
  <c r="I7" i="32" s="1"/>
  <c r="H73" i="32"/>
  <c r="G75" i="32"/>
  <c r="Y214" i="32" s="1"/>
  <c r="F82" i="32"/>
  <c r="F73" i="32"/>
  <c r="AI78" i="32"/>
  <c r="AH78" i="32"/>
  <c r="E73" i="32"/>
  <c r="E75" i="32"/>
  <c r="E7" i="32" s="1"/>
  <c r="AH56" i="32"/>
  <c r="D73" i="32"/>
  <c r="D75" i="32"/>
  <c r="AH38" i="32"/>
  <c r="AH80" i="32"/>
  <c r="AI56" i="32"/>
  <c r="AI38" i="32"/>
  <c r="H4" i="32"/>
  <c r="C73" i="32"/>
  <c r="C75" i="32" s="1"/>
  <c r="S73" i="32"/>
  <c r="AI68" i="32"/>
  <c r="K75" i="32"/>
  <c r="S75" i="32"/>
  <c r="AI72" i="32"/>
  <c r="AR214" i="32"/>
  <c r="Z7" i="32"/>
  <c r="AH79" i="32"/>
  <c r="AI79" i="32"/>
  <c r="I73" i="32"/>
  <c r="W214" i="32"/>
  <c r="C82" i="32"/>
  <c r="AI76" i="32"/>
  <c r="K82" i="32"/>
  <c r="S82" i="32"/>
  <c r="D82" i="32"/>
  <c r="AH77" i="32"/>
  <c r="E109" i="32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B109" i="32" s="1"/>
  <c r="D93" i="32"/>
  <c r="T7" i="32"/>
  <c r="AF5" i="32"/>
  <c r="J73" i="32"/>
  <c r="R73" i="32"/>
  <c r="AH68" i="32"/>
  <c r="J75" i="32"/>
  <c r="R75" i="32"/>
  <c r="AH72" i="32"/>
  <c r="Q75" i="32"/>
  <c r="Q83" i="32" s="1"/>
  <c r="AI80" i="32"/>
  <c r="G73" i="32"/>
  <c r="O73" i="32"/>
  <c r="E192" i="32"/>
  <c r="P83" i="32"/>
  <c r="F102" i="32"/>
  <c r="O75" i="32"/>
  <c r="B82" i="32"/>
  <c r="AH76" i="32"/>
  <c r="J82" i="32"/>
  <c r="R82" i="32"/>
  <c r="E93" i="32"/>
  <c r="F103" i="32"/>
  <c r="H75" i="32"/>
  <c r="E82" i="32"/>
  <c r="M82" i="32"/>
  <c r="S211" i="32"/>
  <c r="D211" i="32"/>
  <c r="F75" i="32"/>
  <c r="N75" i="32"/>
  <c r="N83" i="32" s="1"/>
  <c r="G82" i="32"/>
  <c r="O82" i="32"/>
  <c r="W82" i="32"/>
  <c r="AE82" i="32"/>
  <c r="D192" i="32"/>
  <c r="D200" i="32"/>
  <c r="E194" i="32"/>
  <c r="E199" i="32"/>
  <c r="C235" i="32"/>
  <c r="AF82" i="31"/>
  <c r="AE82" i="31"/>
  <c r="AD82" i="31"/>
  <c r="AB82" i="31"/>
  <c r="Z82" i="31"/>
  <c r="Z75" i="31"/>
  <c r="Z73" i="31"/>
  <c r="S75" i="31"/>
  <c r="Y82" i="31"/>
  <c r="X82" i="31"/>
  <c r="W82" i="31"/>
  <c r="U82" i="31"/>
  <c r="T82" i="31"/>
  <c r="T75" i="31"/>
  <c r="AL214" i="31" s="1"/>
  <c r="T73" i="31"/>
  <c r="S73" i="31"/>
  <c r="R82" i="31"/>
  <c r="R75" i="31"/>
  <c r="R73" i="31"/>
  <c r="Q82" i="31"/>
  <c r="Q75" i="31"/>
  <c r="AI214" i="31" s="1"/>
  <c r="Q73" i="31"/>
  <c r="P82" i="31"/>
  <c r="P73" i="31"/>
  <c r="P75" i="31"/>
  <c r="O82" i="31"/>
  <c r="O75" i="31"/>
  <c r="N75" i="31"/>
  <c r="N73" i="31"/>
  <c r="M82" i="31"/>
  <c r="M73" i="31"/>
  <c r="L82" i="31"/>
  <c r="L75" i="31"/>
  <c r="AD214" i="31" s="1"/>
  <c r="L73" i="31"/>
  <c r="K73" i="31"/>
  <c r="J82" i="31"/>
  <c r="J73" i="31"/>
  <c r="J75" i="31"/>
  <c r="AB214" i="31" s="1"/>
  <c r="I82" i="31"/>
  <c r="AI76" i="31"/>
  <c r="I75" i="31"/>
  <c r="AA214" i="31" s="1"/>
  <c r="I73" i="31"/>
  <c r="I83" i="31" s="1"/>
  <c r="H82" i="31"/>
  <c r="H75" i="31"/>
  <c r="H83" i="31" s="1"/>
  <c r="G82" i="31"/>
  <c r="G75" i="31"/>
  <c r="Y214" i="31" s="1"/>
  <c r="F82" i="31"/>
  <c r="F73" i="31"/>
  <c r="F83" i="31" s="1"/>
  <c r="AI77" i="31"/>
  <c r="AH80" i="31"/>
  <c r="E82" i="31"/>
  <c r="E73" i="31"/>
  <c r="E75" i="31"/>
  <c r="W214" i="31" s="1"/>
  <c r="AI79" i="31"/>
  <c r="D82" i="31"/>
  <c r="AI80" i="31"/>
  <c r="AH56" i="31"/>
  <c r="D73" i="31"/>
  <c r="D83" i="31" s="1"/>
  <c r="AI78" i="31"/>
  <c r="AH38" i="31"/>
  <c r="AH77" i="31"/>
  <c r="H4" i="31"/>
  <c r="C75" i="31"/>
  <c r="AG75" i="31"/>
  <c r="AG83" i="31" s="1"/>
  <c r="AG3" i="31"/>
  <c r="AG6" i="31" s="1"/>
  <c r="L83" i="31"/>
  <c r="N83" i="31"/>
  <c r="AG214" i="31"/>
  <c r="O7" i="31"/>
  <c r="X214" i="31"/>
  <c r="F7" i="31"/>
  <c r="AF214" i="31"/>
  <c r="N7" i="31"/>
  <c r="H7" i="31"/>
  <c r="AH214" i="31"/>
  <c r="P7" i="31"/>
  <c r="J7" i="31"/>
  <c r="AJ214" i="31"/>
  <c r="R7" i="31"/>
  <c r="AR214" i="31"/>
  <c r="Z7" i="31"/>
  <c r="AK214" i="31"/>
  <c r="S7" i="31"/>
  <c r="I5" i="31"/>
  <c r="Q5" i="31"/>
  <c r="Y5" i="31"/>
  <c r="Q83" i="31"/>
  <c r="G73" i="31"/>
  <c r="O73" i="31"/>
  <c r="O83" i="31" s="1"/>
  <c r="K75" i="31"/>
  <c r="AH76" i="31"/>
  <c r="B82" i="31"/>
  <c r="AH68" i="31"/>
  <c r="I7" i="31"/>
  <c r="Q7" i="31"/>
  <c r="AI56" i="31"/>
  <c r="AI68" i="31"/>
  <c r="AI72" i="31"/>
  <c r="M75" i="31"/>
  <c r="C82" i="31"/>
  <c r="K82" i="31"/>
  <c r="S82" i="31"/>
  <c r="S83" i="31" s="1"/>
  <c r="AA82" i="31"/>
  <c r="AH78" i="31"/>
  <c r="Z83" i="31"/>
  <c r="AH72" i="31"/>
  <c r="AH79" i="31"/>
  <c r="R83" i="31"/>
  <c r="AI38" i="31"/>
  <c r="D211" i="31"/>
  <c r="S211" i="31"/>
  <c r="D7" i="31"/>
  <c r="T7" i="31"/>
  <c r="D93" i="31"/>
  <c r="G103" i="31"/>
  <c r="D192" i="31"/>
  <c r="E102" i="31"/>
  <c r="G199" i="31"/>
  <c r="E194" i="31"/>
  <c r="AF82" i="30"/>
  <c r="AD82" i="30"/>
  <c r="AC82" i="30"/>
  <c r="X82" i="30"/>
  <c r="V82" i="30"/>
  <c r="U82" i="30"/>
  <c r="P82" i="30"/>
  <c r="P75" i="30"/>
  <c r="N82" i="30"/>
  <c r="F82" i="30"/>
  <c r="S82" i="30"/>
  <c r="AA82" i="30"/>
  <c r="T82" i="30"/>
  <c r="AB82" i="30"/>
  <c r="AI78" i="30"/>
  <c r="T73" i="30"/>
  <c r="I82" i="30"/>
  <c r="B82" i="30"/>
  <c r="AG75" i="30"/>
  <c r="J82" i="30"/>
  <c r="R82" i="30"/>
  <c r="Z82" i="30"/>
  <c r="P73" i="30"/>
  <c r="T75" i="30"/>
  <c r="AL214" i="30" s="1"/>
  <c r="E82" i="30"/>
  <c r="L75" i="30"/>
  <c r="AD214" i="30" s="1"/>
  <c r="L82" i="30"/>
  <c r="H75" i="30"/>
  <c r="H7" i="30" s="1"/>
  <c r="H82" i="30"/>
  <c r="D75" i="30"/>
  <c r="V214" i="30" s="1"/>
  <c r="D82" i="30"/>
  <c r="C82" i="30"/>
  <c r="AH56" i="30"/>
  <c r="AI80" i="30"/>
  <c r="AH78" i="30"/>
  <c r="AH79" i="30"/>
  <c r="G82" i="30"/>
  <c r="O82" i="30"/>
  <c r="W82" i="30"/>
  <c r="AE82" i="30"/>
  <c r="Q82" i="30"/>
  <c r="Y82" i="30"/>
  <c r="I73" i="30"/>
  <c r="Q73" i="30"/>
  <c r="E75" i="30"/>
  <c r="E7" i="30" s="1"/>
  <c r="E73" i="30"/>
  <c r="I75" i="30"/>
  <c r="AA214" i="30" s="1"/>
  <c r="Q75" i="30"/>
  <c r="Q7" i="30" s="1"/>
  <c r="J73" i="30"/>
  <c r="C73" i="30"/>
  <c r="C75" i="30" s="1"/>
  <c r="C7" i="30" s="1"/>
  <c r="N73" i="30"/>
  <c r="AI38" i="30"/>
  <c r="F73" i="30"/>
  <c r="J75" i="30"/>
  <c r="AB214" i="30" s="1"/>
  <c r="R75" i="30"/>
  <c r="R7" i="30" s="1"/>
  <c r="Z75" i="30"/>
  <c r="Z7" i="30" s="1"/>
  <c r="D73" i="30"/>
  <c r="K75" i="30"/>
  <c r="AC214" i="30" s="1"/>
  <c r="S75" i="30"/>
  <c r="S7" i="30" s="1"/>
  <c r="H73" i="30"/>
  <c r="G73" i="30"/>
  <c r="O73" i="30"/>
  <c r="R73" i="30"/>
  <c r="R83" i="30" s="1"/>
  <c r="Z73" i="30"/>
  <c r="AH38" i="30"/>
  <c r="S73" i="30"/>
  <c r="S83" i="30" s="1"/>
  <c r="L73" i="30"/>
  <c r="AI79" i="30"/>
  <c r="H4" i="30"/>
  <c r="P83" i="30"/>
  <c r="K73" i="30"/>
  <c r="J5" i="30"/>
  <c r="AH214" i="30"/>
  <c r="P7" i="30"/>
  <c r="M82" i="30"/>
  <c r="AG3" i="30"/>
  <c r="AG6" i="30" s="1"/>
  <c r="AG73" i="30"/>
  <c r="AG83" i="30" s="1"/>
  <c r="AF5" i="30"/>
  <c r="I5" i="30"/>
  <c r="Q5" i="30"/>
  <c r="Y5" i="30"/>
  <c r="AI37" i="30"/>
  <c r="F75" i="30"/>
  <c r="N75" i="30"/>
  <c r="K77" i="30"/>
  <c r="K82" i="30" s="1"/>
  <c r="D192" i="30"/>
  <c r="F103" i="30"/>
  <c r="AI76" i="30"/>
  <c r="AI72" i="30"/>
  <c r="B5" i="30"/>
  <c r="R5" i="30"/>
  <c r="Z5" i="30"/>
  <c r="M68" i="30"/>
  <c r="AH68" i="30" s="1"/>
  <c r="G75" i="30"/>
  <c r="O75" i="30"/>
  <c r="AH80" i="30"/>
  <c r="E102" i="30"/>
  <c r="AH58" i="30"/>
  <c r="AI56" i="30"/>
  <c r="AI58" i="30"/>
  <c r="D93" i="30"/>
  <c r="S211" i="30"/>
  <c r="D211" i="30"/>
  <c r="E5" i="30"/>
  <c r="M5" i="30"/>
  <c r="U5" i="30"/>
  <c r="AC5" i="30"/>
  <c r="AH76" i="30"/>
  <c r="C235" i="30"/>
  <c r="D200" i="30"/>
  <c r="E199" i="30"/>
  <c r="E93" i="30" s="1"/>
  <c r="E200" i="30"/>
  <c r="G194" i="30"/>
  <c r="Q58" i="29"/>
  <c r="Q37" i="29"/>
  <c r="P37" i="29"/>
  <c r="O37" i="29"/>
  <c r="N37" i="29"/>
  <c r="M58" i="29"/>
  <c r="M37" i="29"/>
  <c r="L95" i="29"/>
  <c r="L37" i="29"/>
  <c r="K58" i="29"/>
  <c r="K37" i="29"/>
  <c r="J37" i="29"/>
  <c r="I37" i="29"/>
  <c r="H37" i="29"/>
  <c r="G37" i="29"/>
  <c r="F37" i="29"/>
  <c r="E37" i="29"/>
  <c r="D12" i="12"/>
  <c r="D95" i="29"/>
  <c r="D37" i="29"/>
  <c r="AH100" i="29"/>
  <c r="AI100" i="29" s="1"/>
  <c r="AH99" i="29"/>
  <c r="AI99" i="29" s="1"/>
  <c r="C95" i="29"/>
  <c r="B95" i="29"/>
  <c r="C37" i="29"/>
  <c r="B80" i="29"/>
  <c r="B79" i="29"/>
  <c r="B78" i="29"/>
  <c r="B77" i="29"/>
  <c r="B76" i="29"/>
  <c r="B82" i="29" s="1"/>
  <c r="B72" i="29"/>
  <c r="B68" i="29"/>
  <c r="B56" i="29"/>
  <c r="B51" i="29"/>
  <c r="B52" i="29" s="1"/>
  <c r="B38" i="29"/>
  <c r="B37" i="29"/>
  <c r="AF239" i="29"/>
  <c r="AE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A239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C235" i="29"/>
  <c r="B235" i="29"/>
  <c r="S210" i="29"/>
  <c r="AG200" i="29"/>
  <c r="C200" i="29"/>
  <c r="E199" i="29"/>
  <c r="D235" i="29" s="1"/>
  <c r="D199" i="29"/>
  <c r="D198" i="29"/>
  <c r="E198" i="29" s="1"/>
  <c r="F198" i="29" s="1"/>
  <c r="G198" i="29" s="1"/>
  <c r="H198" i="29" s="1"/>
  <c r="I198" i="29" s="1"/>
  <c r="J198" i="29" s="1"/>
  <c r="K198" i="29" s="1"/>
  <c r="L198" i="29" s="1"/>
  <c r="M198" i="29" s="1"/>
  <c r="N198" i="29" s="1"/>
  <c r="O198" i="29" s="1"/>
  <c r="P198" i="29" s="1"/>
  <c r="Q198" i="29" s="1"/>
  <c r="R198" i="29" s="1"/>
  <c r="S198" i="29" s="1"/>
  <c r="T198" i="29" s="1"/>
  <c r="U198" i="29" s="1"/>
  <c r="V198" i="29" s="1"/>
  <c r="W198" i="29" s="1"/>
  <c r="X198" i="29" s="1"/>
  <c r="Y198" i="29" s="1"/>
  <c r="Z198" i="29" s="1"/>
  <c r="AA198" i="29" s="1"/>
  <c r="AB198" i="29" s="1"/>
  <c r="AC198" i="29" s="1"/>
  <c r="AD198" i="29" s="1"/>
  <c r="AE198" i="29" s="1"/>
  <c r="AF198" i="29" s="1"/>
  <c r="B198" i="29" s="1"/>
  <c r="F197" i="29"/>
  <c r="G197" i="29" s="1"/>
  <c r="H197" i="29" s="1"/>
  <c r="I197" i="29" s="1"/>
  <c r="J197" i="29" s="1"/>
  <c r="K197" i="29" s="1"/>
  <c r="L197" i="29" s="1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B197" i="29" s="1"/>
  <c r="D197" i="29"/>
  <c r="E197" i="29" s="1"/>
  <c r="G196" i="29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B196" i="29" s="1"/>
  <c r="E196" i="29"/>
  <c r="F196" i="29" s="1"/>
  <c r="D196" i="29"/>
  <c r="E195" i="29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D195" i="29"/>
  <c r="B195" i="29"/>
  <c r="D194" i="29"/>
  <c r="AG192" i="29"/>
  <c r="C192" i="29"/>
  <c r="F191" i="29"/>
  <c r="G191" i="29" s="1"/>
  <c r="H191" i="29" s="1"/>
  <c r="I191" i="29" s="1"/>
  <c r="J191" i="29" s="1"/>
  <c r="K191" i="29" s="1"/>
  <c r="L191" i="29" s="1"/>
  <c r="M191" i="29" s="1"/>
  <c r="N191" i="29" s="1"/>
  <c r="O191" i="29" s="1"/>
  <c r="P191" i="29" s="1"/>
  <c r="Q191" i="29" s="1"/>
  <c r="R191" i="29" s="1"/>
  <c r="S191" i="29" s="1"/>
  <c r="T191" i="29" s="1"/>
  <c r="U191" i="29" s="1"/>
  <c r="V191" i="29" s="1"/>
  <c r="W191" i="29" s="1"/>
  <c r="X191" i="29" s="1"/>
  <c r="Y191" i="29" s="1"/>
  <c r="Z191" i="29" s="1"/>
  <c r="AA191" i="29" s="1"/>
  <c r="AB191" i="29" s="1"/>
  <c r="AC191" i="29" s="1"/>
  <c r="AD191" i="29" s="1"/>
  <c r="AE191" i="29" s="1"/>
  <c r="AF191" i="29" s="1"/>
  <c r="B191" i="29" s="1"/>
  <c r="D191" i="29"/>
  <c r="E191" i="29" s="1"/>
  <c r="F190" i="29"/>
  <c r="G190" i="29" s="1"/>
  <c r="H190" i="29" s="1"/>
  <c r="I190" i="29" s="1"/>
  <c r="J190" i="29" s="1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B190" i="29" s="1"/>
  <c r="D190" i="29"/>
  <c r="E190" i="29" s="1"/>
  <c r="Z189" i="29"/>
  <c r="AA189" i="29" s="1"/>
  <c r="AB189" i="29" s="1"/>
  <c r="AC189" i="29" s="1"/>
  <c r="AD189" i="29" s="1"/>
  <c r="AE189" i="29" s="1"/>
  <c r="AF189" i="29" s="1"/>
  <c r="B189" i="29" s="1"/>
  <c r="D189" i="29"/>
  <c r="E189" i="29" s="1"/>
  <c r="F189" i="29" s="1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F188" i="29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B188" i="29" s="1"/>
  <c r="D188" i="29"/>
  <c r="E188" i="29" s="1"/>
  <c r="D187" i="29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B187" i="29" s="1"/>
  <c r="E186" i="29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B186" i="29" s="1"/>
  <c r="D186" i="29"/>
  <c r="R185" i="29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B185" i="29" s="1"/>
  <c r="D185" i="29"/>
  <c r="E185" i="29" s="1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H184" i="29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B184" i="29" s="1"/>
  <c r="D184" i="29"/>
  <c r="E184" i="29" s="1"/>
  <c r="F184" i="29" s="1"/>
  <c r="G184" i="29" s="1"/>
  <c r="F183" i="29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B183" i="29" s="1"/>
  <c r="D183" i="29"/>
  <c r="E183" i="29" s="1"/>
  <c r="E182" i="29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B182" i="29" s="1"/>
  <c r="D182" i="29"/>
  <c r="E181" i="29"/>
  <c r="F181" i="29" s="1"/>
  <c r="G181" i="29" s="1"/>
  <c r="H181" i="29" s="1"/>
  <c r="I181" i="29" s="1"/>
  <c r="J181" i="29" s="1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B181" i="29" s="1"/>
  <c r="D181" i="29"/>
  <c r="H180" i="29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B180" i="29" s="1"/>
  <c r="D180" i="29"/>
  <c r="E180" i="29" s="1"/>
  <c r="F180" i="29" s="1"/>
  <c r="G180" i="29" s="1"/>
  <c r="G179" i="29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B179" i="29" s="1"/>
  <c r="D179" i="29"/>
  <c r="E179" i="29" s="1"/>
  <c r="F179" i="29" s="1"/>
  <c r="U177" i="29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B177" i="29" s="1"/>
  <c r="E177" i="29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D177" i="29"/>
  <c r="N176" i="29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B176" i="29" s="1"/>
  <c r="D176" i="29"/>
  <c r="E176" i="29" s="1"/>
  <c r="F176" i="29" s="1"/>
  <c r="G176" i="29" s="1"/>
  <c r="H176" i="29" s="1"/>
  <c r="I176" i="29" s="1"/>
  <c r="J176" i="29" s="1"/>
  <c r="K176" i="29" s="1"/>
  <c r="L176" i="29" s="1"/>
  <c r="M176" i="29" s="1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B175" i="29" s="1"/>
  <c r="J174" i="29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B174" i="29" s="1"/>
  <c r="E174" i="29"/>
  <c r="F174" i="29" s="1"/>
  <c r="G174" i="29" s="1"/>
  <c r="H174" i="29" s="1"/>
  <c r="I174" i="29" s="1"/>
  <c r="D174" i="29"/>
  <c r="T173" i="29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D173" i="29"/>
  <c r="E173" i="29" s="1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B173" i="29"/>
  <c r="F172" i="29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B172" i="29" s="1"/>
  <c r="D172" i="29"/>
  <c r="E172" i="29" s="1"/>
  <c r="E171" i="29"/>
  <c r="F171" i="29" s="1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B171" i="29" s="1"/>
  <c r="D171" i="29"/>
  <c r="Z170" i="29"/>
  <c r="AA170" i="29" s="1"/>
  <c r="AB170" i="29" s="1"/>
  <c r="AC170" i="29" s="1"/>
  <c r="AD170" i="29" s="1"/>
  <c r="AE170" i="29" s="1"/>
  <c r="AF170" i="29" s="1"/>
  <c r="B170" i="29" s="1"/>
  <c r="N170" i="29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G170" i="29"/>
  <c r="H170" i="29" s="1"/>
  <c r="I170" i="29" s="1"/>
  <c r="J170" i="29" s="1"/>
  <c r="K170" i="29" s="1"/>
  <c r="L170" i="29" s="1"/>
  <c r="M170" i="29" s="1"/>
  <c r="E170" i="29"/>
  <c r="F170" i="29" s="1"/>
  <c r="D170" i="29"/>
  <c r="H168" i="29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B168" i="29" s="1"/>
  <c r="F168" i="29"/>
  <c r="G168" i="29" s="1"/>
  <c r="E168" i="29"/>
  <c r="D168" i="29"/>
  <c r="E167" i="29"/>
  <c r="F167" i="29" s="1"/>
  <c r="G167" i="29" s="1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B167" i="29" s="1"/>
  <c r="D167" i="29"/>
  <c r="D166" i="29"/>
  <c r="E166" i="29" s="1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B166" i="29" s="1"/>
  <c r="G165" i="29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B165" i="29" s="1"/>
  <c r="E165" i="29"/>
  <c r="F165" i="29" s="1"/>
  <c r="D165" i="29"/>
  <c r="F164" i="29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B164" i="29" s="1"/>
  <c r="E164" i="29"/>
  <c r="D164" i="29"/>
  <c r="L163" i="29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B163" i="29" s="1"/>
  <c r="D163" i="29"/>
  <c r="E163" i="29" s="1"/>
  <c r="F163" i="29" s="1"/>
  <c r="G163" i="29" s="1"/>
  <c r="H163" i="29" s="1"/>
  <c r="I163" i="29" s="1"/>
  <c r="J163" i="29" s="1"/>
  <c r="K163" i="29" s="1"/>
  <c r="O162" i="29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B162" i="29" s="1"/>
  <c r="G162" i="29"/>
  <c r="H162" i="29" s="1"/>
  <c r="I162" i="29" s="1"/>
  <c r="J162" i="29" s="1"/>
  <c r="K162" i="29" s="1"/>
  <c r="L162" i="29" s="1"/>
  <c r="M162" i="29" s="1"/>
  <c r="N162" i="29" s="1"/>
  <c r="E162" i="29"/>
  <c r="F162" i="29" s="1"/>
  <c r="D162" i="29"/>
  <c r="Q161" i="29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B161" i="29" s="1"/>
  <c r="E161" i="29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D161" i="29"/>
  <c r="Q160" i="29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B160" i="29" s="1"/>
  <c r="M160" i="29"/>
  <c r="N160" i="29" s="1"/>
  <c r="O160" i="29" s="1"/>
  <c r="P160" i="29" s="1"/>
  <c r="G160" i="29"/>
  <c r="H160" i="29" s="1"/>
  <c r="I160" i="29" s="1"/>
  <c r="J160" i="29" s="1"/>
  <c r="K160" i="29" s="1"/>
  <c r="L160" i="29" s="1"/>
  <c r="D160" i="29"/>
  <c r="E160" i="29" s="1"/>
  <c r="F160" i="29" s="1"/>
  <c r="O159" i="29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B159" i="29" s="1"/>
  <c r="F159" i="29"/>
  <c r="G159" i="29" s="1"/>
  <c r="H159" i="29" s="1"/>
  <c r="I159" i="29" s="1"/>
  <c r="J159" i="29" s="1"/>
  <c r="K159" i="29" s="1"/>
  <c r="L159" i="29" s="1"/>
  <c r="M159" i="29" s="1"/>
  <c r="N159" i="29" s="1"/>
  <c r="D159" i="29"/>
  <c r="E159" i="29" s="1"/>
  <c r="T158" i="29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B158" i="29" s="1"/>
  <c r="D158" i="29"/>
  <c r="E158" i="29" s="1"/>
  <c r="F158" i="29" s="1"/>
  <c r="G158" i="29" s="1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I157" i="29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B157" i="29" s="1"/>
  <c r="E157" i="29"/>
  <c r="F157" i="29" s="1"/>
  <c r="G157" i="29" s="1"/>
  <c r="H157" i="29" s="1"/>
  <c r="D157" i="29"/>
  <c r="F156" i="29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B156" i="29" s="1"/>
  <c r="D156" i="29"/>
  <c r="E156" i="29" s="1"/>
  <c r="J154" i="29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B154" i="29" s="1"/>
  <c r="F154" i="29"/>
  <c r="G154" i="29" s="1"/>
  <c r="H154" i="29" s="1"/>
  <c r="I154" i="29" s="1"/>
  <c r="D154" i="29"/>
  <c r="E154" i="29" s="1"/>
  <c r="D153" i="29"/>
  <c r="E153" i="29" s="1"/>
  <c r="F153" i="29" s="1"/>
  <c r="G153" i="29" s="1"/>
  <c r="H153" i="29" s="1"/>
  <c r="I153" i="29" s="1"/>
  <c r="J153" i="29" s="1"/>
  <c r="K153" i="29" s="1"/>
  <c r="L153" i="29" s="1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B153" i="29" s="1"/>
  <c r="F152" i="29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B152" i="29" s="1"/>
  <c r="E152" i="29"/>
  <c r="D152" i="29"/>
  <c r="S151" i="29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B151" i="29" s="1"/>
  <c r="E151" i="29"/>
  <c r="F151" i="29" s="1"/>
  <c r="G151" i="29" s="1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D151" i="29"/>
  <c r="E149" i="29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B149" i="29" s="1"/>
  <c r="D149" i="29"/>
  <c r="F148" i="29"/>
  <c r="G148" i="29" s="1"/>
  <c r="H148" i="29" s="1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B148" i="29" s="1"/>
  <c r="E148" i="29"/>
  <c r="D148" i="29"/>
  <c r="O146" i="29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B146" i="29" s="1"/>
  <c r="E146" i="29"/>
  <c r="F146" i="29" s="1"/>
  <c r="G146" i="29" s="1"/>
  <c r="H146" i="29" s="1"/>
  <c r="I146" i="29" s="1"/>
  <c r="J146" i="29" s="1"/>
  <c r="K146" i="29" s="1"/>
  <c r="L146" i="29" s="1"/>
  <c r="M146" i="29" s="1"/>
  <c r="N146" i="29" s="1"/>
  <c r="D146" i="29"/>
  <c r="S145" i="29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B145" i="29" s="1"/>
  <c r="E145" i="29"/>
  <c r="F145" i="29" s="1"/>
  <c r="G145" i="29" s="1"/>
  <c r="H145" i="29" s="1"/>
  <c r="I145" i="29" s="1"/>
  <c r="J145" i="29" s="1"/>
  <c r="K145" i="29" s="1"/>
  <c r="L145" i="29" s="1"/>
  <c r="M145" i="29" s="1"/>
  <c r="N145" i="29" s="1"/>
  <c r="O145" i="29" s="1"/>
  <c r="P145" i="29" s="1"/>
  <c r="Q145" i="29" s="1"/>
  <c r="R145" i="29" s="1"/>
  <c r="D145" i="29"/>
  <c r="G144" i="29"/>
  <c r="H144" i="29" s="1"/>
  <c r="I144" i="29" s="1"/>
  <c r="J144" i="29" s="1"/>
  <c r="K144" i="29" s="1"/>
  <c r="L144" i="29" s="1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B144" i="29" s="1"/>
  <c r="D144" i="29"/>
  <c r="E144" i="29" s="1"/>
  <c r="F144" i="29" s="1"/>
  <c r="U143" i="29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B143" i="29" s="1"/>
  <c r="F143" i="29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E143" i="29"/>
  <c r="D143" i="29"/>
  <c r="F142" i="29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B142" i="29" s="1"/>
  <c r="E142" i="29"/>
  <c r="D142" i="29"/>
  <c r="D141" i="29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B141" i="29" s="1"/>
  <c r="P140" i="29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B140" i="29" s="1"/>
  <c r="L140" i="29"/>
  <c r="M140" i="29" s="1"/>
  <c r="N140" i="29" s="1"/>
  <c r="O140" i="29" s="1"/>
  <c r="D140" i="29"/>
  <c r="E140" i="29" s="1"/>
  <c r="F140" i="29" s="1"/>
  <c r="G140" i="29" s="1"/>
  <c r="H140" i="29" s="1"/>
  <c r="I140" i="29" s="1"/>
  <c r="J140" i="29" s="1"/>
  <c r="K140" i="29" s="1"/>
  <c r="I138" i="29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B138" i="29" s="1"/>
  <c r="E138" i="29"/>
  <c r="F138" i="29" s="1"/>
  <c r="G138" i="29" s="1"/>
  <c r="H138" i="29" s="1"/>
  <c r="D138" i="29"/>
  <c r="D137" i="29"/>
  <c r="E137" i="29" s="1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B137" i="29" s="1"/>
  <c r="S136" i="29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B136" i="29" s="1"/>
  <c r="I136" i="29"/>
  <c r="J136" i="29" s="1"/>
  <c r="K136" i="29" s="1"/>
  <c r="L136" i="29" s="1"/>
  <c r="M136" i="29" s="1"/>
  <c r="N136" i="29" s="1"/>
  <c r="O136" i="29" s="1"/>
  <c r="P136" i="29" s="1"/>
  <c r="Q136" i="29" s="1"/>
  <c r="R136" i="29" s="1"/>
  <c r="D136" i="29"/>
  <c r="E136" i="29" s="1"/>
  <c r="F136" i="29" s="1"/>
  <c r="G136" i="29" s="1"/>
  <c r="H136" i="29" s="1"/>
  <c r="E135" i="29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B135" i="29" s="1"/>
  <c r="D135" i="29"/>
  <c r="E134" i="29"/>
  <c r="F134" i="29" s="1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B134" i="29" s="1"/>
  <c r="D134" i="29"/>
  <c r="D133" i="29"/>
  <c r="E133" i="29" s="1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B133" i="29" s="1"/>
  <c r="O132" i="29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B132" i="29" s="1"/>
  <c r="E132" i="29"/>
  <c r="F132" i="29" s="1"/>
  <c r="G132" i="29" s="1"/>
  <c r="H132" i="29" s="1"/>
  <c r="I132" i="29" s="1"/>
  <c r="J132" i="29" s="1"/>
  <c r="K132" i="29" s="1"/>
  <c r="L132" i="29" s="1"/>
  <c r="M132" i="29" s="1"/>
  <c r="N132" i="29" s="1"/>
  <c r="D132" i="29"/>
  <c r="E131" i="29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B131" i="29" s="1"/>
  <c r="D131" i="29"/>
  <c r="H129" i="29"/>
  <c r="I129" i="29" s="1"/>
  <c r="J129" i="29" s="1"/>
  <c r="K129" i="29" s="1"/>
  <c r="L129" i="29" s="1"/>
  <c r="M129" i="29" s="1"/>
  <c r="N129" i="29" s="1"/>
  <c r="O129" i="29" s="1"/>
  <c r="P129" i="29" s="1"/>
  <c r="Q129" i="29" s="1"/>
  <c r="R129" i="29" s="1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B129" i="29" s="1"/>
  <c r="G129" i="29"/>
  <c r="E129" i="29"/>
  <c r="F129" i="29" s="1"/>
  <c r="D129" i="29"/>
  <c r="F128" i="29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B128" i="29" s="1"/>
  <c r="E128" i="29"/>
  <c r="D128" i="29"/>
  <c r="D127" i="29"/>
  <c r="E127" i="29" s="1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B127" i="29" s="1"/>
  <c r="P126" i="29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B126" i="29" s="1"/>
  <c r="K126" i="29"/>
  <c r="L126" i="29" s="1"/>
  <c r="M126" i="29" s="1"/>
  <c r="N126" i="29" s="1"/>
  <c r="O126" i="29" s="1"/>
  <c r="G126" i="29"/>
  <c r="H126" i="29" s="1"/>
  <c r="I126" i="29" s="1"/>
  <c r="J126" i="29" s="1"/>
  <c r="D126" i="29"/>
  <c r="E126" i="29" s="1"/>
  <c r="F126" i="29" s="1"/>
  <c r="J125" i="29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B125" i="29" s="1"/>
  <c r="I125" i="29"/>
  <c r="E125" i="29"/>
  <c r="F125" i="29" s="1"/>
  <c r="G125" i="29" s="1"/>
  <c r="H125" i="29" s="1"/>
  <c r="D125" i="29"/>
  <c r="E124" i="29"/>
  <c r="F124" i="29" s="1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B124" i="29" s="1"/>
  <c r="D124" i="29"/>
  <c r="D93" i="29" s="1"/>
  <c r="D123" i="29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B123" i="29" s="1"/>
  <c r="D122" i="29"/>
  <c r="E122" i="29" s="1"/>
  <c r="F122" i="29" s="1"/>
  <c r="G122" i="29" s="1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B122" i="29" s="1"/>
  <c r="F121" i="29"/>
  <c r="G121" i="29" s="1"/>
  <c r="H121" i="29" s="1"/>
  <c r="I121" i="29" s="1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B121" i="29" s="1"/>
  <c r="E121" i="29"/>
  <c r="D121" i="29"/>
  <c r="H120" i="29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B120" i="29" s="1"/>
  <c r="E120" i="29"/>
  <c r="F120" i="29" s="1"/>
  <c r="G120" i="29" s="1"/>
  <c r="D120" i="29"/>
  <c r="E119" i="29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B119" i="29" s="1"/>
  <c r="D119" i="29"/>
  <c r="D118" i="29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B118" i="29" s="1"/>
  <c r="R117" i="29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B117" i="29" s="1"/>
  <c r="I117" i="29"/>
  <c r="J117" i="29" s="1"/>
  <c r="K117" i="29" s="1"/>
  <c r="L117" i="29" s="1"/>
  <c r="M117" i="29" s="1"/>
  <c r="N117" i="29" s="1"/>
  <c r="O117" i="29" s="1"/>
  <c r="P117" i="29" s="1"/>
  <c r="Q117" i="29" s="1"/>
  <c r="D117" i="29"/>
  <c r="E117" i="29" s="1"/>
  <c r="F117" i="29" s="1"/>
  <c r="G117" i="29" s="1"/>
  <c r="H117" i="29" s="1"/>
  <c r="P116" i="29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B116" i="29" s="1"/>
  <c r="G116" i="29"/>
  <c r="H116" i="29" s="1"/>
  <c r="I116" i="29" s="1"/>
  <c r="J116" i="29" s="1"/>
  <c r="K116" i="29" s="1"/>
  <c r="L116" i="29" s="1"/>
  <c r="M116" i="29" s="1"/>
  <c r="N116" i="29" s="1"/>
  <c r="O116" i="29" s="1"/>
  <c r="E116" i="29"/>
  <c r="F116" i="29" s="1"/>
  <c r="D116" i="29"/>
  <c r="E115" i="29"/>
  <c r="D115" i="29"/>
  <c r="L114" i="29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B114" i="29" s="1"/>
  <c r="K114" i="29"/>
  <c r="F114" i="29"/>
  <c r="G114" i="29" s="1"/>
  <c r="H114" i="29" s="1"/>
  <c r="I114" i="29" s="1"/>
  <c r="E114" i="29"/>
  <c r="D114" i="29"/>
  <c r="H113" i="29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B113" i="29" s="1"/>
  <c r="D113" i="29"/>
  <c r="E113" i="29" s="1"/>
  <c r="F113" i="29" s="1"/>
  <c r="G113" i="29" s="1"/>
  <c r="F112" i="29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B112" i="29" s="1"/>
  <c r="D112" i="29"/>
  <c r="E112" i="29" s="1"/>
  <c r="E110" i="29"/>
  <c r="F110" i="29" s="1"/>
  <c r="G110" i="29" s="1"/>
  <c r="H110" i="29" s="1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B110" i="29" s="1"/>
  <c r="D110" i="29"/>
  <c r="N109" i="29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B109" i="29" s="1"/>
  <c r="M109" i="29"/>
  <c r="F109" i="29"/>
  <c r="G109" i="29" s="1"/>
  <c r="H109" i="29" s="1"/>
  <c r="I109" i="29" s="1"/>
  <c r="J109" i="29" s="1"/>
  <c r="K109" i="29" s="1"/>
  <c r="L109" i="29" s="1"/>
  <c r="E109" i="29"/>
  <c r="D109" i="29"/>
  <c r="P107" i="29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B107" i="29" s="1"/>
  <c r="L107" i="29"/>
  <c r="M107" i="29" s="1"/>
  <c r="N107" i="29" s="1"/>
  <c r="O107" i="29" s="1"/>
  <c r="H107" i="29"/>
  <c r="I107" i="29" s="1"/>
  <c r="J107" i="29" s="1"/>
  <c r="K107" i="29" s="1"/>
  <c r="D107" i="29"/>
  <c r="E107" i="29" s="1"/>
  <c r="F107" i="29" s="1"/>
  <c r="G107" i="29" s="1"/>
  <c r="N106" i="29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B106" i="29" s="1"/>
  <c r="J106" i="29"/>
  <c r="K106" i="29" s="1"/>
  <c r="L106" i="29" s="1"/>
  <c r="M106" i="29" s="1"/>
  <c r="F106" i="29"/>
  <c r="G106" i="29" s="1"/>
  <c r="H106" i="29" s="1"/>
  <c r="I106" i="29" s="1"/>
  <c r="D106" i="29"/>
  <c r="E106" i="29" s="1"/>
  <c r="M105" i="29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B105" i="29" s="1"/>
  <c r="L105" i="29"/>
  <c r="E105" i="29"/>
  <c r="F105" i="29" s="1"/>
  <c r="G105" i="29" s="1"/>
  <c r="H105" i="29" s="1"/>
  <c r="I105" i="29" s="1"/>
  <c r="J105" i="29" s="1"/>
  <c r="K105" i="29" s="1"/>
  <c r="D105" i="29"/>
  <c r="K104" i="29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B104" i="29" s="1"/>
  <c r="J104" i="29"/>
  <c r="E104" i="29"/>
  <c r="F104" i="29" s="1"/>
  <c r="G104" i="29" s="1"/>
  <c r="H104" i="29" s="1"/>
  <c r="I104" i="29" s="1"/>
  <c r="D104" i="29"/>
  <c r="D103" i="29"/>
  <c r="E103" i="29" s="1"/>
  <c r="F103" i="29" s="1"/>
  <c r="G103" i="29" s="1"/>
  <c r="D102" i="29"/>
  <c r="AH98" i="29"/>
  <c r="AI98" i="29" s="1"/>
  <c r="AH97" i="29"/>
  <c r="AI97" i="29" s="1"/>
  <c r="AH96" i="29"/>
  <c r="AI96" i="29" s="1"/>
  <c r="AH95" i="29"/>
  <c r="AI95" i="29" s="1"/>
  <c r="AH94" i="29"/>
  <c r="AI94" i="29" s="1"/>
  <c r="C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G82" i="29"/>
  <c r="AI81" i="29"/>
  <c r="AH81" i="29"/>
  <c r="AF80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AF77" i="29"/>
  <c r="AE77" i="29"/>
  <c r="AD77" i="29"/>
  <c r="AC77" i="29"/>
  <c r="AB77" i="29"/>
  <c r="AA77" i="29"/>
  <c r="Z77" i="29"/>
  <c r="Z82" i="29" s="1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AF76" i="29"/>
  <c r="AE76" i="29"/>
  <c r="AD76" i="29"/>
  <c r="AC76" i="29"/>
  <c r="AB76" i="29"/>
  <c r="AA76" i="29"/>
  <c r="Z76" i="29"/>
  <c r="Y76" i="29"/>
  <c r="Y82" i="29" s="1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K82" i="29" s="1"/>
  <c r="J76" i="29"/>
  <c r="I76" i="29"/>
  <c r="H76" i="29"/>
  <c r="G76" i="29"/>
  <c r="F76" i="29"/>
  <c r="E76" i="29"/>
  <c r="D76" i="29"/>
  <c r="C76" i="29"/>
  <c r="AI74" i="29"/>
  <c r="AH74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AI71" i="29"/>
  <c r="AH71" i="29"/>
  <c r="AI70" i="29"/>
  <c r="AH70" i="29"/>
  <c r="AI69" i="29"/>
  <c r="AH69" i="29"/>
  <c r="AG68" i="29"/>
  <c r="AG73" i="29" s="1"/>
  <c r="AF68" i="29"/>
  <c r="AE68" i="29"/>
  <c r="AD68" i="29"/>
  <c r="AC68" i="29"/>
  <c r="AB68" i="29"/>
  <c r="AA68" i="29"/>
  <c r="Z5" i="29" s="1"/>
  <c r="Z68" i="29"/>
  <c r="Y68" i="29"/>
  <c r="X68" i="29"/>
  <c r="W68" i="29"/>
  <c r="V5" i="29" s="1"/>
  <c r="V68" i="29"/>
  <c r="U68" i="29"/>
  <c r="T68" i="29"/>
  <c r="S68" i="29"/>
  <c r="R5" i="29" s="1"/>
  <c r="R68" i="29"/>
  <c r="Q68" i="29"/>
  <c r="P68" i="29"/>
  <c r="O68" i="29"/>
  <c r="N68" i="29"/>
  <c r="M5" i="29" s="1"/>
  <c r="M68" i="29"/>
  <c r="L68" i="29"/>
  <c r="K68" i="29"/>
  <c r="J5" i="29" s="1"/>
  <c r="J68" i="29"/>
  <c r="I5" i="29" s="1"/>
  <c r="I68" i="29"/>
  <c r="H68" i="29"/>
  <c r="G68" i="29"/>
  <c r="F5" i="29" s="1"/>
  <c r="F68" i="29"/>
  <c r="E68" i="29"/>
  <c r="D5" i="29" s="1"/>
  <c r="D68" i="29"/>
  <c r="C5" i="29" s="1"/>
  <c r="C68" i="29"/>
  <c r="B5" i="29" s="1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I55" i="29"/>
  <c r="AH55" i="29"/>
  <c r="AI54" i="29"/>
  <c r="AH54" i="29"/>
  <c r="AI53" i="29"/>
  <c r="AH53" i="29"/>
  <c r="AG52" i="29"/>
  <c r="Z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F5" i="29"/>
  <c r="AD5" i="29"/>
  <c r="AC5" i="29"/>
  <c r="AB5" i="29"/>
  <c r="AA5" i="29"/>
  <c r="Y5" i="29"/>
  <c r="X5" i="29"/>
  <c r="U5" i="29"/>
  <c r="T5" i="29"/>
  <c r="S5" i="29"/>
  <c r="Q5" i="29"/>
  <c r="P5" i="29"/>
  <c r="N5" i="29"/>
  <c r="L5" i="29"/>
  <c r="E5" i="29"/>
  <c r="AG4" i="29"/>
  <c r="K4" i="29"/>
  <c r="B4" i="29"/>
  <c r="AG3" i="29"/>
  <c r="AG2" i="29"/>
  <c r="AF95" i="28"/>
  <c r="AF37" i="28"/>
  <c r="AE95" i="28"/>
  <c r="AE37" i="28"/>
  <c r="AD95" i="28"/>
  <c r="AD37" i="28"/>
  <c r="E4" i="29"/>
  <c r="T83" i="35" l="1"/>
  <c r="Q83" i="35"/>
  <c r="M83" i="35"/>
  <c r="L83" i="35"/>
  <c r="J83" i="35"/>
  <c r="I83" i="35"/>
  <c r="B83" i="35"/>
  <c r="G83" i="35"/>
  <c r="F83" i="35"/>
  <c r="E83" i="35"/>
  <c r="H83" i="35"/>
  <c r="D83" i="35"/>
  <c r="AI82" i="35"/>
  <c r="C7" i="35"/>
  <c r="AR214" i="35"/>
  <c r="Z7" i="35"/>
  <c r="C209" i="35"/>
  <c r="B209" i="35"/>
  <c r="Y214" i="35"/>
  <c r="G7" i="35"/>
  <c r="W214" i="35"/>
  <c r="E7" i="35"/>
  <c r="Z83" i="35"/>
  <c r="F194" i="35"/>
  <c r="E200" i="35"/>
  <c r="AC214" i="35"/>
  <c r="K7" i="35"/>
  <c r="K83" i="35"/>
  <c r="E235" i="35"/>
  <c r="G199" i="35"/>
  <c r="H103" i="35"/>
  <c r="AL214" i="35"/>
  <c r="T7" i="35"/>
  <c r="X214" i="35"/>
  <c r="F7" i="35"/>
  <c r="C83" i="35"/>
  <c r="E192" i="35"/>
  <c r="F102" i="35"/>
  <c r="E93" i="35"/>
  <c r="F109" i="35"/>
  <c r="AA214" i="35"/>
  <c r="I7" i="35"/>
  <c r="AD214" i="35"/>
  <c r="L7" i="35"/>
  <c r="AB214" i="35"/>
  <c r="J7" i="35"/>
  <c r="AK214" i="35"/>
  <c r="S7" i="35"/>
  <c r="AG214" i="35"/>
  <c r="O7" i="35"/>
  <c r="Z214" i="35"/>
  <c r="H7" i="35"/>
  <c r="V214" i="35"/>
  <c r="D7" i="35"/>
  <c r="AH82" i="35"/>
  <c r="AE214" i="35"/>
  <c r="M7" i="35"/>
  <c r="AR214" i="33"/>
  <c r="Z7" i="33"/>
  <c r="AJ214" i="33"/>
  <c r="R7" i="33"/>
  <c r="P83" i="33"/>
  <c r="M83" i="33"/>
  <c r="K83" i="33"/>
  <c r="J83" i="33"/>
  <c r="AB214" i="33"/>
  <c r="J7" i="33"/>
  <c r="I7" i="33"/>
  <c r="I83" i="33"/>
  <c r="H83" i="33"/>
  <c r="H7" i="33"/>
  <c r="B209" i="33"/>
  <c r="G83" i="33"/>
  <c r="G7" i="33"/>
  <c r="F83" i="33"/>
  <c r="F7" i="33"/>
  <c r="C83" i="33"/>
  <c r="E83" i="33"/>
  <c r="D83" i="33"/>
  <c r="U214" i="33"/>
  <c r="AI82" i="33"/>
  <c r="AH82" i="33"/>
  <c r="AD214" i="33"/>
  <c r="L7" i="33"/>
  <c r="AE214" i="33"/>
  <c r="M7" i="33"/>
  <c r="W214" i="33"/>
  <c r="E7" i="33"/>
  <c r="V214" i="33"/>
  <c r="D7" i="33"/>
  <c r="E192" i="33"/>
  <c r="F102" i="33"/>
  <c r="H194" i="33"/>
  <c r="E235" i="33"/>
  <c r="G199" i="33"/>
  <c r="G200" i="33" s="1"/>
  <c r="C209" i="33"/>
  <c r="K6" i="33" s="1"/>
  <c r="G103" i="33"/>
  <c r="F93" i="33"/>
  <c r="AL214" i="33"/>
  <c r="T7" i="33"/>
  <c r="L83" i="33"/>
  <c r="T83" i="32"/>
  <c r="S83" i="32"/>
  <c r="R83" i="32"/>
  <c r="P7" i="32"/>
  <c r="O83" i="32"/>
  <c r="M83" i="32"/>
  <c r="M7" i="32"/>
  <c r="L83" i="32"/>
  <c r="L7" i="32"/>
  <c r="K83" i="32"/>
  <c r="J83" i="32"/>
  <c r="AA214" i="32"/>
  <c r="I83" i="32"/>
  <c r="H83" i="32"/>
  <c r="G7" i="32"/>
  <c r="G83" i="32"/>
  <c r="F83" i="32"/>
  <c r="E83" i="32"/>
  <c r="D83" i="32"/>
  <c r="V214" i="32"/>
  <c r="D7" i="32"/>
  <c r="AB214" i="32"/>
  <c r="J7" i="32"/>
  <c r="U214" i="32"/>
  <c r="C7" i="32"/>
  <c r="AH82" i="32"/>
  <c r="AI82" i="32"/>
  <c r="AK214" i="32"/>
  <c r="S7" i="32"/>
  <c r="F199" i="32"/>
  <c r="D235" i="32"/>
  <c r="Z214" i="32"/>
  <c r="H7" i="32"/>
  <c r="AG214" i="32"/>
  <c r="O7" i="32"/>
  <c r="F194" i="32"/>
  <c r="E200" i="32"/>
  <c r="G103" i="32"/>
  <c r="F192" i="32"/>
  <c r="G102" i="32"/>
  <c r="AC214" i="32"/>
  <c r="K7" i="32"/>
  <c r="C209" i="32"/>
  <c r="AI214" i="32"/>
  <c r="Q7" i="32"/>
  <c r="C83" i="32"/>
  <c r="B209" i="32"/>
  <c r="AF214" i="32"/>
  <c r="N7" i="32"/>
  <c r="X214" i="32"/>
  <c r="F7" i="32"/>
  <c r="AJ214" i="32"/>
  <c r="R7" i="32"/>
  <c r="J83" i="31"/>
  <c r="G83" i="31"/>
  <c r="C83" i="31"/>
  <c r="T83" i="31"/>
  <c r="P83" i="31"/>
  <c r="L7" i="31"/>
  <c r="C209" i="31"/>
  <c r="Z214" i="31"/>
  <c r="G7" i="31"/>
  <c r="E7" i="31"/>
  <c r="E83" i="31"/>
  <c r="H199" i="31"/>
  <c r="F235" i="31"/>
  <c r="AC214" i="31"/>
  <c r="K7" i="31"/>
  <c r="K83" i="31"/>
  <c r="E192" i="31"/>
  <c r="F102" i="31"/>
  <c r="H103" i="31"/>
  <c r="AE214" i="31"/>
  <c r="M7" i="31"/>
  <c r="AI82" i="31"/>
  <c r="AH82" i="31"/>
  <c r="M83" i="31"/>
  <c r="B209" i="31"/>
  <c r="U214" i="31"/>
  <c r="C7" i="31"/>
  <c r="F194" i="31"/>
  <c r="E200" i="31"/>
  <c r="E93" i="31"/>
  <c r="T83" i="30"/>
  <c r="T7" i="30"/>
  <c r="AK214" i="30"/>
  <c r="AJ214" i="30"/>
  <c r="Z214" i="30"/>
  <c r="AI214" i="30"/>
  <c r="H83" i="30"/>
  <c r="AI82" i="30"/>
  <c r="C83" i="30"/>
  <c r="N83" i="30"/>
  <c r="E83" i="30"/>
  <c r="D7" i="30"/>
  <c r="L7" i="30"/>
  <c r="K7" i="30"/>
  <c r="K83" i="30"/>
  <c r="D83" i="30"/>
  <c r="AH82" i="30"/>
  <c r="W214" i="30"/>
  <c r="U214" i="30"/>
  <c r="AR214" i="30"/>
  <c r="G83" i="30"/>
  <c r="AI77" i="30"/>
  <c r="AH77" i="30"/>
  <c r="Q83" i="30"/>
  <c r="I83" i="30"/>
  <c r="I7" i="30"/>
  <c r="Z83" i="30"/>
  <c r="O83" i="30"/>
  <c r="J83" i="30"/>
  <c r="J7" i="30"/>
  <c r="E192" i="30"/>
  <c r="F102" i="30"/>
  <c r="X214" i="30"/>
  <c r="F7" i="30"/>
  <c r="H194" i="30"/>
  <c r="AG214" i="30"/>
  <c r="O7" i="30"/>
  <c r="F199" i="30"/>
  <c r="D235" i="30"/>
  <c r="Y214" i="30"/>
  <c r="G7" i="30"/>
  <c r="F83" i="30"/>
  <c r="M73" i="30"/>
  <c r="M83" i="30" s="1"/>
  <c r="L5" i="30"/>
  <c r="M75" i="30"/>
  <c r="C209" i="30" s="1"/>
  <c r="AI68" i="30"/>
  <c r="F93" i="30"/>
  <c r="G103" i="30"/>
  <c r="AF214" i="30"/>
  <c r="N7" i="30"/>
  <c r="AE82" i="29"/>
  <c r="AB82" i="29"/>
  <c r="AA82" i="29"/>
  <c r="X82" i="29"/>
  <c r="S82" i="29"/>
  <c r="R82" i="29"/>
  <c r="R75" i="29"/>
  <c r="Q82" i="29"/>
  <c r="Q73" i="29"/>
  <c r="O82" i="29"/>
  <c r="O75" i="29"/>
  <c r="AG214" i="29" s="1"/>
  <c r="O73" i="29"/>
  <c r="N73" i="29"/>
  <c r="M82" i="29"/>
  <c r="M75" i="29"/>
  <c r="AE214" i="29" s="1"/>
  <c r="L82" i="29"/>
  <c r="K73" i="29"/>
  <c r="J82" i="29"/>
  <c r="J73" i="29"/>
  <c r="I82" i="29"/>
  <c r="G82" i="29"/>
  <c r="G73" i="29"/>
  <c r="F73" i="29"/>
  <c r="J75" i="29"/>
  <c r="AB214" i="29" s="1"/>
  <c r="G75" i="29"/>
  <c r="Y214" i="29" s="1"/>
  <c r="I73" i="29"/>
  <c r="E75" i="29"/>
  <c r="E7" i="29" s="1"/>
  <c r="AI56" i="29"/>
  <c r="C82" i="29"/>
  <c r="B73" i="29"/>
  <c r="B75" i="29"/>
  <c r="B83" i="29" s="1"/>
  <c r="H4" i="29"/>
  <c r="W214" i="29"/>
  <c r="AJ214" i="29"/>
  <c r="R7" i="29"/>
  <c r="AG6" i="29"/>
  <c r="G5" i="29"/>
  <c r="H73" i="29"/>
  <c r="H83" i="29" s="1"/>
  <c r="O5" i="29"/>
  <c r="P73" i="29"/>
  <c r="W5" i="29"/>
  <c r="AE5" i="29"/>
  <c r="Q75" i="29"/>
  <c r="Q83" i="29" s="1"/>
  <c r="AG75" i="29"/>
  <c r="AG83" i="29" s="1"/>
  <c r="F115" i="29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B115" i="29" s="1"/>
  <c r="H75" i="29"/>
  <c r="AI72" i="29"/>
  <c r="AH76" i="29"/>
  <c r="E82" i="29"/>
  <c r="AC82" i="29"/>
  <c r="D211" i="29"/>
  <c r="S211" i="29"/>
  <c r="AH68" i="29"/>
  <c r="AI68" i="29"/>
  <c r="K75" i="29"/>
  <c r="K83" i="29" s="1"/>
  <c r="S75" i="29"/>
  <c r="I75" i="29"/>
  <c r="F82" i="29"/>
  <c r="N82" i="29"/>
  <c r="V82" i="29"/>
  <c r="AD82" i="29"/>
  <c r="H5" i="29"/>
  <c r="AH56" i="29"/>
  <c r="D75" i="29"/>
  <c r="L75" i="29"/>
  <c r="T75" i="29"/>
  <c r="C73" i="29"/>
  <c r="C75" i="29" s="1"/>
  <c r="W82" i="29"/>
  <c r="R73" i="29"/>
  <c r="R83" i="29" s="1"/>
  <c r="N75" i="29"/>
  <c r="H82" i="29"/>
  <c r="P82" i="29"/>
  <c r="AF82" i="29"/>
  <c r="AI78" i="29"/>
  <c r="AI80" i="29"/>
  <c r="D82" i="29"/>
  <c r="U82" i="29"/>
  <c r="G7" i="29"/>
  <c r="D73" i="29"/>
  <c r="L73" i="29"/>
  <c r="L83" i="29" s="1"/>
  <c r="T73" i="29"/>
  <c r="K5" i="29"/>
  <c r="AI38" i="29"/>
  <c r="Z75" i="29"/>
  <c r="Z73" i="29"/>
  <c r="AH38" i="29"/>
  <c r="E73" i="29"/>
  <c r="E83" i="29" s="1"/>
  <c r="M73" i="29"/>
  <c r="S73" i="29"/>
  <c r="P75" i="29"/>
  <c r="AH77" i="29"/>
  <c r="AI77" i="29"/>
  <c r="AH79" i="29"/>
  <c r="T82" i="29"/>
  <c r="AI76" i="29"/>
  <c r="AH72" i="29"/>
  <c r="F75" i="29"/>
  <c r="AH78" i="29"/>
  <c r="AI79" i="29"/>
  <c r="AH80" i="29"/>
  <c r="H103" i="29"/>
  <c r="D192" i="29"/>
  <c r="E102" i="29"/>
  <c r="F199" i="29"/>
  <c r="E194" i="29"/>
  <c r="E93" i="29" s="1"/>
  <c r="D200" i="29"/>
  <c r="K6" i="35" l="1"/>
  <c r="G109" i="35"/>
  <c r="F93" i="35"/>
  <c r="G194" i="35"/>
  <c r="F200" i="35"/>
  <c r="F192" i="35"/>
  <c r="G102" i="35"/>
  <c r="I103" i="35"/>
  <c r="H199" i="35"/>
  <c r="F235" i="35"/>
  <c r="I194" i="33"/>
  <c r="F192" i="33"/>
  <c r="G102" i="33"/>
  <c r="H103" i="33"/>
  <c r="G93" i="33"/>
  <c r="F235" i="33"/>
  <c r="H199" i="33"/>
  <c r="G194" i="32"/>
  <c r="F200" i="32"/>
  <c r="K6" i="32"/>
  <c r="G192" i="32"/>
  <c r="H102" i="32"/>
  <c r="H103" i="32"/>
  <c r="G93" i="32"/>
  <c r="F93" i="32"/>
  <c r="G199" i="32"/>
  <c r="E235" i="32"/>
  <c r="K6" i="31"/>
  <c r="F192" i="31"/>
  <c r="G102" i="31"/>
  <c r="G194" i="31"/>
  <c r="F200" i="31"/>
  <c r="F93" i="31"/>
  <c r="I103" i="31"/>
  <c r="G235" i="31"/>
  <c r="I199" i="31"/>
  <c r="G93" i="30"/>
  <c r="H103" i="30"/>
  <c r="I194" i="30"/>
  <c r="AE214" i="30"/>
  <c r="M7" i="30"/>
  <c r="B209" i="30"/>
  <c r="K6" i="30" s="1"/>
  <c r="E235" i="30"/>
  <c r="G199" i="30"/>
  <c r="F200" i="30"/>
  <c r="F192" i="30"/>
  <c r="G102" i="30"/>
  <c r="Z83" i="29"/>
  <c r="T83" i="29"/>
  <c r="S83" i="29"/>
  <c r="P83" i="29"/>
  <c r="O7" i="29"/>
  <c r="O83" i="29"/>
  <c r="N83" i="29"/>
  <c r="M83" i="29"/>
  <c r="M7" i="29"/>
  <c r="J83" i="29"/>
  <c r="J7" i="29"/>
  <c r="I83" i="29"/>
  <c r="AH82" i="29"/>
  <c r="B209" i="29"/>
  <c r="G83" i="29"/>
  <c r="F83" i="29"/>
  <c r="AI82" i="29"/>
  <c r="C209" i="29"/>
  <c r="D83" i="29"/>
  <c r="G199" i="29"/>
  <c r="E235" i="29"/>
  <c r="AR214" i="29"/>
  <c r="Z7" i="29"/>
  <c r="AF214" i="29"/>
  <c r="N7" i="29"/>
  <c r="AL214" i="29"/>
  <c r="T7" i="29"/>
  <c r="E200" i="29"/>
  <c r="F194" i="29"/>
  <c r="E192" i="29"/>
  <c r="F102" i="29"/>
  <c r="AC214" i="29"/>
  <c r="K7" i="29"/>
  <c r="X214" i="29"/>
  <c r="F7" i="29"/>
  <c r="AD214" i="29"/>
  <c r="L7" i="29"/>
  <c r="C83" i="29"/>
  <c r="I103" i="29"/>
  <c r="Z214" i="29"/>
  <c r="H7" i="29"/>
  <c r="AH214" i="29"/>
  <c r="P7" i="29"/>
  <c r="U214" i="29"/>
  <c r="C7" i="29"/>
  <c r="V214" i="29"/>
  <c r="D7" i="29"/>
  <c r="AK214" i="29"/>
  <c r="S7" i="29"/>
  <c r="AA214" i="29"/>
  <c r="I7" i="29"/>
  <c r="AI214" i="29"/>
  <c r="Q7" i="29"/>
  <c r="G192" i="35" l="1"/>
  <c r="H102" i="35"/>
  <c r="H194" i="35"/>
  <c r="G200" i="35"/>
  <c r="G235" i="35"/>
  <c r="I199" i="35"/>
  <c r="H109" i="35"/>
  <c r="G93" i="35"/>
  <c r="J103" i="35"/>
  <c r="H93" i="33"/>
  <c r="I103" i="33"/>
  <c r="G192" i="33"/>
  <c r="H102" i="33"/>
  <c r="J194" i="33"/>
  <c r="I200" i="33"/>
  <c r="I199" i="33"/>
  <c r="G235" i="33"/>
  <c r="H200" i="33"/>
  <c r="I103" i="32"/>
  <c r="H192" i="32"/>
  <c r="I102" i="32"/>
  <c r="F235" i="32"/>
  <c r="H199" i="32"/>
  <c r="H194" i="32"/>
  <c r="G200" i="32"/>
  <c r="J103" i="31"/>
  <c r="H194" i="31"/>
  <c r="G200" i="31"/>
  <c r="G93" i="31"/>
  <c r="J199" i="31"/>
  <c r="H235" i="31"/>
  <c r="G192" i="31"/>
  <c r="H102" i="31"/>
  <c r="G192" i="30"/>
  <c r="H102" i="30"/>
  <c r="J194" i="30"/>
  <c r="F235" i="30"/>
  <c r="H199" i="30"/>
  <c r="G200" i="30"/>
  <c r="I103" i="30"/>
  <c r="K6" i="29"/>
  <c r="F192" i="29"/>
  <c r="G102" i="29"/>
  <c r="G194" i="29"/>
  <c r="F200" i="29"/>
  <c r="F93" i="29"/>
  <c r="J103" i="29"/>
  <c r="F235" i="29"/>
  <c r="H199" i="29"/>
  <c r="J199" i="35" l="1"/>
  <c r="H235" i="35"/>
  <c r="I109" i="35"/>
  <c r="H93" i="35"/>
  <c r="I194" i="35"/>
  <c r="H200" i="35"/>
  <c r="K103" i="35"/>
  <c r="H192" i="35"/>
  <c r="I102" i="35"/>
  <c r="K194" i="33"/>
  <c r="H192" i="33"/>
  <c r="I102" i="33"/>
  <c r="J103" i="33"/>
  <c r="I93" i="33"/>
  <c r="J199" i="33"/>
  <c r="H235" i="33"/>
  <c r="I199" i="32"/>
  <c r="G235" i="32"/>
  <c r="I192" i="32"/>
  <c r="J102" i="32"/>
  <c r="H93" i="32"/>
  <c r="I93" i="32"/>
  <c r="J103" i="32"/>
  <c r="I194" i="32"/>
  <c r="H200" i="32"/>
  <c r="I235" i="31"/>
  <c r="K199" i="31"/>
  <c r="I194" i="31"/>
  <c r="H200" i="31"/>
  <c r="H93" i="31"/>
  <c r="H192" i="31"/>
  <c r="I102" i="31"/>
  <c r="K103" i="31"/>
  <c r="K194" i="30"/>
  <c r="I199" i="30"/>
  <c r="G235" i="30"/>
  <c r="H200" i="30"/>
  <c r="H192" i="30"/>
  <c r="I102" i="30"/>
  <c r="H93" i="30"/>
  <c r="J103" i="30"/>
  <c r="I93" i="30"/>
  <c r="K103" i="29"/>
  <c r="G200" i="29"/>
  <c r="H194" i="29"/>
  <c r="G93" i="29"/>
  <c r="G192" i="29"/>
  <c r="H102" i="29"/>
  <c r="I199" i="29"/>
  <c r="G235" i="29"/>
  <c r="I200" i="35" l="1"/>
  <c r="J194" i="35"/>
  <c r="J109" i="35"/>
  <c r="I93" i="35"/>
  <c r="I192" i="35"/>
  <c r="J102" i="35"/>
  <c r="I235" i="35"/>
  <c r="K199" i="35"/>
  <c r="L103" i="35"/>
  <c r="K199" i="33"/>
  <c r="I235" i="33"/>
  <c r="J93" i="33"/>
  <c r="K103" i="33"/>
  <c r="I192" i="33"/>
  <c r="J102" i="33"/>
  <c r="K200" i="33"/>
  <c r="L194" i="33"/>
  <c r="J200" i="33"/>
  <c r="J194" i="32"/>
  <c r="I200" i="32"/>
  <c r="K103" i="32"/>
  <c r="J93" i="32"/>
  <c r="J192" i="32"/>
  <c r="K102" i="32"/>
  <c r="H235" i="32"/>
  <c r="J199" i="32"/>
  <c r="L103" i="31"/>
  <c r="I192" i="31"/>
  <c r="J102" i="31"/>
  <c r="I200" i="31"/>
  <c r="J194" i="31"/>
  <c r="I93" i="31"/>
  <c r="J235" i="31"/>
  <c r="L199" i="31"/>
  <c r="I192" i="30"/>
  <c r="J102" i="30"/>
  <c r="J199" i="30"/>
  <c r="H235" i="30"/>
  <c r="I200" i="30"/>
  <c r="L194" i="30"/>
  <c r="K103" i="30"/>
  <c r="J93" i="30"/>
  <c r="H200" i="29"/>
  <c r="I194" i="29"/>
  <c r="H93" i="29"/>
  <c r="J199" i="29"/>
  <c r="H235" i="29"/>
  <c r="L103" i="29"/>
  <c r="H192" i="29"/>
  <c r="I102" i="29"/>
  <c r="J235" i="35" l="1"/>
  <c r="L199" i="35"/>
  <c r="J192" i="35"/>
  <c r="K102" i="35"/>
  <c r="K109" i="35"/>
  <c r="J93" i="35"/>
  <c r="J200" i="35"/>
  <c r="K194" i="35"/>
  <c r="M103" i="35"/>
  <c r="M194" i="33"/>
  <c r="J192" i="33"/>
  <c r="K102" i="33"/>
  <c r="L103" i="33"/>
  <c r="K93" i="33"/>
  <c r="J235" i="33"/>
  <c r="L199" i="33"/>
  <c r="K192" i="32"/>
  <c r="L102" i="32"/>
  <c r="K93" i="32"/>
  <c r="L103" i="32"/>
  <c r="K199" i="32"/>
  <c r="I235" i="32"/>
  <c r="J200" i="32"/>
  <c r="K194" i="32"/>
  <c r="J200" i="31"/>
  <c r="K194" i="31"/>
  <c r="J93" i="31"/>
  <c r="J192" i="31"/>
  <c r="K102" i="31"/>
  <c r="M199" i="31"/>
  <c r="K235" i="31"/>
  <c r="M103" i="31"/>
  <c r="M194" i="30"/>
  <c r="K199" i="30"/>
  <c r="I235" i="30"/>
  <c r="J200" i="30"/>
  <c r="J192" i="30"/>
  <c r="K102" i="30"/>
  <c r="L103" i="30"/>
  <c r="K93" i="30"/>
  <c r="I235" i="29"/>
  <c r="K199" i="29"/>
  <c r="M103" i="29"/>
  <c r="J194" i="29"/>
  <c r="I200" i="29"/>
  <c r="I93" i="29"/>
  <c r="I192" i="29"/>
  <c r="J102" i="29"/>
  <c r="K200" i="35" l="1"/>
  <c r="L194" i="35"/>
  <c r="L109" i="35"/>
  <c r="K93" i="35"/>
  <c r="K192" i="35"/>
  <c r="L102" i="35"/>
  <c r="M199" i="35"/>
  <c r="K235" i="35"/>
  <c r="N103" i="35"/>
  <c r="K235" i="33"/>
  <c r="M199" i="33"/>
  <c r="K192" i="33"/>
  <c r="L102" i="33"/>
  <c r="M103" i="33"/>
  <c r="L93" i="33"/>
  <c r="L200" i="33"/>
  <c r="N194" i="33"/>
  <c r="J235" i="32"/>
  <c r="L199" i="32"/>
  <c r="L192" i="32"/>
  <c r="M102" i="32"/>
  <c r="K200" i="32"/>
  <c r="L194" i="32"/>
  <c r="M103" i="32"/>
  <c r="L93" i="32"/>
  <c r="N103" i="31"/>
  <c r="N199" i="31"/>
  <c r="L235" i="31"/>
  <c r="K192" i="31"/>
  <c r="L102" i="31"/>
  <c r="K200" i="31"/>
  <c r="L194" i="31"/>
  <c r="K93" i="31"/>
  <c r="J235" i="30"/>
  <c r="L199" i="30"/>
  <c r="K200" i="30"/>
  <c r="M103" i="30"/>
  <c r="L93" i="30"/>
  <c r="K192" i="30"/>
  <c r="L102" i="30"/>
  <c r="N194" i="30"/>
  <c r="J200" i="29"/>
  <c r="K194" i="29"/>
  <c r="J93" i="29"/>
  <c r="J192" i="29"/>
  <c r="K102" i="29"/>
  <c r="N103" i="29"/>
  <c r="L199" i="29"/>
  <c r="J235" i="29"/>
  <c r="N199" i="35" l="1"/>
  <c r="L235" i="35"/>
  <c r="L192" i="35"/>
  <c r="M102" i="35"/>
  <c r="L200" i="35"/>
  <c r="M194" i="35"/>
  <c r="M109" i="35"/>
  <c r="L93" i="35"/>
  <c r="O103" i="35"/>
  <c r="N103" i="33"/>
  <c r="M93" i="33"/>
  <c r="O194" i="33"/>
  <c r="L192" i="33"/>
  <c r="M102" i="33"/>
  <c r="L235" i="33"/>
  <c r="N199" i="33"/>
  <c r="M200" i="33"/>
  <c r="M194" i="32"/>
  <c r="L200" i="32"/>
  <c r="N103" i="32"/>
  <c r="M192" i="32"/>
  <c r="N102" i="32"/>
  <c r="M199" i="32"/>
  <c r="K235" i="32"/>
  <c r="M235" i="31"/>
  <c r="O199" i="31"/>
  <c r="L200" i="31"/>
  <c r="M194" i="31"/>
  <c r="L93" i="31"/>
  <c r="L192" i="31"/>
  <c r="M102" i="31"/>
  <c r="O103" i="31"/>
  <c r="O194" i="30"/>
  <c r="L192" i="30"/>
  <c r="M102" i="30"/>
  <c r="K235" i="30"/>
  <c r="M199" i="30"/>
  <c r="L200" i="30"/>
  <c r="M93" i="30"/>
  <c r="N103" i="30"/>
  <c r="K200" i="29"/>
  <c r="L194" i="29"/>
  <c r="K93" i="29"/>
  <c r="O103" i="29"/>
  <c r="K192" i="29"/>
  <c r="L102" i="29"/>
  <c r="M199" i="29"/>
  <c r="K235" i="29"/>
  <c r="L37" i="28"/>
  <c r="K37" i="28"/>
  <c r="J37" i="28"/>
  <c r="I37" i="28"/>
  <c r="H37" i="28"/>
  <c r="G37" i="28"/>
  <c r="F37" i="28"/>
  <c r="E37" i="28"/>
  <c r="D37" i="28"/>
  <c r="C37" i="28"/>
  <c r="AH100" i="28"/>
  <c r="AI100" i="28" s="1"/>
  <c r="AH99" i="28"/>
  <c r="AI99" i="28" s="1"/>
  <c r="C95" i="28"/>
  <c r="B95" i="28"/>
  <c r="B37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E239" i="28"/>
  <c r="D239" i="28"/>
  <c r="C239" i="28"/>
  <c r="B239" i="28"/>
  <c r="A239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E235" i="28"/>
  <c r="D235" i="28"/>
  <c r="C235" i="28"/>
  <c r="B235" i="28"/>
  <c r="S210" i="28"/>
  <c r="AG200" i="28"/>
  <c r="D200" i="28"/>
  <c r="C200" i="28"/>
  <c r="F199" i="28"/>
  <c r="G199" i="28" s="1"/>
  <c r="E199" i="28"/>
  <c r="D199" i="28"/>
  <c r="D198" i="28"/>
  <c r="E198" i="28" s="1"/>
  <c r="F198" i="28" s="1"/>
  <c r="G198" i="28" s="1"/>
  <c r="H198" i="28" s="1"/>
  <c r="I198" i="28" s="1"/>
  <c r="J198" i="28" s="1"/>
  <c r="K198" i="28" s="1"/>
  <c r="L198" i="28" s="1"/>
  <c r="M198" i="28" s="1"/>
  <c r="N198" i="28" s="1"/>
  <c r="O198" i="28" s="1"/>
  <c r="P198" i="28" s="1"/>
  <c r="Q198" i="28" s="1"/>
  <c r="R198" i="28" s="1"/>
  <c r="S198" i="28" s="1"/>
  <c r="T198" i="28" s="1"/>
  <c r="U198" i="28" s="1"/>
  <c r="V198" i="28" s="1"/>
  <c r="W198" i="28" s="1"/>
  <c r="X198" i="28" s="1"/>
  <c r="Y198" i="28" s="1"/>
  <c r="Z198" i="28" s="1"/>
  <c r="AA198" i="28" s="1"/>
  <c r="AB198" i="28" s="1"/>
  <c r="AC198" i="28" s="1"/>
  <c r="AD198" i="28" s="1"/>
  <c r="AE198" i="28" s="1"/>
  <c r="AF198" i="28" s="1"/>
  <c r="B198" i="28" s="1"/>
  <c r="D197" i="28"/>
  <c r="E197" i="28" s="1"/>
  <c r="F197" i="28" s="1"/>
  <c r="G197" i="28" s="1"/>
  <c r="H197" i="28" s="1"/>
  <c r="I197" i="28" s="1"/>
  <c r="J197" i="28" s="1"/>
  <c r="K197" i="28" s="1"/>
  <c r="L197" i="28" s="1"/>
  <c r="M197" i="28" s="1"/>
  <c r="N197" i="28" s="1"/>
  <c r="O197" i="28" s="1"/>
  <c r="P197" i="28" s="1"/>
  <c r="Q197" i="28" s="1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B197" i="28" s="1"/>
  <c r="I196" i="28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B196" i="28" s="1"/>
  <c r="H196" i="28"/>
  <c r="E196" i="28"/>
  <c r="F196" i="28" s="1"/>
  <c r="G196" i="28" s="1"/>
  <c r="D196" i="28"/>
  <c r="AE195" i="28"/>
  <c r="AF195" i="28" s="1"/>
  <c r="X195" i="28"/>
  <c r="Y195" i="28" s="1"/>
  <c r="Z195" i="28" s="1"/>
  <c r="AA195" i="28" s="1"/>
  <c r="AB195" i="28" s="1"/>
  <c r="AC195" i="28" s="1"/>
  <c r="AD195" i="28" s="1"/>
  <c r="O195" i="28"/>
  <c r="P195" i="28" s="1"/>
  <c r="Q195" i="28" s="1"/>
  <c r="R195" i="28" s="1"/>
  <c r="S195" i="28" s="1"/>
  <c r="T195" i="28" s="1"/>
  <c r="U195" i="28" s="1"/>
  <c r="V195" i="28" s="1"/>
  <c r="W195" i="28" s="1"/>
  <c r="H195" i="28"/>
  <c r="I195" i="28" s="1"/>
  <c r="J195" i="28" s="1"/>
  <c r="K195" i="28" s="1"/>
  <c r="L195" i="28" s="1"/>
  <c r="M195" i="28" s="1"/>
  <c r="N195" i="28" s="1"/>
  <c r="G195" i="28"/>
  <c r="F195" i="28"/>
  <c r="E195" i="28"/>
  <c r="D195" i="28"/>
  <c r="B195" i="28"/>
  <c r="D194" i="28"/>
  <c r="E194" i="28" s="1"/>
  <c r="AG192" i="28"/>
  <c r="C192" i="28"/>
  <c r="D191" i="28"/>
  <c r="E191" i="28" s="1"/>
  <c r="F191" i="28" s="1"/>
  <c r="G191" i="28" s="1"/>
  <c r="H191" i="28" s="1"/>
  <c r="I191" i="28" s="1"/>
  <c r="J191" i="28" s="1"/>
  <c r="K191" i="28" s="1"/>
  <c r="L191" i="28" s="1"/>
  <c r="M191" i="28" s="1"/>
  <c r="N191" i="28" s="1"/>
  <c r="O191" i="28" s="1"/>
  <c r="P191" i="28" s="1"/>
  <c r="Q191" i="28" s="1"/>
  <c r="R191" i="28" s="1"/>
  <c r="S191" i="28" s="1"/>
  <c r="T191" i="28" s="1"/>
  <c r="U191" i="28" s="1"/>
  <c r="V191" i="28" s="1"/>
  <c r="W191" i="28" s="1"/>
  <c r="X191" i="28" s="1"/>
  <c r="Y191" i="28" s="1"/>
  <c r="Z191" i="28" s="1"/>
  <c r="AA191" i="28" s="1"/>
  <c r="AB191" i="28" s="1"/>
  <c r="AC191" i="28" s="1"/>
  <c r="AD191" i="28" s="1"/>
  <c r="AE191" i="28" s="1"/>
  <c r="AF191" i="28" s="1"/>
  <c r="B191" i="28" s="1"/>
  <c r="Q190" i="28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B190" i="28" s="1"/>
  <c r="I190" i="28"/>
  <c r="J190" i="28" s="1"/>
  <c r="K190" i="28" s="1"/>
  <c r="L190" i="28" s="1"/>
  <c r="M190" i="28" s="1"/>
  <c r="N190" i="28" s="1"/>
  <c r="O190" i="28" s="1"/>
  <c r="P190" i="28" s="1"/>
  <c r="E190" i="28"/>
  <c r="F190" i="28" s="1"/>
  <c r="G190" i="28" s="1"/>
  <c r="H190" i="28" s="1"/>
  <c r="D190" i="28"/>
  <c r="E189" i="28"/>
  <c r="F189" i="28" s="1"/>
  <c r="G189" i="28" s="1"/>
  <c r="H189" i="28" s="1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B189" i="28" s="1"/>
  <c r="D189" i="28"/>
  <c r="D188" i="28"/>
  <c r="E188" i="28" s="1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B188" i="28" s="1"/>
  <c r="T187" i="28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B187" i="28" s="1"/>
  <c r="L187" i="28"/>
  <c r="M187" i="28" s="1"/>
  <c r="N187" i="28" s="1"/>
  <c r="O187" i="28" s="1"/>
  <c r="P187" i="28" s="1"/>
  <c r="Q187" i="28" s="1"/>
  <c r="R187" i="28" s="1"/>
  <c r="S187" i="28" s="1"/>
  <c r="I187" i="28"/>
  <c r="J187" i="28" s="1"/>
  <c r="K187" i="28" s="1"/>
  <c r="G187" i="28"/>
  <c r="H187" i="28" s="1"/>
  <c r="D187" i="28"/>
  <c r="E187" i="28" s="1"/>
  <c r="F187" i="28" s="1"/>
  <c r="M186" i="28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B186" i="28" s="1"/>
  <c r="E186" i="28"/>
  <c r="F186" i="28" s="1"/>
  <c r="G186" i="28" s="1"/>
  <c r="H186" i="28" s="1"/>
  <c r="I186" i="28" s="1"/>
  <c r="J186" i="28" s="1"/>
  <c r="K186" i="28" s="1"/>
  <c r="L186" i="28" s="1"/>
  <c r="D186" i="28"/>
  <c r="K185" i="28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B185" i="28" s="1"/>
  <c r="F185" i="28"/>
  <c r="G185" i="28" s="1"/>
  <c r="H185" i="28" s="1"/>
  <c r="I185" i="28" s="1"/>
  <c r="J185" i="28" s="1"/>
  <c r="E185" i="28"/>
  <c r="D185" i="28"/>
  <c r="D184" i="28"/>
  <c r="E184" i="28" s="1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B184" i="28" s="1"/>
  <c r="T183" i="28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B183" i="28" s="1"/>
  <c r="Q183" i="28"/>
  <c r="R183" i="28" s="1"/>
  <c r="S183" i="28" s="1"/>
  <c r="I183" i="28"/>
  <c r="J183" i="28" s="1"/>
  <c r="K183" i="28" s="1"/>
  <c r="L183" i="28" s="1"/>
  <c r="M183" i="28" s="1"/>
  <c r="N183" i="28" s="1"/>
  <c r="O183" i="28" s="1"/>
  <c r="P183" i="28" s="1"/>
  <c r="D183" i="28"/>
  <c r="E183" i="28" s="1"/>
  <c r="F183" i="28" s="1"/>
  <c r="G183" i="28" s="1"/>
  <c r="H183" i="28" s="1"/>
  <c r="H182" i="28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B182" i="28" s="1"/>
  <c r="G182" i="28"/>
  <c r="E182" i="28"/>
  <c r="F182" i="28" s="1"/>
  <c r="D182" i="28"/>
  <c r="F181" i="28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B181" i="28" s="1"/>
  <c r="E181" i="28"/>
  <c r="D181" i="28"/>
  <c r="L180" i="28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B180" i="28" s="1"/>
  <c r="F180" i="28"/>
  <c r="G180" i="28" s="1"/>
  <c r="H180" i="28" s="1"/>
  <c r="I180" i="28" s="1"/>
  <c r="J180" i="28" s="1"/>
  <c r="K180" i="28" s="1"/>
  <c r="E180" i="28"/>
  <c r="D180" i="28"/>
  <c r="I179" i="28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B179" i="28" s="1"/>
  <c r="E179" i="28"/>
  <c r="F179" i="28" s="1"/>
  <c r="G179" i="28" s="1"/>
  <c r="H179" i="28" s="1"/>
  <c r="D179" i="28"/>
  <c r="D177" i="28"/>
  <c r="E177" i="28" s="1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B177" i="28" s="1"/>
  <c r="D176" i="28"/>
  <c r="E176" i="28" s="1"/>
  <c r="F176" i="28" s="1"/>
  <c r="G176" i="28" s="1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B176" i="28" s="1"/>
  <c r="D175" i="28"/>
  <c r="E175" i="28" s="1"/>
  <c r="F175" i="28" s="1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B175" i="28" s="1"/>
  <c r="H174" i="28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B174" i="28" s="1"/>
  <c r="E174" i="28"/>
  <c r="F174" i="28" s="1"/>
  <c r="G174" i="28" s="1"/>
  <c r="D174" i="28"/>
  <c r="D173" i="28"/>
  <c r="E173" i="28" s="1"/>
  <c r="F173" i="28" s="1"/>
  <c r="G173" i="28" s="1"/>
  <c r="H173" i="28" s="1"/>
  <c r="I173" i="28" s="1"/>
  <c r="J173" i="28" s="1"/>
  <c r="K173" i="28" s="1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B173" i="28" s="1"/>
  <c r="I172" i="28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B172" i="28" s="1"/>
  <c r="D172" i="28"/>
  <c r="E172" i="28" s="1"/>
  <c r="F172" i="28" s="1"/>
  <c r="G172" i="28" s="1"/>
  <c r="H172" i="28" s="1"/>
  <c r="D171" i="28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B171" i="28" s="1"/>
  <c r="N170" i="28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B170" i="28" s="1"/>
  <c r="E170" i="28"/>
  <c r="F170" i="28" s="1"/>
  <c r="G170" i="28" s="1"/>
  <c r="H170" i="28" s="1"/>
  <c r="I170" i="28" s="1"/>
  <c r="J170" i="28" s="1"/>
  <c r="K170" i="28" s="1"/>
  <c r="L170" i="28" s="1"/>
  <c r="M170" i="28" s="1"/>
  <c r="D170" i="28"/>
  <c r="G168" i="28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B168" i="28" s="1"/>
  <c r="F168" i="28"/>
  <c r="E168" i="28"/>
  <c r="D168" i="28"/>
  <c r="J167" i="28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B167" i="28" s="1"/>
  <c r="D167" i="28"/>
  <c r="E167" i="28" s="1"/>
  <c r="F167" i="28" s="1"/>
  <c r="G167" i="28" s="1"/>
  <c r="H167" i="28" s="1"/>
  <c r="I167" i="28" s="1"/>
  <c r="F166" i="28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B166" i="28" s="1"/>
  <c r="D166" i="28"/>
  <c r="E166" i="28" s="1"/>
  <c r="H165" i="28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B165" i="28" s="1"/>
  <c r="D165" i="28"/>
  <c r="E165" i="28" s="1"/>
  <c r="F165" i="28" s="1"/>
  <c r="G165" i="28" s="1"/>
  <c r="F164" i="28"/>
  <c r="G164" i="28" s="1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B164" i="28" s="1"/>
  <c r="E164" i="28"/>
  <c r="D164" i="28"/>
  <c r="D163" i="28"/>
  <c r="E163" i="28" s="1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B163" i="28" s="1"/>
  <c r="D162" i="28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B162" i="28" s="1"/>
  <c r="D161" i="28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B161" i="28" s="1"/>
  <c r="G160" i="28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B160" i="28" s="1"/>
  <c r="F160" i="28"/>
  <c r="E160" i="28"/>
  <c r="D160" i="28"/>
  <c r="N159" i="28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B159" i="28" s="1"/>
  <c r="E159" i="28"/>
  <c r="F159" i="28" s="1"/>
  <c r="G159" i="28" s="1"/>
  <c r="H159" i="28" s="1"/>
  <c r="I159" i="28" s="1"/>
  <c r="J159" i="28" s="1"/>
  <c r="K159" i="28" s="1"/>
  <c r="L159" i="28" s="1"/>
  <c r="M159" i="28" s="1"/>
  <c r="D159" i="28"/>
  <c r="E158" i="28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B158" i="28" s="1"/>
  <c r="D158" i="28"/>
  <c r="L157" i="28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B157" i="28" s="1"/>
  <c r="D157" i="28"/>
  <c r="E157" i="28" s="1"/>
  <c r="F157" i="28" s="1"/>
  <c r="G157" i="28" s="1"/>
  <c r="H157" i="28" s="1"/>
  <c r="I157" i="28" s="1"/>
  <c r="J157" i="28" s="1"/>
  <c r="K157" i="28" s="1"/>
  <c r="E156" i="28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B156" i="28" s="1"/>
  <c r="D156" i="28"/>
  <c r="U154" i="28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B154" i="28" s="1"/>
  <c r="K154" i="28"/>
  <c r="L154" i="28" s="1"/>
  <c r="M154" i="28" s="1"/>
  <c r="N154" i="28" s="1"/>
  <c r="O154" i="28" s="1"/>
  <c r="P154" i="28" s="1"/>
  <c r="Q154" i="28" s="1"/>
  <c r="R154" i="28" s="1"/>
  <c r="S154" i="28" s="1"/>
  <c r="T154" i="28" s="1"/>
  <c r="D154" i="28"/>
  <c r="E154" i="28" s="1"/>
  <c r="F154" i="28" s="1"/>
  <c r="G154" i="28" s="1"/>
  <c r="H154" i="28" s="1"/>
  <c r="I154" i="28" s="1"/>
  <c r="J154" i="28" s="1"/>
  <c r="I153" i="28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B153" i="28" s="1"/>
  <c r="D153" i="28"/>
  <c r="E153" i="28" s="1"/>
  <c r="F153" i="28" s="1"/>
  <c r="G153" i="28" s="1"/>
  <c r="H153" i="28" s="1"/>
  <c r="Q152" i="28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B152" i="28" s="1"/>
  <c r="G152" i="28"/>
  <c r="H152" i="28" s="1"/>
  <c r="I152" i="28" s="1"/>
  <c r="J152" i="28" s="1"/>
  <c r="K152" i="28" s="1"/>
  <c r="L152" i="28" s="1"/>
  <c r="M152" i="28" s="1"/>
  <c r="N152" i="28" s="1"/>
  <c r="O152" i="28" s="1"/>
  <c r="P152" i="28" s="1"/>
  <c r="D152" i="28"/>
  <c r="E152" i="28" s="1"/>
  <c r="F152" i="28" s="1"/>
  <c r="G151" i="28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B151" i="28" s="1"/>
  <c r="F151" i="28"/>
  <c r="E151" i="28"/>
  <c r="D151" i="28"/>
  <c r="K149" i="28"/>
  <c r="L149" i="28" s="1"/>
  <c r="M149" i="28" s="1"/>
  <c r="N149" i="28" s="1"/>
  <c r="O149" i="28" s="1"/>
  <c r="P149" i="28" s="1"/>
  <c r="Q149" i="28" s="1"/>
  <c r="R149" i="28" s="1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B149" i="28" s="1"/>
  <c r="D149" i="28"/>
  <c r="E149" i="28" s="1"/>
  <c r="F149" i="28" s="1"/>
  <c r="G149" i="28" s="1"/>
  <c r="H149" i="28" s="1"/>
  <c r="I149" i="28" s="1"/>
  <c r="J149" i="28" s="1"/>
  <c r="D148" i="28"/>
  <c r="E148" i="28" s="1"/>
  <c r="F148" i="28" s="1"/>
  <c r="G148" i="28" s="1"/>
  <c r="H148" i="28" s="1"/>
  <c r="I148" i="28" s="1"/>
  <c r="J148" i="28" s="1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B148" i="28" s="1"/>
  <c r="G146" i="28"/>
  <c r="H146" i="28" s="1"/>
  <c r="I146" i="28" s="1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B146" i="28" s="1"/>
  <c r="E146" i="28"/>
  <c r="F146" i="28" s="1"/>
  <c r="D146" i="28"/>
  <c r="L145" i="28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B145" i="28" s="1"/>
  <c r="D145" i="28"/>
  <c r="E145" i="28" s="1"/>
  <c r="F145" i="28" s="1"/>
  <c r="G145" i="28" s="1"/>
  <c r="H145" i="28" s="1"/>
  <c r="I145" i="28" s="1"/>
  <c r="J145" i="28" s="1"/>
  <c r="K145" i="28" s="1"/>
  <c r="E144" i="28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B144" i="28" s="1"/>
  <c r="D144" i="28"/>
  <c r="H143" i="28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B143" i="28" s="1"/>
  <c r="E143" i="28"/>
  <c r="F143" i="28" s="1"/>
  <c r="G143" i="28" s="1"/>
  <c r="D143" i="28"/>
  <c r="H142" i="28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B142" i="28" s="1"/>
  <c r="F142" i="28"/>
  <c r="G142" i="28" s="1"/>
  <c r="E142" i="28"/>
  <c r="D142" i="28"/>
  <c r="V141" i="28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B141" i="28" s="1"/>
  <c r="D141" i="28"/>
  <c r="E141" i="28" s="1"/>
  <c r="F141" i="28" s="1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D140" i="28"/>
  <c r="E140" i="28" s="1"/>
  <c r="F140" i="28" s="1"/>
  <c r="G140" i="28" s="1"/>
  <c r="H140" i="28" s="1"/>
  <c r="I140" i="28" s="1"/>
  <c r="J140" i="28" s="1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B140" i="28" s="1"/>
  <c r="E138" i="28"/>
  <c r="F138" i="28" s="1"/>
  <c r="G138" i="28" s="1"/>
  <c r="H138" i="28" s="1"/>
  <c r="I138" i="28" s="1"/>
  <c r="J138" i="28" s="1"/>
  <c r="K138" i="28" s="1"/>
  <c r="L138" i="28" s="1"/>
  <c r="M138" i="28" s="1"/>
  <c r="N138" i="28" s="1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B138" i="28" s="1"/>
  <c r="D138" i="28"/>
  <c r="F137" i="28"/>
  <c r="G137" i="28" s="1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B137" i="28" s="1"/>
  <c r="E137" i="28"/>
  <c r="D137" i="28"/>
  <c r="E136" i="28"/>
  <c r="F136" i="28" s="1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B136" i="28" s="1"/>
  <c r="D136" i="28"/>
  <c r="R135" i="28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B135" i="28" s="1"/>
  <c r="J135" i="28"/>
  <c r="K135" i="28" s="1"/>
  <c r="L135" i="28" s="1"/>
  <c r="M135" i="28" s="1"/>
  <c r="N135" i="28" s="1"/>
  <c r="O135" i="28" s="1"/>
  <c r="P135" i="28" s="1"/>
  <c r="Q135" i="28" s="1"/>
  <c r="D135" i="28"/>
  <c r="E135" i="28" s="1"/>
  <c r="F135" i="28" s="1"/>
  <c r="G135" i="28" s="1"/>
  <c r="H135" i="28" s="1"/>
  <c r="I135" i="28" s="1"/>
  <c r="U134" i="28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B134" i="28" s="1"/>
  <c r="M134" i="28"/>
  <c r="N134" i="28" s="1"/>
  <c r="O134" i="28" s="1"/>
  <c r="P134" i="28" s="1"/>
  <c r="Q134" i="28" s="1"/>
  <c r="R134" i="28" s="1"/>
  <c r="S134" i="28" s="1"/>
  <c r="T134" i="28" s="1"/>
  <c r="I134" i="28"/>
  <c r="J134" i="28" s="1"/>
  <c r="K134" i="28" s="1"/>
  <c r="L134" i="28" s="1"/>
  <c r="H134" i="28"/>
  <c r="E134" i="28"/>
  <c r="F134" i="28" s="1"/>
  <c r="G134" i="28" s="1"/>
  <c r="D134" i="28"/>
  <c r="S133" i="28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B133" i="28" s="1"/>
  <c r="O133" i="28"/>
  <c r="P133" i="28" s="1"/>
  <c r="Q133" i="28" s="1"/>
  <c r="R133" i="28" s="1"/>
  <c r="G133" i="28"/>
  <c r="H133" i="28" s="1"/>
  <c r="I133" i="28" s="1"/>
  <c r="J133" i="28" s="1"/>
  <c r="K133" i="28" s="1"/>
  <c r="L133" i="28" s="1"/>
  <c r="M133" i="28" s="1"/>
  <c r="N133" i="28" s="1"/>
  <c r="F133" i="28"/>
  <c r="E133" i="28"/>
  <c r="D133" i="28"/>
  <c r="N132" i="28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B132" i="28" s="1"/>
  <c r="I132" i="28"/>
  <c r="J132" i="28" s="1"/>
  <c r="K132" i="28" s="1"/>
  <c r="L132" i="28" s="1"/>
  <c r="M132" i="28" s="1"/>
  <c r="E132" i="28"/>
  <c r="F132" i="28" s="1"/>
  <c r="G132" i="28" s="1"/>
  <c r="H132" i="28" s="1"/>
  <c r="D132" i="28"/>
  <c r="I131" i="28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B131" i="28" s="1"/>
  <c r="D131" i="28"/>
  <c r="E131" i="28" s="1"/>
  <c r="F131" i="28" s="1"/>
  <c r="G131" i="28" s="1"/>
  <c r="H131" i="28" s="1"/>
  <c r="G129" i="28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B129" i="28" s="1"/>
  <c r="E129" i="28"/>
  <c r="F129" i="28" s="1"/>
  <c r="D129" i="28"/>
  <c r="F128" i="28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B128" i="28" s="1"/>
  <c r="E128" i="28"/>
  <c r="D128" i="28"/>
  <c r="M127" i="28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B127" i="28" s="1"/>
  <c r="D127" i="28"/>
  <c r="E127" i="28" s="1"/>
  <c r="F127" i="28" s="1"/>
  <c r="G127" i="28" s="1"/>
  <c r="H127" i="28" s="1"/>
  <c r="I127" i="28" s="1"/>
  <c r="J127" i="28" s="1"/>
  <c r="K127" i="28" s="1"/>
  <c r="L127" i="28" s="1"/>
  <c r="F126" i="28"/>
  <c r="G126" i="28" s="1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B126" i="28" s="1"/>
  <c r="E126" i="28"/>
  <c r="D126" i="28"/>
  <c r="AB125" i="28"/>
  <c r="AC125" i="28" s="1"/>
  <c r="AD125" i="28" s="1"/>
  <c r="AE125" i="28" s="1"/>
  <c r="AF125" i="28" s="1"/>
  <c r="B125" i="28" s="1"/>
  <c r="E125" i="28"/>
  <c r="F125" i="28" s="1"/>
  <c r="G125" i="28" s="1"/>
  <c r="H125" i="28" s="1"/>
  <c r="I125" i="28" s="1"/>
  <c r="J125" i="28" s="1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D125" i="28"/>
  <c r="F124" i="28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B124" i="28" s="1"/>
  <c r="E124" i="28"/>
  <c r="D124" i="28"/>
  <c r="Y123" i="28"/>
  <c r="Z123" i="28" s="1"/>
  <c r="AA123" i="28" s="1"/>
  <c r="AB123" i="28" s="1"/>
  <c r="AC123" i="28" s="1"/>
  <c r="AD123" i="28" s="1"/>
  <c r="AE123" i="28" s="1"/>
  <c r="AF123" i="28" s="1"/>
  <c r="B123" i="28" s="1"/>
  <c r="E123" i="28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D123" i="28"/>
  <c r="Q122" i="28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B122" i="28" s="1"/>
  <c r="G122" i="28"/>
  <c r="H122" i="28" s="1"/>
  <c r="I122" i="28" s="1"/>
  <c r="J122" i="28" s="1"/>
  <c r="K122" i="28" s="1"/>
  <c r="L122" i="28" s="1"/>
  <c r="M122" i="28" s="1"/>
  <c r="N122" i="28" s="1"/>
  <c r="O122" i="28" s="1"/>
  <c r="P122" i="28" s="1"/>
  <c r="F122" i="28"/>
  <c r="E122" i="28"/>
  <c r="D122" i="28"/>
  <c r="AE121" i="28"/>
  <c r="AF121" i="28" s="1"/>
  <c r="B121" i="28" s="1"/>
  <c r="L121" i="28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D121" i="28"/>
  <c r="E121" i="28" s="1"/>
  <c r="F121" i="28" s="1"/>
  <c r="G121" i="28" s="1"/>
  <c r="H121" i="28" s="1"/>
  <c r="I121" i="28" s="1"/>
  <c r="J121" i="28" s="1"/>
  <c r="K121" i="28" s="1"/>
  <c r="S120" i="28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B120" i="28" s="1"/>
  <c r="J120" i="28"/>
  <c r="K120" i="28" s="1"/>
  <c r="L120" i="28" s="1"/>
  <c r="M120" i="28" s="1"/>
  <c r="N120" i="28" s="1"/>
  <c r="O120" i="28" s="1"/>
  <c r="P120" i="28" s="1"/>
  <c r="Q120" i="28" s="1"/>
  <c r="R120" i="28" s="1"/>
  <c r="E120" i="28"/>
  <c r="F120" i="28" s="1"/>
  <c r="G120" i="28" s="1"/>
  <c r="H120" i="28" s="1"/>
  <c r="I120" i="28" s="1"/>
  <c r="D120" i="28"/>
  <c r="I119" i="28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B119" i="28" s="1"/>
  <c r="H119" i="28"/>
  <c r="E119" i="28"/>
  <c r="F119" i="28" s="1"/>
  <c r="G119" i="28" s="1"/>
  <c r="D119" i="28"/>
  <c r="I118" i="28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B118" i="28" s="1"/>
  <c r="G118" i="28"/>
  <c r="H118" i="28" s="1"/>
  <c r="F118" i="28"/>
  <c r="E118" i="28"/>
  <c r="D118" i="28"/>
  <c r="P117" i="28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B117" i="28" s="1"/>
  <c r="D117" i="28"/>
  <c r="E117" i="28" s="1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G116" i="28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B116" i="28" s="1"/>
  <c r="F116" i="28"/>
  <c r="E116" i="28"/>
  <c r="D116" i="28"/>
  <c r="M115" i="28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B115" i="28" s="1"/>
  <c r="D115" i="28"/>
  <c r="E115" i="28" s="1"/>
  <c r="F115" i="28" s="1"/>
  <c r="G115" i="28" s="1"/>
  <c r="H115" i="28" s="1"/>
  <c r="I115" i="28" s="1"/>
  <c r="J115" i="28" s="1"/>
  <c r="K115" i="28" s="1"/>
  <c r="L115" i="28" s="1"/>
  <c r="K114" i="28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B114" i="28" s="1"/>
  <c r="E114" i="28"/>
  <c r="F114" i="28" s="1"/>
  <c r="G114" i="28" s="1"/>
  <c r="H114" i="28" s="1"/>
  <c r="I114" i="28" s="1"/>
  <c r="D114" i="28"/>
  <c r="K113" i="28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B113" i="28" s="1"/>
  <c r="D113" i="28"/>
  <c r="E113" i="28" s="1"/>
  <c r="F113" i="28" s="1"/>
  <c r="G113" i="28" s="1"/>
  <c r="H113" i="28" s="1"/>
  <c r="I113" i="28" s="1"/>
  <c r="J113" i="28" s="1"/>
  <c r="F112" i="28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B112" i="28" s="1"/>
  <c r="E112" i="28"/>
  <c r="D112" i="28"/>
  <c r="P110" i="28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B110" i="28" s="1"/>
  <c r="F110" i="28"/>
  <c r="G110" i="28" s="1"/>
  <c r="H110" i="28" s="1"/>
  <c r="I110" i="28" s="1"/>
  <c r="J110" i="28" s="1"/>
  <c r="K110" i="28" s="1"/>
  <c r="L110" i="28" s="1"/>
  <c r="M110" i="28" s="1"/>
  <c r="N110" i="28" s="1"/>
  <c r="O110" i="28" s="1"/>
  <c r="D110" i="28"/>
  <c r="E110" i="28" s="1"/>
  <c r="H109" i="28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B109" i="28" s="1"/>
  <c r="D109" i="28"/>
  <c r="E109" i="28" s="1"/>
  <c r="F109" i="28" s="1"/>
  <c r="G109" i="28" s="1"/>
  <c r="T107" i="28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B107" i="28" s="1"/>
  <c r="K107" i="28"/>
  <c r="L107" i="28" s="1"/>
  <c r="M107" i="28" s="1"/>
  <c r="N107" i="28" s="1"/>
  <c r="O107" i="28" s="1"/>
  <c r="P107" i="28" s="1"/>
  <c r="Q107" i="28" s="1"/>
  <c r="R107" i="28" s="1"/>
  <c r="S107" i="28" s="1"/>
  <c r="F107" i="28"/>
  <c r="G107" i="28" s="1"/>
  <c r="H107" i="28" s="1"/>
  <c r="I107" i="28" s="1"/>
  <c r="J107" i="28" s="1"/>
  <c r="E107" i="28"/>
  <c r="D107" i="28"/>
  <c r="D106" i="28"/>
  <c r="E106" i="28" s="1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B106" i="28" s="1"/>
  <c r="G105" i="28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B105" i="28" s="1"/>
  <c r="F105" i="28"/>
  <c r="D105" i="28"/>
  <c r="E105" i="28" s="1"/>
  <c r="I104" i="28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B104" i="28" s="1"/>
  <c r="E104" i="28"/>
  <c r="F104" i="28" s="1"/>
  <c r="G104" i="28" s="1"/>
  <c r="H104" i="28" s="1"/>
  <c r="D104" i="28"/>
  <c r="D103" i="28"/>
  <c r="E103" i="28" s="1"/>
  <c r="E102" i="28"/>
  <c r="D102" i="28"/>
  <c r="AH98" i="28"/>
  <c r="AI98" i="28" s="1"/>
  <c r="AH97" i="28"/>
  <c r="AI97" i="28" s="1"/>
  <c r="AH96" i="28"/>
  <c r="AI96" i="28" s="1"/>
  <c r="AH95" i="28"/>
  <c r="AI95" i="28" s="1"/>
  <c r="AH94" i="28"/>
  <c r="AI94" i="28" s="1"/>
  <c r="D93" i="28"/>
  <c r="C93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G82" i="28"/>
  <c r="AI81" i="28"/>
  <c r="AH81" i="28"/>
  <c r="AF80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AF76" i="28"/>
  <c r="AE76" i="28"/>
  <c r="AD76" i="28"/>
  <c r="AC76" i="28"/>
  <c r="AB76" i="28"/>
  <c r="AB82" i="28" s="1"/>
  <c r="AA76" i="28"/>
  <c r="Z76" i="28"/>
  <c r="Z82" i="28" s="1"/>
  <c r="Y76" i="28"/>
  <c r="X76" i="28"/>
  <c r="W76" i="28"/>
  <c r="V76" i="28"/>
  <c r="U76" i="28"/>
  <c r="T76" i="28"/>
  <c r="S76" i="28"/>
  <c r="R76" i="28"/>
  <c r="R82" i="28" s="1"/>
  <c r="Q76" i="28"/>
  <c r="P76" i="28"/>
  <c r="O76" i="28"/>
  <c r="N76" i="28"/>
  <c r="M76" i="28"/>
  <c r="L76" i="28"/>
  <c r="K76" i="28"/>
  <c r="J76" i="28"/>
  <c r="I76" i="28"/>
  <c r="I82" i="28" s="1"/>
  <c r="H76" i="28"/>
  <c r="G76" i="28"/>
  <c r="F76" i="28"/>
  <c r="E76" i="28"/>
  <c r="D76" i="28"/>
  <c r="D82" i="28" s="1"/>
  <c r="C76" i="28"/>
  <c r="AI74" i="28"/>
  <c r="AH74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AI71" i="28"/>
  <c r="AH71" i="28"/>
  <c r="AI70" i="28"/>
  <c r="AH70" i="28"/>
  <c r="AI69" i="28"/>
  <c r="AH69" i="28"/>
  <c r="AG68" i="28"/>
  <c r="AF68" i="28"/>
  <c r="AE5" i="28" s="1"/>
  <c r="AE68" i="28"/>
  <c r="AD5" i="28" s="1"/>
  <c r="AD68" i="28"/>
  <c r="AC68" i="28"/>
  <c r="AB68" i="28"/>
  <c r="AA5" i="28" s="1"/>
  <c r="AA68" i="28"/>
  <c r="Z5" i="28" s="1"/>
  <c r="Z68" i="28"/>
  <c r="Y68" i="28"/>
  <c r="X5" i="28" s="1"/>
  <c r="X68" i="28"/>
  <c r="W5" i="28" s="1"/>
  <c r="W68" i="28"/>
  <c r="V5" i="28" s="1"/>
  <c r="V68" i="28"/>
  <c r="U68" i="28"/>
  <c r="T68" i="28"/>
  <c r="S5" i="28" s="1"/>
  <c r="S68" i="28"/>
  <c r="R5" i="28" s="1"/>
  <c r="R68" i="28"/>
  <c r="Q5" i="28" s="1"/>
  <c r="Q68" i="28"/>
  <c r="P68" i="28"/>
  <c r="O68" i="28"/>
  <c r="N5" i="28" s="1"/>
  <c r="N68" i="28"/>
  <c r="M5" i="28" s="1"/>
  <c r="M68" i="28"/>
  <c r="L5" i="28" s="1"/>
  <c r="L68" i="28"/>
  <c r="K5" i="28" s="1"/>
  <c r="K68" i="28"/>
  <c r="J68" i="28"/>
  <c r="I5" i="28" s="1"/>
  <c r="I68" i="28"/>
  <c r="H5" i="28" s="1"/>
  <c r="H68" i="28"/>
  <c r="G5" i="28" s="1"/>
  <c r="G68" i="28"/>
  <c r="F68" i="28"/>
  <c r="E68" i="28"/>
  <c r="D5" i="28" s="1"/>
  <c r="D68" i="28"/>
  <c r="C5" i="28" s="1"/>
  <c r="C68" i="28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AI55" i="28"/>
  <c r="AH55" i="28"/>
  <c r="AI54" i="28"/>
  <c r="AH54" i="28"/>
  <c r="AI53" i="28"/>
  <c r="AH53" i="28"/>
  <c r="Z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AG51" i="28"/>
  <c r="AG52" i="28" s="1"/>
  <c r="AG3" i="28" s="1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G2" i="28" s="1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F5" i="28"/>
  <c r="AC5" i="28"/>
  <c r="AB5" i="28"/>
  <c r="Y5" i="28"/>
  <c r="U5" i="28"/>
  <c r="T5" i="28"/>
  <c r="P5" i="28"/>
  <c r="O5" i="28"/>
  <c r="J5" i="28"/>
  <c r="E5" i="28"/>
  <c r="AG4" i="28"/>
  <c r="K4" i="28"/>
  <c r="B4" i="28"/>
  <c r="AF95" i="27"/>
  <c r="AF37" i="27"/>
  <c r="AE95" i="27"/>
  <c r="AE37" i="27"/>
  <c r="AD95" i="27"/>
  <c r="AD37" i="27"/>
  <c r="AB95" i="27"/>
  <c r="Z93" i="27"/>
  <c r="E4" i="28"/>
  <c r="N109" i="35" l="1"/>
  <c r="M93" i="35"/>
  <c r="N194" i="35"/>
  <c r="M200" i="35"/>
  <c r="M192" i="35"/>
  <c r="N102" i="35"/>
  <c r="P103" i="35"/>
  <c r="M235" i="35"/>
  <c r="O199" i="35"/>
  <c r="M235" i="33"/>
  <c r="O199" i="33"/>
  <c r="M192" i="33"/>
  <c r="N102" i="33"/>
  <c r="N200" i="33"/>
  <c r="O200" i="33"/>
  <c r="P194" i="33"/>
  <c r="O103" i="33"/>
  <c r="N93" i="33"/>
  <c r="L235" i="32"/>
  <c r="N199" i="32"/>
  <c r="N192" i="32"/>
  <c r="O102" i="32"/>
  <c r="N93" i="32"/>
  <c r="O103" i="32"/>
  <c r="M93" i="32"/>
  <c r="M200" i="32"/>
  <c r="N194" i="32"/>
  <c r="P103" i="31"/>
  <c r="M192" i="31"/>
  <c r="N102" i="31"/>
  <c r="N194" i="31"/>
  <c r="M200" i="31"/>
  <c r="M93" i="31"/>
  <c r="P199" i="31"/>
  <c r="N235" i="31"/>
  <c r="L235" i="30"/>
  <c r="N199" i="30"/>
  <c r="M200" i="30"/>
  <c r="M192" i="30"/>
  <c r="N102" i="30"/>
  <c r="N93" i="30"/>
  <c r="O103" i="30"/>
  <c r="P194" i="30"/>
  <c r="AC82" i="28"/>
  <c r="L192" i="29"/>
  <c r="M102" i="29"/>
  <c r="P103" i="29"/>
  <c r="M194" i="29"/>
  <c r="L200" i="29"/>
  <c r="L93" i="29"/>
  <c r="L235" i="29"/>
  <c r="N199" i="29"/>
  <c r="AF82" i="28"/>
  <c r="AE82" i="28"/>
  <c r="AD82" i="28"/>
  <c r="AA82" i="28"/>
  <c r="Y82" i="28"/>
  <c r="X82" i="28"/>
  <c r="AI78" i="28"/>
  <c r="W82" i="28"/>
  <c r="AI77" i="28"/>
  <c r="V82" i="28"/>
  <c r="U82" i="28"/>
  <c r="AH77" i="28"/>
  <c r="T82" i="28"/>
  <c r="T75" i="28"/>
  <c r="AL214" i="28" s="1"/>
  <c r="S82" i="28"/>
  <c r="S73" i="28"/>
  <c r="Q82" i="28"/>
  <c r="P82" i="28"/>
  <c r="P73" i="28"/>
  <c r="P75" i="28"/>
  <c r="P7" i="28" s="1"/>
  <c r="O82" i="28"/>
  <c r="N82" i="28"/>
  <c r="M82" i="28"/>
  <c r="M73" i="28"/>
  <c r="L82" i="28"/>
  <c r="L75" i="28"/>
  <c r="K82" i="28"/>
  <c r="K73" i="28"/>
  <c r="J82" i="28"/>
  <c r="D75" i="28"/>
  <c r="V214" i="28" s="1"/>
  <c r="H82" i="28"/>
  <c r="H75" i="28"/>
  <c r="H7" i="28" s="1"/>
  <c r="G82" i="28"/>
  <c r="AI80" i="28"/>
  <c r="F82" i="28"/>
  <c r="AI76" i="28"/>
  <c r="E82" i="28"/>
  <c r="AI56" i="28"/>
  <c r="E73" i="28"/>
  <c r="AH68" i="28"/>
  <c r="AI38" i="28"/>
  <c r="B5" i="28"/>
  <c r="C82" i="28"/>
  <c r="AH56" i="28"/>
  <c r="AH38" i="28"/>
  <c r="C73" i="28"/>
  <c r="C75" i="28" s="1"/>
  <c r="U214" i="28" s="1"/>
  <c r="H4" i="28"/>
  <c r="Z214" i="28"/>
  <c r="AH214" i="28"/>
  <c r="AG6" i="28"/>
  <c r="AD214" i="28"/>
  <c r="L7" i="28"/>
  <c r="G73" i="28"/>
  <c r="F73" i="28"/>
  <c r="N73" i="28"/>
  <c r="F75" i="28"/>
  <c r="N75" i="28"/>
  <c r="D73" i="28"/>
  <c r="T73" i="28"/>
  <c r="AI79" i="28"/>
  <c r="E93" i="28"/>
  <c r="F103" i="28"/>
  <c r="H73" i="28"/>
  <c r="H83" i="28" s="1"/>
  <c r="O73" i="28"/>
  <c r="F5" i="28"/>
  <c r="I73" i="28"/>
  <c r="AG73" i="28"/>
  <c r="AG83" i="28" s="1"/>
  <c r="I75" i="28"/>
  <c r="Q75" i="28"/>
  <c r="AG75" i="28"/>
  <c r="S211" i="28"/>
  <c r="D211" i="28"/>
  <c r="O75" i="28"/>
  <c r="J73" i="28"/>
  <c r="R73" i="28"/>
  <c r="Z73" i="28"/>
  <c r="J75" i="28"/>
  <c r="R75" i="28"/>
  <c r="Z75" i="28"/>
  <c r="AH72" i="28"/>
  <c r="L73" i="28"/>
  <c r="L83" i="28" s="1"/>
  <c r="E192" i="28"/>
  <c r="F102" i="28"/>
  <c r="AI68" i="28"/>
  <c r="K75" i="28"/>
  <c r="S75" i="28"/>
  <c r="AI72" i="28"/>
  <c r="G75" i="28"/>
  <c r="AH76" i="28"/>
  <c r="E75" i="28"/>
  <c r="M75" i="28"/>
  <c r="M83" i="28" s="1"/>
  <c r="AH80" i="28"/>
  <c r="D192" i="28"/>
  <c r="AH78" i="28"/>
  <c r="AH79" i="28"/>
  <c r="F235" i="28"/>
  <c r="H199" i="28"/>
  <c r="E200" i="28"/>
  <c r="F194" i="28"/>
  <c r="R95" i="27"/>
  <c r="R58" i="27"/>
  <c r="R37" i="27"/>
  <c r="Q95" i="27"/>
  <c r="Q37" i="27"/>
  <c r="Q103" i="35" l="1"/>
  <c r="N192" i="35"/>
  <c r="O102" i="35"/>
  <c r="N200" i="35"/>
  <c r="O194" i="35"/>
  <c r="P199" i="35"/>
  <c r="N235" i="35"/>
  <c r="O109" i="35"/>
  <c r="N93" i="35"/>
  <c r="P103" i="33"/>
  <c r="O93" i="33"/>
  <c r="N192" i="33"/>
  <c r="O102" i="33"/>
  <c r="Q194" i="33"/>
  <c r="N235" i="33"/>
  <c r="P199" i="33"/>
  <c r="O192" i="32"/>
  <c r="P102" i="32"/>
  <c r="M235" i="32"/>
  <c r="O199" i="32"/>
  <c r="P103" i="32"/>
  <c r="O194" i="32"/>
  <c r="N200" i="32"/>
  <c r="O235" i="31"/>
  <c r="Q199" i="31"/>
  <c r="N200" i="31"/>
  <c r="O194" i="31"/>
  <c r="N93" i="31"/>
  <c r="N192" i="31"/>
  <c r="O102" i="31"/>
  <c r="Q103" i="31"/>
  <c r="P103" i="30"/>
  <c r="N192" i="30"/>
  <c r="O102" i="30"/>
  <c r="M235" i="30"/>
  <c r="O199" i="30"/>
  <c r="N200" i="30"/>
  <c r="Q194" i="30"/>
  <c r="Q103" i="29"/>
  <c r="M200" i="29"/>
  <c r="N194" i="29"/>
  <c r="M93" i="29"/>
  <c r="M192" i="29"/>
  <c r="N102" i="29"/>
  <c r="O199" i="29"/>
  <c r="M235" i="29"/>
  <c r="Z83" i="28"/>
  <c r="T83" i="28"/>
  <c r="T7" i="28"/>
  <c r="D7" i="28"/>
  <c r="D83" i="28"/>
  <c r="P83" i="28"/>
  <c r="J83" i="28"/>
  <c r="G83" i="28"/>
  <c r="F83" i="28"/>
  <c r="C83" i="28"/>
  <c r="C7" i="28"/>
  <c r="F192" i="28"/>
  <c r="G102" i="28"/>
  <c r="AG214" i="28"/>
  <c r="O7" i="28"/>
  <c r="AF214" i="28"/>
  <c r="N7" i="28"/>
  <c r="AE214" i="28"/>
  <c r="M7" i="28"/>
  <c r="AH82" i="28"/>
  <c r="AI82" i="28"/>
  <c r="O83" i="28"/>
  <c r="N83" i="28"/>
  <c r="AJ214" i="28"/>
  <c r="R7" i="28"/>
  <c r="AK214" i="28"/>
  <c r="S7" i="28"/>
  <c r="AB214" i="28"/>
  <c r="J7" i="28"/>
  <c r="W214" i="28"/>
  <c r="E7" i="28"/>
  <c r="S83" i="28"/>
  <c r="Q83" i="28"/>
  <c r="X214" i="28"/>
  <c r="F7" i="28"/>
  <c r="G194" i="28"/>
  <c r="F200" i="28"/>
  <c r="Y214" i="28"/>
  <c r="C209" i="28"/>
  <c r="B209" i="28"/>
  <c r="G7" i="28"/>
  <c r="I83" i="28"/>
  <c r="E83" i="28"/>
  <c r="AC214" i="28"/>
  <c r="K7" i="28"/>
  <c r="G235" i="28"/>
  <c r="I199" i="28"/>
  <c r="K83" i="28"/>
  <c r="AR214" i="28"/>
  <c r="Z7" i="28"/>
  <c r="AA214" i="28"/>
  <c r="I7" i="28"/>
  <c r="R83" i="28"/>
  <c r="AI214" i="28"/>
  <c r="Q7" i="28"/>
  <c r="G103" i="28"/>
  <c r="F93" i="28"/>
  <c r="P95" i="27"/>
  <c r="P37" i="27"/>
  <c r="O95" i="27"/>
  <c r="O37" i="27"/>
  <c r="N95" i="27"/>
  <c r="N37" i="27"/>
  <c r="M37" i="27"/>
  <c r="K58" i="27"/>
  <c r="K68" i="27" s="1"/>
  <c r="J5" i="27" s="1"/>
  <c r="K37" i="27"/>
  <c r="J58" i="27"/>
  <c r="J37" i="27"/>
  <c r="AH37" i="27" s="1"/>
  <c r="I37" i="27"/>
  <c r="H37" i="27"/>
  <c r="G37" i="27"/>
  <c r="F37" i="27"/>
  <c r="E37" i="27"/>
  <c r="D95" i="27"/>
  <c r="D37" i="27"/>
  <c r="AH100" i="27"/>
  <c r="AI100" i="27" s="1"/>
  <c r="AH99" i="27"/>
  <c r="AI99" i="27" s="1"/>
  <c r="C95" i="27"/>
  <c r="C37" i="27"/>
  <c r="B95" i="27"/>
  <c r="B37" i="27"/>
  <c r="B80" i="27"/>
  <c r="B79" i="27"/>
  <c r="B78" i="27"/>
  <c r="B77" i="27"/>
  <c r="B76" i="27"/>
  <c r="B72" i="27"/>
  <c r="B68" i="27"/>
  <c r="B56" i="27"/>
  <c r="B38" i="27"/>
  <c r="AF239" i="27"/>
  <c r="AE239" i="27"/>
  <c r="AD239" i="27"/>
  <c r="AC239" i="27"/>
  <c r="AB239" i="27"/>
  <c r="AA239" i="27"/>
  <c r="Z239" i="27"/>
  <c r="Y239" i="27"/>
  <c r="X239" i="27"/>
  <c r="W239" i="27"/>
  <c r="V239" i="27"/>
  <c r="U239" i="27"/>
  <c r="T239" i="27"/>
  <c r="S239" i="27"/>
  <c r="R239" i="27"/>
  <c r="Q239" i="27"/>
  <c r="P239" i="27"/>
  <c r="O239" i="27"/>
  <c r="N239" i="27"/>
  <c r="M239" i="27"/>
  <c r="L239" i="27"/>
  <c r="K239" i="27"/>
  <c r="J239" i="27"/>
  <c r="I239" i="27"/>
  <c r="H239" i="27"/>
  <c r="G239" i="27"/>
  <c r="F239" i="27"/>
  <c r="E239" i="27"/>
  <c r="D239" i="27"/>
  <c r="C239" i="27"/>
  <c r="B239" i="27"/>
  <c r="A239" i="27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B235" i="27"/>
  <c r="S210" i="27"/>
  <c r="AG200" i="27"/>
  <c r="C200" i="27"/>
  <c r="E199" i="27"/>
  <c r="D199" i="27"/>
  <c r="C235" i="27" s="1"/>
  <c r="D198" i="27"/>
  <c r="E198" i="27" s="1"/>
  <c r="F198" i="27" s="1"/>
  <c r="G198" i="27" s="1"/>
  <c r="H198" i="27" s="1"/>
  <c r="I198" i="27" s="1"/>
  <c r="J198" i="27" s="1"/>
  <c r="K198" i="27" s="1"/>
  <c r="L198" i="27" s="1"/>
  <c r="M198" i="27" s="1"/>
  <c r="N198" i="27" s="1"/>
  <c r="O198" i="27" s="1"/>
  <c r="P198" i="27" s="1"/>
  <c r="Q198" i="27" s="1"/>
  <c r="R198" i="27" s="1"/>
  <c r="S198" i="27" s="1"/>
  <c r="T198" i="27" s="1"/>
  <c r="U198" i="27" s="1"/>
  <c r="V198" i="27" s="1"/>
  <c r="W198" i="27" s="1"/>
  <c r="X198" i="27" s="1"/>
  <c r="Y198" i="27" s="1"/>
  <c r="Z198" i="27" s="1"/>
  <c r="AA198" i="27" s="1"/>
  <c r="AB198" i="27" s="1"/>
  <c r="AC198" i="27" s="1"/>
  <c r="AD198" i="27" s="1"/>
  <c r="AE198" i="27" s="1"/>
  <c r="AF198" i="27" s="1"/>
  <c r="B198" i="27" s="1"/>
  <c r="D197" i="27"/>
  <c r="E197" i="27" s="1"/>
  <c r="F197" i="27" s="1"/>
  <c r="G197" i="27" s="1"/>
  <c r="H197" i="27" s="1"/>
  <c r="I197" i="27" s="1"/>
  <c r="J197" i="27" s="1"/>
  <c r="K197" i="27" s="1"/>
  <c r="L197" i="27" s="1"/>
  <c r="M197" i="27" s="1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B197" i="27" s="1"/>
  <c r="D196" i="27"/>
  <c r="E196" i="27" s="1"/>
  <c r="F196" i="27" s="1"/>
  <c r="G196" i="27" s="1"/>
  <c r="H196" i="27" s="1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B196" i="27" s="1"/>
  <c r="D195" i="27"/>
  <c r="D194" i="27"/>
  <c r="E194" i="27" s="1"/>
  <c r="F194" i="27" s="1"/>
  <c r="G194" i="27" s="1"/>
  <c r="AG192" i="27"/>
  <c r="C192" i="27"/>
  <c r="D191" i="27"/>
  <c r="E191" i="27" s="1"/>
  <c r="F191" i="27" s="1"/>
  <c r="G191" i="27" s="1"/>
  <c r="H191" i="27" s="1"/>
  <c r="I191" i="27" s="1"/>
  <c r="J191" i="27" s="1"/>
  <c r="K191" i="27" s="1"/>
  <c r="L191" i="27" s="1"/>
  <c r="M191" i="27" s="1"/>
  <c r="N191" i="27" s="1"/>
  <c r="O191" i="27" s="1"/>
  <c r="P191" i="27" s="1"/>
  <c r="Q191" i="27" s="1"/>
  <c r="R191" i="27" s="1"/>
  <c r="S191" i="27" s="1"/>
  <c r="T191" i="27" s="1"/>
  <c r="U191" i="27" s="1"/>
  <c r="V191" i="27" s="1"/>
  <c r="W191" i="27" s="1"/>
  <c r="X191" i="27" s="1"/>
  <c r="Y191" i="27" s="1"/>
  <c r="Z191" i="27" s="1"/>
  <c r="AA191" i="27" s="1"/>
  <c r="AB191" i="27" s="1"/>
  <c r="AC191" i="27" s="1"/>
  <c r="AD191" i="27" s="1"/>
  <c r="AE191" i="27" s="1"/>
  <c r="AF191" i="27" s="1"/>
  <c r="B191" i="27" s="1"/>
  <c r="D190" i="27"/>
  <c r="E190" i="27" s="1"/>
  <c r="F190" i="27" s="1"/>
  <c r="G190" i="27" s="1"/>
  <c r="H190" i="27" s="1"/>
  <c r="I190" i="27" s="1"/>
  <c r="J190" i="27" s="1"/>
  <c r="K190" i="27" s="1"/>
  <c r="L190" i="27" s="1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B190" i="27" s="1"/>
  <c r="E189" i="27"/>
  <c r="F189" i="27" s="1"/>
  <c r="G189" i="27" s="1"/>
  <c r="H189" i="27" s="1"/>
  <c r="I189" i="27" s="1"/>
  <c r="J189" i="27" s="1"/>
  <c r="K189" i="27" s="1"/>
  <c r="L189" i="27" s="1"/>
  <c r="M189" i="27" s="1"/>
  <c r="N189" i="27" s="1"/>
  <c r="O189" i="27" s="1"/>
  <c r="P189" i="27" s="1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B189" i="27" s="1"/>
  <c r="D189" i="27"/>
  <c r="D188" i="27"/>
  <c r="E188" i="27" s="1"/>
  <c r="F188" i="27" s="1"/>
  <c r="G188" i="27" s="1"/>
  <c r="H188" i="27" s="1"/>
  <c r="I188" i="27" s="1"/>
  <c r="J188" i="27" s="1"/>
  <c r="K188" i="27" s="1"/>
  <c r="L188" i="27" s="1"/>
  <c r="M188" i="27" s="1"/>
  <c r="N188" i="27" s="1"/>
  <c r="O188" i="27" s="1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B188" i="27" s="1"/>
  <c r="D187" i="27"/>
  <c r="E187" i="27" s="1"/>
  <c r="F187" i="27" s="1"/>
  <c r="G187" i="27" s="1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B187" i="27" s="1"/>
  <c r="D186" i="27"/>
  <c r="E186" i="27" s="1"/>
  <c r="F186" i="27" s="1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B186" i="27" s="1"/>
  <c r="D185" i="27"/>
  <c r="E185" i="27" s="1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B185" i="27" s="1"/>
  <c r="D184" i="27"/>
  <c r="E184" i="27" s="1"/>
  <c r="F184" i="27" s="1"/>
  <c r="G184" i="27" s="1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B184" i="27" s="1"/>
  <c r="F183" i="27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B183" i="27" s="1"/>
  <c r="D183" i="27"/>
  <c r="E183" i="27" s="1"/>
  <c r="D182" i="27"/>
  <c r="E182" i="27" s="1"/>
  <c r="F182" i="27" s="1"/>
  <c r="G182" i="27" s="1"/>
  <c r="H182" i="27" s="1"/>
  <c r="I182" i="27" s="1"/>
  <c r="J182" i="27" s="1"/>
  <c r="K182" i="27" s="1"/>
  <c r="L182" i="27" s="1"/>
  <c r="M182" i="27" s="1"/>
  <c r="N182" i="27" s="1"/>
  <c r="O182" i="27" s="1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B182" i="27" s="1"/>
  <c r="D181" i="27"/>
  <c r="E181" i="27" s="1"/>
  <c r="F181" i="27" s="1"/>
  <c r="G181" i="27" s="1"/>
  <c r="H181" i="27" s="1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B181" i="27" s="1"/>
  <c r="D180" i="27"/>
  <c r="E180" i="27" s="1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B180" i="27" s="1"/>
  <c r="D179" i="27"/>
  <c r="E179" i="27" s="1"/>
  <c r="F179" i="27" s="1"/>
  <c r="G179" i="27" s="1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B179" i="27" s="1"/>
  <c r="Q177" i="27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B177" i="27" s="1"/>
  <c r="D177" i="27"/>
  <c r="E177" i="27" s="1"/>
  <c r="F177" i="27" s="1"/>
  <c r="G177" i="27" s="1"/>
  <c r="H177" i="27" s="1"/>
  <c r="I177" i="27" s="1"/>
  <c r="J177" i="27" s="1"/>
  <c r="K177" i="27" s="1"/>
  <c r="L177" i="27" s="1"/>
  <c r="M177" i="27" s="1"/>
  <c r="N177" i="27" s="1"/>
  <c r="O177" i="27" s="1"/>
  <c r="P177" i="27" s="1"/>
  <c r="D176" i="27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B176" i="27" s="1"/>
  <c r="D175" i="27"/>
  <c r="E175" i="27" s="1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B175" i="27" s="1"/>
  <c r="D174" i="27"/>
  <c r="E174" i="27" s="1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B174" i="27" s="1"/>
  <c r="D173" i="27"/>
  <c r="E173" i="27" s="1"/>
  <c r="F173" i="27" s="1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B173" i="27" s="1"/>
  <c r="D172" i="27"/>
  <c r="E172" i="27" s="1"/>
  <c r="F172" i="27" s="1"/>
  <c r="G172" i="27" s="1"/>
  <c r="H172" i="27" s="1"/>
  <c r="I172" i="27" s="1"/>
  <c r="J172" i="27" s="1"/>
  <c r="K172" i="27" s="1"/>
  <c r="L172" i="27" s="1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B172" i="27" s="1"/>
  <c r="L171" i="27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B171" i="27" s="1"/>
  <c r="D171" i="27"/>
  <c r="E171" i="27" s="1"/>
  <c r="F171" i="27" s="1"/>
  <c r="G171" i="27" s="1"/>
  <c r="H171" i="27" s="1"/>
  <c r="I171" i="27" s="1"/>
  <c r="J171" i="27" s="1"/>
  <c r="K171" i="27" s="1"/>
  <c r="D170" i="27"/>
  <c r="E170" i="27" s="1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B170" i="27" s="1"/>
  <c r="I168" i="27"/>
  <c r="J168" i="27" s="1"/>
  <c r="K168" i="27" s="1"/>
  <c r="L168" i="27" s="1"/>
  <c r="M168" i="27" s="1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B168" i="27" s="1"/>
  <c r="D168" i="27"/>
  <c r="E168" i="27" s="1"/>
  <c r="F168" i="27" s="1"/>
  <c r="G168" i="27" s="1"/>
  <c r="H168" i="27" s="1"/>
  <c r="D167" i="27"/>
  <c r="E167" i="27" s="1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B167" i="27" s="1"/>
  <c r="D166" i="27"/>
  <c r="E166" i="27" s="1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B166" i="27" s="1"/>
  <c r="D165" i="27"/>
  <c r="E165" i="27" s="1"/>
  <c r="F165" i="27" s="1"/>
  <c r="G165" i="27" s="1"/>
  <c r="H165" i="27" s="1"/>
  <c r="I165" i="27" s="1"/>
  <c r="J165" i="27" s="1"/>
  <c r="K165" i="27" s="1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B165" i="27" s="1"/>
  <c r="D164" i="27"/>
  <c r="E164" i="27" s="1"/>
  <c r="F164" i="27" s="1"/>
  <c r="G164" i="27" s="1"/>
  <c r="H164" i="27" s="1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B164" i="27" s="1"/>
  <c r="D163" i="27"/>
  <c r="E163" i="27" s="1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B163" i="27" s="1"/>
  <c r="D162" i="27"/>
  <c r="E162" i="27" s="1"/>
  <c r="F162" i="27" s="1"/>
  <c r="G162" i="27" s="1"/>
  <c r="H162" i="27" s="1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B162" i="27" s="1"/>
  <c r="D161" i="27"/>
  <c r="E161" i="27" s="1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B161" i="27" s="1"/>
  <c r="D160" i="27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B160" i="27" s="1"/>
  <c r="E159" i="27"/>
  <c r="F159" i="27" s="1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B159" i="27" s="1"/>
  <c r="D159" i="27"/>
  <c r="F158" i="27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B158" i="27" s="1"/>
  <c r="E158" i="27"/>
  <c r="D158" i="27"/>
  <c r="D157" i="27"/>
  <c r="E157" i="27" s="1"/>
  <c r="F157" i="27" s="1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B157" i="27" s="1"/>
  <c r="D156" i="27"/>
  <c r="E156" i="27" s="1"/>
  <c r="F156" i="27" s="1"/>
  <c r="G156" i="27" s="1"/>
  <c r="H156" i="27" s="1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B156" i="27" s="1"/>
  <c r="D154" i="27"/>
  <c r="E154" i="27" s="1"/>
  <c r="F154" i="27" s="1"/>
  <c r="G154" i="27" s="1"/>
  <c r="H154" i="27" s="1"/>
  <c r="I154" i="27" s="1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B154" i="27" s="1"/>
  <c r="D153" i="27"/>
  <c r="E153" i="27" s="1"/>
  <c r="F153" i="27" s="1"/>
  <c r="G153" i="27" s="1"/>
  <c r="H153" i="27" s="1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B153" i="27" s="1"/>
  <c r="D152" i="27"/>
  <c r="E152" i="27" s="1"/>
  <c r="F152" i="27" s="1"/>
  <c r="G152" i="27" s="1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B152" i="27" s="1"/>
  <c r="D151" i="27"/>
  <c r="E151" i="27" s="1"/>
  <c r="F151" i="27" s="1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B151" i="27" s="1"/>
  <c r="E149" i="27"/>
  <c r="F149" i="27" s="1"/>
  <c r="G149" i="27" s="1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B149" i="27" s="1"/>
  <c r="D149" i="27"/>
  <c r="D148" i="27"/>
  <c r="E148" i="27" s="1"/>
  <c r="F148" i="27" s="1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B148" i="27" s="1"/>
  <c r="D146" i="27"/>
  <c r="E146" i="27" s="1"/>
  <c r="F146" i="27" s="1"/>
  <c r="G146" i="27" s="1"/>
  <c r="H146" i="27" s="1"/>
  <c r="I146" i="27" s="1"/>
  <c r="J146" i="27" s="1"/>
  <c r="K146" i="27" s="1"/>
  <c r="L146" i="27" s="1"/>
  <c r="M146" i="27" s="1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B146" i="27" s="1"/>
  <c r="D145" i="27"/>
  <c r="E145" i="27" s="1"/>
  <c r="F145" i="27" s="1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B145" i="27" s="1"/>
  <c r="D144" i="27"/>
  <c r="E144" i="27" s="1"/>
  <c r="F144" i="27" s="1"/>
  <c r="G144" i="27" s="1"/>
  <c r="H144" i="27" s="1"/>
  <c r="I144" i="27" s="1"/>
  <c r="J144" i="27" s="1"/>
  <c r="K144" i="27" s="1"/>
  <c r="L144" i="27" s="1"/>
  <c r="M144" i="27" s="1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B144" i="27" s="1"/>
  <c r="E143" i="27"/>
  <c r="F143" i="27" s="1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B143" i="27" s="1"/>
  <c r="D143" i="27"/>
  <c r="D142" i="27"/>
  <c r="E142" i="27" s="1"/>
  <c r="F142" i="27" s="1"/>
  <c r="G142" i="27" s="1"/>
  <c r="H142" i="27" s="1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B142" i="27" s="1"/>
  <c r="D141" i="27"/>
  <c r="E141" i="27" s="1"/>
  <c r="F141" i="27" s="1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B141" i="27" s="1"/>
  <c r="D140" i="27"/>
  <c r="E140" i="27" s="1"/>
  <c r="F140" i="27" s="1"/>
  <c r="G140" i="27" s="1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B140" i="27" s="1"/>
  <c r="D138" i="27"/>
  <c r="E138" i="27" s="1"/>
  <c r="F138" i="27" s="1"/>
  <c r="G138" i="27" s="1"/>
  <c r="H138" i="27" s="1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B138" i="27" s="1"/>
  <c r="E137" i="27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B137" i="27" s="1"/>
  <c r="D137" i="27"/>
  <c r="D136" i="27"/>
  <c r="E136" i="27" s="1"/>
  <c r="F136" i="27" s="1"/>
  <c r="G136" i="27" s="1"/>
  <c r="H136" i="27" s="1"/>
  <c r="I136" i="27" s="1"/>
  <c r="J136" i="27" s="1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B136" i="27" s="1"/>
  <c r="D135" i="27"/>
  <c r="E135" i="27" s="1"/>
  <c r="F135" i="27" s="1"/>
  <c r="G135" i="27" s="1"/>
  <c r="H135" i="27" s="1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B135" i="27" s="1"/>
  <c r="F134" i="27"/>
  <c r="G134" i="27" s="1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B134" i="27" s="1"/>
  <c r="E134" i="27"/>
  <c r="D134" i="27"/>
  <c r="D133" i="27"/>
  <c r="E133" i="27" s="1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B133" i="27" s="1"/>
  <c r="D132" i="27"/>
  <c r="E132" i="27" s="1"/>
  <c r="F132" i="27" s="1"/>
  <c r="G132" i="27" s="1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B132" i="27" s="1"/>
  <c r="D131" i="27"/>
  <c r="E131" i="27" s="1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B131" i="27" s="1"/>
  <c r="D129" i="27"/>
  <c r="E129" i="27" s="1"/>
  <c r="F129" i="27" s="1"/>
  <c r="G129" i="27" s="1"/>
  <c r="H129" i="27" s="1"/>
  <c r="I129" i="27" s="1"/>
  <c r="J129" i="27" s="1"/>
  <c r="K129" i="27" s="1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B129" i="27" s="1"/>
  <c r="D128" i="27"/>
  <c r="E128" i="27" s="1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B128" i="27" s="1"/>
  <c r="D127" i="27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B127" i="27" s="1"/>
  <c r="D126" i="27"/>
  <c r="E126" i="27" s="1"/>
  <c r="F126" i="27" s="1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B126" i="27" s="1"/>
  <c r="E125" i="27"/>
  <c r="F125" i="27" s="1"/>
  <c r="G125" i="27" s="1"/>
  <c r="H125" i="27" s="1"/>
  <c r="I125" i="27" s="1"/>
  <c r="J125" i="27" s="1"/>
  <c r="K125" i="27" s="1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B125" i="27" s="1"/>
  <c r="D125" i="27"/>
  <c r="D124" i="27"/>
  <c r="E124" i="27" s="1"/>
  <c r="F124" i="27" s="1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B124" i="27" s="1"/>
  <c r="G123" i="27"/>
  <c r="H123" i="27" s="1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B123" i="27" s="1"/>
  <c r="D123" i="27"/>
  <c r="E123" i="27" s="1"/>
  <c r="F123" i="27" s="1"/>
  <c r="D122" i="27"/>
  <c r="E122" i="27" s="1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B122" i="27" s="1"/>
  <c r="D121" i="27"/>
  <c r="E121" i="27" s="1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B121" i="27" s="1"/>
  <c r="D120" i="27"/>
  <c r="E120" i="27" s="1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B120" i="27" s="1"/>
  <c r="D119" i="27"/>
  <c r="E119" i="27" s="1"/>
  <c r="F119" i="27" s="1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B119" i="27" s="1"/>
  <c r="D118" i="27"/>
  <c r="E118" i="27" s="1"/>
  <c r="F118" i="27" s="1"/>
  <c r="G118" i="27" s="1"/>
  <c r="H118" i="27" s="1"/>
  <c r="I118" i="27" s="1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B118" i="27" s="1"/>
  <c r="E117" i="27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B117" i="27" s="1"/>
  <c r="D117" i="27"/>
  <c r="D116" i="27"/>
  <c r="E116" i="27" s="1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B116" i="27" s="1"/>
  <c r="D115" i="27"/>
  <c r="E115" i="27" s="1"/>
  <c r="F115" i="27" s="1"/>
  <c r="G115" i="27" s="1"/>
  <c r="H115" i="27" s="1"/>
  <c r="I115" i="27" s="1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B115" i="27" s="1"/>
  <c r="N114" i="27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B114" i="27" s="1"/>
  <c r="L114" i="27"/>
  <c r="M114" i="27" s="1"/>
  <c r="K114" i="27"/>
  <c r="E114" i="27"/>
  <c r="F114" i="27" s="1"/>
  <c r="G114" i="27" s="1"/>
  <c r="H114" i="27" s="1"/>
  <c r="I114" i="27" s="1"/>
  <c r="D114" i="27"/>
  <c r="D113" i="27"/>
  <c r="E113" i="27" s="1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B113" i="27" s="1"/>
  <c r="D112" i="27"/>
  <c r="E112" i="27" s="1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B112" i="27" s="1"/>
  <c r="D110" i="27"/>
  <c r="E110" i="27" s="1"/>
  <c r="F110" i="27" s="1"/>
  <c r="G110" i="27" s="1"/>
  <c r="H110" i="27" s="1"/>
  <c r="I110" i="27" s="1"/>
  <c r="J110" i="27" s="1"/>
  <c r="K110" i="27" s="1"/>
  <c r="L110" i="27" s="1"/>
  <c r="M110" i="27" s="1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B110" i="27" s="1"/>
  <c r="D109" i="27"/>
  <c r="E109" i="27" s="1"/>
  <c r="F109" i="27" s="1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B109" i="27" s="1"/>
  <c r="D107" i="27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B107" i="27" s="1"/>
  <c r="D106" i="27"/>
  <c r="E106" i="27" s="1"/>
  <c r="F106" i="27" s="1"/>
  <c r="G106" i="27" s="1"/>
  <c r="H106" i="27" s="1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B106" i="27" s="1"/>
  <c r="D105" i="27"/>
  <c r="E105" i="27" s="1"/>
  <c r="F105" i="27" s="1"/>
  <c r="G105" i="27" s="1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B105" i="27" s="1"/>
  <c r="D104" i="27"/>
  <c r="E104" i="27" s="1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B104" i="27" s="1"/>
  <c r="D103" i="27"/>
  <c r="E103" i="27" s="1"/>
  <c r="D102" i="27"/>
  <c r="AH98" i="27"/>
  <c r="AI98" i="27" s="1"/>
  <c r="AH97" i="27"/>
  <c r="AI97" i="27" s="1"/>
  <c r="AH96" i="27"/>
  <c r="AI96" i="27" s="1"/>
  <c r="AH95" i="27"/>
  <c r="AI95" i="27" s="1"/>
  <c r="AH94" i="27"/>
  <c r="AI94" i="27" s="1"/>
  <c r="C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G82" i="27"/>
  <c r="AI81" i="27"/>
  <c r="AH81" i="27"/>
  <c r="AF80" i="27"/>
  <c r="AE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AF79" i="27"/>
  <c r="AE79" i="27"/>
  <c r="AD79" i="27"/>
  <c r="AC79" i="27"/>
  <c r="AB79" i="27"/>
  <c r="AA79" i="27"/>
  <c r="Z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J77" i="27"/>
  <c r="I77" i="27"/>
  <c r="H77" i="27"/>
  <c r="G77" i="27"/>
  <c r="F77" i="27"/>
  <c r="E77" i="27"/>
  <c r="D77" i="27"/>
  <c r="C77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AI74" i="27"/>
  <c r="AH74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AI71" i="27"/>
  <c r="AH71" i="27"/>
  <c r="AI70" i="27"/>
  <c r="AH70" i="27"/>
  <c r="AI69" i="27"/>
  <c r="AH69" i="27"/>
  <c r="AG68" i="27"/>
  <c r="AF68" i="27"/>
  <c r="AE5" i="27" s="1"/>
  <c r="AE68" i="27"/>
  <c r="AD5" i="27" s="1"/>
  <c r="AD68" i="27"/>
  <c r="AC5" i="27" s="1"/>
  <c r="AC68" i="27"/>
  <c r="AB68" i="27"/>
  <c r="AA5" i="27" s="1"/>
  <c r="AA68" i="27"/>
  <c r="Z5" i="27" s="1"/>
  <c r="Z68" i="27"/>
  <c r="Y68" i="27"/>
  <c r="X5" i="27" s="1"/>
  <c r="X68" i="27"/>
  <c r="W5" i="27" s="1"/>
  <c r="W68" i="27"/>
  <c r="V68" i="27"/>
  <c r="U5" i="27" s="1"/>
  <c r="U68" i="27"/>
  <c r="T68" i="27"/>
  <c r="S5" i="27" s="1"/>
  <c r="S68" i="27"/>
  <c r="R5" i="27" s="1"/>
  <c r="R68" i="27"/>
  <c r="Q68" i="27"/>
  <c r="P5" i="27" s="1"/>
  <c r="P68" i="27"/>
  <c r="O5" i="27" s="1"/>
  <c r="O68" i="27"/>
  <c r="N5" i="27" s="1"/>
  <c r="N68" i="27"/>
  <c r="M5" i="27" s="1"/>
  <c r="M68" i="27"/>
  <c r="L68" i="27"/>
  <c r="J68" i="27"/>
  <c r="I68" i="27"/>
  <c r="H5" i="27" s="1"/>
  <c r="H68" i="27"/>
  <c r="G5" i="27" s="1"/>
  <c r="G68" i="27"/>
  <c r="F5" i="27" s="1"/>
  <c r="F68" i="27"/>
  <c r="E68" i="27"/>
  <c r="D68" i="27"/>
  <c r="C5" i="27" s="1"/>
  <c r="C68" i="27"/>
  <c r="B5" i="27" s="1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I57" i="27"/>
  <c r="AH57" i="27"/>
  <c r="AG56" i="27"/>
  <c r="AG4" i="27" s="1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AI55" i="27"/>
  <c r="AH55" i="27"/>
  <c r="AI54" i="27"/>
  <c r="AH54" i="27"/>
  <c r="AI53" i="27"/>
  <c r="AH53" i="27"/>
  <c r="Z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AG51" i="27"/>
  <c r="AG52" i="27" s="1"/>
  <c r="AG3" i="27" s="1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G2" i="27" s="1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F5" i="27"/>
  <c r="V5" i="27"/>
  <c r="K5" i="27"/>
  <c r="E5" i="27"/>
  <c r="K4" i="27"/>
  <c r="B4" i="27"/>
  <c r="AF95" i="26"/>
  <c r="AF37" i="26"/>
  <c r="AE95" i="26"/>
  <c r="AE37" i="26"/>
  <c r="AD95" i="26"/>
  <c r="AD37" i="26"/>
  <c r="AC95" i="26"/>
  <c r="AC37" i="26"/>
  <c r="R95" i="26"/>
  <c r="R37" i="26"/>
  <c r="Q95" i="26"/>
  <c r="Q37" i="26"/>
  <c r="O95" i="26"/>
  <c r="O38" i="26"/>
  <c r="O37" i="26"/>
  <c r="N95" i="26"/>
  <c r="N37" i="26"/>
  <c r="M37" i="26"/>
  <c r="L95" i="26"/>
  <c r="L37" i="26"/>
  <c r="E4" i="27"/>
  <c r="O235" i="35" l="1"/>
  <c r="Q199" i="35"/>
  <c r="P194" i="35"/>
  <c r="O200" i="35"/>
  <c r="O192" i="35"/>
  <c r="P102" i="35"/>
  <c r="P109" i="35"/>
  <c r="O93" i="35"/>
  <c r="R103" i="35"/>
  <c r="Q199" i="33"/>
  <c r="O235" i="33"/>
  <c r="R194" i="33"/>
  <c r="Q200" i="33"/>
  <c r="P200" i="33"/>
  <c r="O192" i="33"/>
  <c r="P102" i="33"/>
  <c r="P93" i="33"/>
  <c r="Q103" i="33"/>
  <c r="P194" i="32"/>
  <c r="O200" i="32"/>
  <c r="O93" i="32"/>
  <c r="Q103" i="32"/>
  <c r="N235" i="32"/>
  <c r="P199" i="32"/>
  <c r="P192" i="32"/>
  <c r="Q102" i="32"/>
  <c r="R103" i="31"/>
  <c r="O192" i="31"/>
  <c r="P102" i="31"/>
  <c r="P194" i="31"/>
  <c r="O200" i="31"/>
  <c r="O93" i="31"/>
  <c r="R199" i="31"/>
  <c r="P235" i="31"/>
  <c r="N235" i="30"/>
  <c r="P199" i="30"/>
  <c r="O200" i="30"/>
  <c r="O192" i="30"/>
  <c r="P102" i="30"/>
  <c r="Q103" i="30"/>
  <c r="P93" i="30"/>
  <c r="R194" i="30"/>
  <c r="O93" i="30"/>
  <c r="N235" i="29"/>
  <c r="P199" i="29"/>
  <c r="N192" i="29"/>
  <c r="O102" i="29"/>
  <c r="O194" i="29"/>
  <c r="N200" i="29"/>
  <c r="N93" i="29"/>
  <c r="R103" i="29"/>
  <c r="H103" i="28"/>
  <c r="G93" i="28"/>
  <c r="K6" i="28"/>
  <c r="H235" i="28"/>
  <c r="J199" i="28"/>
  <c r="G192" i="28"/>
  <c r="H102" i="28"/>
  <c r="H194" i="28"/>
  <c r="G200" i="28"/>
  <c r="N82" i="27"/>
  <c r="AI37" i="27"/>
  <c r="AG6" i="27"/>
  <c r="L73" i="27"/>
  <c r="T73" i="27"/>
  <c r="W82" i="27"/>
  <c r="X82" i="27"/>
  <c r="AF82" i="27"/>
  <c r="AH58" i="27"/>
  <c r="K77" i="27"/>
  <c r="R82" i="27"/>
  <c r="Z82" i="27"/>
  <c r="V82" i="27"/>
  <c r="AD82" i="27"/>
  <c r="AG73" i="27"/>
  <c r="L82" i="27"/>
  <c r="AB82" i="27"/>
  <c r="AE82" i="27"/>
  <c r="I82" i="27"/>
  <c r="Y82" i="27"/>
  <c r="AA82" i="27"/>
  <c r="L75" i="27"/>
  <c r="T75" i="27"/>
  <c r="T82" i="27"/>
  <c r="S82" i="27"/>
  <c r="S75" i="27"/>
  <c r="AK214" i="27" s="1"/>
  <c r="R75" i="27"/>
  <c r="Q82" i="27"/>
  <c r="Q73" i="27"/>
  <c r="P82" i="27"/>
  <c r="P73" i="27"/>
  <c r="O82" i="27"/>
  <c r="O75" i="27"/>
  <c r="AG214" i="27" s="1"/>
  <c r="O73" i="27"/>
  <c r="N73" i="27"/>
  <c r="K82" i="27"/>
  <c r="K75" i="27"/>
  <c r="J82" i="27"/>
  <c r="I73" i="27"/>
  <c r="H82" i="27"/>
  <c r="G75" i="27"/>
  <c r="G7" i="27" s="1"/>
  <c r="G82" i="27"/>
  <c r="G73" i="27"/>
  <c r="AI79" i="27"/>
  <c r="F82" i="27"/>
  <c r="F73" i="27"/>
  <c r="AH80" i="27"/>
  <c r="D82" i="27"/>
  <c r="AI38" i="27"/>
  <c r="D75" i="27"/>
  <c r="V214" i="27" s="1"/>
  <c r="C82" i="27"/>
  <c r="D73" i="27"/>
  <c r="B82" i="27"/>
  <c r="H4" i="27"/>
  <c r="AJ214" i="27"/>
  <c r="R7" i="27"/>
  <c r="O7" i="27"/>
  <c r="AH76" i="27"/>
  <c r="AI77" i="27"/>
  <c r="I75" i="27"/>
  <c r="Q75" i="27"/>
  <c r="AG75" i="27"/>
  <c r="AG83" i="27" s="1"/>
  <c r="S73" i="27"/>
  <c r="AL214" i="27"/>
  <c r="T7" i="27"/>
  <c r="AH77" i="27"/>
  <c r="E93" i="27"/>
  <c r="F103" i="27"/>
  <c r="AI72" i="27"/>
  <c r="AH72" i="27"/>
  <c r="E82" i="27"/>
  <c r="M82" i="27"/>
  <c r="U82" i="27"/>
  <c r="AC82" i="27"/>
  <c r="H75" i="27"/>
  <c r="D211" i="27"/>
  <c r="S211" i="27"/>
  <c r="AI68" i="27"/>
  <c r="I5" i="27"/>
  <c r="J73" i="27"/>
  <c r="Q5" i="27"/>
  <c r="R73" i="27"/>
  <c r="R83" i="27" s="1"/>
  <c r="Y5" i="27"/>
  <c r="Z73" i="27"/>
  <c r="AH68" i="27"/>
  <c r="C73" i="27"/>
  <c r="C75" i="27" s="1"/>
  <c r="Z75" i="27"/>
  <c r="AI56" i="27"/>
  <c r="AH56" i="27"/>
  <c r="Y214" i="27"/>
  <c r="AH38" i="27"/>
  <c r="E75" i="27"/>
  <c r="M75" i="27"/>
  <c r="H73" i="27"/>
  <c r="J75" i="27"/>
  <c r="AH79" i="27"/>
  <c r="AI80" i="27"/>
  <c r="P75" i="27"/>
  <c r="P83" i="27" s="1"/>
  <c r="E73" i="27"/>
  <c r="D5" i="27"/>
  <c r="M73" i="27"/>
  <c r="L5" i="27"/>
  <c r="T5" i="27"/>
  <c r="AB5" i="27"/>
  <c r="K73" i="27"/>
  <c r="AD214" i="27"/>
  <c r="L7" i="27"/>
  <c r="AI76" i="27"/>
  <c r="AH78" i="27"/>
  <c r="F75" i="27"/>
  <c r="N75" i="27"/>
  <c r="AI78" i="27"/>
  <c r="D192" i="27"/>
  <c r="E102" i="27"/>
  <c r="D93" i="27"/>
  <c r="D235" i="27"/>
  <c r="F199" i="27"/>
  <c r="D200" i="27"/>
  <c r="H194" i="27"/>
  <c r="E195" i="27"/>
  <c r="D95" i="26"/>
  <c r="D37" i="26"/>
  <c r="AH100" i="26"/>
  <c r="AI100" i="26" s="1"/>
  <c r="AH99" i="26"/>
  <c r="AI99" i="26" s="1"/>
  <c r="C95" i="26"/>
  <c r="C37" i="26"/>
  <c r="B95" i="26"/>
  <c r="B37" i="26"/>
  <c r="B93" i="26"/>
  <c r="B80" i="26"/>
  <c r="B79" i="26"/>
  <c r="B78" i="26"/>
  <c r="B77" i="26"/>
  <c r="B82" i="26" s="1"/>
  <c r="B76" i="26"/>
  <c r="B72" i="26"/>
  <c r="B68" i="26"/>
  <c r="B56" i="26"/>
  <c r="B52" i="26"/>
  <c r="B51" i="26"/>
  <c r="B38" i="26"/>
  <c r="AF239" i="26"/>
  <c r="AE239" i="26"/>
  <c r="AD239" i="26"/>
  <c r="AC239" i="26"/>
  <c r="AB239" i="26"/>
  <c r="AA239" i="26"/>
  <c r="Z239" i="26"/>
  <c r="Y239" i="26"/>
  <c r="X239" i="26"/>
  <c r="W239" i="26"/>
  <c r="V239" i="26"/>
  <c r="U239" i="26"/>
  <c r="T239" i="26"/>
  <c r="S239" i="26"/>
  <c r="R239" i="26"/>
  <c r="Q239" i="26"/>
  <c r="P239" i="26"/>
  <c r="O239" i="26"/>
  <c r="N239" i="26"/>
  <c r="M239" i="26"/>
  <c r="L239" i="26"/>
  <c r="K239" i="26"/>
  <c r="J239" i="26"/>
  <c r="I239" i="26"/>
  <c r="H239" i="26"/>
  <c r="G239" i="26"/>
  <c r="F239" i="26"/>
  <c r="E239" i="26"/>
  <c r="D239" i="26"/>
  <c r="C239" i="26"/>
  <c r="B239" i="26"/>
  <c r="A239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B235" i="26"/>
  <c r="S210" i="26"/>
  <c r="AG200" i="26"/>
  <c r="D200" i="26"/>
  <c r="C200" i="26"/>
  <c r="E199" i="26"/>
  <c r="D199" i="26"/>
  <c r="C235" i="26" s="1"/>
  <c r="G198" i="26"/>
  <c r="H198" i="26" s="1"/>
  <c r="I198" i="26" s="1"/>
  <c r="J198" i="26" s="1"/>
  <c r="K198" i="26" s="1"/>
  <c r="L198" i="26" s="1"/>
  <c r="M198" i="26" s="1"/>
  <c r="N198" i="26" s="1"/>
  <c r="O198" i="26" s="1"/>
  <c r="P198" i="26" s="1"/>
  <c r="Q198" i="26" s="1"/>
  <c r="R198" i="26" s="1"/>
  <c r="S198" i="26" s="1"/>
  <c r="T198" i="26" s="1"/>
  <c r="U198" i="26" s="1"/>
  <c r="V198" i="26" s="1"/>
  <c r="W198" i="26" s="1"/>
  <c r="X198" i="26" s="1"/>
  <c r="Y198" i="26" s="1"/>
  <c r="Z198" i="26" s="1"/>
  <c r="AA198" i="26" s="1"/>
  <c r="AB198" i="26" s="1"/>
  <c r="AC198" i="26" s="1"/>
  <c r="AD198" i="26" s="1"/>
  <c r="AE198" i="26" s="1"/>
  <c r="AF198" i="26" s="1"/>
  <c r="B198" i="26" s="1"/>
  <c r="F198" i="26"/>
  <c r="E198" i="26"/>
  <c r="D198" i="26"/>
  <c r="M197" i="26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B197" i="26" s="1"/>
  <c r="E197" i="26"/>
  <c r="F197" i="26" s="1"/>
  <c r="G197" i="26" s="1"/>
  <c r="H197" i="26" s="1"/>
  <c r="I197" i="26" s="1"/>
  <c r="J197" i="26" s="1"/>
  <c r="K197" i="26" s="1"/>
  <c r="L197" i="26" s="1"/>
  <c r="D197" i="26"/>
  <c r="E196" i="26"/>
  <c r="F196" i="26" s="1"/>
  <c r="G196" i="26" s="1"/>
  <c r="H196" i="26" s="1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B196" i="26" s="1"/>
  <c r="D196" i="26"/>
  <c r="E195" i="26"/>
  <c r="D195" i="26"/>
  <c r="F194" i="26"/>
  <c r="E194" i="26"/>
  <c r="D194" i="26"/>
  <c r="AG192" i="26"/>
  <c r="C192" i="26"/>
  <c r="F191" i="26"/>
  <c r="G191" i="26" s="1"/>
  <c r="H191" i="26" s="1"/>
  <c r="I191" i="26" s="1"/>
  <c r="J191" i="26" s="1"/>
  <c r="K191" i="26" s="1"/>
  <c r="L191" i="26" s="1"/>
  <c r="M191" i="26" s="1"/>
  <c r="N191" i="26" s="1"/>
  <c r="O191" i="26" s="1"/>
  <c r="P191" i="26" s="1"/>
  <c r="Q191" i="26" s="1"/>
  <c r="R191" i="26" s="1"/>
  <c r="S191" i="26" s="1"/>
  <c r="T191" i="26" s="1"/>
  <c r="U191" i="26" s="1"/>
  <c r="V191" i="26" s="1"/>
  <c r="W191" i="26" s="1"/>
  <c r="X191" i="26" s="1"/>
  <c r="Y191" i="26" s="1"/>
  <c r="Z191" i="26" s="1"/>
  <c r="AA191" i="26" s="1"/>
  <c r="AB191" i="26" s="1"/>
  <c r="AC191" i="26" s="1"/>
  <c r="AD191" i="26" s="1"/>
  <c r="AE191" i="26" s="1"/>
  <c r="AF191" i="26" s="1"/>
  <c r="B191" i="26" s="1"/>
  <c r="E191" i="26"/>
  <c r="D191" i="26"/>
  <c r="N190" i="26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B190" i="26" s="1"/>
  <c r="D190" i="26"/>
  <c r="E190" i="26" s="1"/>
  <c r="F190" i="26" s="1"/>
  <c r="G190" i="26" s="1"/>
  <c r="H190" i="26" s="1"/>
  <c r="I190" i="26" s="1"/>
  <c r="J190" i="26" s="1"/>
  <c r="K190" i="26" s="1"/>
  <c r="L190" i="26" s="1"/>
  <c r="M190" i="26" s="1"/>
  <c r="E189" i="26"/>
  <c r="F189" i="26" s="1"/>
  <c r="G189" i="26" s="1"/>
  <c r="H189" i="26" s="1"/>
  <c r="I189" i="26" s="1"/>
  <c r="J189" i="26" s="1"/>
  <c r="K189" i="26" s="1"/>
  <c r="L189" i="26" s="1"/>
  <c r="M189" i="26" s="1"/>
  <c r="N189" i="26" s="1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B189" i="26" s="1"/>
  <c r="D189" i="26"/>
  <c r="J188" i="26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B188" i="26" s="1"/>
  <c r="F188" i="26"/>
  <c r="G188" i="26" s="1"/>
  <c r="H188" i="26" s="1"/>
  <c r="I188" i="26" s="1"/>
  <c r="E188" i="26"/>
  <c r="D188" i="26"/>
  <c r="E187" i="26"/>
  <c r="F187" i="26" s="1"/>
  <c r="G187" i="26" s="1"/>
  <c r="H187" i="26" s="1"/>
  <c r="I187" i="26" s="1"/>
  <c r="J187" i="26" s="1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B187" i="26" s="1"/>
  <c r="D187" i="26"/>
  <c r="D186" i="26"/>
  <c r="E186" i="26" s="1"/>
  <c r="F186" i="26" s="1"/>
  <c r="G186" i="26" s="1"/>
  <c r="H186" i="26" s="1"/>
  <c r="I186" i="26" s="1"/>
  <c r="J186" i="26" s="1"/>
  <c r="K186" i="26" s="1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B186" i="26" s="1"/>
  <c r="R185" i="26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B185" i="26" s="1"/>
  <c r="K185" i="26"/>
  <c r="L185" i="26" s="1"/>
  <c r="M185" i="26" s="1"/>
  <c r="N185" i="26" s="1"/>
  <c r="O185" i="26" s="1"/>
  <c r="P185" i="26" s="1"/>
  <c r="Q185" i="26" s="1"/>
  <c r="H185" i="26"/>
  <c r="I185" i="26" s="1"/>
  <c r="J185" i="26" s="1"/>
  <c r="E185" i="26"/>
  <c r="F185" i="26" s="1"/>
  <c r="G185" i="26" s="1"/>
  <c r="D185" i="26"/>
  <c r="P184" i="26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B184" i="26" s="1"/>
  <c r="I184" i="26"/>
  <c r="J184" i="26" s="1"/>
  <c r="K184" i="26" s="1"/>
  <c r="L184" i="26" s="1"/>
  <c r="M184" i="26" s="1"/>
  <c r="N184" i="26" s="1"/>
  <c r="O184" i="26" s="1"/>
  <c r="F184" i="26"/>
  <c r="G184" i="26" s="1"/>
  <c r="H184" i="26" s="1"/>
  <c r="E184" i="26"/>
  <c r="D184" i="26"/>
  <c r="P183" i="26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B183" i="26" s="1"/>
  <c r="I183" i="26"/>
  <c r="J183" i="26" s="1"/>
  <c r="K183" i="26" s="1"/>
  <c r="L183" i="26" s="1"/>
  <c r="M183" i="26" s="1"/>
  <c r="N183" i="26" s="1"/>
  <c r="O183" i="26" s="1"/>
  <c r="F183" i="26"/>
  <c r="G183" i="26" s="1"/>
  <c r="H183" i="26" s="1"/>
  <c r="E183" i="26"/>
  <c r="D183" i="26"/>
  <c r="D182" i="26"/>
  <c r="E182" i="26" s="1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B182" i="26" s="1"/>
  <c r="AF181" i="26"/>
  <c r="B181" i="26" s="1"/>
  <c r="E181" i="26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D181" i="26"/>
  <c r="M180" i="26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B180" i="26" s="1"/>
  <c r="H180" i="26"/>
  <c r="I180" i="26" s="1"/>
  <c r="J180" i="26" s="1"/>
  <c r="K180" i="26" s="1"/>
  <c r="L180" i="26" s="1"/>
  <c r="G180" i="26"/>
  <c r="E180" i="26"/>
  <c r="F180" i="26" s="1"/>
  <c r="D180" i="26"/>
  <c r="U179" i="26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B179" i="26" s="1"/>
  <c r="D179" i="26"/>
  <c r="E179" i="26" s="1"/>
  <c r="F179" i="26" s="1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E177" i="26"/>
  <c r="F177" i="26" s="1"/>
  <c r="G177" i="26" s="1"/>
  <c r="H177" i="26" s="1"/>
  <c r="I177" i="26" s="1"/>
  <c r="J177" i="26" s="1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V177" i="26" s="1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B177" i="26" s="1"/>
  <c r="D177" i="26"/>
  <c r="D176" i="26"/>
  <c r="E176" i="26" s="1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B176" i="26" s="1"/>
  <c r="Y175" i="26"/>
  <c r="Z175" i="26" s="1"/>
  <c r="AA175" i="26" s="1"/>
  <c r="AB175" i="26" s="1"/>
  <c r="AC175" i="26" s="1"/>
  <c r="AD175" i="26" s="1"/>
  <c r="AE175" i="26" s="1"/>
  <c r="AF175" i="26" s="1"/>
  <c r="B175" i="26" s="1"/>
  <c r="E175" i="26"/>
  <c r="F175" i="26" s="1"/>
  <c r="G175" i="26" s="1"/>
  <c r="H175" i="26" s="1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D175" i="26"/>
  <c r="D174" i="26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B174" i="26" s="1"/>
  <c r="AB173" i="26"/>
  <c r="AC173" i="26" s="1"/>
  <c r="AD173" i="26" s="1"/>
  <c r="AE173" i="26" s="1"/>
  <c r="AF173" i="26" s="1"/>
  <c r="B173" i="26" s="1"/>
  <c r="E173" i="26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D173" i="26"/>
  <c r="O172" i="26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B172" i="26" s="1"/>
  <c r="H172" i="26"/>
  <c r="I172" i="26" s="1"/>
  <c r="J172" i="26" s="1"/>
  <c r="K172" i="26" s="1"/>
  <c r="L172" i="26" s="1"/>
  <c r="M172" i="26" s="1"/>
  <c r="N172" i="26" s="1"/>
  <c r="G172" i="26"/>
  <c r="D172" i="26"/>
  <c r="E172" i="26" s="1"/>
  <c r="F172" i="26" s="1"/>
  <c r="E171" i="26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B171" i="26" s="1"/>
  <c r="D171" i="26"/>
  <c r="E170" i="26"/>
  <c r="F170" i="26" s="1"/>
  <c r="G170" i="26" s="1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B170" i="26" s="1"/>
  <c r="D170" i="26"/>
  <c r="M168" i="26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B168" i="26" s="1"/>
  <c r="D168" i="26"/>
  <c r="E168" i="26" s="1"/>
  <c r="F168" i="26" s="1"/>
  <c r="G168" i="26" s="1"/>
  <c r="H168" i="26" s="1"/>
  <c r="I168" i="26" s="1"/>
  <c r="J168" i="26" s="1"/>
  <c r="K168" i="26" s="1"/>
  <c r="L168" i="26" s="1"/>
  <c r="G167" i="26"/>
  <c r="H167" i="26" s="1"/>
  <c r="I167" i="26" s="1"/>
  <c r="J167" i="26" s="1"/>
  <c r="K167" i="26" s="1"/>
  <c r="L167" i="26" s="1"/>
  <c r="M167" i="26" s="1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B167" i="26" s="1"/>
  <c r="F167" i="26"/>
  <c r="D167" i="26"/>
  <c r="E167" i="26" s="1"/>
  <c r="D166" i="26"/>
  <c r="E166" i="26" s="1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B166" i="26" s="1"/>
  <c r="R165" i="26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B165" i="26" s="1"/>
  <c r="J165" i="26"/>
  <c r="K165" i="26" s="1"/>
  <c r="L165" i="26" s="1"/>
  <c r="M165" i="26" s="1"/>
  <c r="N165" i="26" s="1"/>
  <c r="O165" i="26" s="1"/>
  <c r="P165" i="26" s="1"/>
  <c r="Q165" i="26" s="1"/>
  <c r="F165" i="26"/>
  <c r="G165" i="26" s="1"/>
  <c r="H165" i="26" s="1"/>
  <c r="I165" i="26" s="1"/>
  <c r="E165" i="26"/>
  <c r="D165" i="26"/>
  <c r="I164" i="26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B164" i="26" s="1"/>
  <c r="H164" i="26"/>
  <c r="D164" i="26"/>
  <c r="E164" i="26" s="1"/>
  <c r="F164" i="26" s="1"/>
  <c r="G164" i="26" s="1"/>
  <c r="G163" i="26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B163" i="26" s="1"/>
  <c r="F163" i="26"/>
  <c r="E163" i="26"/>
  <c r="D163" i="26"/>
  <c r="H162" i="26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B162" i="26" s="1"/>
  <c r="D162" i="26"/>
  <c r="E162" i="26" s="1"/>
  <c r="F162" i="26" s="1"/>
  <c r="G162" i="26" s="1"/>
  <c r="R161" i="26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B161" i="26" s="1"/>
  <c r="N161" i="26"/>
  <c r="O161" i="26" s="1"/>
  <c r="P161" i="26" s="1"/>
  <c r="Q161" i="26" s="1"/>
  <c r="F161" i="26"/>
  <c r="G161" i="26" s="1"/>
  <c r="H161" i="26" s="1"/>
  <c r="I161" i="26" s="1"/>
  <c r="J161" i="26" s="1"/>
  <c r="K161" i="26" s="1"/>
  <c r="L161" i="26" s="1"/>
  <c r="M161" i="26" s="1"/>
  <c r="E161" i="26"/>
  <c r="D161" i="26"/>
  <c r="Q160" i="26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B160" i="26" s="1"/>
  <c r="P160" i="26"/>
  <c r="H160" i="26"/>
  <c r="I160" i="26" s="1"/>
  <c r="J160" i="26" s="1"/>
  <c r="K160" i="26" s="1"/>
  <c r="L160" i="26" s="1"/>
  <c r="M160" i="26" s="1"/>
  <c r="N160" i="26" s="1"/>
  <c r="O160" i="26" s="1"/>
  <c r="D160" i="26"/>
  <c r="E160" i="26" s="1"/>
  <c r="F160" i="26" s="1"/>
  <c r="G160" i="26" s="1"/>
  <c r="O159" i="26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B159" i="26" s="1"/>
  <c r="H159" i="26"/>
  <c r="I159" i="26" s="1"/>
  <c r="J159" i="26" s="1"/>
  <c r="K159" i="26" s="1"/>
  <c r="L159" i="26" s="1"/>
  <c r="M159" i="26" s="1"/>
  <c r="N159" i="26" s="1"/>
  <c r="G159" i="26"/>
  <c r="F159" i="26"/>
  <c r="E159" i="26"/>
  <c r="D159" i="26"/>
  <c r="V158" i="26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B158" i="26" s="1"/>
  <c r="D158" i="26"/>
  <c r="E158" i="26" s="1"/>
  <c r="F158" i="26" s="1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N157" i="26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B157" i="26" s="1"/>
  <c r="M157" i="26"/>
  <c r="F157" i="26"/>
  <c r="G157" i="26" s="1"/>
  <c r="H157" i="26" s="1"/>
  <c r="I157" i="26" s="1"/>
  <c r="J157" i="26" s="1"/>
  <c r="K157" i="26" s="1"/>
  <c r="L157" i="26" s="1"/>
  <c r="E157" i="26"/>
  <c r="D157" i="26"/>
  <c r="S156" i="26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B156" i="26" s="1"/>
  <c r="H156" i="26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D156" i="26"/>
  <c r="E156" i="26" s="1"/>
  <c r="F156" i="26" s="1"/>
  <c r="G156" i="26" s="1"/>
  <c r="X154" i="26"/>
  <c r="Y154" i="26" s="1"/>
  <c r="Z154" i="26" s="1"/>
  <c r="AA154" i="26" s="1"/>
  <c r="AB154" i="26" s="1"/>
  <c r="AC154" i="26" s="1"/>
  <c r="AD154" i="26" s="1"/>
  <c r="AE154" i="26" s="1"/>
  <c r="AF154" i="26" s="1"/>
  <c r="B154" i="26" s="1"/>
  <c r="J154" i="26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I154" i="26"/>
  <c r="G154" i="26"/>
  <c r="H154" i="26" s="1"/>
  <c r="F154" i="26"/>
  <c r="E154" i="26"/>
  <c r="D154" i="26"/>
  <c r="L153" i="26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B153" i="26" s="1"/>
  <c r="E153" i="26"/>
  <c r="F153" i="26" s="1"/>
  <c r="G153" i="26" s="1"/>
  <c r="H153" i="26" s="1"/>
  <c r="I153" i="26" s="1"/>
  <c r="J153" i="26" s="1"/>
  <c r="K153" i="26" s="1"/>
  <c r="D153" i="26"/>
  <c r="J152" i="26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B152" i="26" s="1"/>
  <c r="E152" i="26"/>
  <c r="F152" i="26" s="1"/>
  <c r="G152" i="26" s="1"/>
  <c r="H152" i="26" s="1"/>
  <c r="I152" i="26" s="1"/>
  <c r="D152" i="26"/>
  <c r="R151" i="26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B151" i="26" s="1"/>
  <c r="E151" i="26"/>
  <c r="F151" i="26" s="1"/>
  <c r="G151" i="26" s="1"/>
  <c r="H151" i="26" s="1"/>
  <c r="I151" i="26" s="1"/>
  <c r="J151" i="26" s="1"/>
  <c r="K151" i="26" s="1"/>
  <c r="L151" i="26" s="1"/>
  <c r="M151" i="26" s="1"/>
  <c r="N151" i="26" s="1"/>
  <c r="O151" i="26" s="1"/>
  <c r="P151" i="26" s="1"/>
  <c r="Q151" i="26" s="1"/>
  <c r="D151" i="26"/>
  <c r="I149" i="26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B149" i="26" s="1"/>
  <c r="E149" i="26"/>
  <c r="F149" i="26" s="1"/>
  <c r="G149" i="26" s="1"/>
  <c r="H149" i="26" s="1"/>
  <c r="D149" i="26"/>
  <c r="H148" i="26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B148" i="26" s="1"/>
  <c r="D148" i="26"/>
  <c r="E148" i="26" s="1"/>
  <c r="F148" i="26" s="1"/>
  <c r="G148" i="26" s="1"/>
  <c r="T146" i="26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B146" i="26" s="1"/>
  <c r="K146" i="26"/>
  <c r="L146" i="26" s="1"/>
  <c r="M146" i="26" s="1"/>
  <c r="N146" i="26" s="1"/>
  <c r="O146" i="26" s="1"/>
  <c r="P146" i="26" s="1"/>
  <c r="Q146" i="26" s="1"/>
  <c r="R146" i="26" s="1"/>
  <c r="S146" i="26" s="1"/>
  <c r="F146" i="26"/>
  <c r="G146" i="26" s="1"/>
  <c r="H146" i="26" s="1"/>
  <c r="I146" i="26" s="1"/>
  <c r="J146" i="26" s="1"/>
  <c r="E146" i="26"/>
  <c r="D146" i="26"/>
  <c r="E145" i="26"/>
  <c r="F145" i="26" s="1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B145" i="26" s="1"/>
  <c r="D145" i="26"/>
  <c r="Q144" i="26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H144" i="26"/>
  <c r="I144" i="26" s="1"/>
  <c r="J144" i="26" s="1"/>
  <c r="K144" i="26" s="1"/>
  <c r="L144" i="26" s="1"/>
  <c r="M144" i="26" s="1"/>
  <c r="N144" i="26" s="1"/>
  <c r="O144" i="26" s="1"/>
  <c r="P144" i="26" s="1"/>
  <c r="G144" i="26"/>
  <c r="E144" i="26"/>
  <c r="F144" i="26" s="1"/>
  <c r="D144" i="26"/>
  <c r="B144" i="26"/>
  <c r="X143" i="26"/>
  <c r="Y143" i="26" s="1"/>
  <c r="Z143" i="26" s="1"/>
  <c r="AA143" i="26" s="1"/>
  <c r="AB143" i="26" s="1"/>
  <c r="AC143" i="26" s="1"/>
  <c r="AD143" i="26" s="1"/>
  <c r="AE143" i="26" s="1"/>
  <c r="AF143" i="26" s="1"/>
  <c r="B143" i="26" s="1"/>
  <c r="F143" i="26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E143" i="26"/>
  <c r="D143" i="26"/>
  <c r="D142" i="26"/>
  <c r="E142" i="26" s="1"/>
  <c r="F142" i="26" s="1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B142" i="26" s="1"/>
  <c r="P141" i="26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B141" i="26" s="1"/>
  <c r="G141" i="26"/>
  <c r="H141" i="26" s="1"/>
  <c r="I141" i="26" s="1"/>
  <c r="J141" i="26" s="1"/>
  <c r="K141" i="26" s="1"/>
  <c r="L141" i="26" s="1"/>
  <c r="M141" i="26" s="1"/>
  <c r="N141" i="26" s="1"/>
  <c r="O141" i="26" s="1"/>
  <c r="D141" i="26"/>
  <c r="E141" i="26" s="1"/>
  <c r="F141" i="26" s="1"/>
  <c r="N140" i="26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B140" i="26" s="1"/>
  <c r="H140" i="26"/>
  <c r="I140" i="26" s="1"/>
  <c r="J140" i="26" s="1"/>
  <c r="K140" i="26" s="1"/>
  <c r="L140" i="26" s="1"/>
  <c r="M140" i="26" s="1"/>
  <c r="F140" i="26"/>
  <c r="G140" i="26" s="1"/>
  <c r="E140" i="26"/>
  <c r="D140" i="26"/>
  <c r="P138" i="26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B138" i="26" s="1"/>
  <c r="J138" i="26"/>
  <c r="K138" i="26" s="1"/>
  <c r="L138" i="26" s="1"/>
  <c r="M138" i="26" s="1"/>
  <c r="N138" i="26" s="1"/>
  <c r="O138" i="26" s="1"/>
  <c r="D138" i="26"/>
  <c r="E138" i="26" s="1"/>
  <c r="F138" i="26" s="1"/>
  <c r="G138" i="26" s="1"/>
  <c r="H138" i="26" s="1"/>
  <c r="I138" i="26" s="1"/>
  <c r="D137" i="26"/>
  <c r="E137" i="26" s="1"/>
  <c r="F137" i="26" s="1"/>
  <c r="G137" i="26" s="1"/>
  <c r="H137" i="26" s="1"/>
  <c r="I137" i="26" s="1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B137" i="26" s="1"/>
  <c r="F136" i="26"/>
  <c r="G136" i="26" s="1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B136" i="26" s="1"/>
  <c r="E136" i="26"/>
  <c r="D136" i="26"/>
  <c r="AD135" i="26"/>
  <c r="AE135" i="26" s="1"/>
  <c r="AF135" i="26" s="1"/>
  <c r="B135" i="26" s="1"/>
  <c r="D135" i="26"/>
  <c r="E135" i="26" s="1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R134" i="26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B134" i="26" s="1"/>
  <c r="H134" i="26"/>
  <c r="I134" i="26" s="1"/>
  <c r="J134" i="26" s="1"/>
  <c r="K134" i="26" s="1"/>
  <c r="L134" i="26" s="1"/>
  <c r="M134" i="26" s="1"/>
  <c r="N134" i="26" s="1"/>
  <c r="O134" i="26" s="1"/>
  <c r="P134" i="26" s="1"/>
  <c r="Q134" i="26" s="1"/>
  <c r="F134" i="26"/>
  <c r="G134" i="26" s="1"/>
  <c r="D134" i="26"/>
  <c r="E134" i="26" s="1"/>
  <c r="V133" i="26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B133" i="26" s="1"/>
  <c r="P133" i="26"/>
  <c r="Q133" i="26" s="1"/>
  <c r="R133" i="26" s="1"/>
  <c r="S133" i="26" s="1"/>
  <c r="T133" i="26" s="1"/>
  <c r="U133" i="26" s="1"/>
  <c r="J133" i="26"/>
  <c r="K133" i="26" s="1"/>
  <c r="L133" i="26" s="1"/>
  <c r="M133" i="26" s="1"/>
  <c r="N133" i="26" s="1"/>
  <c r="O133" i="26" s="1"/>
  <c r="F133" i="26"/>
  <c r="G133" i="26" s="1"/>
  <c r="H133" i="26" s="1"/>
  <c r="I133" i="26" s="1"/>
  <c r="D133" i="26"/>
  <c r="E133" i="26" s="1"/>
  <c r="V132" i="26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B132" i="26" s="1"/>
  <c r="D132" i="26"/>
  <c r="E132" i="26" s="1"/>
  <c r="F132" i="26" s="1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AB131" i="26"/>
  <c r="AC131" i="26" s="1"/>
  <c r="AD131" i="26" s="1"/>
  <c r="AE131" i="26" s="1"/>
  <c r="AF131" i="26" s="1"/>
  <c r="B131" i="26" s="1"/>
  <c r="F131" i="26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E131" i="26"/>
  <c r="D131" i="26"/>
  <c r="L129" i="26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B129" i="26" s="1"/>
  <c r="H129" i="26"/>
  <c r="I129" i="26" s="1"/>
  <c r="J129" i="26" s="1"/>
  <c r="K129" i="26" s="1"/>
  <c r="D129" i="26"/>
  <c r="E129" i="26" s="1"/>
  <c r="F129" i="26" s="1"/>
  <c r="G129" i="26" s="1"/>
  <c r="X128" i="26"/>
  <c r="Y128" i="26" s="1"/>
  <c r="Z128" i="26" s="1"/>
  <c r="AA128" i="26" s="1"/>
  <c r="AB128" i="26" s="1"/>
  <c r="AC128" i="26" s="1"/>
  <c r="AD128" i="26" s="1"/>
  <c r="AE128" i="26" s="1"/>
  <c r="AF128" i="26" s="1"/>
  <c r="B128" i="26" s="1"/>
  <c r="U128" i="26"/>
  <c r="V128" i="26" s="1"/>
  <c r="W128" i="26" s="1"/>
  <c r="F128" i="26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E128" i="26"/>
  <c r="D128" i="26"/>
  <c r="H127" i="26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B127" i="26" s="1"/>
  <c r="D127" i="26"/>
  <c r="E127" i="26" s="1"/>
  <c r="F127" i="26" s="1"/>
  <c r="G127" i="26" s="1"/>
  <c r="Q126" i="26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B126" i="26" s="1"/>
  <c r="P126" i="26"/>
  <c r="H126" i="26"/>
  <c r="I126" i="26" s="1"/>
  <c r="J126" i="26" s="1"/>
  <c r="K126" i="26" s="1"/>
  <c r="L126" i="26" s="1"/>
  <c r="M126" i="26" s="1"/>
  <c r="N126" i="26" s="1"/>
  <c r="O126" i="26" s="1"/>
  <c r="F126" i="26"/>
  <c r="G126" i="26" s="1"/>
  <c r="E126" i="26"/>
  <c r="D126" i="26"/>
  <c r="AB125" i="26"/>
  <c r="AC125" i="26" s="1"/>
  <c r="AD125" i="26" s="1"/>
  <c r="AE125" i="26" s="1"/>
  <c r="AF125" i="26" s="1"/>
  <c r="B125" i="26" s="1"/>
  <c r="AA125" i="26"/>
  <c r="J125" i="26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I125" i="26"/>
  <c r="D125" i="26"/>
  <c r="E125" i="26" s="1"/>
  <c r="F125" i="26" s="1"/>
  <c r="G125" i="26" s="1"/>
  <c r="H125" i="26" s="1"/>
  <c r="U124" i="26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B124" i="26" s="1"/>
  <c r="D124" i="26"/>
  <c r="E124" i="26" s="1"/>
  <c r="F124" i="26" s="1"/>
  <c r="G124" i="26" s="1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AF123" i="26"/>
  <c r="B123" i="26" s="1"/>
  <c r="O123" i="26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N123" i="26"/>
  <c r="D123" i="26"/>
  <c r="E123" i="26" s="1"/>
  <c r="F123" i="26" s="1"/>
  <c r="G123" i="26" s="1"/>
  <c r="H123" i="26" s="1"/>
  <c r="I123" i="26" s="1"/>
  <c r="J123" i="26" s="1"/>
  <c r="K123" i="26" s="1"/>
  <c r="L123" i="26" s="1"/>
  <c r="M123" i="26" s="1"/>
  <c r="E122" i="26"/>
  <c r="F122" i="26" s="1"/>
  <c r="G122" i="26" s="1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B122" i="26" s="1"/>
  <c r="D122" i="26"/>
  <c r="D121" i="26"/>
  <c r="E121" i="26" s="1"/>
  <c r="F121" i="26" s="1"/>
  <c r="G121" i="26" s="1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B121" i="26" s="1"/>
  <c r="Y120" i="26"/>
  <c r="Z120" i="26" s="1"/>
  <c r="AA120" i="26" s="1"/>
  <c r="AB120" i="26" s="1"/>
  <c r="AC120" i="26" s="1"/>
  <c r="AD120" i="26" s="1"/>
  <c r="AE120" i="26" s="1"/>
  <c r="AF120" i="26" s="1"/>
  <c r="B120" i="26" s="1"/>
  <c r="L120" i="26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I120" i="26"/>
  <c r="J120" i="26" s="1"/>
  <c r="K120" i="26" s="1"/>
  <c r="D120" i="26"/>
  <c r="E120" i="26" s="1"/>
  <c r="F120" i="26" s="1"/>
  <c r="G120" i="26" s="1"/>
  <c r="H120" i="26" s="1"/>
  <c r="D119" i="26"/>
  <c r="E119" i="26" s="1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B119" i="26" s="1"/>
  <c r="I118" i="26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B118" i="26" s="1"/>
  <c r="E118" i="26"/>
  <c r="F118" i="26" s="1"/>
  <c r="G118" i="26" s="1"/>
  <c r="H118" i="26" s="1"/>
  <c r="D118" i="26"/>
  <c r="K117" i="26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B117" i="26" s="1"/>
  <c r="H117" i="26"/>
  <c r="I117" i="26" s="1"/>
  <c r="J117" i="26" s="1"/>
  <c r="D117" i="26"/>
  <c r="E117" i="26" s="1"/>
  <c r="F117" i="26" s="1"/>
  <c r="G117" i="26" s="1"/>
  <c r="D116" i="26"/>
  <c r="E116" i="26" s="1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B116" i="26" s="1"/>
  <c r="G115" i="26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B115" i="26" s="1"/>
  <c r="D115" i="26"/>
  <c r="E115" i="26" s="1"/>
  <c r="F115" i="26" s="1"/>
  <c r="X114" i="26"/>
  <c r="Y114" i="26" s="1"/>
  <c r="Z114" i="26" s="1"/>
  <c r="AA114" i="26" s="1"/>
  <c r="AB114" i="26" s="1"/>
  <c r="AC114" i="26" s="1"/>
  <c r="AD114" i="26" s="1"/>
  <c r="AE114" i="26" s="1"/>
  <c r="AF114" i="26" s="1"/>
  <c r="B114" i="26" s="1"/>
  <c r="P114" i="26"/>
  <c r="Q114" i="26" s="1"/>
  <c r="R114" i="26" s="1"/>
  <c r="S114" i="26" s="1"/>
  <c r="T114" i="26" s="1"/>
  <c r="U114" i="26" s="1"/>
  <c r="V114" i="26" s="1"/>
  <c r="W114" i="26" s="1"/>
  <c r="O114" i="26"/>
  <c r="N114" i="26"/>
  <c r="M114" i="26"/>
  <c r="L114" i="26"/>
  <c r="K114" i="26"/>
  <c r="F114" i="26"/>
  <c r="G114" i="26" s="1"/>
  <c r="H114" i="26" s="1"/>
  <c r="I114" i="26" s="1"/>
  <c r="E114" i="26"/>
  <c r="D114" i="26"/>
  <c r="M113" i="26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B113" i="26" s="1"/>
  <c r="E113" i="26"/>
  <c r="F113" i="26" s="1"/>
  <c r="G113" i="26" s="1"/>
  <c r="H113" i="26" s="1"/>
  <c r="I113" i="26" s="1"/>
  <c r="J113" i="26" s="1"/>
  <c r="K113" i="26" s="1"/>
  <c r="L113" i="26" s="1"/>
  <c r="D113" i="26"/>
  <c r="L112" i="26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B112" i="26" s="1"/>
  <c r="K112" i="26"/>
  <c r="I112" i="26"/>
  <c r="J112" i="26" s="1"/>
  <c r="D112" i="26"/>
  <c r="E112" i="26" s="1"/>
  <c r="F112" i="26" s="1"/>
  <c r="G112" i="26" s="1"/>
  <c r="H112" i="26" s="1"/>
  <c r="I110" i="26"/>
  <c r="J110" i="26" s="1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B110" i="26" s="1"/>
  <c r="H110" i="26"/>
  <c r="G110" i="26"/>
  <c r="F110" i="26"/>
  <c r="E110" i="26"/>
  <c r="D110" i="26"/>
  <c r="G109" i="26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B109" i="26" s="1"/>
  <c r="D109" i="26"/>
  <c r="E109" i="26" s="1"/>
  <c r="F109" i="26" s="1"/>
  <c r="E107" i="26"/>
  <c r="F107" i="26" s="1"/>
  <c r="G107" i="26" s="1"/>
  <c r="H107" i="26" s="1"/>
  <c r="I107" i="26" s="1"/>
  <c r="J107" i="26" s="1"/>
  <c r="K107" i="26" s="1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B107" i="26" s="1"/>
  <c r="D107" i="26"/>
  <c r="D106" i="26"/>
  <c r="E106" i="26" s="1"/>
  <c r="F106" i="26" s="1"/>
  <c r="G106" i="26" s="1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B106" i="26" s="1"/>
  <c r="F105" i="26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B105" i="26" s="1"/>
  <c r="E105" i="26"/>
  <c r="D105" i="26"/>
  <c r="E104" i="26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B104" i="26" s="1"/>
  <c r="D104" i="26"/>
  <c r="D103" i="26"/>
  <c r="D93" i="26" s="1"/>
  <c r="D102" i="26"/>
  <c r="AH98" i="26"/>
  <c r="AI98" i="26" s="1"/>
  <c r="AH97" i="26"/>
  <c r="AI97" i="26" s="1"/>
  <c r="AH96" i="26"/>
  <c r="AI96" i="26" s="1"/>
  <c r="AH95" i="26"/>
  <c r="AI95" i="26" s="1"/>
  <c r="AH94" i="26"/>
  <c r="AI94" i="26" s="1"/>
  <c r="C93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G82" i="26"/>
  <c r="AI81" i="26"/>
  <c r="AH81" i="26"/>
  <c r="AF80" i="26"/>
  <c r="AE80" i="26"/>
  <c r="AD80" i="26"/>
  <c r="AC80" i="26"/>
  <c r="AB80" i="26"/>
  <c r="AA80" i="26"/>
  <c r="Z80" i="26"/>
  <c r="Y80" i="26"/>
  <c r="X80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AF79" i="26"/>
  <c r="AE79" i="26"/>
  <c r="AD79" i="26"/>
  <c r="AC79" i="26"/>
  <c r="AB79" i="26"/>
  <c r="AA79" i="26"/>
  <c r="Z79" i="26"/>
  <c r="Y79" i="26"/>
  <c r="Y82" i="26" s="1"/>
  <c r="X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AF77" i="26"/>
  <c r="AE77" i="26"/>
  <c r="AD77" i="26"/>
  <c r="AC77" i="26"/>
  <c r="AB77" i="26"/>
  <c r="AA77" i="26"/>
  <c r="Z77" i="26"/>
  <c r="Y77" i="26"/>
  <c r="X77" i="26"/>
  <c r="W77" i="26"/>
  <c r="V77" i="26"/>
  <c r="V82" i="26" s="1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AF76" i="26"/>
  <c r="AE76" i="26"/>
  <c r="AD76" i="26"/>
  <c r="AC76" i="26"/>
  <c r="AB76" i="26"/>
  <c r="AA76" i="26"/>
  <c r="Z76" i="26"/>
  <c r="Y76" i="26"/>
  <c r="X76" i="26"/>
  <c r="W76" i="26"/>
  <c r="W82" i="26" s="1"/>
  <c r="V76" i="26"/>
  <c r="U76" i="26"/>
  <c r="T76" i="26"/>
  <c r="S76" i="26"/>
  <c r="R76" i="26"/>
  <c r="Q76" i="26"/>
  <c r="P76" i="26"/>
  <c r="O76" i="26"/>
  <c r="O82" i="26" s="1"/>
  <c r="N76" i="26"/>
  <c r="M76" i="26"/>
  <c r="L76" i="26"/>
  <c r="K76" i="26"/>
  <c r="J76" i="26"/>
  <c r="I76" i="26"/>
  <c r="H76" i="26"/>
  <c r="G76" i="26"/>
  <c r="F76" i="26"/>
  <c r="E76" i="26"/>
  <c r="D76" i="26"/>
  <c r="C76" i="26"/>
  <c r="AI74" i="26"/>
  <c r="AH74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AI72" i="26" s="1"/>
  <c r="AH72" i="26"/>
  <c r="AI71" i="26"/>
  <c r="AH71" i="26"/>
  <c r="AI70" i="26"/>
  <c r="AH70" i="26"/>
  <c r="AI69" i="26"/>
  <c r="AH69" i="26"/>
  <c r="AG68" i="26"/>
  <c r="AF68" i="26"/>
  <c r="AE5" i="26" s="1"/>
  <c r="AE68" i="26"/>
  <c r="AD5" i="26" s="1"/>
  <c r="AD68" i="26"/>
  <c r="AC68" i="26"/>
  <c r="AB5" i="26" s="1"/>
  <c r="AB68" i="26"/>
  <c r="AA68" i="26"/>
  <c r="Z68" i="26"/>
  <c r="Y5" i="26" s="1"/>
  <c r="Y68" i="26"/>
  <c r="X68" i="26"/>
  <c r="W5" i="26" s="1"/>
  <c r="W68" i="26"/>
  <c r="V68" i="26"/>
  <c r="U5" i="26" s="1"/>
  <c r="U68" i="26"/>
  <c r="T5" i="26" s="1"/>
  <c r="T68" i="26"/>
  <c r="S68" i="26"/>
  <c r="R5" i="26" s="1"/>
  <c r="R68" i="26"/>
  <c r="R75" i="26" s="1"/>
  <c r="AJ214" i="26" s="1"/>
  <c r="Q68" i="26"/>
  <c r="P68" i="26"/>
  <c r="O5" i="26" s="1"/>
  <c r="O68" i="26"/>
  <c r="N5" i="26" s="1"/>
  <c r="N68" i="26"/>
  <c r="M5" i="26" s="1"/>
  <c r="M68" i="26"/>
  <c r="L5" i="26" s="1"/>
  <c r="L68" i="26"/>
  <c r="K5" i="26" s="1"/>
  <c r="K68" i="26"/>
  <c r="J68" i="26"/>
  <c r="I68" i="26"/>
  <c r="H68" i="26"/>
  <c r="G5" i="26" s="1"/>
  <c r="G68" i="26"/>
  <c r="F5" i="26" s="1"/>
  <c r="F68" i="26"/>
  <c r="E5" i="26" s="1"/>
  <c r="E68" i="26"/>
  <c r="D5" i="26" s="1"/>
  <c r="D68" i="26"/>
  <c r="C5" i="26" s="1"/>
  <c r="C68" i="26"/>
  <c r="AI67" i="26"/>
  <c r="AH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AI55" i="26"/>
  <c r="AH55" i="26"/>
  <c r="AI54" i="26"/>
  <c r="AH54" i="26"/>
  <c r="AI53" i="26"/>
  <c r="AH53" i="26"/>
  <c r="Z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AG51" i="26"/>
  <c r="AG52" i="26" s="1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F5" i="26"/>
  <c r="V5" i="26"/>
  <c r="I5" i="26"/>
  <c r="AG4" i="26"/>
  <c r="K4" i="26"/>
  <c r="B4" i="26"/>
  <c r="AG2" i="26"/>
  <c r="AF95" i="25"/>
  <c r="AF37" i="25"/>
  <c r="AE37" i="25"/>
  <c r="AE95" i="25"/>
  <c r="X58" i="25"/>
  <c r="E4" i="26"/>
  <c r="Q109" i="35" l="1"/>
  <c r="P93" i="35"/>
  <c r="P192" i="35"/>
  <c r="Q102" i="35"/>
  <c r="Q194" i="35"/>
  <c r="P200" i="35"/>
  <c r="S103" i="35"/>
  <c r="R199" i="35"/>
  <c r="P235" i="35"/>
  <c r="P192" i="33"/>
  <c r="Q102" i="33"/>
  <c r="S194" i="33"/>
  <c r="R103" i="33"/>
  <c r="Q93" i="33"/>
  <c r="P235" i="33"/>
  <c r="R199" i="33"/>
  <c r="Q199" i="32"/>
  <c r="O235" i="32"/>
  <c r="P93" i="32"/>
  <c r="R103" i="32"/>
  <c r="Q93" i="32"/>
  <c r="Q192" i="32"/>
  <c r="R102" i="32"/>
  <c r="P200" i="32"/>
  <c r="Q194" i="32"/>
  <c r="Q235" i="31"/>
  <c r="S199" i="31"/>
  <c r="Q194" i="31"/>
  <c r="P200" i="31"/>
  <c r="P93" i="31"/>
  <c r="P192" i="31"/>
  <c r="Q102" i="31"/>
  <c r="S103" i="31"/>
  <c r="S194" i="30"/>
  <c r="R103" i="30"/>
  <c r="P192" i="30"/>
  <c r="Q102" i="30"/>
  <c r="Q199" i="30"/>
  <c r="O235" i="30"/>
  <c r="P200" i="30"/>
  <c r="S103" i="29"/>
  <c r="P194" i="29"/>
  <c r="O200" i="29"/>
  <c r="O93" i="29"/>
  <c r="O192" i="29"/>
  <c r="P102" i="29"/>
  <c r="Q199" i="29"/>
  <c r="O235" i="29"/>
  <c r="I235" i="28"/>
  <c r="K199" i="28"/>
  <c r="H200" i="28"/>
  <c r="I194" i="28"/>
  <c r="I103" i="28"/>
  <c r="H93" i="28"/>
  <c r="H192" i="28"/>
  <c r="I102" i="28"/>
  <c r="K83" i="27"/>
  <c r="I83" i="27"/>
  <c r="L83" i="27"/>
  <c r="T83" i="27"/>
  <c r="Z83" i="27"/>
  <c r="S83" i="27"/>
  <c r="S7" i="27"/>
  <c r="O83" i="27"/>
  <c r="M83" i="27"/>
  <c r="AC214" i="27"/>
  <c r="K7" i="27"/>
  <c r="J83" i="27"/>
  <c r="C209" i="27"/>
  <c r="H83" i="27"/>
  <c r="G83" i="27"/>
  <c r="E83" i="27"/>
  <c r="D7" i="27"/>
  <c r="D83" i="27"/>
  <c r="I194" i="27"/>
  <c r="B209" i="27"/>
  <c r="AE214" i="27"/>
  <c r="M7" i="27"/>
  <c r="AI82" i="27"/>
  <c r="AH82" i="27"/>
  <c r="G199" i="27"/>
  <c r="E235" i="27"/>
  <c r="AB214" i="27"/>
  <c r="J7" i="27"/>
  <c r="G103" i="27"/>
  <c r="F93" i="27"/>
  <c r="AF214" i="27"/>
  <c r="N7" i="27"/>
  <c r="W214" i="27"/>
  <c r="E7" i="27"/>
  <c r="AR214" i="27"/>
  <c r="Z7" i="27"/>
  <c r="C83" i="27"/>
  <c r="AI214" i="27"/>
  <c r="Q7" i="27"/>
  <c r="X214" i="27"/>
  <c r="F7" i="27"/>
  <c r="N83" i="27"/>
  <c r="AA214" i="27"/>
  <c r="I7" i="27"/>
  <c r="F83" i="27"/>
  <c r="E192" i="27"/>
  <c r="F102" i="27"/>
  <c r="AH214" i="27"/>
  <c r="P7" i="27"/>
  <c r="Q83" i="27"/>
  <c r="E200" i="27"/>
  <c r="F195" i="27"/>
  <c r="U214" i="27"/>
  <c r="C7" i="27"/>
  <c r="Z214" i="27"/>
  <c r="H7" i="27"/>
  <c r="AF82" i="26"/>
  <c r="AE82" i="26"/>
  <c r="AD82" i="26"/>
  <c r="AB82" i="26"/>
  <c r="AC82" i="26"/>
  <c r="Z82" i="26"/>
  <c r="Z73" i="26"/>
  <c r="Z75" i="26"/>
  <c r="Z83" i="26"/>
  <c r="X82" i="26"/>
  <c r="U82" i="26"/>
  <c r="T82" i="26"/>
  <c r="T73" i="26"/>
  <c r="S73" i="26"/>
  <c r="Q5" i="26"/>
  <c r="R82" i="26"/>
  <c r="R73" i="26"/>
  <c r="R83" i="26" s="1"/>
  <c r="Q82" i="26"/>
  <c r="Q75" i="26"/>
  <c r="AI214" i="26" s="1"/>
  <c r="Q73" i="26"/>
  <c r="P82" i="26"/>
  <c r="P73" i="26"/>
  <c r="P75" i="26"/>
  <c r="N82" i="26"/>
  <c r="N75" i="26"/>
  <c r="AF214" i="26" s="1"/>
  <c r="M82" i="26"/>
  <c r="M73" i="26"/>
  <c r="M75" i="26"/>
  <c r="M83" i="26" s="1"/>
  <c r="L82" i="26"/>
  <c r="L73" i="26"/>
  <c r="K73" i="26"/>
  <c r="AI78" i="26"/>
  <c r="J82" i="26"/>
  <c r="J73" i="26"/>
  <c r="I82" i="26"/>
  <c r="AH56" i="26"/>
  <c r="I73" i="26"/>
  <c r="I75" i="26"/>
  <c r="AA214" i="26" s="1"/>
  <c r="O75" i="26"/>
  <c r="AG214" i="26" s="1"/>
  <c r="H82" i="26"/>
  <c r="AI56" i="26"/>
  <c r="H75" i="26"/>
  <c r="Z214" i="26" s="1"/>
  <c r="H73" i="26"/>
  <c r="G82" i="26"/>
  <c r="G73" i="26"/>
  <c r="F82" i="26"/>
  <c r="AI77" i="26"/>
  <c r="F75" i="26"/>
  <c r="F7" i="26" s="1"/>
  <c r="E82" i="26"/>
  <c r="AH68" i="26"/>
  <c r="AH80" i="26"/>
  <c r="AI80" i="26"/>
  <c r="E75" i="26"/>
  <c r="W214" i="26" s="1"/>
  <c r="E73" i="26"/>
  <c r="E83" i="26" s="1"/>
  <c r="D82" i="26"/>
  <c r="AI79" i="26"/>
  <c r="D73" i="26"/>
  <c r="AI38" i="26"/>
  <c r="C73" i="26"/>
  <c r="C75" i="26" s="1"/>
  <c r="B75" i="26"/>
  <c r="B73" i="26"/>
  <c r="H4" i="26"/>
  <c r="AG3" i="26"/>
  <c r="AG6" i="26" s="1"/>
  <c r="AG73" i="26"/>
  <c r="AR214" i="26"/>
  <c r="Z7" i="26"/>
  <c r="X214" i="26"/>
  <c r="AG75" i="26"/>
  <c r="G75" i="26"/>
  <c r="H5" i="26"/>
  <c r="P5" i="26"/>
  <c r="X5" i="26"/>
  <c r="F73" i="26"/>
  <c r="N73" i="26"/>
  <c r="O73" i="26"/>
  <c r="AH38" i="26"/>
  <c r="J75" i="26"/>
  <c r="B5" i="26"/>
  <c r="J5" i="26"/>
  <c r="Z5" i="26"/>
  <c r="AH78" i="26"/>
  <c r="E103" i="26"/>
  <c r="AG83" i="26"/>
  <c r="S5" i="26"/>
  <c r="AA5" i="26"/>
  <c r="AI68" i="26"/>
  <c r="K75" i="26"/>
  <c r="S75" i="26"/>
  <c r="AH77" i="26"/>
  <c r="AH79" i="26"/>
  <c r="R7" i="26"/>
  <c r="D75" i="26"/>
  <c r="L75" i="26"/>
  <c r="T75" i="26"/>
  <c r="T83" i="26" s="1"/>
  <c r="AI76" i="26"/>
  <c r="S211" i="26"/>
  <c r="D211" i="26"/>
  <c r="AC5" i="26"/>
  <c r="C82" i="26"/>
  <c r="K82" i="26"/>
  <c r="S82" i="26"/>
  <c r="AA82" i="26"/>
  <c r="D192" i="26"/>
  <c r="AH76" i="26"/>
  <c r="E102" i="26"/>
  <c r="D235" i="26"/>
  <c r="F199" i="26"/>
  <c r="F195" i="26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B195" i="26" s="1"/>
  <c r="E200" i="26"/>
  <c r="G194" i="26"/>
  <c r="T103" i="35" l="1"/>
  <c r="Q200" i="35"/>
  <c r="R194" i="35"/>
  <c r="Q192" i="35"/>
  <c r="R102" i="35"/>
  <c r="Q235" i="35"/>
  <c r="S199" i="35"/>
  <c r="R109" i="35"/>
  <c r="Q93" i="35"/>
  <c r="S199" i="33"/>
  <c r="Q235" i="33"/>
  <c r="S103" i="33"/>
  <c r="R93" i="33"/>
  <c r="S200" i="33"/>
  <c r="T194" i="33"/>
  <c r="R200" i="33"/>
  <c r="Q192" i="33"/>
  <c r="R102" i="33"/>
  <c r="R192" i="32"/>
  <c r="S102" i="32"/>
  <c r="S103" i="32"/>
  <c r="R194" i="32"/>
  <c r="Q200" i="32"/>
  <c r="P235" i="32"/>
  <c r="R199" i="32"/>
  <c r="Q192" i="31"/>
  <c r="R102" i="31"/>
  <c r="Q200" i="31"/>
  <c r="R194" i="31"/>
  <c r="Q93" i="31"/>
  <c r="R235" i="31"/>
  <c r="T199" i="31"/>
  <c r="T103" i="31"/>
  <c r="R199" i="30"/>
  <c r="P235" i="30"/>
  <c r="Q200" i="30"/>
  <c r="Q192" i="30"/>
  <c r="R102" i="30"/>
  <c r="Q93" i="30"/>
  <c r="S103" i="30"/>
  <c r="R93" i="30"/>
  <c r="T194" i="30"/>
  <c r="P235" i="29"/>
  <c r="R199" i="29"/>
  <c r="P192" i="29"/>
  <c r="Q102" i="29"/>
  <c r="P200" i="29"/>
  <c r="Q194" i="29"/>
  <c r="P93" i="29"/>
  <c r="T103" i="29"/>
  <c r="J103" i="28"/>
  <c r="I93" i="28"/>
  <c r="J194" i="28"/>
  <c r="I200" i="28"/>
  <c r="J235" i="28"/>
  <c r="L199" i="28"/>
  <c r="I192" i="28"/>
  <c r="J102" i="28"/>
  <c r="K6" i="27"/>
  <c r="F192" i="27"/>
  <c r="G102" i="27"/>
  <c r="G195" i="27"/>
  <c r="F200" i="27"/>
  <c r="H103" i="27"/>
  <c r="G93" i="27"/>
  <c r="J194" i="27"/>
  <c r="F235" i="27"/>
  <c r="H199" i="27"/>
  <c r="S83" i="26"/>
  <c r="Q83" i="26"/>
  <c r="Q7" i="26"/>
  <c r="P83" i="26"/>
  <c r="P7" i="26"/>
  <c r="AH214" i="26"/>
  <c r="O7" i="26"/>
  <c r="O83" i="26"/>
  <c r="N83" i="26"/>
  <c r="N7" i="26"/>
  <c r="M7" i="26"/>
  <c r="AE214" i="26"/>
  <c r="L83" i="26"/>
  <c r="K83" i="26"/>
  <c r="I83" i="26"/>
  <c r="I7" i="26"/>
  <c r="H83" i="26"/>
  <c r="H7" i="26"/>
  <c r="G83" i="26"/>
  <c r="F83" i="26"/>
  <c r="E7" i="26"/>
  <c r="D83" i="26"/>
  <c r="C83" i="26"/>
  <c r="B83" i="26"/>
  <c r="F200" i="26"/>
  <c r="AC214" i="26"/>
  <c r="K7" i="26"/>
  <c r="E235" i="26"/>
  <c r="G199" i="26"/>
  <c r="E192" i="26"/>
  <c r="F102" i="26"/>
  <c r="Y214" i="26"/>
  <c r="C209" i="26"/>
  <c r="B209" i="26"/>
  <c r="G7" i="26"/>
  <c r="AI82" i="26"/>
  <c r="AH82" i="26"/>
  <c r="AL214" i="26"/>
  <c r="T7" i="26"/>
  <c r="AB214" i="26"/>
  <c r="J7" i="26"/>
  <c r="J83" i="26"/>
  <c r="H194" i="26"/>
  <c r="G200" i="26"/>
  <c r="AD214" i="26"/>
  <c r="L7" i="26"/>
  <c r="U214" i="26"/>
  <c r="C7" i="26"/>
  <c r="AK214" i="26"/>
  <c r="S7" i="26"/>
  <c r="V214" i="26"/>
  <c r="D7" i="26"/>
  <c r="F103" i="26"/>
  <c r="E93" i="26"/>
  <c r="R192" i="35" l="1"/>
  <c r="S102" i="35"/>
  <c r="R235" i="35"/>
  <c r="T199" i="35"/>
  <c r="S194" i="35"/>
  <c r="R200" i="35"/>
  <c r="U103" i="35"/>
  <c r="S109" i="35"/>
  <c r="R93" i="35"/>
  <c r="U194" i="33"/>
  <c r="T103" i="33"/>
  <c r="S93" i="33"/>
  <c r="R192" i="33"/>
  <c r="S102" i="33"/>
  <c r="T199" i="33"/>
  <c r="R235" i="33"/>
  <c r="S199" i="32"/>
  <c r="Q235" i="32"/>
  <c r="R200" i="32"/>
  <c r="S194" i="32"/>
  <c r="R93" i="32"/>
  <c r="S93" i="32"/>
  <c r="T103" i="32"/>
  <c r="S192" i="32"/>
  <c r="T102" i="32"/>
  <c r="U103" i="31"/>
  <c r="S194" i="31"/>
  <c r="R200" i="31"/>
  <c r="R93" i="31"/>
  <c r="S235" i="31"/>
  <c r="U199" i="31"/>
  <c r="R192" i="31"/>
  <c r="S102" i="31"/>
  <c r="T103" i="30"/>
  <c r="R192" i="30"/>
  <c r="S102" i="30"/>
  <c r="U194" i="30"/>
  <c r="S199" i="30"/>
  <c r="S93" i="30" s="1"/>
  <c r="Q235" i="30"/>
  <c r="R200" i="30"/>
  <c r="U103" i="29"/>
  <c r="Q192" i="29"/>
  <c r="R102" i="29"/>
  <c r="Q235" i="29"/>
  <c r="S199" i="29"/>
  <c r="R194" i="29"/>
  <c r="Q200" i="29"/>
  <c r="Q93" i="29"/>
  <c r="K235" i="28"/>
  <c r="M199" i="28"/>
  <c r="J200" i="28"/>
  <c r="K194" i="28"/>
  <c r="J192" i="28"/>
  <c r="K102" i="28"/>
  <c r="J93" i="28"/>
  <c r="K103" i="28"/>
  <c r="H195" i="27"/>
  <c r="G200" i="27"/>
  <c r="H93" i="27"/>
  <c r="I103" i="27"/>
  <c r="I199" i="27"/>
  <c r="G235" i="27"/>
  <c r="G192" i="27"/>
  <c r="H102" i="27"/>
  <c r="K194" i="27"/>
  <c r="F192" i="26"/>
  <c r="G102" i="26"/>
  <c r="I194" i="26"/>
  <c r="K6" i="26"/>
  <c r="G103" i="26"/>
  <c r="F93" i="26"/>
  <c r="F235" i="26"/>
  <c r="H199" i="26"/>
  <c r="S200" i="35" l="1"/>
  <c r="T194" i="35"/>
  <c r="S235" i="35"/>
  <c r="U199" i="35"/>
  <c r="V103" i="35"/>
  <c r="S192" i="35"/>
  <c r="T102" i="35"/>
  <c r="T109" i="35"/>
  <c r="S93" i="35"/>
  <c r="S192" i="33"/>
  <c r="T102" i="33"/>
  <c r="T93" i="33"/>
  <c r="U103" i="33"/>
  <c r="S235" i="33"/>
  <c r="U199" i="33"/>
  <c r="V194" i="33"/>
  <c r="U200" i="33"/>
  <c r="U51" i="33" s="1"/>
  <c r="U52" i="33" s="1"/>
  <c r="T200" i="33"/>
  <c r="U103" i="32"/>
  <c r="T194" i="32"/>
  <c r="S200" i="32"/>
  <c r="T192" i="32"/>
  <c r="U102" i="32"/>
  <c r="R235" i="32"/>
  <c r="T199" i="32"/>
  <c r="T235" i="31"/>
  <c r="V199" i="31"/>
  <c r="S200" i="31"/>
  <c r="T194" i="31"/>
  <c r="S93" i="31"/>
  <c r="V103" i="31"/>
  <c r="S192" i="31"/>
  <c r="T102" i="31"/>
  <c r="T199" i="30"/>
  <c r="R235" i="30"/>
  <c r="S200" i="30"/>
  <c r="V194" i="30"/>
  <c r="S192" i="30"/>
  <c r="T102" i="30"/>
  <c r="U103" i="30"/>
  <c r="T93" i="30"/>
  <c r="R200" i="29"/>
  <c r="S194" i="29"/>
  <c r="R93" i="29"/>
  <c r="R192" i="29"/>
  <c r="S102" i="29"/>
  <c r="T199" i="29"/>
  <c r="R235" i="29"/>
  <c r="V103" i="29"/>
  <c r="K93" i="28"/>
  <c r="L103" i="28"/>
  <c r="L235" i="28"/>
  <c r="N199" i="28"/>
  <c r="K192" i="28"/>
  <c r="L102" i="28"/>
  <c r="K200" i="28"/>
  <c r="L194" i="28"/>
  <c r="J199" i="27"/>
  <c r="H235" i="27"/>
  <c r="J103" i="27"/>
  <c r="I93" i="27"/>
  <c r="L194" i="27"/>
  <c r="I195" i="27"/>
  <c r="H200" i="27"/>
  <c r="H192" i="27"/>
  <c r="I102" i="27"/>
  <c r="H103" i="26"/>
  <c r="G93" i="26"/>
  <c r="J194" i="26"/>
  <c r="G235" i="26"/>
  <c r="I199" i="26"/>
  <c r="H200" i="26"/>
  <c r="G192" i="26"/>
  <c r="H102" i="26"/>
  <c r="T192" i="35" l="1"/>
  <c r="U102" i="35"/>
  <c r="W103" i="35"/>
  <c r="T235" i="35"/>
  <c r="V199" i="35"/>
  <c r="T200" i="35"/>
  <c r="U194" i="35"/>
  <c r="U109" i="35"/>
  <c r="T93" i="35"/>
  <c r="U73" i="33"/>
  <c r="U75" i="33"/>
  <c r="T235" i="33"/>
  <c r="V199" i="33"/>
  <c r="V103" i="33"/>
  <c r="U93" i="33"/>
  <c r="W194" i="33"/>
  <c r="V200" i="33"/>
  <c r="V51" i="33" s="1"/>
  <c r="V52" i="33" s="1"/>
  <c r="T192" i="33"/>
  <c r="U102" i="33"/>
  <c r="U199" i="32"/>
  <c r="S235" i="32"/>
  <c r="U192" i="32"/>
  <c r="V102" i="32"/>
  <c r="U194" i="32"/>
  <c r="T200" i="32"/>
  <c r="U93" i="32"/>
  <c r="V103" i="32"/>
  <c r="T93" i="32"/>
  <c r="W103" i="31"/>
  <c r="T200" i="31"/>
  <c r="U194" i="31"/>
  <c r="T93" i="31"/>
  <c r="U235" i="31"/>
  <c r="W199" i="31"/>
  <c r="T192" i="31"/>
  <c r="U102" i="31"/>
  <c r="V103" i="30"/>
  <c r="T192" i="30"/>
  <c r="U102" i="30"/>
  <c r="W194" i="30"/>
  <c r="S235" i="30"/>
  <c r="U199" i="30"/>
  <c r="U93" i="30" s="1"/>
  <c r="T200" i="30"/>
  <c r="W103" i="29"/>
  <c r="S235" i="29"/>
  <c r="U199" i="29"/>
  <c r="S192" i="29"/>
  <c r="T102" i="29"/>
  <c r="T194" i="29"/>
  <c r="S200" i="29"/>
  <c r="S93" i="29"/>
  <c r="L200" i="28"/>
  <c r="M194" i="28"/>
  <c r="L192" i="28"/>
  <c r="M102" i="28"/>
  <c r="M235" i="28"/>
  <c r="O199" i="28"/>
  <c r="L93" i="28"/>
  <c r="M103" i="28"/>
  <c r="M194" i="27"/>
  <c r="K103" i="27"/>
  <c r="J93" i="27"/>
  <c r="J195" i="27"/>
  <c r="I200" i="27"/>
  <c r="I192" i="27"/>
  <c r="J102" i="27"/>
  <c r="K199" i="27"/>
  <c r="I235" i="27"/>
  <c r="H235" i="26"/>
  <c r="J199" i="26"/>
  <c r="J200" i="26"/>
  <c r="K194" i="26"/>
  <c r="I200" i="26"/>
  <c r="I102" i="26"/>
  <c r="H192" i="26"/>
  <c r="I103" i="26"/>
  <c r="H93" i="26"/>
  <c r="X103" i="35" l="1"/>
  <c r="U192" i="35"/>
  <c r="V102" i="35"/>
  <c r="V194" i="35"/>
  <c r="U200" i="35"/>
  <c r="U51" i="35" s="1"/>
  <c r="U52" i="35" s="1"/>
  <c r="U235" i="35"/>
  <c r="W199" i="35"/>
  <c r="V109" i="35"/>
  <c r="U93" i="35"/>
  <c r="X194" i="33"/>
  <c r="W103" i="33"/>
  <c r="V93" i="33"/>
  <c r="U235" i="33"/>
  <c r="W199" i="33"/>
  <c r="V75" i="33"/>
  <c r="V73" i="33"/>
  <c r="V83" i="33" s="1"/>
  <c r="U192" i="33"/>
  <c r="V102" i="33"/>
  <c r="AM214" i="33"/>
  <c r="U7" i="33"/>
  <c r="U83" i="33"/>
  <c r="W103" i="32"/>
  <c r="V192" i="32"/>
  <c r="W102" i="32"/>
  <c r="U200" i="32"/>
  <c r="U51" i="32" s="1"/>
  <c r="U52" i="32" s="1"/>
  <c r="V194" i="32"/>
  <c r="V199" i="32"/>
  <c r="T235" i="32"/>
  <c r="X199" i="31"/>
  <c r="V235" i="31"/>
  <c r="V194" i="31"/>
  <c r="U200" i="31"/>
  <c r="U51" i="31" s="1"/>
  <c r="U52" i="31" s="1"/>
  <c r="U93" i="31"/>
  <c r="U192" i="31"/>
  <c r="V102" i="31"/>
  <c r="X103" i="31"/>
  <c r="U192" i="30"/>
  <c r="V102" i="30"/>
  <c r="X194" i="30"/>
  <c r="T235" i="30"/>
  <c r="V199" i="30"/>
  <c r="U200" i="30"/>
  <c r="U52" i="30" s="1"/>
  <c r="W103" i="30"/>
  <c r="U194" i="29"/>
  <c r="T200" i="29"/>
  <c r="T93" i="29"/>
  <c r="T235" i="29"/>
  <c r="V199" i="29"/>
  <c r="T192" i="29"/>
  <c r="U102" i="29"/>
  <c r="X103" i="29"/>
  <c r="N235" i="28"/>
  <c r="P199" i="28"/>
  <c r="M93" i="28"/>
  <c r="N103" i="28"/>
  <c r="M192" i="28"/>
  <c r="N102" i="28"/>
  <c r="M200" i="28"/>
  <c r="N194" i="28"/>
  <c r="J192" i="27"/>
  <c r="K102" i="27"/>
  <c r="K195" i="27"/>
  <c r="J200" i="27"/>
  <c r="L103" i="27"/>
  <c r="K93" i="27"/>
  <c r="L199" i="27"/>
  <c r="J235" i="27"/>
  <c r="N194" i="27"/>
  <c r="I192" i="26"/>
  <c r="J102" i="26"/>
  <c r="L194" i="26"/>
  <c r="I235" i="26"/>
  <c r="K199" i="26"/>
  <c r="J103" i="26"/>
  <c r="I93" i="26"/>
  <c r="W58" i="25"/>
  <c r="V58" i="25"/>
  <c r="U58" i="25"/>
  <c r="T58" i="25"/>
  <c r="T37" i="25"/>
  <c r="S37" i="25"/>
  <c r="R37" i="25"/>
  <c r="Q95" i="25"/>
  <c r="Q58" i="25"/>
  <c r="Q37" i="25"/>
  <c r="P37" i="25"/>
  <c r="O37" i="25"/>
  <c r="X199" i="35" l="1"/>
  <c r="V235" i="35"/>
  <c r="U73" i="35"/>
  <c r="U75" i="35"/>
  <c r="V200" i="35"/>
  <c r="V51" i="35" s="1"/>
  <c r="V52" i="35" s="1"/>
  <c r="W194" i="35"/>
  <c r="V192" i="35"/>
  <c r="W102" i="35"/>
  <c r="W109" i="35"/>
  <c r="V93" i="35"/>
  <c r="Y103" i="35"/>
  <c r="AN214" i="33"/>
  <c r="V7" i="33"/>
  <c r="V235" i="33"/>
  <c r="X199" i="33"/>
  <c r="X103" i="33"/>
  <c r="W93" i="33"/>
  <c r="V192" i="33"/>
  <c r="W102" i="33"/>
  <c r="W200" i="33"/>
  <c r="W51" i="33" s="1"/>
  <c r="W52" i="33" s="1"/>
  <c r="Y194" i="33"/>
  <c r="W199" i="32"/>
  <c r="U235" i="32"/>
  <c r="W194" i="32"/>
  <c r="V200" i="32"/>
  <c r="V51" i="32" s="1"/>
  <c r="V52" i="32" s="1"/>
  <c r="U73" i="32"/>
  <c r="U75" i="32"/>
  <c r="W192" i="32"/>
  <c r="X102" i="32"/>
  <c r="X103" i="32"/>
  <c r="W93" i="32"/>
  <c r="V93" i="32"/>
  <c r="V192" i="31"/>
  <c r="W102" i="31"/>
  <c r="U73" i="31"/>
  <c r="U75" i="31"/>
  <c r="V200" i="31"/>
  <c r="V51" i="31" s="1"/>
  <c r="V52" i="31" s="1"/>
  <c r="W194" i="31"/>
  <c r="V93" i="31"/>
  <c r="Y103" i="31"/>
  <c r="W235" i="31"/>
  <c r="Y199" i="31"/>
  <c r="X103" i="30"/>
  <c r="U75" i="30"/>
  <c r="U73" i="30"/>
  <c r="U83" i="30" s="1"/>
  <c r="U235" i="30"/>
  <c r="W199" i="30"/>
  <c r="V200" i="30"/>
  <c r="V52" i="30" s="1"/>
  <c r="Y194" i="30"/>
  <c r="V192" i="30"/>
  <c r="W102" i="30"/>
  <c r="V93" i="30"/>
  <c r="U192" i="29"/>
  <c r="V102" i="29"/>
  <c r="W199" i="29"/>
  <c r="U235" i="29"/>
  <c r="Y103" i="29"/>
  <c r="U200" i="29"/>
  <c r="U51" i="29" s="1"/>
  <c r="U52" i="29" s="1"/>
  <c r="V194" i="29"/>
  <c r="U93" i="29"/>
  <c r="O194" i="28"/>
  <c r="N200" i="28"/>
  <c r="N192" i="28"/>
  <c r="O102" i="28"/>
  <c r="O103" i="28"/>
  <c r="N93" i="28"/>
  <c r="O235" i="28"/>
  <c r="Q199" i="28"/>
  <c r="K235" i="27"/>
  <c r="M199" i="27"/>
  <c r="M103" i="27"/>
  <c r="L93" i="27"/>
  <c r="L195" i="27"/>
  <c r="K200" i="27"/>
  <c r="K192" i="27"/>
  <c r="L102" i="27"/>
  <c r="O194" i="27"/>
  <c r="K103" i="26"/>
  <c r="J93" i="26"/>
  <c r="J235" i="26"/>
  <c r="L199" i="26"/>
  <c r="L200" i="26"/>
  <c r="M194" i="26"/>
  <c r="K200" i="26"/>
  <c r="J192" i="26"/>
  <c r="K102" i="26"/>
  <c r="W192" i="35" l="1"/>
  <c r="X102" i="35"/>
  <c r="X194" i="35"/>
  <c r="W200" i="35"/>
  <c r="W51" i="35" s="1"/>
  <c r="W52" i="35" s="1"/>
  <c r="V75" i="35"/>
  <c r="V73" i="35"/>
  <c r="V83" i="35" s="1"/>
  <c r="Z103" i="35"/>
  <c r="AM214" i="35"/>
  <c r="U7" i="35"/>
  <c r="U83" i="35"/>
  <c r="X109" i="35"/>
  <c r="W93" i="35"/>
  <c r="W235" i="35"/>
  <c r="Y199" i="35"/>
  <c r="W192" i="33"/>
  <c r="X102" i="33"/>
  <c r="X93" i="33"/>
  <c r="Y103" i="33"/>
  <c r="Y199" i="33"/>
  <c r="W235" i="33"/>
  <c r="Y200" i="33"/>
  <c r="Y51" i="33" s="1"/>
  <c r="Y52" i="33" s="1"/>
  <c r="Z194" i="33"/>
  <c r="X200" i="33"/>
  <c r="X51" i="33" s="1"/>
  <c r="X52" i="33" s="1"/>
  <c r="W75" i="33"/>
  <c r="W73" i="33"/>
  <c r="U83" i="32"/>
  <c r="X192" i="32"/>
  <c r="Y102" i="32"/>
  <c r="AM214" i="32"/>
  <c r="U7" i="32"/>
  <c r="V75" i="32"/>
  <c r="V73" i="32"/>
  <c r="V83" i="32" s="1"/>
  <c r="X194" i="32"/>
  <c r="W200" i="32"/>
  <c r="W51" i="32" s="1"/>
  <c r="W52" i="32" s="1"/>
  <c r="Y103" i="32"/>
  <c r="V235" i="32"/>
  <c r="X199" i="32"/>
  <c r="U83" i="31"/>
  <c r="Z103" i="31"/>
  <c r="X194" i="31"/>
  <c r="W200" i="31"/>
  <c r="W51" i="31" s="1"/>
  <c r="W52" i="31" s="1"/>
  <c r="W93" i="31"/>
  <c r="V75" i="31"/>
  <c r="V73" i="31"/>
  <c r="V83" i="31" s="1"/>
  <c r="AM214" i="31"/>
  <c r="U7" i="31"/>
  <c r="Z199" i="31"/>
  <c r="X235" i="31"/>
  <c r="W192" i="31"/>
  <c r="X102" i="31"/>
  <c r="V75" i="30"/>
  <c r="V73" i="30"/>
  <c r="V83" i="30" s="1"/>
  <c r="V235" i="30"/>
  <c r="X199" i="30"/>
  <c r="W200" i="30"/>
  <c r="W52" i="30" s="1"/>
  <c r="W192" i="30"/>
  <c r="X102" i="30"/>
  <c r="AM214" i="30"/>
  <c r="U7" i="30"/>
  <c r="Y103" i="30"/>
  <c r="X93" i="30"/>
  <c r="Z194" i="30"/>
  <c r="W93" i="30"/>
  <c r="W194" i="29"/>
  <c r="V200" i="29"/>
  <c r="V51" i="29" s="1"/>
  <c r="V52" i="29" s="1"/>
  <c r="V93" i="29"/>
  <c r="U75" i="29"/>
  <c r="U73" i="29"/>
  <c r="U83" i="29" s="1"/>
  <c r="Z103" i="29"/>
  <c r="V235" i="29"/>
  <c r="X199" i="29"/>
  <c r="V192" i="29"/>
  <c r="W102" i="29"/>
  <c r="P235" i="28"/>
  <c r="R199" i="28"/>
  <c r="P103" i="28"/>
  <c r="O93" i="28"/>
  <c r="O192" i="28"/>
  <c r="P102" i="28"/>
  <c r="P194" i="28"/>
  <c r="O200" i="28"/>
  <c r="L192" i="27"/>
  <c r="M102" i="27"/>
  <c r="M195" i="27"/>
  <c r="L200" i="27"/>
  <c r="N103" i="27"/>
  <c r="M93" i="27"/>
  <c r="L235" i="27"/>
  <c r="N199" i="27"/>
  <c r="P194" i="27"/>
  <c r="N194" i="26"/>
  <c r="K235" i="26"/>
  <c r="M199" i="26"/>
  <c r="K192" i="26"/>
  <c r="L102" i="26"/>
  <c r="L103" i="26"/>
  <c r="K93" i="26"/>
  <c r="AA103" i="35" l="1"/>
  <c r="AN214" i="35"/>
  <c r="V7" i="35"/>
  <c r="Z199" i="35"/>
  <c r="X235" i="35"/>
  <c r="Y109" i="35"/>
  <c r="X93" i="35"/>
  <c r="W73" i="35"/>
  <c r="W75" i="35"/>
  <c r="X200" i="35"/>
  <c r="X51" i="35" s="1"/>
  <c r="X52" i="35" s="1"/>
  <c r="Y194" i="35"/>
  <c r="X192" i="35"/>
  <c r="Y102" i="35"/>
  <c r="W83" i="33"/>
  <c r="AA194" i="33"/>
  <c r="Y73" i="33"/>
  <c r="Y75" i="33"/>
  <c r="X235" i="33"/>
  <c r="Z199" i="33"/>
  <c r="Y93" i="33"/>
  <c r="Z103" i="33"/>
  <c r="AO214" i="33"/>
  <c r="W7" i="33"/>
  <c r="X192" i="33"/>
  <c r="Y102" i="33"/>
  <c r="X75" i="33"/>
  <c r="X73" i="33"/>
  <c r="W73" i="32"/>
  <c r="W75" i="32"/>
  <c r="X200" i="32"/>
  <c r="X51" i="32" s="1"/>
  <c r="X52" i="32" s="1"/>
  <c r="Y194" i="32"/>
  <c r="AN214" i="32"/>
  <c r="V7" i="32"/>
  <c r="Y199" i="32"/>
  <c r="W235" i="32"/>
  <c r="X93" i="32"/>
  <c r="Y192" i="32"/>
  <c r="Z102" i="32"/>
  <c r="Z103" i="32"/>
  <c r="AN214" i="31"/>
  <c r="V7" i="31"/>
  <c r="X192" i="31"/>
  <c r="Y102" i="31"/>
  <c r="W73" i="31"/>
  <c r="W75" i="31"/>
  <c r="X200" i="31"/>
  <c r="X51" i="31" s="1"/>
  <c r="X52" i="31" s="1"/>
  <c r="Y194" i="31"/>
  <c r="X93" i="31"/>
  <c r="AA199" i="31"/>
  <c r="Y235" i="31"/>
  <c r="AA103" i="31"/>
  <c r="X192" i="30"/>
  <c r="Y102" i="30"/>
  <c r="AA194" i="30"/>
  <c r="W75" i="30"/>
  <c r="W73" i="30"/>
  <c r="W83" i="30" s="1"/>
  <c r="Y199" i="30"/>
  <c r="W235" i="30"/>
  <c r="X200" i="30"/>
  <c r="X52" i="30" s="1"/>
  <c r="Z103" i="30"/>
  <c r="AN214" i="30"/>
  <c r="V7" i="30"/>
  <c r="AA103" i="29"/>
  <c r="AM214" i="29"/>
  <c r="U7" i="29"/>
  <c r="W192" i="29"/>
  <c r="X102" i="29"/>
  <c r="V73" i="29"/>
  <c r="V75" i="29"/>
  <c r="Y199" i="29"/>
  <c r="W235" i="29"/>
  <c r="W200" i="29"/>
  <c r="W51" i="29" s="1"/>
  <c r="W52" i="29" s="1"/>
  <c r="X194" i="29"/>
  <c r="W93" i="29"/>
  <c r="P200" i="28"/>
  <c r="Q194" i="28"/>
  <c r="P192" i="28"/>
  <c r="Q102" i="28"/>
  <c r="Q103" i="28"/>
  <c r="P93" i="28"/>
  <c r="Q235" i="28"/>
  <c r="S199" i="28"/>
  <c r="M235" i="27"/>
  <c r="O199" i="27"/>
  <c r="O103" i="27"/>
  <c r="N93" i="27"/>
  <c r="N195" i="27"/>
  <c r="M200" i="27"/>
  <c r="M192" i="27"/>
  <c r="N102" i="27"/>
  <c r="Q194" i="27"/>
  <c r="M103" i="26"/>
  <c r="L93" i="26"/>
  <c r="L192" i="26"/>
  <c r="M102" i="26"/>
  <c r="L235" i="26"/>
  <c r="N199" i="26"/>
  <c r="N200" i="26" s="1"/>
  <c r="O194" i="26"/>
  <c r="M200" i="26"/>
  <c r="Z109" i="35" l="1"/>
  <c r="Y93" i="35"/>
  <c r="Y192" i="35"/>
  <c r="Z102" i="35"/>
  <c r="AA199" i="35"/>
  <c r="Y235" i="35"/>
  <c r="Y200" i="35"/>
  <c r="Y51" i="35" s="1"/>
  <c r="Y52" i="35" s="1"/>
  <c r="Z194" i="35"/>
  <c r="X75" i="35"/>
  <c r="X73" i="35"/>
  <c r="AO214" i="35"/>
  <c r="W7" i="35"/>
  <c r="AB103" i="35"/>
  <c r="W83" i="35"/>
  <c r="X83" i="33"/>
  <c r="Y83" i="33"/>
  <c r="AA103" i="33"/>
  <c r="Z93" i="33"/>
  <c r="Y235" i="33"/>
  <c r="AA199" i="33"/>
  <c r="AP214" i="33"/>
  <c r="X7" i="33"/>
  <c r="Y192" i="33"/>
  <c r="Z102" i="33"/>
  <c r="AQ214" i="33"/>
  <c r="Y7" i="33"/>
  <c r="AB194" i="33"/>
  <c r="AA200" i="33"/>
  <c r="AA51" i="33" s="1"/>
  <c r="AA52" i="33" s="1"/>
  <c r="Z200" i="33"/>
  <c r="X235" i="32"/>
  <c r="Z199" i="32"/>
  <c r="AA103" i="32"/>
  <c r="Y200" i="32"/>
  <c r="Y51" i="32" s="1"/>
  <c r="Z194" i="32"/>
  <c r="Z192" i="32"/>
  <c r="AA102" i="32"/>
  <c r="X73" i="32"/>
  <c r="X75" i="32"/>
  <c r="AO214" i="32"/>
  <c r="W7" i="32"/>
  <c r="W83" i="32"/>
  <c r="Y200" i="31"/>
  <c r="Y51" i="31" s="1"/>
  <c r="Y52" i="31" s="1"/>
  <c r="Z194" i="31"/>
  <c r="Y93" i="31"/>
  <c r="X73" i="31"/>
  <c r="X75" i="31"/>
  <c r="AO214" i="31"/>
  <c r="W7" i="31"/>
  <c r="W83" i="31"/>
  <c r="AB103" i="31"/>
  <c r="Y192" i="31"/>
  <c r="Z102" i="31"/>
  <c r="Z235" i="31"/>
  <c r="AB199" i="31"/>
  <c r="Z199" i="30"/>
  <c r="X235" i="30"/>
  <c r="Y200" i="30"/>
  <c r="Y52" i="30" s="1"/>
  <c r="AO214" i="30"/>
  <c r="W7" i="30"/>
  <c r="AB194" i="30"/>
  <c r="AA103" i="30"/>
  <c r="Z93" i="30"/>
  <c r="Y93" i="30"/>
  <c r="Y192" i="30"/>
  <c r="Z102" i="30"/>
  <c r="X75" i="30"/>
  <c r="X73" i="30"/>
  <c r="V83" i="29"/>
  <c r="AN214" i="29"/>
  <c r="V7" i="29"/>
  <c r="X192" i="29"/>
  <c r="Y102" i="29"/>
  <c r="X200" i="29"/>
  <c r="X51" i="29" s="1"/>
  <c r="X52" i="29" s="1"/>
  <c r="Y194" i="29"/>
  <c r="X93" i="29"/>
  <c r="W75" i="29"/>
  <c r="W73" i="29"/>
  <c r="AB103" i="29"/>
  <c r="Z199" i="29"/>
  <c r="X235" i="29"/>
  <c r="R235" i="28"/>
  <c r="T199" i="28"/>
  <c r="R103" i="28"/>
  <c r="Q93" i="28"/>
  <c r="Q192" i="28"/>
  <c r="R102" i="28"/>
  <c r="R194" i="28"/>
  <c r="Q200" i="28"/>
  <c r="N192" i="27"/>
  <c r="O102" i="27"/>
  <c r="O195" i="27"/>
  <c r="N200" i="27"/>
  <c r="P103" i="27"/>
  <c r="O93" i="27"/>
  <c r="R194" i="27"/>
  <c r="N235" i="27"/>
  <c r="P199" i="27"/>
  <c r="P194" i="26"/>
  <c r="M235" i="26"/>
  <c r="O199" i="26"/>
  <c r="M192" i="26"/>
  <c r="N102" i="26"/>
  <c r="M93" i="26"/>
  <c r="N103" i="26"/>
  <c r="X83" i="35" l="1"/>
  <c r="Y73" i="35"/>
  <c r="Y75" i="35"/>
  <c r="AC103" i="35"/>
  <c r="Z235" i="35"/>
  <c r="AB199" i="35"/>
  <c r="Z192" i="35"/>
  <c r="AA102" i="35"/>
  <c r="Z200" i="35"/>
  <c r="AA194" i="35"/>
  <c r="AP214" i="35"/>
  <c r="X7" i="35"/>
  <c r="AA109" i="35"/>
  <c r="Z93" i="35"/>
  <c r="Z192" i="33"/>
  <c r="AA102" i="33"/>
  <c r="AA73" i="33"/>
  <c r="AA75" i="33"/>
  <c r="AB199" i="33"/>
  <c r="Z235" i="33"/>
  <c r="AB200" i="33"/>
  <c r="AB51" i="33" s="1"/>
  <c r="AB52" i="33" s="1"/>
  <c r="AC194" i="33"/>
  <c r="AB103" i="33"/>
  <c r="AA93" i="33"/>
  <c r="AB103" i="32"/>
  <c r="AP214" i="32"/>
  <c r="X7" i="32"/>
  <c r="Z200" i="32"/>
  <c r="AA194" i="32"/>
  <c r="X83" i="32"/>
  <c r="Y235" i="32"/>
  <c r="AA199" i="32"/>
  <c r="Y73" i="32"/>
  <c r="Y75" i="32"/>
  <c r="AA192" i="32"/>
  <c r="AB102" i="32"/>
  <c r="AA235" i="31"/>
  <c r="AC199" i="31"/>
  <c r="AP214" i="31"/>
  <c r="X7" i="31"/>
  <c r="Z192" i="31"/>
  <c r="AA102" i="31"/>
  <c r="X83" i="31"/>
  <c r="Z200" i="31"/>
  <c r="AA194" i="31"/>
  <c r="Z93" i="31"/>
  <c r="AC103" i="31"/>
  <c r="Y75" i="31"/>
  <c r="Y73" i="31"/>
  <c r="X83" i="30"/>
  <c r="AC194" i="30"/>
  <c r="AP214" i="30"/>
  <c r="X7" i="30"/>
  <c r="Z192" i="30"/>
  <c r="AA102" i="30"/>
  <c r="Y73" i="30"/>
  <c r="Y75" i="30"/>
  <c r="AB103" i="30"/>
  <c r="AA199" i="30"/>
  <c r="AA93" i="30" s="1"/>
  <c r="Y235" i="30"/>
  <c r="Z200" i="30"/>
  <c r="Z194" i="29"/>
  <c r="Y200" i="29"/>
  <c r="Y51" i="29" s="1"/>
  <c r="Y52" i="29" s="1"/>
  <c r="Y93" i="29"/>
  <c r="X73" i="29"/>
  <c r="X75" i="29"/>
  <c r="Y192" i="29"/>
  <c r="Z102" i="29"/>
  <c r="AO214" i="29"/>
  <c r="W7" i="29"/>
  <c r="AC103" i="29"/>
  <c r="Y235" i="29"/>
  <c r="AA199" i="29"/>
  <c r="W83" i="29"/>
  <c r="R200" i="28"/>
  <c r="S194" i="28"/>
  <c r="R192" i="28"/>
  <c r="S102" i="28"/>
  <c r="S103" i="28"/>
  <c r="R93" i="28"/>
  <c r="S235" i="28"/>
  <c r="U199" i="28"/>
  <c r="P195" i="27"/>
  <c r="O200" i="27"/>
  <c r="Q103" i="27"/>
  <c r="P93" i="27"/>
  <c r="Q199" i="27"/>
  <c r="O235" i="27"/>
  <c r="O192" i="27"/>
  <c r="P102" i="27"/>
  <c r="S194" i="27"/>
  <c r="N93" i="26"/>
  <c r="O103" i="26"/>
  <c r="N235" i="26"/>
  <c r="P199" i="26"/>
  <c r="N192" i="26"/>
  <c r="O102" i="26"/>
  <c r="O200" i="26"/>
  <c r="P200" i="26"/>
  <c r="Q194" i="26"/>
  <c r="AB109" i="35" l="1"/>
  <c r="AA93" i="35"/>
  <c r="AD103" i="35"/>
  <c r="AA200" i="35"/>
  <c r="AA51" i="35" s="1"/>
  <c r="AA52" i="35" s="1"/>
  <c r="AB194" i="35"/>
  <c r="AQ214" i="35"/>
  <c r="Y7" i="35"/>
  <c r="AA192" i="35"/>
  <c r="AB102" i="35"/>
  <c r="AA235" i="35"/>
  <c r="AC199" i="35"/>
  <c r="Y83" i="35"/>
  <c r="AC199" i="33"/>
  <c r="AA235" i="33"/>
  <c r="AS214" i="33"/>
  <c r="AA7" i="33"/>
  <c r="AA83" i="33"/>
  <c r="AB75" i="33"/>
  <c r="AB73" i="33"/>
  <c r="AA192" i="33"/>
  <c r="AB102" i="33"/>
  <c r="AC200" i="33"/>
  <c r="AC51" i="33" s="1"/>
  <c r="AC52" i="33" s="1"/>
  <c r="AD194" i="33"/>
  <c r="AC103" i="33"/>
  <c r="AB93" i="33"/>
  <c r="AA200" i="32"/>
  <c r="AB194" i="32"/>
  <c r="AB192" i="32"/>
  <c r="AC102" i="32"/>
  <c r="AQ214" i="32"/>
  <c r="Y7" i="32"/>
  <c r="Y83" i="32"/>
  <c r="Z235" i="32"/>
  <c r="AB199" i="32"/>
  <c r="AB93" i="32"/>
  <c r="AC103" i="32"/>
  <c r="Y83" i="31"/>
  <c r="AA192" i="31"/>
  <c r="AB102" i="31"/>
  <c r="AQ214" i="31"/>
  <c r="Y7" i="31"/>
  <c r="AD103" i="31"/>
  <c r="AB235" i="31"/>
  <c r="AD199" i="31"/>
  <c r="AA200" i="31"/>
  <c r="AA51" i="31" s="1"/>
  <c r="AA52" i="31" s="1"/>
  <c r="AB194" i="31"/>
  <c r="AA93" i="31"/>
  <c r="AA192" i="30"/>
  <c r="AB102" i="30"/>
  <c r="Y83" i="30"/>
  <c r="AQ214" i="30"/>
  <c r="Y7" i="30"/>
  <c r="AD194" i="30"/>
  <c r="AB199" i="30"/>
  <c r="Z235" i="30"/>
  <c r="AA200" i="30"/>
  <c r="AA52" i="30" s="1"/>
  <c r="AC103" i="30"/>
  <c r="AB93" i="30"/>
  <c r="AB199" i="29"/>
  <c r="Z235" i="29"/>
  <c r="AP214" i="29"/>
  <c r="X7" i="29"/>
  <c r="X83" i="29"/>
  <c r="Z192" i="29"/>
  <c r="AA102" i="29"/>
  <c r="AD103" i="29"/>
  <c r="Y75" i="29"/>
  <c r="Y73" i="29"/>
  <c r="Y83" i="29" s="1"/>
  <c r="Z200" i="29"/>
  <c r="AA194" i="29"/>
  <c r="Z93" i="29"/>
  <c r="T235" i="28"/>
  <c r="V199" i="28"/>
  <c r="S93" i="28"/>
  <c r="T103" i="28"/>
  <c r="S192" i="28"/>
  <c r="T102" i="28"/>
  <c r="S200" i="28"/>
  <c r="T194" i="28"/>
  <c r="P192" i="27"/>
  <c r="Q102" i="27"/>
  <c r="R199" i="27"/>
  <c r="P235" i="27"/>
  <c r="R103" i="27"/>
  <c r="Q93" i="27"/>
  <c r="T194" i="27"/>
  <c r="Q195" i="27"/>
  <c r="P200" i="27"/>
  <c r="O192" i="26"/>
  <c r="P102" i="26"/>
  <c r="O235" i="26"/>
  <c r="Q199" i="26"/>
  <c r="P103" i="26"/>
  <c r="O93" i="26"/>
  <c r="Q200" i="26"/>
  <c r="R194" i="26"/>
  <c r="AA73" i="35" l="1"/>
  <c r="AA75" i="35"/>
  <c r="AB235" i="35"/>
  <c r="AD199" i="35"/>
  <c r="AE103" i="35"/>
  <c r="AC194" i="35"/>
  <c r="AB200" i="35"/>
  <c r="AB51" i="35" s="1"/>
  <c r="AB52" i="35" s="1"/>
  <c r="AB192" i="35"/>
  <c r="AC102" i="35"/>
  <c r="AC109" i="35"/>
  <c r="AB93" i="35"/>
  <c r="AB83" i="33"/>
  <c r="AT214" i="33"/>
  <c r="AB7" i="33"/>
  <c r="AD103" i="33"/>
  <c r="AC93" i="33"/>
  <c r="AE194" i="33"/>
  <c r="AC75" i="33"/>
  <c r="AC73" i="33"/>
  <c r="AB192" i="33"/>
  <c r="AC102" i="33"/>
  <c r="AB235" i="33"/>
  <c r="AD199" i="33"/>
  <c r="AD200" i="33" s="1"/>
  <c r="AD51" i="33" s="1"/>
  <c r="AD52" i="33" s="1"/>
  <c r="AD103" i="32"/>
  <c r="AC192" i="32"/>
  <c r="AD102" i="32"/>
  <c r="AC199" i="32"/>
  <c r="AA235" i="32"/>
  <c r="AC194" i="32"/>
  <c r="AB200" i="32"/>
  <c r="AB51" i="32" s="1"/>
  <c r="AB52" i="32" s="1"/>
  <c r="AC235" i="31"/>
  <c r="AE199" i="31"/>
  <c r="AE103" i="31"/>
  <c r="AC194" i="31"/>
  <c r="AB200" i="31"/>
  <c r="AB51" i="31" s="1"/>
  <c r="AB52" i="31" s="1"/>
  <c r="AB93" i="31"/>
  <c r="AB192" i="31"/>
  <c r="AC102" i="31"/>
  <c r="AA73" i="31"/>
  <c r="AA75" i="31"/>
  <c r="AC199" i="30"/>
  <c r="AA235" i="30"/>
  <c r="AB200" i="30"/>
  <c r="AB52" i="30" s="1"/>
  <c r="AE194" i="30"/>
  <c r="AC93" i="30"/>
  <c r="AD103" i="30"/>
  <c r="AA75" i="30"/>
  <c r="AA73" i="30"/>
  <c r="AB192" i="30"/>
  <c r="AC102" i="30"/>
  <c r="AA192" i="29"/>
  <c r="AB102" i="29"/>
  <c r="AB194" i="29"/>
  <c r="AA200" i="29"/>
  <c r="AA51" i="29" s="1"/>
  <c r="AA52" i="29" s="1"/>
  <c r="AA93" i="29"/>
  <c r="AQ214" i="29"/>
  <c r="Y7" i="29"/>
  <c r="AE103" i="29"/>
  <c r="AC199" i="29"/>
  <c r="AA235" i="29"/>
  <c r="U194" i="28"/>
  <c r="T200" i="28"/>
  <c r="T192" i="28"/>
  <c r="U102" i="28"/>
  <c r="T93" i="28"/>
  <c r="U103" i="28"/>
  <c r="W199" i="28"/>
  <c r="U235" i="28"/>
  <c r="U194" i="27"/>
  <c r="S199" i="27"/>
  <c r="Q235" i="27"/>
  <c r="S103" i="27"/>
  <c r="R93" i="27"/>
  <c r="Q192" i="27"/>
  <c r="R102" i="27"/>
  <c r="R195" i="27"/>
  <c r="Q200" i="27"/>
  <c r="S194" i="26"/>
  <c r="Q103" i="26"/>
  <c r="P93" i="26"/>
  <c r="P192" i="26"/>
  <c r="Q102" i="26"/>
  <c r="P235" i="26"/>
  <c r="R199" i="26"/>
  <c r="AB73" i="35" l="1"/>
  <c r="AB75" i="35"/>
  <c r="AD194" i="35"/>
  <c r="AC200" i="35"/>
  <c r="AC51" i="35" s="1"/>
  <c r="AC52" i="35" s="1"/>
  <c r="AF103" i="35"/>
  <c r="AC235" i="35"/>
  <c r="AE199" i="35"/>
  <c r="AD109" i="35"/>
  <c r="AC93" i="35"/>
  <c r="AC192" i="35"/>
  <c r="AD102" i="35"/>
  <c r="AS214" i="35"/>
  <c r="AA7" i="35"/>
  <c r="AA83" i="35"/>
  <c r="AC83" i="33"/>
  <c r="AD75" i="33"/>
  <c r="AD73" i="33"/>
  <c r="AU214" i="33"/>
  <c r="AC7" i="33"/>
  <c r="AF194" i="33"/>
  <c r="AC235" i="33"/>
  <c r="AE199" i="33"/>
  <c r="AE103" i="33"/>
  <c r="AD93" i="33"/>
  <c r="AC192" i="33"/>
  <c r="AD102" i="33"/>
  <c r="AB73" i="32"/>
  <c r="AB75" i="32"/>
  <c r="AD194" i="32"/>
  <c r="AC200" i="32"/>
  <c r="AC51" i="32" s="1"/>
  <c r="AC52" i="32" s="1"/>
  <c r="AB235" i="32"/>
  <c r="AD199" i="32"/>
  <c r="AD192" i="32"/>
  <c r="AE102" i="32"/>
  <c r="AE103" i="32"/>
  <c r="AS214" i="32"/>
  <c r="AC93" i="32"/>
  <c r="AD194" i="31"/>
  <c r="AC200" i="31"/>
  <c r="AC51" i="31" s="1"/>
  <c r="AC52" i="31" s="1"/>
  <c r="AC93" i="31"/>
  <c r="AS214" i="31"/>
  <c r="AA7" i="31"/>
  <c r="AF103" i="31"/>
  <c r="AB75" i="31"/>
  <c r="AB73" i="31"/>
  <c r="AA83" i="31"/>
  <c r="AF199" i="31"/>
  <c r="AD235" i="31"/>
  <c r="AC192" i="31"/>
  <c r="AD102" i="31"/>
  <c r="AF194" i="30"/>
  <c r="AS214" i="30"/>
  <c r="AA7" i="30"/>
  <c r="AC192" i="30"/>
  <c r="AD102" i="30"/>
  <c r="AB73" i="30"/>
  <c r="AB75" i="30"/>
  <c r="AE103" i="30"/>
  <c r="AA83" i="30"/>
  <c r="AB235" i="30"/>
  <c r="AD199" i="30"/>
  <c r="AC200" i="30"/>
  <c r="AC52" i="30" s="1"/>
  <c r="AF103" i="29"/>
  <c r="AC194" i="29"/>
  <c r="AB200" i="29"/>
  <c r="AB51" i="29" s="1"/>
  <c r="AB52" i="29" s="1"/>
  <c r="AB93" i="29"/>
  <c r="AA73" i="29"/>
  <c r="AA75" i="29"/>
  <c r="AB235" i="29"/>
  <c r="AD199" i="29"/>
  <c r="AB192" i="29"/>
  <c r="AC102" i="29"/>
  <c r="U93" i="28"/>
  <c r="V103" i="28"/>
  <c r="U192" i="28"/>
  <c r="V102" i="28"/>
  <c r="V235" i="28"/>
  <c r="X199" i="28"/>
  <c r="U200" i="28"/>
  <c r="U51" i="28" s="1"/>
  <c r="U52" i="28" s="1"/>
  <c r="V194" i="28"/>
  <c r="T103" i="27"/>
  <c r="S93" i="27"/>
  <c r="V194" i="27"/>
  <c r="R192" i="27"/>
  <c r="S102" i="27"/>
  <c r="T199" i="27"/>
  <c r="R235" i="27"/>
  <c r="S195" i="27"/>
  <c r="R200" i="27"/>
  <c r="Q235" i="26"/>
  <c r="S199" i="26"/>
  <c r="Q192" i="26"/>
  <c r="R102" i="26"/>
  <c r="R103" i="26"/>
  <c r="Q93" i="26"/>
  <c r="S200" i="26"/>
  <c r="T194" i="26"/>
  <c r="R200" i="26"/>
  <c r="B103" i="35" l="1"/>
  <c r="AD192" i="35"/>
  <c r="AE102" i="35"/>
  <c r="AC73" i="35"/>
  <c r="AC75" i="35"/>
  <c r="AD200" i="35"/>
  <c r="AD51" i="35" s="1"/>
  <c r="AD52" i="35" s="1"/>
  <c r="AE194" i="35"/>
  <c r="AT214" i="35"/>
  <c r="AB7" i="35"/>
  <c r="AF199" i="35"/>
  <c r="AD235" i="35"/>
  <c r="AE109" i="35"/>
  <c r="AD93" i="35"/>
  <c r="AB83" i="35"/>
  <c r="AD83" i="33"/>
  <c r="B194" i="33"/>
  <c r="AD235" i="33"/>
  <c r="AF199" i="33"/>
  <c r="AE200" i="33"/>
  <c r="AE51" i="33" s="1"/>
  <c r="AE52" i="33" s="1"/>
  <c r="AD192" i="33"/>
  <c r="AE102" i="33"/>
  <c r="AF103" i="33"/>
  <c r="AE93" i="33"/>
  <c r="AV214" i="33"/>
  <c r="AD7" i="33"/>
  <c r="AC235" i="32"/>
  <c r="AE199" i="32"/>
  <c r="AC75" i="32"/>
  <c r="AC73" i="32"/>
  <c r="AC83" i="32" s="1"/>
  <c r="AF103" i="32"/>
  <c r="AE93" i="32"/>
  <c r="AE194" i="32"/>
  <c r="AD200" i="32"/>
  <c r="AD51" i="32" s="1"/>
  <c r="AD52" i="32" s="1"/>
  <c r="AD93" i="32"/>
  <c r="AT214" i="32"/>
  <c r="AB7" i="32"/>
  <c r="AE192" i="32"/>
  <c r="AF102" i="32"/>
  <c r="AB83" i="32"/>
  <c r="B103" i="31"/>
  <c r="AE235" i="31"/>
  <c r="B199" i="31"/>
  <c r="AF235" i="31" s="1"/>
  <c r="AT214" i="31"/>
  <c r="AB7" i="31"/>
  <c r="AC73" i="31"/>
  <c r="AC75" i="31"/>
  <c r="AD192" i="31"/>
  <c r="AE102" i="31"/>
  <c r="AB83" i="31"/>
  <c r="AD200" i="31"/>
  <c r="AD51" i="31" s="1"/>
  <c r="AD52" i="31" s="1"/>
  <c r="AE194" i="31"/>
  <c r="AD93" i="31"/>
  <c r="AB83" i="30"/>
  <c r="AC235" i="30"/>
  <c r="AE199" i="30"/>
  <c r="AD200" i="30"/>
  <c r="AD52" i="30" s="1"/>
  <c r="AT214" i="30"/>
  <c r="AB7" i="30"/>
  <c r="AD192" i="30"/>
  <c r="AE102" i="30"/>
  <c r="AC75" i="30"/>
  <c r="AC73" i="30"/>
  <c r="AC83" i="30" s="1"/>
  <c r="AD93" i="30"/>
  <c r="AF103" i="30"/>
  <c r="AE93" i="30"/>
  <c r="B194" i="30"/>
  <c r="AA83" i="29"/>
  <c r="AB73" i="29"/>
  <c r="AB75" i="29"/>
  <c r="AC192" i="29"/>
  <c r="AD102" i="29"/>
  <c r="AC200" i="29"/>
  <c r="AC51" i="29" s="1"/>
  <c r="AC52" i="29" s="1"/>
  <c r="AD194" i="29"/>
  <c r="AC93" i="29"/>
  <c r="B103" i="29"/>
  <c r="AS214" i="29"/>
  <c r="AA7" i="29"/>
  <c r="AE199" i="29"/>
  <c r="AC235" i="29"/>
  <c r="U73" i="28"/>
  <c r="U75" i="28"/>
  <c r="W194" i="28"/>
  <c r="V200" i="28"/>
  <c r="V51" i="28" s="1"/>
  <c r="V52" i="28" s="1"/>
  <c r="W235" i="28"/>
  <c r="Y199" i="28"/>
  <c r="W103" i="28"/>
  <c r="V93" i="28"/>
  <c r="V192" i="28"/>
  <c r="W102" i="28"/>
  <c r="W194" i="27"/>
  <c r="U199" i="27"/>
  <c r="S235" i="27"/>
  <c r="S192" i="27"/>
  <c r="T102" i="27"/>
  <c r="T195" i="27"/>
  <c r="S200" i="27"/>
  <c r="U103" i="27"/>
  <c r="T93" i="27"/>
  <c r="S103" i="26"/>
  <c r="R93" i="26"/>
  <c r="R192" i="26"/>
  <c r="S102" i="26"/>
  <c r="U194" i="26"/>
  <c r="R235" i="26"/>
  <c r="T199" i="26"/>
  <c r="AF194" i="35" l="1"/>
  <c r="AE200" i="35"/>
  <c r="AE51" i="35" s="1"/>
  <c r="AE52" i="35" s="1"/>
  <c r="AD75" i="35"/>
  <c r="AD73" i="35"/>
  <c r="AD83" i="35" s="1"/>
  <c r="AU214" i="35"/>
  <c r="AC7" i="35"/>
  <c r="AC83" i="35"/>
  <c r="AF109" i="35"/>
  <c r="AE93" i="35"/>
  <c r="AE192" i="35"/>
  <c r="AF102" i="35"/>
  <c r="AE235" i="35"/>
  <c r="B199" i="35"/>
  <c r="AF235" i="35" s="1"/>
  <c r="AE75" i="33"/>
  <c r="AE73" i="33"/>
  <c r="AE83" i="33" s="1"/>
  <c r="AE235" i="33"/>
  <c r="B199" i="33"/>
  <c r="AF235" i="33" s="1"/>
  <c r="AF93" i="33"/>
  <c r="B103" i="33"/>
  <c r="B93" i="33" s="1"/>
  <c r="AE192" i="33"/>
  <c r="AF102" i="33"/>
  <c r="AF200" i="33"/>
  <c r="AF51" i="33" s="1"/>
  <c r="AF52" i="33" s="1"/>
  <c r="B200" i="33"/>
  <c r="AD73" i="32"/>
  <c r="AD75" i="32"/>
  <c r="AF192" i="32"/>
  <c r="B102" i="32"/>
  <c r="B103" i="32"/>
  <c r="AF93" i="32"/>
  <c r="AU214" i="32"/>
  <c r="AC7" i="32"/>
  <c r="AD235" i="32"/>
  <c r="AF199" i="32"/>
  <c r="AF194" i="32"/>
  <c r="AE200" i="32"/>
  <c r="AE51" i="32" s="1"/>
  <c r="AE52" i="32" s="1"/>
  <c r="AC83" i="31"/>
  <c r="AU214" i="31"/>
  <c r="AC7" i="31"/>
  <c r="AF194" i="31"/>
  <c r="AE200" i="31"/>
  <c r="AE51" i="31" s="1"/>
  <c r="AE52" i="31" s="1"/>
  <c r="AE93" i="31"/>
  <c r="AD75" i="31"/>
  <c r="AD73" i="31"/>
  <c r="AD83" i="31" s="1"/>
  <c r="AE192" i="31"/>
  <c r="AF102" i="31"/>
  <c r="AE192" i="30"/>
  <c r="AF102" i="30"/>
  <c r="AD75" i="30"/>
  <c r="AD73" i="30"/>
  <c r="AD83" i="30" s="1"/>
  <c r="AD235" i="30"/>
  <c r="AF199" i="30"/>
  <c r="AE200" i="30"/>
  <c r="AE52" i="30" s="1"/>
  <c r="B103" i="30"/>
  <c r="AU214" i="30"/>
  <c r="AC7" i="30"/>
  <c r="AE194" i="29"/>
  <c r="AD200" i="29"/>
  <c r="AD51" i="29" s="1"/>
  <c r="AD52" i="29" s="1"/>
  <c r="AD93" i="29"/>
  <c r="AC75" i="29"/>
  <c r="AC73" i="29"/>
  <c r="AC83" i="29" s="1"/>
  <c r="AD235" i="29"/>
  <c r="AF199" i="29"/>
  <c r="AD192" i="29"/>
  <c r="AE102" i="29"/>
  <c r="AT214" i="29"/>
  <c r="AB7" i="29"/>
  <c r="AB83" i="29"/>
  <c r="X235" i="28"/>
  <c r="Z199" i="28"/>
  <c r="X194" i="28"/>
  <c r="W200" i="28"/>
  <c r="W51" i="28" s="1"/>
  <c r="W52" i="28" s="1"/>
  <c r="V75" i="28"/>
  <c r="V73" i="28"/>
  <c r="W192" i="28"/>
  <c r="X102" i="28"/>
  <c r="AM214" i="28"/>
  <c r="U7" i="28"/>
  <c r="X103" i="28"/>
  <c r="W93" i="28"/>
  <c r="U83" i="28"/>
  <c r="U195" i="27"/>
  <c r="T200" i="27"/>
  <c r="T192" i="27"/>
  <c r="U102" i="27"/>
  <c r="T235" i="27"/>
  <c r="V199" i="27"/>
  <c r="V103" i="27"/>
  <c r="U93" i="27"/>
  <c r="X194" i="27"/>
  <c r="S235" i="26"/>
  <c r="U199" i="26"/>
  <c r="U200" i="26"/>
  <c r="U51" i="26" s="1"/>
  <c r="U52" i="26" s="1"/>
  <c r="V194" i="26"/>
  <c r="S192" i="26"/>
  <c r="T102" i="26"/>
  <c r="T200" i="26"/>
  <c r="T103" i="26"/>
  <c r="S93" i="26"/>
  <c r="B109" i="35" l="1"/>
  <c r="AF93" i="35"/>
  <c r="AF192" i="35"/>
  <c r="B102" i="35"/>
  <c r="B192" i="35" s="1"/>
  <c r="AV214" i="35"/>
  <c r="AD7" i="35"/>
  <c r="AE73" i="35"/>
  <c r="AE75" i="35"/>
  <c r="AF200" i="35"/>
  <c r="AF51" i="35" s="1"/>
  <c r="AF52" i="35" s="1"/>
  <c r="B194" i="35"/>
  <c r="B200" i="35" s="1"/>
  <c r="AF192" i="33"/>
  <c r="B102" i="33"/>
  <c r="B192" i="33" s="1"/>
  <c r="AI93" i="33"/>
  <c r="AH93" i="33"/>
  <c r="B52" i="33"/>
  <c r="AI51" i="33"/>
  <c r="AH51" i="33"/>
  <c r="AF75" i="33"/>
  <c r="AF73" i="33"/>
  <c r="AW214" i="33"/>
  <c r="AE7" i="33"/>
  <c r="AH93" i="32"/>
  <c r="AI93" i="32"/>
  <c r="B93" i="32"/>
  <c r="AE73" i="32"/>
  <c r="AE75" i="32"/>
  <c r="B192" i="32"/>
  <c r="B194" i="32"/>
  <c r="AF200" i="32"/>
  <c r="AF51" i="32" s="1"/>
  <c r="AF52" i="32" s="1"/>
  <c r="AE235" i="32"/>
  <c r="B199" i="32"/>
  <c r="AF235" i="32" s="1"/>
  <c r="AV214" i="32"/>
  <c r="AD7" i="32"/>
  <c r="AD83" i="32"/>
  <c r="AV214" i="31"/>
  <c r="AD7" i="31"/>
  <c r="AE75" i="31"/>
  <c r="AE73" i="31"/>
  <c r="AF200" i="31"/>
  <c r="AF51" i="31" s="1"/>
  <c r="AF52" i="31" s="1"/>
  <c r="B194" i="31"/>
  <c r="AF93" i="31"/>
  <c r="AF192" i="31"/>
  <c r="B102" i="31"/>
  <c r="B192" i="31" s="1"/>
  <c r="AE73" i="30"/>
  <c r="AE75" i="30"/>
  <c r="AE235" i="30"/>
  <c r="B199" i="30"/>
  <c r="AF200" i="30"/>
  <c r="AF52" i="30" s="1"/>
  <c r="AV214" i="30"/>
  <c r="AD7" i="30"/>
  <c r="B93" i="30"/>
  <c r="AF192" i="30"/>
  <c r="B102" i="30"/>
  <c r="B192" i="30" s="1"/>
  <c r="AF93" i="30"/>
  <c r="AE235" i="29"/>
  <c r="B199" i="29"/>
  <c r="AF235" i="29" s="1"/>
  <c r="AU214" i="29"/>
  <c r="AC7" i="29"/>
  <c r="AD73" i="29"/>
  <c r="AD75" i="29"/>
  <c r="AE192" i="29"/>
  <c r="AF102" i="29"/>
  <c r="AE200" i="29"/>
  <c r="AE51" i="29" s="1"/>
  <c r="AE52" i="29" s="1"/>
  <c r="AF194" i="29"/>
  <c r="AE93" i="29"/>
  <c r="V83" i="28"/>
  <c r="X192" i="28"/>
  <c r="Y102" i="28"/>
  <c r="AN214" i="28"/>
  <c r="V7" i="28"/>
  <c r="W75" i="28"/>
  <c r="W73" i="28"/>
  <c r="W83" i="28" s="1"/>
  <c r="Y103" i="28"/>
  <c r="X93" i="28"/>
  <c r="X200" i="28"/>
  <c r="X51" i="28" s="1"/>
  <c r="X52" i="28" s="1"/>
  <c r="Y194" i="28"/>
  <c r="Y235" i="28"/>
  <c r="AA199" i="28"/>
  <c r="U235" i="27"/>
  <c r="W199" i="27"/>
  <c r="W103" i="27"/>
  <c r="V93" i="27"/>
  <c r="U192" i="27"/>
  <c r="V102" i="27"/>
  <c r="Y194" i="27"/>
  <c r="V195" i="27"/>
  <c r="U200" i="27"/>
  <c r="U51" i="27" s="1"/>
  <c r="U52" i="27" s="1"/>
  <c r="U103" i="26"/>
  <c r="T93" i="26"/>
  <c r="T192" i="26"/>
  <c r="U102" i="26"/>
  <c r="W194" i="26"/>
  <c r="U73" i="26"/>
  <c r="U75" i="26"/>
  <c r="T235" i="26"/>
  <c r="V199" i="26"/>
  <c r="V200" i="26" s="1"/>
  <c r="V51" i="26" s="1"/>
  <c r="V52" i="26" s="1"/>
  <c r="AE83" i="35" l="1"/>
  <c r="AW214" i="35"/>
  <c r="AE7" i="35"/>
  <c r="AH51" i="35"/>
  <c r="AI51" i="35"/>
  <c r="AI93" i="35"/>
  <c r="AH93" i="35"/>
  <c r="AF73" i="35"/>
  <c r="AF83" i="35" s="1"/>
  <c r="AF75" i="35"/>
  <c r="B93" i="35"/>
  <c r="AX214" i="33"/>
  <c r="AF7" i="33"/>
  <c r="AI52" i="33"/>
  <c r="AH52" i="33"/>
  <c r="B73" i="33"/>
  <c r="B75" i="33"/>
  <c r="AF83" i="33"/>
  <c r="AF73" i="32"/>
  <c r="AF75" i="32"/>
  <c r="B200" i="32"/>
  <c r="B51" i="32" s="1"/>
  <c r="AW214" i="32"/>
  <c r="AE7" i="32"/>
  <c r="AE83" i="32"/>
  <c r="AE83" i="31"/>
  <c r="AI93" i="31"/>
  <c r="AH93" i="31"/>
  <c r="B200" i="31"/>
  <c r="B51" i="31" s="1"/>
  <c r="B93" i="31"/>
  <c r="AF73" i="31"/>
  <c r="AF75" i="31"/>
  <c r="AW214" i="31"/>
  <c r="AE7" i="31"/>
  <c r="AF75" i="30"/>
  <c r="AF73" i="30"/>
  <c r="AF83" i="30" s="1"/>
  <c r="AF235" i="30"/>
  <c r="B200" i="30"/>
  <c r="B51" i="30" s="1"/>
  <c r="AH93" i="30"/>
  <c r="AI93" i="30"/>
  <c r="AW214" i="30"/>
  <c r="AE7" i="30"/>
  <c r="AE83" i="30"/>
  <c r="AF192" i="29"/>
  <c r="B102" i="29"/>
  <c r="B192" i="29" s="1"/>
  <c r="AV214" i="29"/>
  <c r="AD7" i="29"/>
  <c r="AD83" i="29"/>
  <c r="AF200" i="29"/>
  <c r="AF51" i="29" s="1"/>
  <c r="AF52" i="29" s="1"/>
  <c r="B194" i="29"/>
  <c r="AF93" i="29"/>
  <c r="AE75" i="29"/>
  <c r="AE73" i="29"/>
  <c r="AE83" i="29" s="1"/>
  <c r="Z103" i="28"/>
  <c r="Y93" i="28"/>
  <c r="AO214" i="28"/>
  <c r="W7" i="28"/>
  <c r="Z235" i="28"/>
  <c r="AB199" i="28"/>
  <c r="Z194" i="28"/>
  <c r="Y200" i="28"/>
  <c r="Y51" i="28" s="1"/>
  <c r="Y52" i="28" s="1"/>
  <c r="Y192" i="28"/>
  <c r="Z102" i="28"/>
  <c r="X75" i="28"/>
  <c r="X73" i="28"/>
  <c r="X83" i="28" s="1"/>
  <c r="Z194" i="27"/>
  <c r="V192" i="27"/>
  <c r="W102" i="27"/>
  <c r="W93" i="27"/>
  <c r="X103" i="27"/>
  <c r="U75" i="27"/>
  <c r="U73" i="27"/>
  <c r="V235" i="27"/>
  <c r="X199" i="27"/>
  <c r="W195" i="27"/>
  <c r="V200" i="27"/>
  <c r="V51" i="27" s="1"/>
  <c r="V52" i="27" s="1"/>
  <c r="U83" i="26"/>
  <c r="V75" i="26"/>
  <c r="V73" i="26"/>
  <c r="V83" i="26" s="1"/>
  <c r="AM214" i="26"/>
  <c r="U7" i="26"/>
  <c r="X194" i="26"/>
  <c r="W200" i="26"/>
  <c r="W51" i="26" s="1"/>
  <c r="W52" i="26" s="1"/>
  <c r="U192" i="26"/>
  <c r="V102" i="26"/>
  <c r="U235" i="26"/>
  <c r="W199" i="26"/>
  <c r="U93" i="26"/>
  <c r="V103" i="26"/>
  <c r="AI52" i="35" l="1"/>
  <c r="AH52" i="35"/>
  <c r="AX214" i="35"/>
  <c r="AF7" i="35"/>
  <c r="T214" i="33"/>
  <c r="AI75" i="33"/>
  <c r="AH75" i="33"/>
  <c r="B7" i="33"/>
  <c r="A7" i="33" s="1"/>
  <c r="AI73" i="33"/>
  <c r="AH73" i="33"/>
  <c r="B83" i="33"/>
  <c r="AX214" i="32"/>
  <c r="AF7" i="32"/>
  <c r="AH51" i="32"/>
  <c r="AI51" i="32"/>
  <c r="B52" i="32"/>
  <c r="AF83" i="32"/>
  <c r="AF83" i="31"/>
  <c r="AH51" i="31"/>
  <c r="B52" i="31"/>
  <c r="AI51" i="31"/>
  <c r="AX214" i="31"/>
  <c r="AF7" i="31"/>
  <c r="B75" i="30"/>
  <c r="B73" i="30"/>
  <c r="AI51" i="30"/>
  <c r="AH51" i="30"/>
  <c r="AX214" i="30"/>
  <c r="AF7" i="30"/>
  <c r="AI93" i="29"/>
  <c r="AH93" i="29"/>
  <c r="AF73" i="29"/>
  <c r="AF75" i="29"/>
  <c r="B200" i="29"/>
  <c r="B93" i="29"/>
  <c r="AW214" i="29"/>
  <c r="AE7" i="29"/>
  <c r="AA235" i="28"/>
  <c r="AC199" i="28"/>
  <c r="AP214" i="28"/>
  <c r="X7" i="28"/>
  <c r="Y75" i="28"/>
  <c r="Y73" i="28"/>
  <c r="Z200" i="28"/>
  <c r="AA194" i="28"/>
  <c r="Z192" i="28"/>
  <c r="AA102" i="28"/>
  <c r="AA103" i="28"/>
  <c r="Z93" i="28"/>
  <c r="U83" i="27"/>
  <c r="X93" i="27"/>
  <c r="Y103" i="27"/>
  <c r="Y199" i="27"/>
  <c r="W235" i="27"/>
  <c r="AA194" i="27"/>
  <c r="AM214" i="27"/>
  <c r="U7" i="27"/>
  <c r="V73" i="27"/>
  <c r="V75" i="27"/>
  <c r="W192" i="27"/>
  <c r="X102" i="27"/>
  <c r="X195" i="27"/>
  <c r="W200" i="27"/>
  <c r="W51" i="27" s="1"/>
  <c r="W52" i="27" s="1"/>
  <c r="Y194" i="26"/>
  <c r="V93" i="26"/>
  <c r="W103" i="26"/>
  <c r="V235" i="26"/>
  <c r="X199" i="26"/>
  <c r="V192" i="26"/>
  <c r="W102" i="26"/>
  <c r="W75" i="26"/>
  <c r="W73" i="26"/>
  <c r="AN214" i="26"/>
  <c r="V7" i="26"/>
  <c r="AI73" i="35" l="1"/>
  <c r="AH73" i="35"/>
  <c r="T214" i="35"/>
  <c r="AI75" i="35"/>
  <c r="AH75" i="35"/>
  <c r="B7" i="35"/>
  <c r="A7" i="35" s="1"/>
  <c r="AH83" i="33"/>
  <c r="AI83" i="33"/>
  <c r="AH52" i="32"/>
  <c r="AI52" i="32"/>
  <c r="B75" i="32"/>
  <c r="B73" i="32"/>
  <c r="AH52" i="31"/>
  <c r="AI52" i="31"/>
  <c r="B75" i="31"/>
  <c r="B73" i="31"/>
  <c r="B83" i="30"/>
  <c r="AH52" i="30"/>
  <c r="AI52" i="30"/>
  <c r="AH51" i="29"/>
  <c r="AI51" i="29"/>
  <c r="AX214" i="29"/>
  <c r="AF7" i="29"/>
  <c r="AF83" i="29"/>
  <c r="Y83" i="28"/>
  <c r="AQ214" i="28"/>
  <c r="Y7" i="28"/>
  <c r="AB103" i="28"/>
  <c r="AA93" i="28"/>
  <c r="AA192" i="28"/>
  <c r="AB102" i="28"/>
  <c r="AB235" i="28"/>
  <c r="AD199" i="28"/>
  <c r="AA200" i="28"/>
  <c r="AA51" i="28" s="1"/>
  <c r="AA52" i="28" s="1"/>
  <c r="AB194" i="28"/>
  <c r="V83" i="27"/>
  <c r="AB194" i="27"/>
  <c r="W73" i="27"/>
  <c r="W75" i="27"/>
  <c r="Z199" i="27"/>
  <c r="X235" i="27"/>
  <c r="Y195" i="27"/>
  <c r="X200" i="27"/>
  <c r="X51" i="27" s="1"/>
  <c r="X52" i="27" s="1"/>
  <c r="X192" i="27"/>
  <c r="Y102" i="27"/>
  <c r="AN214" i="27"/>
  <c r="V7" i="27"/>
  <c r="Z103" i="27"/>
  <c r="Y93" i="27"/>
  <c r="W83" i="26"/>
  <c r="W192" i="26"/>
  <c r="X102" i="26"/>
  <c r="W235" i="26"/>
  <c r="Y199" i="26"/>
  <c r="X103" i="26"/>
  <c r="W93" i="26"/>
  <c r="Y200" i="26"/>
  <c r="Y51" i="26" s="1"/>
  <c r="Y52" i="26" s="1"/>
  <c r="Z194" i="26"/>
  <c r="AO214" i="26"/>
  <c r="W7" i="26"/>
  <c r="X200" i="26"/>
  <c r="X51" i="26" s="1"/>
  <c r="X52" i="26" s="1"/>
  <c r="AH83" i="35" l="1"/>
  <c r="AI83" i="35"/>
  <c r="T214" i="32"/>
  <c r="AI75" i="32"/>
  <c r="B7" i="32"/>
  <c r="A7" i="32" s="1"/>
  <c r="AH75" i="32"/>
  <c r="AH73" i="32"/>
  <c r="AI73" i="32"/>
  <c r="B83" i="32"/>
  <c r="AI73" i="31"/>
  <c r="AH73" i="31"/>
  <c r="B83" i="31"/>
  <c r="T214" i="31"/>
  <c r="AH75" i="31"/>
  <c r="B7" i="31"/>
  <c r="A7" i="31" s="1"/>
  <c r="AI75" i="31"/>
  <c r="AI73" i="30"/>
  <c r="AH73" i="30"/>
  <c r="T214" i="30"/>
  <c r="AI75" i="30"/>
  <c r="AH75" i="30"/>
  <c r="B7" i="30"/>
  <c r="A7" i="30" s="1"/>
  <c r="AH52" i="29"/>
  <c r="AI52" i="29"/>
  <c r="AE199" i="28"/>
  <c r="AC235" i="28"/>
  <c r="AB192" i="28"/>
  <c r="AC102" i="28"/>
  <c r="AB93" i="28"/>
  <c r="AC103" i="28"/>
  <c r="AB200" i="28"/>
  <c r="AB51" i="28" s="1"/>
  <c r="AB52" i="28" s="1"/>
  <c r="AC194" i="28"/>
  <c r="AA73" i="28"/>
  <c r="AA75" i="28"/>
  <c r="Z195" i="27"/>
  <c r="Y200" i="27"/>
  <c r="Y51" i="27" s="1"/>
  <c r="Y52" i="27" s="1"/>
  <c r="AA103" i="27"/>
  <c r="AA199" i="27"/>
  <c r="Y235" i="27"/>
  <c r="W83" i="27"/>
  <c r="Y192" i="27"/>
  <c r="Z102" i="27"/>
  <c r="AC194" i="27"/>
  <c r="X73" i="27"/>
  <c r="X75" i="27"/>
  <c r="AO214" i="27"/>
  <c r="W7" i="27"/>
  <c r="AA194" i="26"/>
  <c r="X75" i="26"/>
  <c r="X73" i="26"/>
  <c r="X83" i="26" s="1"/>
  <c r="X192" i="26"/>
  <c r="Y102" i="26"/>
  <c r="Y73" i="26"/>
  <c r="Y75" i="26"/>
  <c r="Y103" i="26"/>
  <c r="X93" i="26"/>
  <c r="X235" i="26"/>
  <c r="Z199" i="26"/>
  <c r="AI83" i="32" l="1"/>
  <c r="AH83" i="32"/>
  <c r="AH83" i="31"/>
  <c r="AI83" i="31"/>
  <c r="AH83" i="30"/>
  <c r="AI83" i="30"/>
  <c r="AI73" i="29"/>
  <c r="AH73" i="29"/>
  <c r="T214" i="29"/>
  <c r="AI75" i="29"/>
  <c r="AH75" i="29"/>
  <c r="B7" i="29"/>
  <c r="A7" i="29" s="1"/>
  <c r="AC200" i="28"/>
  <c r="AC51" i="28" s="1"/>
  <c r="AC52" i="28" s="1"/>
  <c r="AD194" i="28"/>
  <c r="AB75" i="28"/>
  <c r="AB73" i="28"/>
  <c r="AB83" i="28" s="1"/>
  <c r="AC93" i="28"/>
  <c r="AD103" i="28"/>
  <c r="AC192" i="28"/>
  <c r="AD102" i="28"/>
  <c r="AS214" i="28"/>
  <c r="AA7" i="28"/>
  <c r="AA83" i="28"/>
  <c r="AD235" i="28"/>
  <c r="AF199" i="28"/>
  <c r="AD194" i="27"/>
  <c r="AP214" i="27"/>
  <c r="X7" i="27"/>
  <c r="AB199" i="27"/>
  <c r="Z235" i="27"/>
  <c r="X83" i="27"/>
  <c r="AB103" i="27"/>
  <c r="AA93" i="27"/>
  <c r="Y73" i="27"/>
  <c r="Y75" i="27"/>
  <c r="Z192" i="27"/>
  <c r="AA102" i="27"/>
  <c r="AA195" i="27"/>
  <c r="Z200" i="27"/>
  <c r="Y83" i="26"/>
  <c r="AQ214" i="26"/>
  <c r="Y7" i="26"/>
  <c r="Y192" i="26"/>
  <c r="Z102" i="26"/>
  <c r="AA200" i="26"/>
  <c r="AA51" i="26" s="1"/>
  <c r="AA52" i="26" s="1"/>
  <c r="AB194" i="26"/>
  <c r="Y235" i="26"/>
  <c r="AA199" i="26"/>
  <c r="AP214" i="26"/>
  <c r="X7" i="26"/>
  <c r="Z103" i="26"/>
  <c r="Y93" i="26"/>
  <c r="Z200" i="26"/>
  <c r="AI83" i="29" l="1"/>
  <c r="AH83" i="29"/>
  <c r="AE103" i="28"/>
  <c r="AD93" i="28"/>
  <c r="AE235" i="28"/>
  <c r="B199" i="28"/>
  <c r="AF235" i="28" s="1"/>
  <c r="AT214" i="28"/>
  <c r="AB7" i="28"/>
  <c r="AE194" i="28"/>
  <c r="AD200" i="28"/>
  <c r="AD51" i="28" s="1"/>
  <c r="AD52" i="28" s="1"/>
  <c r="AD192" i="28"/>
  <c r="AE102" i="28"/>
  <c r="AC73" i="28"/>
  <c r="AC75" i="28"/>
  <c r="AC103" i="27"/>
  <c r="AB93" i="27"/>
  <c r="AB195" i="27"/>
  <c r="AA200" i="27"/>
  <c r="AA51" i="27" s="1"/>
  <c r="AA52" i="27" s="1"/>
  <c r="AQ214" i="27"/>
  <c r="Y7" i="27"/>
  <c r="AC199" i="27"/>
  <c r="AA235" i="27"/>
  <c r="Y83" i="27"/>
  <c r="AA192" i="27"/>
  <c r="AB102" i="27"/>
  <c r="AE194" i="27"/>
  <c r="AC194" i="26"/>
  <c r="AA73" i="26"/>
  <c r="AA75" i="26"/>
  <c r="Z192" i="26"/>
  <c r="AA102" i="26"/>
  <c r="AA103" i="26"/>
  <c r="Z93" i="26"/>
  <c r="Z235" i="26"/>
  <c r="AB199" i="26"/>
  <c r="AU214" i="28" l="1"/>
  <c r="AC7" i="28"/>
  <c r="AC83" i="28"/>
  <c r="AD73" i="28"/>
  <c r="AD75" i="28"/>
  <c r="AF194" i="28"/>
  <c r="AE200" i="28"/>
  <c r="AE51" i="28" s="1"/>
  <c r="AE52" i="28" s="1"/>
  <c r="AE192" i="28"/>
  <c r="AF102" i="28"/>
  <c r="AF103" i="28"/>
  <c r="AE93" i="28"/>
  <c r="AF194" i="27"/>
  <c r="AC195" i="27"/>
  <c r="AB200" i="27"/>
  <c r="AB51" i="27" s="1"/>
  <c r="AB52" i="27" s="1"/>
  <c r="AA75" i="27"/>
  <c r="AA73" i="27"/>
  <c r="AA83" i="27" s="1"/>
  <c r="AB192" i="27"/>
  <c r="AC102" i="27"/>
  <c r="AD199" i="27"/>
  <c r="AB235" i="27"/>
  <c r="AD103" i="27"/>
  <c r="AC93" i="27"/>
  <c r="AB103" i="26"/>
  <c r="AA93" i="26"/>
  <c r="AA83" i="26"/>
  <c r="AA192" i="26"/>
  <c r="AB102" i="26"/>
  <c r="AS214" i="26"/>
  <c r="AA7" i="26"/>
  <c r="AA235" i="26"/>
  <c r="AC199" i="26"/>
  <c r="AC200" i="26"/>
  <c r="AC51" i="26" s="1"/>
  <c r="AC52" i="26" s="1"/>
  <c r="AD194" i="26"/>
  <c r="AB200" i="26"/>
  <c r="AB51" i="26" s="1"/>
  <c r="AB52" i="26" s="1"/>
  <c r="AE73" i="28" l="1"/>
  <c r="AE75" i="28"/>
  <c r="AF200" i="28"/>
  <c r="AF51" i="28" s="1"/>
  <c r="AF52" i="28" s="1"/>
  <c r="B194" i="28"/>
  <c r="B200" i="28" s="1"/>
  <c r="AV214" i="28"/>
  <c r="AD7" i="28"/>
  <c r="AD83" i="28"/>
  <c r="AF93" i="28"/>
  <c r="B103" i="28"/>
  <c r="AF192" i="28"/>
  <c r="B102" i="28"/>
  <c r="B192" i="28" s="1"/>
  <c r="AC192" i="27"/>
  <c r="AD102" i="27"/>
  <c r="AS214" i="27"/>
  <c r="AA7" i="27"/>
  <c r="AB73" i="27"/>
  <c r="AB75" i="27"/>
  <c r="AE103" i="27"/>
  <c r="AD93" i="27"/>
  <c r="AD195" i="27"/>
  <c r="AC200" i="27"/>
  <c r="AC51" i="27" s="1"/>
  <c r="AC52" i="27" s="1"/>
  <c r="AC235" i="27"/>
  <c r="AE199" i="27"/>
  <c r="B194" i="27"/>
  <c r="AB192" i="26"/>
  <c r="AC102" i="26"/>
  <c r="AB75" i="26"/>
  <c r="AB73" i="26"/>
  <c r="AE194" i="26"/>
  <c r="AC73" i="26"/>
  <c r="AC75" i="26"/>
  <c r="AB235" i="26"/>
  <c r="AD199" i="26"/>
  <c r="AD200" i="26" s="1"/>
  <c r="AD51" i="26" s="1"/>
  <c r="AD52" i="26" s="1"/>
  <c r="AC103" i="26"/>
  <c r="AB93" i="26"/>
  <c r="AH93" i="28" l="1"/>
  <c r="AI93" i="28"/>
  <c r="AI51" i="28"/>
  <c r="AH51" i="28"/>
  <c r="AF73" i="28"/>
  <c r="AF75" i="28"/>
  <c r="AW214" i="28"/>
  <c r="AE7" i="28"/>
  <c r="AE83" i="28"/>
  <c r="AE93" i="27"/>
  <c r="AF103" i="27"/>
  <c r="AT214" i="27"/>
  <c r="AB7" i="27"/>
  <c r="AB83" i="27"/>
  <c r="AD235" i="27"/>
  <c r="AF199" i="27"/>
  <c r="AC73" i="27"/>
  <c r="AC75" i="27"/>
  <c r="AD192" i="27"/>
  <c r="AE102" i="27"/>
  <c r="AE195" i="27"/>
  <c r="AD200" i="27"/>
  <c r="AD51" i="27" s="1"/>
  <c r="AD52" i="27" s="1"/>
  <c r="AC83" i="26"/>
  <c r="AD73" i="26"/>
  <c r="AD75" i="26"/>
  <c r="AU214" i="26"/>
  <c r="AC7" i="26"/>
  <c r="AF194" i="26"/>
  <c r="AE200" i="26"/>
  <c r="AE51" i="26" s="1"/>
  <c r="AE52" i="26" s="1"/>
  <c r="AB83" i="26"/>
  <c r="AD103" i="26"/>
  <c r="AC93" i="26"/>
  <c r="AT214" i="26"/>
  <c r="AB7" i="26"/>
  <c r="AC235" i="26"/>
  <c r="AE199" i="26"/>
  <c r="AC192" i="26"/>
  <c r="AD102" i="26"/>
  <c r="AF83" i="28" l="1"/>
  <c r="AI52" i="28"/>
  <c r="AH52" i="28"/>
  <c r="AX214" i="28"/>
  <c r="AF7" i="28"/>
  <c r="AC83" i="27"/>
  <c r="B199" i="27"/>
  <c r="AF235" i="27" s="1"/>
  <c r="AE235" i="27"/>
  <c r="AF195" i="27"/>
  <c r="AE200" i="27"/>
  <c r="AE51" i="27" s="1"/>
  <c r="AE52" i="27" s="1"/>
  <c r="AE192" i="27"/>
  <c r="AF102" i="27"/>
  <c r="AD73" i="27"/>
  <c r="AD75" i="27"/>
  <c r="AU214" i="27"/>
  <c r="AC7" i="27"/>
  <c r="AF93" i="27"/>
  <c r="B103" i="27"/>
  <c r="B93" i="27" s="1"/>
  <c r="AD235" i="26"/>
  <c r="AF199" i="26"/>
  <c r="AE75" i="26"/>
  <c r="AE73" i="26"/>
  <c r="AF200" i="26"/>
  <c r="AF51" i="26" s="1"/>
  <c r="AF52" i="26" s="1"/>
  <c r="B194" i="26"/>
  <c r="AD192" i="26"/>
  <c r="AE102" i="26"/>
  <c r="AV214" i="26"/>
  <c r="AD7" i="26"/>
  <c r="AD93" i="26"/>
  <c r="AE103" i="26"/>
  <c r="AD83" i="26"/>
  <c r="T214" i="28" l="1"/>
  <c r="AH75" i="28"/>
  <c r="AI75" i="28"/>
  <c r="B7" i="28"/>
  <c r="A7" i="28" s="1"/>
  <c r="AI73" i="28"/>
  <c r="AH73" i="28"/>
  <c r="AD83" i="27"/>
  <c r="AF192" i="27"/>
  <c r="B102" i="27"/>
  <c r="B192" i="27" s="1"/>
  <c r="AV214" i="27"/>
  <c r="AD7" i="27"/>
  <c r="AE73" i="27"/>
  <c r="AE75" i="27"/>
  <c r="AI93" i="27"/>
  <c r="AH93" i="27"/>
  <c r="B195" i="27"/>
  <c r="B200" i="27" s="1"/>
  <c r="B51" i="27" s="1"/>
  <c r="B52" i="27" s="1"/>
  <c r="AF200" i="27"/>
  <c r="AF51" i="27" s="1"/>
  <c r="AF52" i="27" s="1"/>
  <c r="AE83" i="26"/>
  <c r="AF75" i="26"/>
  <c r="AF73" i="26"/>
  <c r="AF83" i="26" s="1"/>
  <c r="AE192" i="26"/>
  <c r="AF102" i="26"/>
  <c r="B200" i="26"/>
  <c r="AF103" i="26"/>
  <c r="AE93" i="26"/>
  <c r="AE235" i="26"/>
  <c r="B199" i="26"/>
  <c r="AF235" i="26" s="1"/>
  <c r="AW214" i="26"/>
  <c r="AE7" i="26"/>
  <c r="AI83" i="28" l="1"/>
  <c r="AH83" i="28"/>
  <c r="B75" i="27"/>
  <c r="B73" i="27"/>
  <c r="B83" i="27" s="1"/>
  <c r="AE83" i="27"/>
  <c r="AW214" i="27"/>
  <c r="AE7" i="27"/>
  <c r="AF73" i="27"/>
  <c r="AF75" i="27"/>
  <c r="AI51" i="27"/>
  <c r="AH51" i="27"/>
  <c r="AF192" i="26"/>
  <c r="B102" i="26"/>
  <c r="AI51" i="26"/>
  <c r="AH51" i="26"/>
  <c r="AF93" i="26"/>
  <c r="B103" i="26"/>
  <c r="AX214" i="26"/>
  <c r="AF7" i="26"/>
  <c r="AF83" i="27" l="1"/>
  <c r="AI52" i="27"/>
  <c r="AH52" i="27"/>
  <c r="AX214" i="27"/>
  <c r="AF7" i="27"/>
  <c r="AH93" i="26"/>
  <c r="AI93" i="26"/>
  <c r="AI52" i="26"/>
  <c r="AH52" i="26"/>
  <c r="B192" i="26"/>
  <c r="AH73" i="27" l="1"/>
  <c r="AI73" i="27"/>
  <c r="T214" i="27"/>
  <c r="AI75" i="27"/>
  <c r="B7" i="27"/>
  <c r="A7" i="27" s="1"/>
  <c r="AH75" i="27"/>
  <c r="T214" i="26"/>
  <c r="AI75" i="26"/>
  <c r="B7" i="26"/>
  <c r="A7" i="26" s="1"/>
  <c r="AH75" i="26"/>
  <c r="AH73" i="26"/>
  <c r="AI73" i="26"/>
  <c r="AH83" i="27" l="1"/>
  <c r="AI83" i="27"/>
  <c r="AI83" i="26"/>
  <c r="AH83" i="26"/>
  <c r="M37" i="25" l="1"/>
  <c r="B93" i="25"/>
  <c r="B80" i="25"/>
  <c r="B79" i="25"/>
  <c r="B78" i="25"/>
  <c r="B77" i="25"/>
  <c r="B76" i="25"/>
  <c r="B72" i="25"/>
  <c r="B68" i="25"/>
  <c r="B56" i="25"/>
  <c r="B51" i="25"/>
  <c r="B52" i="25" s="1"/>
  <c r="B38" i="25"/>
  <c r="AF239" i="25"/>
  <c r="AE239" i="25"/>
  <c r="AD239" i="25"/>
  <c r="AC239" i="25"/>
  <c r="AB239" i="25"/>
  <c r="AA239" i="25"/>
  <c r="Z239" i="25"/>
  <c r="Y239" i="25"/>
  <c r="X239" i="25"/>
  <c r="W239" i="25"/>
  <c r="V239" i="25"/>
  <c r="U239" i="25"/>
  <c r="T239" i="25"/>
  <c r="S239" i="25"/>
  <c r="R239" i="25"/>
  <c r="Q239" i="25"/>
  <c r="P239" i="25"/>
  <c r="O239" i="25"/>
  <c r="N239" i="25"/>
  <c r="M239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B235" i="25"/>
  <c r="S210" i="25"/>
  <c r="AG200" i="25"/>
  <c r="C200" i="25"/>
  <c r="D199" i="25"/>
  <c r="C235" i="25" s="1"/>
  <c r="S198" i="25"/>
  <c r="T198" i="25" s="1"/>
  <c r="U198" i="25" s="1"/>
  <c r="V198" i="25" s="1"/>
  <c r="W198" i="25" s="1"/>
  <c r="X198" i="25" s="1"/>
  <c r="Y198" i="25" s="1"/>
  <c r="Z198" i="25" s="1"/>
  <c r="AA198" i="25" s="1"/>
  <c r="AB198" i="25" s="1"/>
  <c r="AC198" i="25" s="1"/>
  <c r="AD198" i="25" s="1"/>
  <c r="AE198" i="25" s="1"/>
  <c r="AF198" i="25" s="1"/>
  <c r="B198" i="25" s="1"/>
  <c r="E198" i="25"/>
  <c r="F198" i="25" s="1"/>
  <c r="G198" i="25" s="1"/>
  <c r="H198" i="25" s="1"/>
  <c r="I198" i="25" s="1"/>
  <c r="J198" i="25" s="1"/>
  <c r="K198" i="25" s="1"/>
  <c r="L198" i="25" s="1"/>
  <c r="M198" i="25" s="1"/>
  <c r="N198" i="25" s="1"/>
  <c r="O198" i="25" s="1"/>
  <c r="P198" i="25" s="1"/>
  <c r="Q198" i="25" s="1"/>
  <c r="R198" i="25" s="1"/>
  <c r="D198" i="25"/>
  <c r="N197" i="25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B197" i="25" s="1"/>
  <c r="D197" i="25"/>
  <c r="E197" i="25" s="1"/>
  <c r="F197" i="25" s="1"/>
  <c r="G197" i="25" s="1"/>
  <c r="H197" i="25" s="1"/>
  <c r="I197" i="25" s="1"/>
  <c r="J197" i="25" s="1"/>
  <c r="K197" i="25" s="1"/>
  <c r="L197" i="25" s="1"/>
  <c r="M197" i="25" s="1"/>
  <c r="D196" i="25"/>
  <c r="E196" i="25" s="1"/>
  <c r="F196" i="25" s="1"/>
  <c r="G196" i="25" s="1"/>
  <c r="H196" i="25" s="1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B196" i="25" s="1"/>
  <c r="D195" i="25"/>
  <c r="F194" i="25"/>
  <c r="E194" i="25"/>
  <c r="D194" i="25"/>
  <c r="AG192" i="25"/>
  <c r="C192" i="25"/>
  <c r="D191" i="25"/>
  <c r="E191" i="25" s="1"/>
  <c r="F191" i="25" s="1"/>
  <c r="G191" i="25" s="1"/>
  <c r="H191" i="25" s="1"/>
  <c r="I191" i="25" s="1"/>
  <c r="J191" i="25" s="1"/>
  <c r="K191" i="25" s="1"/>
  <c r="L191" i="25" s="1"/>
  <c r="M191" i="25" s="1"/>
  <c r="N191" i="25" s="1"/>
  <c r="O191" i="25" s="1"/>
  <c r="P191" i="25" s="1"/>
  <c r="Q191" i="25" s="1"/>
  <c r="R191" i="25" s="1"/>
  <c r="S191" i="25" s="1"/>
  <c r="T191" i="25" s="1"/>
  <c r="U191" i="25" s="1"/>
  <c r="V191" i="25" s="1"/>
  <c r="W191" i="25" s="1"/>
  <c r="X191" i="25" s="1"/>
  <c r="Y191" i="25" s="1"/>
  <c r="Z191" i="25" s="1"/>
  <c r="AA191" i="25" s="1"/>
  <c r="AB191" i="25" s="1"/>
  <c r="AC191" i="25" s="1"/>
  <c r="AD191" i="25" s="1"/>
  <c r="AE191" i="25" s="1"/>
  <c r="AF191" i="25" s="1"/>
  <c r="B191" i="25" s="1"/>
  <c r="G190" i="25"/>
  <c r="H190" i="25" s="1"/>
  <c r="I190" i="25" s="1"/>
  <c r="J190" i="25" s="1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B190" i="25" s="1"/>
  <c r="D190" i="25"/>
  <c r="E190" i="25" s="1"/>
  <c r="F190" i="25" s="1"/>
  <c r="W189" i="25"/>
  <c r="X189" i="25" s="1"/>
  <c r="Y189" i="25" s="1"/>
  <c r="Z189" i="25" s="1"/>
  <c r="AA189" i="25" s="1"/>
  <c r="AB189" i="25" s="1"/>
  <c r="AC189" i="25" s="1"/>
  <c r="AD189" i="25" s="1"/>
  <c r="AE189" i="25" s="1"/>
  <c r="AF189" i="25" s="1"/>
  <c r="B189" i="25" s="1"/>
  <c r="F189" i="25"/>
  <c r="G189" i="25" s="1"/>
  <c r="H189" i="25" s="1"/>
  <c r="I189" i="25" s="1"/>
  <c r="J189" i="25" s="1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D189" i="25"/>
  <c r="E189" i="25" s="1"/>
  <c r="F188" i="25"/>
  <c r="G188" i="25" s="1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B188" i="25" s="1"/>
  <c r="E188" i="25"/>
  <c r="D188" i="25"/>
  <c r="G187" i="25"/>
  <c r="H187" i="25" s="1"/>
  <c r="I187" i="25" s="1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B187" i="25" s="1"/>
  <c r="F187" i="25"/>
  <c r="D187" i="25"/>
  <c r="E187" i="25" s="1"/>
  <c r="J186" i="25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B186" i="25" s="1"/>
  <c r="D186" i="25"/>
  <c r="E186" i="25" s="1"/>
  <c r="F186" i="25" s="1"/>
  <c r="G186" i="25" s="1"/>
  <c r="H186" i="25" s="1"/>
  <c r="I186" i="25" s="1"/>
  <c r="P185" i="25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B185" i="25" s="1"/>
  <c r="E185" i="25"/>
  <c r="F185" i="25" s="1"/>
  <c r="G185" i="25" s="1"/>
  <c r="H185" i="25" s="1"/>
  <c r="I185" i="25" s="1"/>
  <c r="J185" i="25" s="1"/>
  <c r="K185" i="25" s="1"/>
  <c r="L185" i="25" s="1"/>
  <c r="M185" i="25" s="1"/>
  <c r="N185" i="25" s="1"/>
  <c r="O185" i="25" s="1"/>
  <c r="D185" i="25"/>
  <c r="P184" i="25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B184" i="25" s="1"/>
  <c r="D184" i="25"/>
  <c r="E184" i="25" s="1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J183" i="25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B183" i="25" s="1"/>
  <c r="I183" i="25"/>
  <c r="G183" i="25"/>
  <c r="H183" i="25" s="1"/>
  <c r="F183" i="25"/>
  <c r="D183" i="25"/>
  <c r="E183" i="25" s="1"/>
  <c r="M182" i="25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B182" i="25" s="1"/>
  <c r="J182" i="25"/>
  <c r="K182" i="25" s="1"/>
  <c r="L182" i="25" s="1"/>
  <c r="E182" i="25"/>
  <c r="F182" i="25" s="1"/>
  <c r="G182" i="25" s="1"/>
  <c r="H182" i="25" s="1"/>
  <c r="I182" i="25" s="1"/>
  <c r="D182" i="25"/>
  <c r="D181" i="25"/>
  <c r="E181" i="25" s="1"/>
  <c r="F181" i="25" s="1"/>
  <c r="G181" i="25" s="1"/>
  <c r="H181" i="25" s="1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B181" i="25" s="1"/>
  <c r="H180" i="25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B180" i="25" s="1"/>
  <c r="F180" i="25"/>
  <c r="G180" i="25" s="1"/>
  <c r="E180" i="25"/>
  <c r="D180" i="25"/>
  <c r="Q179" i="25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B179" i="25" s="1"/>
  <c r="E179" i="25"/>
  <c r="F179" i="25" s="1"/>
  <c r="G179" i="25" s="1"/>
  <c r="H179" i="25" s="1"/>
  <c r="I179" i="25" s="1"/>
  <c r="J179" i="25" s="1"/>
  <c r="K179" i="25" s="1"/>
  <c r="L179" i="25" s="1"/>
  <c r="M179" i="25" s="1"/>
  <c r="N179" i="25" s="1"/>
  <c r="O179" i="25" s="1"/>
  <c r="P179" i="25" s="1"/>
  <c r="D179" i="25"/>
  <c r="Z177" i="25"/>
  <c r="AA177" i="25" s="1"/>
  <c r="AB177" i="25" s="1"/>
  <c r="AC177" i="25" s="1"/>
  <c r="AD177" i="25" s="1"/>
  <c r="AE177" i="25" s="1"/>
  <c r="AF177" i="25" s="1"/>
  <c r="B177" i="25" s="1"/>
  <c r="E177" i="25"/>
  <c r="F177" i="25" s="1"/>
  <c r="G177" i="25" s="1"/>
  <c r="H177" i="25" s="1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X177" i="25" s="1"/>
  <c r="Y177" i="25" s="1"/>
  <c r="D177" i="25"/>
  <c r="N176" i="25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B176" i="25" s="1"/>
  <c r="F176" i="25"/>
  <c r="G176" i="25" s="1"/>
  <c r="H176" i="25" s="1"/>
  <c r="I176" i="25" s="1"/>
  <c r="J176" i="25" s="1"/>
  <c r="K176" i="25" s="1"/>
  <c r="L176" i="25" s="1"/>
  <c r="M176" i="25" s="1"/>
  <c r="E176" i="25"/>
  <c r="D176" i="25"/>
  <c r="T175" i="25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B175" i="25" s="1"/>
  <c r="E175" i="25"/>
  <c r="F175" i="25" s="1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Q175" i="25" s="1"/>
  <c r="R175" i="25" s="1"/>
  <c r="S175" i="25" s="1"/>
  <c r="D175" i="25"/>
  <c r="N174" i="25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B174" i="25" s="1"/>
  <c r="D174" i="25"/>
  <c r="E174" i="25" s="1"/>
  <c r="F174" i="25" s="1"/>
  <c r="G174" i="25" s="1"/>
  <c r="H174" i="25" s="1"/>
  <c r="I174" i="25" s="1"/>
  <c r="J174" i="25" s="1"/>
  <c r="K174" i="25" s="1"/>
  <c r="L174" i="25" s="1"/>
  <c r="M174" i="25" s="1"/>
  <c r="AC173" i="25"/>
  <c r="AD173" i="25" s="1"/>
  <c r="AE173" i="25" s="1"/>
  <c r="AF173" i="25" s="1"/>
  <c r="B173" i="25" s="1"/>
  <c r="D173" i="25"/>
  <c r="E173" i="25" s="1"/>
  <c r="F173" i="25" s="1"/>
  <c r="G173" i="25" s="1"/>
  <c r="H173" i="25" s="1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J172" i="25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B172" i="25" s="1"/>
  <c r="F172" i="25"/>
  <c r="G172" i="25" s="1"/>
  <c r="H172" i="25" s="1"/>
  <c r="I172" i="25" s="1"/>
  <c r="E172" i="25"/>
  <c r="D172" i="25"/>
  <c r="G171" i="25"/>
  <c r="H171" i="25" s="1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B171" i="25" s="1"/>
  <c r="E171" i="25"/>
  <c r="F171" i="25" s="1"/>
  <c r="D171" i="25"/>
  <c r="O170" i="25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B170" i="25" s="1"/>
  <c r="D170" i="25"/>
  <c r="E170" i="25" s="1"/>
  <c r="F170" i="25" s="1"/>
  <c r="G170" i="25" s="1"/>
  <c r="H170" i="25" s="1"/>
  <c r="I170" i="25" s="1"/>
  <c r="J170" i="25" s="1"/>
  <c r="K170" i="25" s="1"/>
  <c r="L170" i="25" s="1"/>
  <c r="M170" i="25" s="1"/>
  <c r="N170" i="25" s="1"/>
  <c r="I168" i="25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AD168" i="25" s="1"/>
  <c r="AE168" i="25" s="1"/>
  <c r="AF168" i="25" s="1"/>
  <c r="B168" i="25" s="1"/>
  <c r="H168" i="25"/>
  <c r="D168" i="25"/>
  <c r="E168" i="25" s="1"/>
  <c r="F168" i="25" s="1"/>
  <c r="G168" i="25" s="1"/>
  <c r="E167" i="25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B167" i="25" s="1"/>
  <c r="D167" i="25"/>
  <c r="Y166" i="25"/>
  <c r="Z166" i="25" s="1"/>
  <c r="AA166" i="25" s="1"/>
  <c r="AB166" i="25" s="1"/>
  <c r="AC166" i="25" s="1"/>
  <c r="AD166" i="25" s="1"/>
  <c r="AE166" i="25" s="1"/>
  <c r="AF166" i="25" s="1"/>
  <c r="B166" i="25" s="1"/>
  <c r="O166" i="25"/>
  <c r="P166" i="25" s="1"/>
  <c r="Q166" i="25" s="1"/>
  <c r="R166" i="25" s="1"/>
  <c r="S166" i="25" s="1"/>
  <c r="T166" i="25" s="1"/>
  <c r="U166" i="25" s="1"/>
  <c r="V166" i="25" s="1"/>
  <c r="W166" i="25" s="1"/>
  <c r="X166" i="25" s="1"/>
  <c r="H166" i="25"/>
  <c r="I166" i="25" s="1"/>
  <c r="J166" i="25" s="1"/>
  <c r="K166" i="25" s="1"/>
  <c r="L166" i="25" s="1"/>
  <c r="M166" i="25" s="1"/>
  <c r="N166" i="25" s="1"/>
  <c r="F166" i="25"/>
  <c r="G166" i="25" s="1"/>
  <c r="D166" i="25"/>
  <c r="E166" i="25" s="1"/>
  <c r="D165" i="25"/>
  <c r="E165" i="25" s="1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B165" i="25" s="1"/>
  <c r="Z164" i="25"/>
  <c r="AA164" i="25" s="1"/>
  <c r="AB164" i="25" s="1"/>
  <c r="AC164" i="25" s="1"/>
  <c r="AD164" i="25" s="1"/>
  <c r="AE164" i="25" s="1"/>
  <c r="AF164" i="25" s="1"/>
  <c r="L164" i="25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K164" i="25"/>
  <c r="G164" i="25"/>
  <c r="H164" i="25" s="1"/>
  <c r="I164" i="25" s="1"/>
  <c r="J164" i="25" s="1"/>
  <c r="E164" i="25"/>
  <c r="F164" i="25" s="1"/>
  <c r="D164" i="25"/>
  <c r="B164" i="25"/>
  <c r="W163" i="25"/>
  <c r="X163" i="25" s="1"/>
  <c r="Y163" i="25" s="1"/>
  <c r="Z163" i="25" s="1"/>
  <c r="AA163" i="25" s="1"/>
  <c r="AB163" i="25" s="1"/>
  <c r="AC163" i="25" s="1"/>
  <c r="AD163" i="25" s="1"/>
  <c r="AE163" i="25" s="1"/>
  <c r="AF163" i="25" s="1"/>
  <c r="B163" i="25" s="1"/>
  <c r="F163" i="25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E163" i="25"/>
  <c r="D163" i="25"/>
  <c r="K162" i="25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B162" i="25" s="1"/>
  <c r="F162" i="25"/>
  <c r="G162" i="25" s="1"/>
  <c r="H162" i="25" s="1"/>
  <c r="I162" i="25" s="1"/>
  <c r="J162" i="25" s="1"/>
  <c r="E162" i="25"/>
  <c r="D162" i="25"/>
  <c r="O161" i="25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B161" i="25" s="1"/>
  <c r="E161" i="25"/>
  <c r="F161" i="25" s="1"/>
  <c r="G161" i="25" s="1"/>
  <c r="H161" i="25" s="1"/>
  <c r="I161" i="25" s="1"/>
  <c r="J161" i="25" s="1"/>
  <c r="K161" i="25" s="1"/>
  <c r="L161" i="25" s="1"/>
  <c r="M161" i="25" s="1"/>
  <c r="N161" i="25" s="1"/>
  <c r="D161" i="25"/>
  <c r="D160" i="25"/>
  <c r="E160" i="25" s="1"/>
  <c r="F160" i="25" s="1"/>
  <c r="G160" i="25" s="1"/>
  <c r="H160" i="25" s="1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B160" i="25" s="1"/>
  <c r="Q159" i="25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B159" i="25" s="1"/>
  <c r="I159" i="25"/>
  <c r="J159" i="25" s="1"/>
  <c r="K159" i="25" s="1"/>
  <c r="L159" i="25" s="1"/>
  <c r="M159" i="25" s="1"/>
  <c r="N159" i="25" s="1"/>
  <c r="O159" i="25" s="1"/>
  <c r="P159" i="25" s="1"/>
  <c r="H159" i="25"/>
  <c r="G159" i="25"/>
  <c r="E159" i="25"/>
  <c r="F159" i="25" s="1"/>
  <c r="D159" i="25"/>
  <c r="D158" i="25"/>
  <c r="E158" i="25" s="1"/>
  <c r="F158" i="25" s="1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B158" i="25" s="1"/>
  <c r="E157" i="25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B157" i="25" s="1"/>
  <c r="D157" i="25"/>
  <c r="I156" i="25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B156" i="25" s="1"/>
  <c r="G156" i="25"/>
  <c r="H156" i="25" s="1"/>
  <c r="D156" i="25"/>
  <c r="E156" i="25" s="1"/>
  <c r="F156" i="25" s="1"/>
  <c r="F154" i="25"/>
  <c r="G154" i="25" s="1"/>
  <c r="H154" i="25" s="1"/>
  <c r="I154" i="25" s="1"/>
  <c r="J154" i="25" s="1"/>
  <c r="K154" i="25" s="1"/>
  <c r="L154" i="25" s="1"/>
  <c r="M154" i="25" s="1"/>
  <c r="N154" i="25" s="1"/>
  <c r="O154" i="25" s="1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B154" i="25" s="1"/>
  <c r="E154" i="25"/>
  <c r="D154" i="25"/>
  <c r="E153" i="25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B153" i="25" s="1"/>
  <c r="D153" i="25"/>
  <c r="Z152" i="25"/>
  <c r="AA152" i="25" s="1"/>
  <c r="AB152" i="25" s="1"/>
  <c r="AC152" i="25" s="1"/>
  <c r="AD152" i="25" s="1"/>
  <c r="AE152" i="25" s="1"/>
  <c r="AF152" i="25" s="1"/>
  <c r="B152" i="25" s="1"/>
  <c r="D152" i="25"/>
  <c r="E152" i="25" s="1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D151" i="25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B151" i="25" s="1"/>
  <c r="E149" i="25"/>
  <c r="F149" i="25" s="1"/>
  <c r="G149" i="25" s="1"/>
  <c r="H149" i="25" s="1"/>
  <c r="I149" i="25" s="1"/>
  <c r="J149" i="25" s="1"/>
  <c r="K149" i="25" s="1"/>
  <c r="L149" i="25" s="1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B149" i="25" s="1"/>
  <c r="D149" i="25"/>
  <c r="AA148" i="25"/>
  <c r="AB148" i="25" s="1"/>
  <c r="AC148" i="25" s="1"/>
  <c r="AD148" i="25" s="1"/>
  <c r="AE148" i="25" s="1"/>
  <c r="AF148" i="25" s="1"/>
  <c r="B148" i="25" s="1"/>
  <c r="I148" i="25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D148" i="25"/>
  <c r="E148" i="25" s="1"/>
  <c r="F148" i="25" s="1"/>
  <c r="G148" i="25" s="1"/>
  <c r="H148" i="25" s="1"/>
  <c r="K146" i="25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B146" i="25" s="1"/>
  <c r="D146" i="25"/>
  <c r="E146" i="25" s="1"/>
  <c r="F146" i="25" s="1"/>
  <c r="G146" i="25" s="1"/>
  <c r="H146" i="25" s="1"/>
  <c r="I146" i="25" s="1"/>
  <c r="J146" i="25" s="1"/>
  <c r="E145" i="25"/>
  <c r="F145" i="25" s="1"/>
  <c r="G145" i="25" s="1"/>
  <c r="H145" i="25" s="1"/>
  <c r="I145" i="25" s="1"/>
  <c r="J145" i="25" s="1"/>
  <c r="K145" i="25" s="1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B145" i="25" s="1"/>
  <c r="D145" i="25"/>
  <c r="W144" i="25"/>
  <c r="X144" i="25" s="1"/>
  <c r="Y144" i="25" s="1"/>
  <c r="Z144" i="25" s="1"/>
  <c r="AA144" i="25" s="1"/>
  <c r="AB144" i="25" s="1"/>
  <c r="AC144" i="25" s="1"/>
  <c r="AD144" i="25" s="1"/>
  <c r="AE144" i="25" s="1"/>
  <c r="AF144" i="25" s="1"/>
  <c r="B144" i="25" s="1"/>
  <c r="E144" i="25"/>
  <c r="F144" i="25" s="1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D144" i="25"/>
  <c r="S143" i="25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B143" i="25" s="1"/>
  <c r="H143" i="25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G143" i="25"/>
  <c r="D143" i="25"/>
  <c r="E143" i="25" s="1"/>
  <c r="F143" i="25" s="1"/>
  <c r="E142" i="25"/>
  <c r="F142" i="25" s="1"/>
  <c r="G142" i="25" s="1"/>
  <c r="H142" i="25" s="1"/>
  <c r="I142" i="25" s="1"/>
  <c r="J142" i="25" s="1"/>
  <c r="K142" i="25" s="1"/>
  <c r="L142" i="25" s="1"/>
  <c r="M142" i="25" s="1"/>
  <c r="N142" i="25" s="1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B142" i="25" s="1"/>
  <c r="D142" i="25"/>
  <c r="L141" i="25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B141" i="25" s="1"/>
  <c r="G141" i="25"/>
  <c r="H141" i="25" s="1"/>
  <c r="I141" i="25" s="1"/>
  <c r="J141" i="25" s="1"/>
  <c r="K141" i="25" s="1"/>
  <c r="E141" i="25"/>
  <c r="F141" i="25" s="1"/>
  <c r="D141" i="25"/>
  <c r="I140" i="25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B140" i="25" s="1"/>
  <c r="H140" i="25"/>
  <c r="F140" i="25"/>
  <c r="G140" i="25" s="1"/>
  <c r="E140" i="25"/>
  <c r="D140" i="25"/>
  <c r="E138" i="25"/>
  <c r="F138" i="25" s="1"/>
  <c r="G138" i="25" s="1"/>
  <c r="H138" i="25" s="1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B138" i="25" s="1"/>
  <c r="D138" i="25"/>
  <c r="D137" i="25"/>
  <c r="E137" i="25" s="1"/>
  <c r="F137" i="25" s="1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B137" i="25" s="1"/>
  <c r="G136" i="25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B136" i="25" s="1"/>
  <c r="E136" i="25"/>
  <c r="F136" i="25" s="1"/>
  <c r="D136" i="25"/>
  <c r="F135" i="25"/>
  <c r="G135" i="25" s="1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B135" i="25" s="1"/>
  <c r="E135" i="25"/>
  <c r="D135" i="25"/>
  <c r="G134" i="25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B134" i="25" s="1"/>
  <c r="F134" i="25"/>
  <c r="D134" i="25"/>
  <c r="E134" i="25" s="1"/>
  <c r="L133" i="25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B133" i="25" s="1"/>
  <c r="F133" i="25"/>
  <c r="G133" i="25" s="1"/>
  <c r="H133" i="25" s="1"/>
  <c r="I133" i="25" s="1"/>
  <c r="J133" i="25" s="1"/>
  <c r="K133" i="25" s="1"/>
  <c r="E133" i="25"/>
  <c r="D133" i="25"/>
  <c r="U132" i="25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B132" i="25" s="1"/>
  <c r="J132" i="25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E132" i="25"/>
  <c r="F132" i="25" s="1"/>
  <c r="G132" i="25" s="1"/>
  <c r="H132" i="25" s="1"/>
  <c r="I132" i="25" s="1"/>
  <c r="D132" i="25"/>
  <c r="D131" i="25"/>
  <c r="E131" i="25" s="1"/>
  <c r="F131" i="25" s="1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B131" i="25" s="1"/>
  <c r="D129" i="25"/>
  <c r="E129" i="25" s="1"/>
  <c r="F129" i="25" s="1"/>
  <c r="G129" i="25" s="1"/>
  <c r="H129" i="25" s="1"/>
  <c r="I129" i="25" s="1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B129" i="25" s="1"/>
  <c r="F128" i="25"/>
  <c r="G128" i="25" s="1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B128" i="25" s="1"/>
  <c r="D128" i="25"/>
  <c r="E128" i="25" s="1"/>
  <c r="K127" i="25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B127" i="25" s="1"/>
  <c r="D127" i="25"/>
  <c r="E127" i="25" s="1"/>
  <c r="F127" i="25" s="1"/>
  <c r="G127" i="25" s="1"/>
  <c r="H127" i="25" s="1"/>
  <c r="I127" i="25" s="1"/>
  <c r="J127" i="25" s="1"/>
  <c r="D126" i="25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B126" i="25" s="1"/>
  <c r="D125" i="25"/>
  <c r="E125" i="25" s="1"/>
  <c r="F125" i="25" s="1"/>
  <c r="G125" i="25" s="1"/>
  <c r="H125" i="25" s="1"/>
  <c r="I125" i="25" s="1"/>
  <c r="J125" i="25" s="1"/>
  <c r="K125" i="25" s="1"/>
  <c r="L125" i="25" s="1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B125" i="25" s="1"/>
  <c r="G124" i="25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B124" i="25" s="1"/>
  <c r="D124" i="25"/>
  <c r="E124" i="25" s="1"/>
  <c r="F124" i="25" s="1"/>
  <c r="O123" i="25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B123" i="25" s="1"/>
  <c r="E123" i="25"/>
  <c r="F123" i="25" s="1"/>
  <c r="G123" i="25" s="1"/>
  <c r="H123" i="25" s="1"/>
  <c r="I123" i="25" s="1"/>
  <c r="J123" i="25" s="1"/>
  <c r="K123" i="25" s="1"/>
  <c r="L123" i="25" s="1"/>
  <c r="M123" i="25" s="1"/>
  <c r="N123" i="25" s="1"/>
  <c r="D123" i="25"/>
  <c r="S122" i="25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B122" i="25" s="1"/>
  <c r="N122" i="25"/>
  <c r="O122" i="25" s="1"/>
  <c r="P122" i="25" s="1"/>
  <c r="Q122" i="25" s="1"/>
  <c r="R122" i="25" s="1"/>
  <c r="D122" i="25"/>
  <c r="E122" i="25" s="1"/>
  <c r="F122" i="25" s="1"/>
  <c r="G122" i="25" s="1"/>
  <c r="H122" i="25" s="1"/>
  <c r="I122" i="25" s="1"/>
  <c r="J122" i="25" s="1"/>
  <c r="K122" i="25" s="1"/>
  <c r="L122" i="25" s="1"/>
  <c r="M122" i="25" s="1"/>
  <c r="Q121" i="25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B121" i="25" s="1"/>
  <c r="I121" i="25"/>
  <c r="J121" i="25" s="1"/>
  <c r="K121" i="25" s="1"/>
  <c r="L121" i="25" s="1"/>
  <c r="M121" i="25" s="1"/>
  <c r="N121" i="25" s="1"/>
  <c r="O121" i="25" s="1"/>
  <c r="P121" i="25" s="1"/>
  <c r="H121" i="25"/>
  <c r="G121" i="25"/>
  <c r="F121" i="25"/>
  <c r="D121" i="25"/>
  <c r="E121" i="25" s="1"/>
  <c r="Q120" i="25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B120" i="25" s="1"/>
  <c r="I120" i="25"/>
  <c r="J120" i="25" s="1"/>
  <c r="K120" i="25" s="1"/>
  <c r="L120" i="25" s="1"/>
  <c r="M120" i="25" s="1"/>
  <c r="N120" i="25" s="1"/>
  <c r="O120" i="25" s="1"/>
  <c r="P120" i="25" s="1"/>
  <c r="D120" i="25"/>
  <c r="E120" i="25" s="1"/>
  <c r="F120" i="25" s="1"/>
  <c r="G120" i="25" s="1"/>
  <c r="H120" i="25" s="1"/>
  <c r="W119" i="25"/>
  <c r="X119" i="25" s="1"/>
  <c r="Y119" i="25" s="1"/>
  <c r="Z119" i="25" s="1"/>
  <c r="AA119" i="25" s="1"/>
  <c r="AB119" i="25" s="1"/>
  <c r="AC119" i="25" s="1"/>
  <c r="AD119" i="25" s="1"/>
  <c r="AE119" i="25" s="1"/>
  <c r="AF119" i="25" s="1"/>
  <c r="B119" i="25" s="1"/>
  <c r="M119" i="25"/>
  <c r="N119" i="25" s="1"/>
  <c r="O119" i="25" s="1"/>
  <c r="P119" i="25" s="1"/>
  <c r="Q119" i="25" s="1"/>
  <c r="R119" i="25" s="1"/>
  <c r="S119" i="25" s="1"/>
  <c r="T119" i="25" s="1"/>
  <c r="U119" i="25" s="1"/>
  <c r="V119" i="25" s="1"/>
  <c r="G119" i="25"/>
  <c r="H119" i="25" s="1"/>
  <c r="I119" i="25" s="1"/>
  <c r="J119" i="25" s="1"/>
  <c r="K119" i="25" s="1"/>
  <c r="L119" i="25" s="1"/>
  <c r="F119" i="25"/>
  <c r="E119" i="25"/>
  <c r="D119" i="25"/>
  <c r="Q118" i="25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B118" i="25" s="1"/>
  <c r="K118" i="25"/>
  <c r="L118" i="25" s="1"/>
  <c r="M118" i="25" s="1"/>
  <c r="N118" i="25" s="1"/>
  <c r="O118" i="25" s="1"/>
  <c r="P118" i="25" s="1"/>
  <c r="D118" i="25"/>
  <c r="E118" i="25" s="1"/>
  <c r="F118" i="25" s="1"/>
  <c r="G118" i="25" s="1"/>
  <c r="H118" i="25" s="1"/>
  <c r="I118" i="25" s="1"/>
  <c r="J118" i="25" s="1"/>
  <c r="S117" i="25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B117" i="25" s="1"/>
  <c r="N117" i="25"/>
  <c r="O117" i="25" s="1"/>
  <c r="P117" i="25" s="1"/>
  <c r="Q117" i="25" s="1"/>
  <c r="R117" i="25" s="1"/>
  <c r="D117" i="25"/>
  <c r="E117" i="25" s="1"/>
  <c r="F117" i="25" s="1"/>
  <c r="G117" i="25" s="1"/>
  <c r="H117" i="25" s="1"/>
  <c r="I117" i="25" s="1"/>
  <c r="J117" i="25" s="1"/>
  <c r="K117" i="25" s="1"/>
  <c r="L117" i="25" s="1"/>
  <c r="M117" i="25" s="1"/>
  <c r="W116" i="25"/>
  <c r="X116" i="25" s="1"/>
  <c r="Y116" i="25" s="1"/>
  <c r="Z116" i="25" s="1"/>
  <c r="AA116" i="25" s="1"/>
  <c r="AB116" i="25" s="1"/>
  <c r="AC116" i="25" s="1"/>
  <c r="AD116" i="25" s="1"/>
  <c r="AE116" i="25" s="1"/>
  <c r="AF116" i="25" s="1"/>
  <c r="B116" i="25" s="1"/>
  <c r="R116" i="25"/>
  <c r="S116" i="25" s="1"/>
  <c r="T116" i="25" s="1"/>
  <c r="U116" i="25" s="1"/>
  <c r="V116" i="25" s="1"/>
  <c r="L116" i="25"/>
  <c r="M116" i="25" s="1"/>
  <c r="N116" i="25" s="1"/>
  <c r="O116" i="25" s="1"/>
  <c r="P116" i="25" s="1"/>
  <c r="Q116" i="25" s="1"/>
  <c r="F116" i="25"/>
  <c r="G116" i="25" s="1"/>
  <c r="H116" i="25" s="1"/>
  <c r="I116" i="25" s="1"/>
  <c r="J116" i="25" s="1"/>
  <c r="K116" i="25" s="1"/>
  <c r="E116" i="25"/>
  <c r="D116" i="25"/>
  <c r="P115" i="25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B115" i="25" s="1"/>
  <c r="M115" i="25"/>
  <c r="N115" i="25" s="1"/>
  <c r="O115" i="25" s="1"/>
  <c r="E115" i="25"/>
  <c r="F115" i="25" s="1"/>
  <c r="G115" i="25" s="1"/>
  <c r="H115" i="25" s="1"/>
  <c r="I115" i="25" s="1"/>
  <c r="J115" i="25" s="1"/>
  <c r="K115" i="25" s="1"/>
  <c r="L115" i="25" s="1"/>
  <c r="D115" i="25"/>
  <c r="K114" i="25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B114" i="25" s="1"/>
  <c r="I114" i="25"/>
  <c r="D114" i="25"/>
  <c r="E114" i="25" s="1"/>
  <c r="F114" i="25" s="1"/>
  <c r="G114" i="25" s="1"/>
  <c r="H114" i="25" s="1"/>
  <c r="H113" i="25"/>
  <c r="I113" i="25" s="1"/>
  <c r="J113" i="25" s="1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B113" i="25" s="1"/>
  <c r="G113" i="25"/>
  <c r="E113" i="25"/>
  <c r="F113" i="25" s="1"/>
  <c r="D113" i="25"/>
  <c r="L112" i="25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B112" i="25" s="1"/>
  <c r="G112" i="25"/>
  <c r="H112" i="25" s="1"/>
  <c r="I112" i="25" s="1"/>
  <c r="J112" i="25" s="1"/>
  <c r="K112" i="25" s="1"/>
  <c r="D112" i="25"/>
  <c r="E112" i="25" s="1"/>
  <c r="F112" i="25" s="1"/>
  <c r="F110" i="25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B110" i="25" s="1"/>
  <c r="E110" i="25"/>
  <c r="D110" i="25"/>
  <c r="D109" i="25"/>
  <c r="P107" i="25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B107" i="25" s="1"/>
  <c r="J107" i="25"/>
  <c r="K107" i="25" s="1"/>
  <c r="L107" i="25" s="1"/>
  <c r="M107" i="25" s="1"/>
  <c r="N107" i="25" s="1"/>
  <c r="O107" i="25" s="1"/>
  <c r="G107" i="25"/>
  <c r="H107" i="25" s="1"/>
  <c r="I107" i="25" s="1"/>
  <c r="F107" i="25"/>
  <c r="E107" i="25"/>
  <c r="D107" i="25"/>
  <c r="E106" i="25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B106" i="25" s="1"/>
  <c r="D106" i="25"/>
  <c r="D105" i="25"/>
  <c r="E105" i="25" s="1"/>
  <c r="F105" i="25" s="1"/>
  <c r="G105" i="25" s="1"/>
  <c r="H105" i="25" s="1"/>
  <c r="I105" i="25" s="1"/>
  <c r="J105" i="25" s="1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B105" i="25" s="1"/>
  <c r="P104" i="25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B104" i="25" s="1"/>
  <c r="J104" i="25"/>
  <c r="K104" i="25" s="1"/>
  <c r="L104" i="25" s="1"/>
  <c r="M104" i="25" s="1"/>
  <c r="N104" i="25" s="1"/>
  <c r="O104" i="25" s="1"/>
  <c r="G104" i="25"/>
  <c r="H104" i="25" s="1"/>
  <c r="I104" i="25" s="1"/>
  <c r="E104" i="25"/>
  <c r="F104" i="25" s="1"/>
  <c r="D104" i="25"/>
  <c r="E103" i="25"/>
  <c r="F103" i="25" s="1"/>
  <c r="D103" i="25"/>
  <c r="D102" i="25"/>
  <c r="AH100" i="25"/>
  <c r="AI100" i="25" s="1"/>
  <c r="AH99" i="25"/>
  <c r="AI99" i="25" s="1"/>
  <c r="AH98" i="25"/>
  <c r="AI98" i="25" s="1"/>
  <c r="AH97" i="25"/>
  <c r="AI97" i="25" s="1"/>
  <c r="AH96" i="25"/>
  <c r="AI96" i="25" s="1"/>
  <c r="AH95" i="25"/>
  <c r="AI95" i="25" s="1"/>
  <c r="AH94" i="25"/>
  <c r="AI94" i="25" s="1"/>
  <c r="C93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G82" i="25"/>
  <c r="AI81" i="25"/>
  <c r="AH81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AF76" i="25"/>
  <c r="AE76" i="25"/>
  <c r="AD76" i="25"/>
  <c r="AC76" i="25"/>
  <c r="AB76" i="25"/>
  <c r="AA76" i="25"/>
  <c r="Z76" i="25"/>
  <c r="Z82" i="25" s="1"/>
  <c r="Y76" i="25"/>
  <c r="X76" i="25"/>
  <c r="W76" i="25"/>
  <c r="V76" i="25"/>
  <c r="U76" i="25"/>
  <c r="T76" i="25"/>
  <c r="S76" i="25"/>
  <c r="S82" i="25" s="1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AI74" i="25"/>
  <c r="AH74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AI72" i="25" s="1"/>
  <c r="AI71" i="25"/>
  <c r="AH71" i="25"/>
  <c r="AI70" i="25"/>
  <c r="AH70" i="25"/>
  <c r="AI69" i="25"/>
  <c r="AH69" i="25"/>
  <c r="AG68" i="25"/>
  <c r="AF68" i="25"/>
  <c r="AE5" i="25" s="1"/>
  <c r="AE68" i="25"/>
  <c r="AD5" i="25" s="1"/>
  <c r="AD68" i="25"/>
  <c r="AC5" i="25" s="1"/>
  <c r="AC68" i="25"/>
  <c r="AB5" i="25" s="1"/>
  <c r="AB68" i="25"/>
  <c r="AA68" i="25"/>
  <c r="Z68" i="25"/>
  <c r="Y68" i="25"/>
  <c r="X68" i="25"/>
  <c r="W5" i="25" s="1"/>
  <c r="W68" i="25"/>
  <c r="V5" i="25" s="1"/>
  <c r="V68" i="25"/>
  <c r="U68" i="25"/>
  <c r="T5" i="25" s="1"/>
  <c r="T68" i="25"/>
  <c r="S5" i="25" s="1"/>
  <c r="S68" i="25"/>
  <c r="R68" i="25"/>
  <c r="Q5" i="25" s="1"/>
  <c r="Q68" i="25"/>
  <c r="P68" i="25"/>
  <c r="O5" i="25" s="1"/>
  <c r="O68" i="25"/>
  <c r="N5" i="25" s="1"/>
  <c r="N68" i="25"/>
  <c r="M68" i="25"/>
  <c r="L68" i="25"/>
  <c r="K5" i="25" s="1"/>
  <c r="K68" i="25"/>
  <c r="J5" i="25" s="1"/>
  <c r="J68" i="25"/>
  <c r="I5" i="25" s="1"/>
  <c r="I68" i="25"/>
  <c r="H5" i="25" s="1"/>
  <c r="H68" i="25"/>
  <c r="G5" i="25" s="1"/>
  <c r="G68" i="25"/>
  <c r="F5" i="25" s="1"/>
  <c r="F68" i="25"/>
  <c r="E5" i="25" s="1"/>
  <c r="E68" i="25"/>
  <c r="D68" i="25"/>
  <c r="C5" i="25" s="1"/>
  <c r="C68" i="25"/>
  <c r="B5" i="25" s="1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AI55" i="25"/>
  <c r="AH55" i="25"/>
  <c r="AI54" i="25"/>
  <c r="AH54" i="25"/>
  <c r="AI53" i="25"/>
  <c r="AH53" i="25"/>
  <c r="Z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AG51" i="25"/>
  <c r="AG52" i="25" s="1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F5" i="25"/>
  <c r="AA5" i="25"/>
  <c r="Z5" i="25"/>
  <c r="Y5" i="25"/>
  <c r="X5" i="25"/>
  <c r="U5" i="25"/>
  <c r="R5" i="25"/>
  <c r="P5" i="25"/>
  <c r="M5" i="25"/>
  <c r="AG4" i="25"/>
  <c r="K4" i="25"/>
  <c r="B4" i="25"/>
  <c r="AG2" i="25"/>
  <c r="X37" i="24"/>
  <c r="W37" i="24"/>
  <c r="E4" i="25"/>
  <c r="AE82" i="25" l="1"/>
  <c r="AB82" i="25"/>
  <c r="AA82" i="25"/>
  <c r="Z73" i="25"/>
  <c r="W82" i="25"/>
  <c r="T82" i="25"/>
  <c r="R82" i="25"/>
  <c r="O82" i="25"/>
  <c r="L82" i="25"/>
  <c r="K82" i="25"/>
  <c r="J82" i="25"/>
  <c r="G82" i="25"/>
  <c r="D82" i="25"/>
  <c r="AH78" i="25"/>
  <c r="C82" i="25"/>
  <c r="B82" i="25"/>
  <c r="B75" i="25"/>
  <c r="AH80" i="25"/>
  <c r="O75" i="25"/>
  <c r="AG214" i="25" s="1"/>
  <c r="AH79" i="25"/>
  <c r="AI80" i="25"/>
  <c r="M82" i="25"/>
  <c r="AI79" i="25"/>
  <c r="U82" i="25"/>
  <c r="J73" i="25"/>
  <c r="E82" i="25"/>
  <c r="AC82" i="25"/>
  <c r="R73" i="25"/>
  <c r="H82" i="25"/>
  <c r="P82" i="25"/>
  <c r="X82" i="25"/>
  <c r="AF82" i="25"/>
  <c r="E73" i="25"/>
  <c r="M73" i="25"/>
  <c r="AH56" i="25"/>
  <c r="G75" i="25"/>
  <c r="G7" i="25" s="1"/>
  <c r="I73" i="25"/>
  <c r="Q73" i="25"/>
  <c r="F75" i="25"/>
  <c r="X214" i="25" s="1"/>
  <c r="AI38" i="25"/>
  <c r="G73" i="25"/>
  <c r="O73" i="25"/>
  <c r="Z75" i="25"/>
  <c r="T214" i="25"/>
  <c r="B7" i="25"/>
  <c r="B73" i="25"/>
  <c r="B83" i="25" s="1"/>
  <c r="AH77" i="25"/>
  <c r="H4" i="25"/>
  <c r="AG3" i="25"/>
  <c r="AG73" i="25"/>
  <c r="AG6" i="25"/>
  <c r="L5" i="25"/>
  <c r="P75" i="25"/>
  <c r="AG75" i="25"/>
  <c r="AH72" i="25"/>
  <c r="AI56" i="25"/>
  <c r="D73" i="25"/>
  <c r="L73" i="25"/>
  <c r="T73" i="25"/>
  <c r="E75" i="25"/>
  <c r="M75" i="25"/>
  <c r="N75" i="25"/>
  <c r="AI76" i="25"/>
  <c r="O7" i="25"/>
  <c r="F73" i="25"/>
  <c r="N73" i="25"/>
  <c r="R75" i="25"/>
  <c r="AH38" i="25"/>
  <c r="F82" i="25"/>
  <c r="N82" i="25"/>
  <c r="V82" i="25"/>
  <c r="AD82" i="25"/>
  <c r="H73" i="25"/>
  <c r="P73" i="25"/>
  <c r="AG83" i="25"/>
  <c r="H75" i="25"/>
  <c r="I75" i="25"/>
  <c r="E109" i="25"/>
  <c r="D93" i="25"/>
  <c r="Q75" i="25"/>
  <c r="AH68" i="25"/>
  <c r="K75" i="25"/>
  <c r="S75" i="25"/>
  <c r="I82" i="25"/>
  <c r="Q82" i="25"/>
  <c r="Y82" i="25"/>
  <c r="AH76" i="25"/>
  <c r="AI78" i="25"/>
  <c r="D192" i="25"/>
  <c r="E102" i="25"/>
  <c r="G103" i="25"/>
  <c r="D5" i="25"/>
  <c r="S211" i="25"/>
  <c r="D211" i="25"/>
  <c r="C73" i="25"/>
  <c r="K73" i="25"/>
  <c r="S73" i="25"/>
  <c r="AI68" i="25"/>
  <c r="D75" i="25"/>
  <c r="L75" i="25"/>
  <c r="T75" i="25"/>
  <c r="T83" i="25" s="1"/>
  <c r="J75" i="25"/>
  <c r="AI77" i="25"/>
  <c r="D200" i="25"/>
  <c r="E195" i="25"/>
  <c r="E199" i="25"/>
  <c r="G194" i="25"/>
  <c r="Z83" i="25" l="1"/>
  <c r="O83" i="25"/>
  <c r="M83" i="25"/>
  <c r="G83" i="25"/>
  <c r="AH82" i="25"/>
  <c r="E83" i="25"/>
  <c r="Y214" i="25"/>
  <c r="P83" i="25"/>
  <c r="S83" i="25"/>
  <c r="N83" i="25"/>
  <c r="K83" i="25"/>
  <c r="F83" i="25"/>
  <c r="D83" i="25"/>
  <c r="H83" i="25"/>
  <c r="Z7" i="25"/>
  <c r="L83" i="25"/>
  <c r="AR214" i="25"/>
  <c r="F7" i="25"/>
  <c r="AB214" i="25"/>
  <c r="J7" i="25"/>
  <c r="H103" i="25"/>
  <c r="AI214" i="25"/>
  <c r="Q7" i="25"/>
  <c r="AA214" i="25"/>
  <c r="I7" i="25"/>
  <c r="Z214" i="25"/>
  <c r="H7" i="25"/>
  <c r="AJ214" i="25"/>
  <c r="R7" i="25"/>
  <c r="AE214" i="25"/>
  <c r="M7" i="25"/>
  <c r="AL214" i="25"/>
  <c r="T7" i="25"/>
  <c r="W214" i="25"/>
  <c r="E7" i="25"/>
  <c r="R83" i="25"/>
  <c r="C75" i="25"/>
  <c r="C209" i="25"/>
  <c r="AD214" i="25"/>
  <c r="L7" i="25"/>
  <c r="AK214" i="25"/>
  <c r="S7" i="25"/>
  <c r="F109" i="25"/>
  <c r="E93" i="25"/>
  <c r="Q83" i="25"/>
  <c r="H194" i="25"/>
  <c r="D235" i="25"/>
  <c r="F199" i="25"/>
  <c r="E200" i="25"/>
  <c r="F195" i="25"/>
  <c r="AI82" i="25"/>
  <c r="AF214" i="25"/>
  <c r="N7" i="25"/>
  <c r="AH214" i="25"/>
  <c r="P7" i="25"/>
  <c r="B209" i="25"/>
  <c r="E192" i="25"/>
  <c r="F102" i="25"/>
  <c r="AC214" i="25"/>
  <c r="K7" i="25"/>
  <c r="I83" i="25"/>
  <c r="V214" i="25"/>
  <c r="D7" i="25"/>
  <c r="J83" i="25"/>
  <c r="K6" i="25" l="1"/>
  <c r="G195" i="25"/>
  <c r="F200" i="25"/>
  <c r="I103" i="25"/>
  <c r="G199" i="25"/>
  <c r="E235" i="25"/>
  <c r="U214" i="25"/>
  <c r="C7" i="25"/>
  <c r="F192" i="25"/>
  <c r="G102" i="25"/>
  <c r="G109" i="25"/>
  <c r="F93" i="25"/>
  <c r="I194" i="25"/>
  <c r="C83" i="25"/>
  <c r="J103" i="25" l="1"/>
  <c r="H109" i="25"/>
  <c r="G93" i="25"/>
  <c r="G192" i="25"/>
  <c r="H102" i="25"/>
  <c r="F235" i="25"/>
  <c r="H199" i="25"/>
  <c r="J194" i="25"/>
  <c r="H195" i="25"/>
  <c r="G200" i="25"/>
  <c r="I195" i="25" l="1"/>
  <c r="H200" i="25"/>
  <c r="I109" i="25"/>
  <c r="H93" i="25"/>
  <c r="I199" i="25"/>
  <c r="G235" i="25"/>
  <c r="K103" i="25"/>
  <c r="K194" i="25"/>
  <c r="H192" i="25"/>
  <c r="I102" i="25"/>
  <c r="L103" i="25" l="1"/>
  <c r="J199" i="25"/>
  <c r="H235" i="25"/>
  <c r="I192" i="25"/>
  <c r="J102" i="25"/>
  <c r="J109" i="25"/>
  <c r="I93" i="25"/>
  <c r="L194" i="25"/>
  <c r="J195" i="25"/>
  <c r="I200" i="25"/>
  <c r="S37" i="24"/>
  <c r="R95" i="24"/>
  <c r="R37" i="24"/>
  <c r="Q95" i="24"/>
  <c r="Q37" i="24"/>
  <c r="P37" i="24"/>
  <c r="O37" i="24"/>
  <c r="K195" i="25" l="1"/>
  <c r="J200" i="25"/>
  <c r="K199" i="25"/>
  <c r="I235" i="25"/>
  <c r="M194" i="25"/>
  <c r="K109" i="25"/>
  <c r="J93" i="25"/>
  <c r="J192" i="25"/>
  <c r="K102" i="25"/>
  <c r="M103" i="25"/>
  <c r="N37" i="24"/>
  <c r="M37" i="24"/>
  <c r="M38" i="24"/>
  <c r="L37" i="24"/>
  <c r="K37" i="24"/>
  <c r="J37" i="24"/>
  <c r="I37" i="24"/>
  <c r="H37" i="24"/>
  <c r="G37" i="24"/>
  <c r="F37" i="24"/>
  <c r="E37" i="24"/>
  <c r="D37" i="24"/>
  <c r="AH100" i="24"/>
  <c r="AI100" i="24" s="1"/>
  <c r="AH99" i="24"/>
  <c r="AI99" i="24" s="1"/>
  <c r="C95" i="24"/>
  <c r="B95" i="24"/>
  <c r="AF239" i="24"/>
  <c r="AE239" i="24"/>
  <c r="AD239" i="24"/>
  <c r="AC239" i="24"/>
  <c r="AB239" i="24"/>
  <c r="AA239" i="24"/>
  <c r="Z239" i="24"/>
  <c r="Y239" i="24"/>
  <c r="X239" i="24"/>
  <c r="W239" i="24"/>
  <c r="V239" i="24"/>
  <c r="U239" i="24"/>
  <c r="T239" i="24"/>
  <c r="S239" i="24"/>
  <c r="R239" i="24"/>
  <c r="Q239" i="24"/>
  <c r="P239" i="24"/>
  <c r="O239" i="24"/>
  <c r="N239" i="24"/>
  <c r="M239" i="24"/>
  <c r="L239" i="24"/>
  <c r="K239" i="24"/>
  <c r="J239" i="24"/>
  <c r="I239" i="24"/>
  <c r="H239" i="24"/>
  <c r="G239" i="24"/>
  <c r="F239" i="24"/>
  <c r="E239" i="24"/>
  <c r="D239" i="24"/>
  <c r="C239" i="24"/>
  <c r="B239" i="24"/>
  <c r="A239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B235" i="24"/>
  <c r="S210" i="24"/>
  <c r="AG200" i="24"/>
  <c r="D200" i="24"/>
  <c r="C200" i="24"/>
  <c r="E199" i="24"/>
  <c r="D199" i="24"/>
  <c r="C235" i="24" s="1"/>
  <c r="H198" i="24"/>
  <c r="I198" i="24" s="1"/>
  <c r="J198" i="24" s="1"/>
  <c r="K198" i="24" s="1"/>
  <c r="L198" i="24" s="1"/>
  <c r="M198" i="24" s="1"/>
  <c r="N198" i="24" s="1"/>
  <c r="O198" i="24" s="1"/>
  <c r="P198" i="24" s="1"/>
  <c r="Q198" i="24" s="1"/>
  <c r="R198" i="24" s="1"/>
  <c r="S198" i="24" s="1"/>
  <c r="T198" i="24" s="1"/>
  <c r="U198" i="24" s="1"/>
  <c r="V198" i="24" s="1"/>
  <c r="W198" i="24" s="1"/>
  <c r="X198" i="24" s="1"/>
  <c r="Y198" i="24" s="1"/>
  <c r="Z198" i="24" s="1"/>
  <c r="AA198" i="24" s="1"/>
  <c r="AB198" i="24" s="1"/>
  <c r="AC198" i="24" s="1"/>
  <c r="AD198" i="24" s="1"/>
  <c r="AE198" i="24" s="1"/>
  <c r="AF198" i="24" s="1"/>
  <c r="B198" i="24" s="1"/>
  <c r="D198" i="24"/>
  <c r="E198" i="24" s="1"/>
  <c r="F198" i="24" s="1"/>
  <c r="G198" i="24" s="1"/>
  <c r="L197" i="24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B197" i="24" s="1"/>
  <c r="G197" i="24"/>
  <c r="H197" i="24" s="1"/>
  <c r="I197" i="24" s="1"/>
  <c r="J197" i="24" s="1"/>
  <c r="K197" i="24" s="1"/>
  <c r="F197" i="24"/>
  <c r="D197" i="24"/>
  <c r="E197" i="24" s="1"/>
  <c r="L196" i="24"/>
  <c r="M196" i="24" s="1"/>
  <c r="N196" i="24" s="1"/>
  <c r="O196" i="24" s="1"/>
  <c r="P196" i="24" s="1"/>
  <c r="Q196" i="24" s="1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B196" i="24" s="1"/>
  <c r="D196" i="24"/>
  <c r="E196" i="24" s="1"/>
  <c r="F196" i="24" s="1"/>
  <c r="G196" i="24" s="1"/>
  <c r="H196" i="24" s="1"/>
  <c r="I196" i="24" s="1"/>
  <c r="J196" i="24" s="1"/>
  <c r="K196" i="24" s="1"/>
  <c r="AC195" i="24"/>
  <c r="AD195" i="24" s="1"/>
  <c r="AE195" i="24" s="1"/>
  <c r="AF195" i="24" s="1"/>
  <c r="B195" i="24" s="1"/>
  <c r="R195" i="24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P195" i="24"/>
  <c r="Q195" i="24" s="1"/>
  <c r="E195" i="24"/>
  <c r="F195" i="24" s="1"/>
  <c r="G195" i="24" s="1"/>
  <c r="H195" i="24" s="1"/>
  <c r="I195" i="24" s="1"/>
  <c r="J195" i="24" s="1"/>
  <c r="K195" i="24" s="1"/>
  <c r="L195" i="24" s="1"/>
  <c r="M195" i="24" s="1"/>
  <c r="N195" i="24" s="1"/>
  <c r="O195" i="24" s="1"/>
  <c r="D195" i="24"/>
  <c r="D194" i="24"/>
  <c r="E194" i="24" s="1"/>
  <c r="AG192" i="24"/>
  <c r="C192" i="24"/>
  <c r="AF191" i="24"/>
  <c r="B191" i="24" s="1"/>
  <c r="Z191" i="24"/>
  <c r="AA191" i="24" s="1"/>
  <c r="AB191" i="24" s="1"/>
  <c r="AC191" i="24" s="1"/>
  <c r="AD191" i="24" s="1"/>
  <c r="AE191" i="24" s="1"/>
  <c r="D191" i="24"/>
  <c r="E191" i="24" s="1"/>
  <c r="F191" i="24" s="1"/>
  <c r="G191" i="24" s="1"/>
  <c r="H191" i="24" s="1"/>
  <c r="I191" i="24" s="1"/>
  <c r="J191" i="24" s="1"/>
  <c r="K191" i="24" s="1"/>
  <c r="L191" i="24" s="1"/>
  <c r="M191" i="24" s="1"/>
  <c r="N191" i="24" s="1"/>
  <c r="O191" i="24" s="1"/>
  <c r="P191" i="24" s="1"/>
  <c r="Q191" i="24" s="1"/>
  <c r="R191" i="24" s="1"/>
  <c r="S191" i="24" s="1"/>
  <c r="T191" i="24" s="1"/>
  <c r="U191" i="24" s="1"/>
  <c r="V191" i="24" s="1"/>
  <c r="W191" i="24" s="1"/>
  <c r="X191" i="24" s="1"/>
  <c r="Y191" i="24" s="1"/>
  <c r="H190" i="24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B190" i="24" s="1"/>
  <c r="D190" i="24"/>
  <c r="E190" i="24" s="1"/>
  <c r="F190" i="24" s="1"/>
  <c r="G190" i="24" s="1"/>
  <c r="D189" i="24"/>
  <c r="E189" i="24" s="1"/>
  <c r="F189" i="24" s="1"/>
  <c r="G189" i="24" s="1"/>
  <c r="H189" i="24" s="1"/>
  <c r="I189" i="24" s="1"/>
  <c r="J189" i="24" s="1"/>
  <c r="K189" i="24" s="1"/>
  <c r="L189" i="24" s="1"/>
  <c r="M189" i="24" s="1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B189" i="24" s="1"/>
  <c r="D188" i="24"/>
  <c r="E188" i="24" s="1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B188" i="24" s="1"/>
  <c r="S187" i="24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B187" i="24" s="1"/>
  <c r="Q187" i="24"/>
  <c r="R187" i="24" s="1"/>
  <c r="G187" i="24"/>
  <c r="H187" i="24" s="1"/>
  <c r="I187" i="24" s="1"/>
  <c r="J187" i="24" s="1"/>
  <c r="K187" i="24" s="1"/>
  <c r="L187" i="24" s="1"/>
  <c r="M187" i="24" s="1"/>
  <c r="N187" i="24" s="1"/>
  <c r="O187" i="24" s="1"/>
  <c r="P187" i="24" s="1"/>
  <c r="F187" i="24"/>
  <c r="D187" i="24"/>
  <c r="E187" i="24" s="1"/>
  <c r="L186" i="24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B186" i="24" s="1"/>
  <c r="H186" i="24"/>
  <c r="I186" i="24" s="1"/>
  <c r="J186" i="24" s="1"/>
  <c r="K186" i="24" s="1"/>
  <c r="D186" i="24"/>
  <c r="E186" i="24" s="1"/>
  <c r="F186" i="24" s="1"/>
  <c r="G186" i="24" s="1"/>
  <c r="AE185" i="24"/>
  <c r="AF185" i="24" s="1"/>
  <c r="B185" i="24" s="1"/>
  <c r="F185" i="24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E185" i="24"/>
  <c r="D185" i="24"/>
  <c r="F184" i="24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B184" i="24" s="1"/>
  <c r="D184" i="24"/>
  <c r="E184" i="24" s="1"/>
  <c r="G183" i="24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B183" i="24" s="1"/>
  <c r="F183" i="24"/>
  <c r="D183" i="24"/>
  <c r="E183" i="24" s="1"/>
  <c r="E182" i="24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B182" i="24" s="1"/>
  <c r="D182" i="24"/>
  <c r="N181" i="24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B181" i="24" s="1"/>
  <c r="F181" i="24"/>
  <c r="G181" i="24" s="1"/>
  <c r="H181" i="24" s="1"/>
  <c r="I181" i="24" s="1"/>
  <c r="J181" i="24" s="1"/>
  <c r="K181" i="24" s="1"/>
  <c r="L181" i="24" s="1"/>
  <c r="M181" i="24" s="1"/>
  <c r="D181" i="24"/>
  <c r="E181" i="24" s="1"/>
  <c r="S180" i="24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B180" i="24" s="1"/>
  <c r="H180" i="24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E180" i="24"/>
  <c r="F180" i="24" s="1"/>
  <c r="G180" i="24" s="1"/>
  <c r="D180" i="24"/>
  <c r="U179" i="24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B179" i="24" s="1"/>
  <c r="E179" i="24"/>
  <c r="F179" i="24" s="1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D179" i="24"/>
  <c r="D177" i="24"/>
  <c r="E177" i="24" s="1"/>
  <c r="F177" i="24" s="1"/>
  <c r="G177" i="24" s="1"/>
  <c r="H177" i="24" s="1"/>
  <c r="I177" i="24" s="1"/>
  <c r="J177" i="24" s="1"/>
  <c r="K177" i="24" s="1"/>
  <c r="L177" i="24" s="1"/>
  <c r="M177" i="24" s="1"/>
  <c r="N177" i="24" s="1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B177" i="24" s="1"/>
  <c r="F176" i="24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B176" i="24" s="1"/>
  <c r="E176" i="24"/>
  <c r="D176" i="24"/>
  <c r="D175" i="24"/>
  <c r="E175" i="24" s="1"/>
  <c r="F175" i="24" s="1"/>
  <c r="G175" i="24" s="1"/>
  <c r="H175" i="24" s="1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B175" i="24" s="1"/>
  <c r="G174" i="24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B174" i="24" s="1"/>
  <c r="E174" i="24"/>
  <c r="F174" i="24" s="1"/>
  <c r="D174" i="24"/>
  <c r="L173" i="24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B173" i="24" s="1"/>
  <c r="J173" i="24"/>
  <c r="K173" i="24" s="1"/>
  <c r="E173" i="24"/>
  <c r="F173" i="24" s="1"/>
  <c r="G173" i="24" s="1"/>
  <c r="H173" i="24" s="1"/>
  <c r="I173" i="24" s="1"/>
  <c r="D173" i="24"/>
  <c r="H172" i="24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B172" i="24" s="1"/>
  <c r="G172" i="24"/>
  <c r="F172" i="24"/>
  <c r="E172" i="24"/>
  <c r="D172" i="24"/>
  <c r="V171" i="24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B171" i="24" s="1"/>
  <c r="T171" i="24"/>
  <c r="U171" i="24" s="1"/>
  <c r="G171" i="24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E171" i="24"/>
  <c r="F171" i="24" s="1"/>
  <c r="D171" i="24"/>
  <c r="J170" i="24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B170" i="24" s="1"/>
  <c r="E170" i="24"/>
  <c r="F170" i="24" s="1"/>
  <c r="G170" i="24" s="1"/>
  <c r="H170" i="24" s="1"/>
  <c r="I170" i="24" s="1"/>
  <c r="D170" i="24"/>
  <c r="S168" i="24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B168" i="24" s="1"/>
  <c r="I168" i="24"/>
  <c r="J168" i="24" s="1"/>
  <c r="K168" i="24" s="1"/>
  <c r="L168" i="24" s="1"/>
  <c r="M168" i="24" s="1"/>
  <c r="N168" i="24" s="1"/>
  <c r="O168" i="24" s="1"/>
  <c r="P168" i="24" s="1"/>
  <c r="Q168" i="24" s="1"/>
  <c r="R168" i="24" s="1"/>
  <c r="F168" i="24"/>
  <c r="G168" i="24" s="1"/>
  <c r="H168" i="24" s="1"/>
  <c r="E168" i="24"/>
  <c r="D168" i="24"/>
  <c r="AD167" i="24"/>
  <c r="AE167" i="24" s="1"/>
  <c r="AF167" i="24" s="1"/>
  <c r="B167" i="24" s="1"/>
  <c r="D167" i="24"/>
  <c r="E167" i="24" s="1"/>
  <c r="F167" i="24" s="1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T166" i="24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B166" i="24" s="1"/>
  <c r="I166" i="24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G166" i="24"/>
  <c r="H166" i="24" s="1"/>
  <c r="D166" i="24"/>
  <c r="E166" i="24" s="1"/>
  <c r="F166" i="24" s="1"/>
  <c r="E165" i="24"/>
  <c r="F165" i="24" s="1"/>
  <c r="G165" i="24" s="1"/>
  <c r="H165" i="24" s="1"/>
  <c r="I165" i="24" s="1"/>
  <c r="J165" i="24" s="1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B165" i="24" s="1"/>
  <c r="D165" i="24"/>
  <c r="Y164" i="24"/>
  <c r="Z164" i="24" s="1"/>
  <c r="AA164" i="24" s="1"/>
  <c r="AB164" i="24" s="1"/>
  <c r="AC164" i="24" s="1"/>
  <c r="AD164" i="24" s="1"/>
  <c r="AE164" i="24" s="1"/>
  <c r="AF164" i="24" s="1"/>
  <c r="B164" i="24" s="1"/>
  <c r="X164" i="24"/>
  <c r="E164" i="24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D164" i="24"/>
  <c r="K163" i="24"/>
  <c r="L163" i="24" s="1"/>
  <c r="M163" i="24" s="1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B163" i="24" s="1"/>
  <c r="I163" i="24"/>
  <c r="J163" i="24" s="1"/>
  <c r="G163" i="24"/>
  <c r="H163" i="24" s="1"/>
  <c r="D163" i="24"/>
  <c r="E163" i="24" s="1"/>
  <c r="F163" i="24" s="1"/>
  <c r="G162" i="24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B162" i="24" s="1"/>
  <c r="E162" i="24"/>
  <c r="F162" i="24" s="1"/>
  <c r="D162" i="24"/>
  <c r="AE161" i="24"/>
  <c r="AF161" i="24" s="1"/>
  <c r="B161" i="24" s="1"/>
  <c r="J161" i="24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E161" i="24"/>
  <c r="F161" i="24" s="1"/>
  <c r="G161" i="24" s="1"/>
  <c r="H161" i="24" s="1"/>
  <c r="I161" i="24" s="1"/>
  <c r="D161" i="24"/>
  <c r="S160" i="24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B160" i="24" s="1"/>
  <c r="E160" i="24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D160" i="24"/>
  <c r="O159" i="24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B159" i="24" s="1"/>
  <c r="G159" i="24"/>
  <c r="H159" i="24" s="1"/>
  <c r="I159" i="24" s="1"/>
  <c r="J159" i="24" s="1"/>
  <c r="K159" i="24" s="1"/>
  <c r="L159" i="24" s="1"/>
  <c r="M159" i="24" s="1"/>
  <c r="N159" i="24" s="1"/>
  <c r="E159" i="24"/>
  <c r="F159" i="24" s="1"/>
  <c r="D159" i="24"/>
  <c r="L158" i="24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B158" i="24" s="1"/>
  <c r="K158" i="24"/>
  <c r="G158" i="24"/>
  <c r="H158" i="24" s="1"/>
  <c r="I158" i="24" s="1"/>
  <c r="J158" i="24" s="1"/>
  <c r="E158" i="24"/>
  <c r="F158" i="24" s="1"/>
  <c r="D158" i="24"/>
  <c r="J157" i="24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B157" i="24" s="1"/>
  <c r="I157" i="24"/>
  <c r="E157" i="24"/>
  <c r="F157" i="24" s="1"/>
  <c r="G157" i="24" s="1"/>
  <c r="H157" i="24" s="1"/>
  <c r="D157" i="24"/>
  <c r="I156" i="24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B156" i="24" s="1"/>
  <c r="E156" i="24"/>
  <c r="F156" i="24" s="1"/>
  <c r="G156" i="24" s="1"/>
  <c r="H156" i="24" s="1"/>
  <c r="D156" i="24"/>
  <c r="M154" i="24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X154" i="24" s="1"/>
  <c r="Y154" i="24" s="1"/>
  <c r="Z154" i="24" s="1"/>
  <c r="AA154" i="24" s="1"/>
  <c r="AB154" i="24" s="1"/>
  <c r="AC154" i="24" s="1"/>
  <c r="AD154" i="24" s="1"/>
  <c r="AE154" i="24" s="1"/>
  <c r="AF154" i="24" s="1"/>
  <c r="B154" i="24" s="1"/>
  <c r="G154" i="24"/>
  <c r="H154" i="24" s="1"/>
  <c r="I154" i="24" s="1"/>
  <c r="J154" i="24" s="1"/>
  <c r="K154" i="24" s="1"/>
  <c r="L154" i="24" s="1"/>
  <c r="E154" i="24"/>
  <c r="F154" i="24" s="1"/>
  <c r="D154" i="24"/>
  <c r="G153" i="24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B153" i="24" s="1"/>
  <c r="E153" i="24"/>
  <c r="F153" i="24" s="1"/>
  <c r="D153" i="24"/>
  <c r="J152" i="24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B152" i="24" s="1"/>
  <c r="E152" i="24"/>
  <c r="F152" i="24" s="1"/>
  <c r="G152" i="24" s="1"/>
  <c r="H152" i="24" s="1"/>
  <c r="I152" i="24" s="1"/>
  <c r="D152" i="24"/>
  <c r="N151" i="24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B151" i="24" s="1"/>
  <c r="E151" i="24"/>
  <c r="F151" i="24" s="1"/>
  <c r="G151" i="24" s="1"/>
  <c r="H151" i="24" s="1"/>
  <c r="I151" i="24" s="1"/>
  <c r="J151" i="24" s="1"/>
  <c r="K151" i="24" s="1"/>
  <c r="L151" i="24" s="1"/>
  <c r="M151" i="24" s="1"/>
  <c r="D151" i="24"/>
  <c r="W149" i="24"/>
  <c r="X149" i="24" s="1"/>
  <c r="Y149" i="24" s="1"/>
  <c r="Z149" i="24" s="1"/>
  <c r="AA149" i="24" s="1"/>
  <c r="AB149" i="24" s="1"/>
  <c r="AC149" i="24" s="1"/>
  <c r="AD149" i="24" s="1"/>
  <c r="AE149" i="24" s="1"/>
  <c r="AF149" i="24" s="1"/>
  <c r="B149" i="24" s="1"/>
  <c r="D149" i="24"/>
  <c r="E149" i="24" s="1"/>
  <c r="F149" i="24" s="1"/>
  <c r="G149" i="24" s="1"/>
  <c r="H149" i="24" s="1"/>
  <c r="I149" i="24" s="1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I148" i="24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B148" i="24" s="1"/>
  <c r="E148" i="24"/>
  <c r="F148" i="24" s="1"/>
  <c r="G148" i="24" s="1"/>
  <c r="H148" i="24" s="1"/>
  <c r="D148" i="24"/>
  <c r="P146" i="24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B146" i="24" s="1"/>
  <c r="I146" i="24"/>
  <c r="J146" i="24" s="1"/>
  <c r="K146" i="24" s="1"/>
  <c r="L146" i="24" s="1"/>
  <c r="M146" i="24" s="1"/>
  <c r="N146" i="24" s="1"/>
  <c r="O146" i="24" s="1"/>
  <c r="G146" i="24"/>
  <c r="H146" i="24" s="1"/>
  <c r="E146" i="24"/>
  <c r="F146" i="24" s="1"/>
  <c r="D146" i="24"/>
  <c r="E145" i="24"/>
  <c r="F145" i="24" s="1"/>
  <c r="G145" i="24" s="1"/>
  <c r="H145" i="24" s="1"/>
  <c r="I145" i="24" s="1"/>
  <c r="J145" i="24" s="1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B145" i="24" s="1"/>
  <c r="D145" i="24"/>
  <c r="L144" i="24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B144" i="24" s="1"/>
  <c r="F144" i="24"/>
  <c r="G144" i="24" s="1"/>
  <c r="H144" i="24" s="1"/>
  <c r="I144" i="24" s="1"/>
  <c r="J144" i="24" s="1"/>
  <c r="K144" i="24" s="1"/>
  <c r="E144" i="24"/>
  <c r="D144" i="24"/>
  <c r="F143" i="24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B143" i="24" s="1"/>
  <c r="E143" i="24"/>
  <c r="D143" i="24"/>
  <c r="Y142" i="24"/>
  <c r="Z142" i="24" s="1"/>
  <c r="AA142" i="24" s="1"/>
  <c r="AB142" i="24" s="1"/>
  <c r="AC142" i="24" s="1"/>
  <c r="AD142" i="24" s="1"/>
  <c r="AE142" i="24" s="1"/>
  <c r="AF142" i="24" s="1"/>
  <c r="B142" i="24" s="1"/>
  <c r="J142" i="24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G142" i="24"/>
  <c r="H142" i="24" s="1"/>
  <c r="I142" i="24" s="1"/>
  <c r="D142" i="24"/>
  <c r="E142" i="24" s="1"/>
  <c r="F142" i="24" s="1"/>
  <c r="S141" i="24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B141" i="24" s="1"/>
  <c r="E141" i="24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D141" i="24"/>
  <c r="Y140" i="24"/>
  <c r="Z140" i="24" s="1"/>
  <c r="AA140" i="24" s="1"/>
  <c r="AB140" i="24" s="1"/>
  <c r="AC140" i="24" s="1"/>
  <c r="AD140" i="24" s="1"/>
  <c r="AE140" i="24" s="1"/>
  <c r="AF140" i="24" s="1"/>
  <c r="B140" i="24" s="1"/>
  <c r="N140" i="24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M140" i="24"/>
  <c r="D140" i="24"/>
  <c r="E140" i="24" s="1"/>
  <c r="F140" i="24" s="1"/>
  <c r="G140" i="24" s="1"/>
  <c r="H140" i="24" s="1"/>
  <c r="I140" i="24" s="1"/>
  <c r="J140" i="24" s="1"/>
  <c r="K140" i="24" s="1"/>
  <c r="L140" i="24" s="1"/>
  <c r="F138" i="24"/>
  <c r="G138" i="24" s="1"/>
  <c r="H138" i="24" s="1"/>
  <c r="I138" i="24" s="1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B138" i="24" s="1"/>
  <c r="D138" i="24"/>
  <c r="E138" i="24" s="1"/>
  <c r="I137" i="24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B137" i="24" s="1"/>
  <c r="E137" i="24"/>
  <c r="F137" i="24" s="1"/>
  <c r="G137" i="24" s="1"/>
  <c r="H137" i="24" s="1"/>
  <c r="D137" i="24"/>
  <c r="F136" i="24"/>
  <c r="G136" i="24" s="1"/>
  <c r="H136" i="24" s="1"/>
  <c r="I136" i="24" s="1"/>
  <c r="J136" i="24" s="1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B136" i="24" s="1"/>
  <c r="E136" i="24"/>
  <c r="D136" i="24"/>
  <c r="L135" i="24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B135" i="24" s="1"/>
  <c r="D135" i="24"/>
  <c r="E135" i="24" s="1"/>
  <c r="F135" i="24" s="1"/>
  <c r="G135" i="24" s="1"/>
  <c r="H135" i="24" s="1"/>
  <c r="I135" i="24" s="1"/>
  <c r="J135" i="24" s="1"/>
  <c r="K135" i="24" s="1"/>
  <c r="T134" i="24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B134" i="24" s="1"/>
  <c r="D134" i="24"/>
  <c r="E134" i="24" s="1"/>
  <c r="F134" i="24" s="1"/>
  <c r="G134" i="24" s="1"/>
  <c r="H134" i="24" s="1"/>
  <c r="I134" i="24" s="1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Y133" i="24"/>
  <c r="Z133" i="24" s="1"/>
  <c r="AA133" i="24" s="1"/>
  <c r="AB133" i="24" s="1"/>
  <c r="AC133" i="24" s="1"/>
  <c r="AD133" i="24" s="1"/>
  <c r="AE133" i="24" s="1"/>
  <c r="AF133" i="24" s="1"/>
  <c r="B133" i="24" s="1"/>
  <c r="D133" i="24"/>
  <c r="E133" i="24" s="1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K132" i="24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B132" i="24" s="1"/>
  <c r="F132" i="24"/>
  <c r="G132" i="24" s="1"/>
  <c r="H132" i="24" s="1"/>
  <c r="I132" i="24" s="1"/>
  <c r="J132" i="24" s="1"/>
  <c r="E132" i="24"/>
  <c r="D132" i="24"/>
  <c r="R131" i="24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B131" i="24" s="1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AD129" i="24"/>
  <c r="AE129" i="24" s="1"/>
  <c r="AF129" i="24" s="1"/>
  <c r="B129" i="24" s="1"/>
  <c r="F129" i="24"/>
  <c r="G129" i="24" s="1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D129" i="24"/>
  <c r="E129" i="24" s="1"/>
  <c r="N128" i="24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B128" i="24" s="1"/>
  <c r="H128" i="24"/>
  <c r="I128" i="24" s="1"/>
  <c r="J128" i="24" s="1"/>
  <c r="K128" i="24" s="1"/>
  <c r="L128" i="24" s="1"/>
  <c r="M128" i="24" s="1"/>
  <c r="E128" i="24"/>
  <c r="F128" i="24" s="1"/>
  <c r="G128" i="24" s="1"/>
  <c r="D128" i="24"/>
  <c r="L127" i="24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B127" i="24" s="1"/>
  <c r="D127" i="24"/>
  <c r="E127" i="24" s="1"/>
  <c r="F127" i="24" s="1"/>
  <c r="G127" i="24" s="1"/>
  <c r="H127" i="24" s="1"/>
  <c r="I127" i="24" s="1"/>
  <c r="J127" i="24" s="1"/>
  <c r="K127" i="24" s="1"/>
  <c r="F126" i="24"/>
  <c r="G126" i="24" s="1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B126" i="24" s="1"/>
  <c r="D126" i="24"/>
  <c r="E126" i="24" s="1"/>
  <c r="D125" i="24"/>
  <c r="E125" i="24" s="1"/>
  <c r="F125" i="24" s="1"/>
  <c r="G125" i="24" s="1"/>
  <c r="H125" i="24" s="1"/>
  <c r="I125" i="24" s="1"/>
  <c r="J125" i="24" s="1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B125" i="24" s="1"/>
  <c r="M124" i="24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B124" i="24" s="1"/>
  <c r="F124" i="24"/>
  <c r="G124" i="24" s="1"/>
  <c r="H124" i="24" s="1"/>
  <c r="I124" i="24" s="1"/>
  <c r="J124" i="24" s="1"/>
  <c r="K124" i="24" s="1"/>
  <c r="L124" i="24" s="1"/>
  <c r="E124" i="24"/>
  <c r="D124" i="24"/>
  <c r="L123" i="24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B123" i="24" s="1"/>
  <c r="G123" i="24"/>
  <c r="H123" i="24" s="1"/>
  <c r="I123" i="24" s="1"/>
  <c r="J123" i="24" s="1"/>
  <c r="K123" i="24" s="1"/>
  <c r="D123" i="24"/>
  <c r="E123" i="24" s="1"/>
  <c r="F123" i="24" s="1"/>
  <c r="J122" i="24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B122" i="24" s="1"/>
  <c r="E122" i="24"/>
  <c r="F122" i="24" s="1"/>
  <c r="G122" i="24" s="1"/>
  <c r="H122" i="24" s="1"/>
  <c r="I122" i="24" s="1"/>
  <c r="D122" i="24"/>
  <c r="K121" i="24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B121" i="24" s="1"/>
  <c r="D121" i="24"/>
  <c r="E121" i="24" s="1"/>
  <c r="F121" i="24" s="1"/>
  <c r="G121" i="24" s="1"/>
  <c r="H121" i="24" s="1"/>
  <c r="I121" i="24" s="1"/>
  <c r="J121" i="24" s="1"/>
  <c r="Z120" i="24"/>
  <c r="AA120" i="24" s="1"/>
  <c r="AB120" i="24" s="1"/>
  <c r="AC120" i="24" s="1"/>
  <c r="AD120" i="24" s="1"/>
  <c r="AE120" i="24" s="1"/>
  <c r="AF120" i="24" s="1"/>
  <c r="B120" i="24" s="1"/>
  <c r="E120" i="24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D120" i="24"/>
  <c r="D119" i="24"/>
  <c r="E119" i="24" s="1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B119" i="24" s="1"/>
  <c r="E118" i="24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B118" i="24" s="1"/>
  <c r="D118" i="24"/>
  <c r="L117" i="24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B117" i="24" s="1"/>
  <c r="K117" i="24"/>
  <c r="G117" i="24"/>
  <c r="H117" i="24" s="1"/>
  <c r="I117" i="24" s="1"/>
  <c r="J117" i="24" s="1"/>
  <c r="D117" i="24"/>
  <c r="E117" i="24" s="1"/>
  <c r="F117" i="24" s="1"/>
  <c r="E116" i="24"/>
  <c r="F116" i="24" s="1"/>
  <c r="G116" i="24" s="1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B116" i="24" s="1"/>
  <c r="D116" i="24"/>
  <c r="S115" i="24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B115" i="24" s="1"/>
  <c r="L115" i="24"/>
  <c r="M115" i="24" s="1"/>
  <c r="N115" i="24" s="1"/>
  <c r="O115" i="24" s="1"/>
  <c r="P115" i="24" s="1"/>
  <c r="Q115" i="24" s="1"/>
  <c r="R115" i="24" s="1"/>
  <c r="I115" i="24"/>
  <c r="J115" i="24" s="1"/>
  <c r="K115" i="24" s="1"/>
  <c r="H115" i="24"/>
  <c r="D115" i="24"/>
  <c r="E115" i="24" s="1"/>
  <c r="F115" i="24" s="1"/>
  <c r="G115" i="24" s="1"/>
  <c r="AA114" i="24"/>
  <c r="AB114" i="24" s="1"/>
  <c r="AC114" i="24" s="1"/>
  <c r="AD114" i="24" s="1"/>
  <c r="AE114" i="24" s="1"/>
  <c r="AF114" i="24" s="1"/>
  <c r="B114" i="24" s="1"/>
  <c r="U114" i="24"/>
  <c r="V114" i="24" s="1"/>
  <c r="W114" i="24" s="1"/>
  <c r="X114" i="24" s="1"/>
  <c r="Y114" i="24" s="1"/>
  <c r="Z114" i="24" s="1"/>
  <c r="R114" i="24"/>
  <c r="S114" i="24" s="1"/>
  <c r="T114" i="24" s="1"/>
  <c r="Q114" i="24"/>
  <c r="M114" i="24"/>
  <c r="N114" i="24" s="1"/>
  <c r="O114" i="24" s="1"/>
  <c r="P114" i="24" s="1"/>
  <c r="K114" i="24"/>
  <c r="L114" i="24" s="1"/>
  <c r="F114" i="24"/>
  <c r="G114" i="24" s="1"/>
  <c r="H114" i="24" s="1"/>
  <c r="I114" i="24" s="1"/>
  <c r="E114" i="24"/>
  <c r="D114" i="24"/>
  <c r="N113" i="24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B113" i="24" s="1"/>
  <c r="J113" i="24"/>
  <c r="K113" i="24" s="1"/>
  <c r="L113" i="24" s="1"/>
  <c r="M113" i="24" s="1"/>
  <c r="G113" i="24"/>
  <c r="H113" i="24" s="1"/>
  <c r="I113" i="24" s="1"/>
  <c r="D113" i="24"/>
  <c r="E113" i="24" s="1"/>
  <c r="F113" i="24" s="1"/>
  <c r="E112" i="24"/>
  <c r="F112" i="24" s="1"/>
  <c r="G112" i="24" s="1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B112" i="24" s="1"/>
  <c r="D112" i="24"/>
  <c r="K110" i="24"/>
  <c r="L110" i="24" s="1"/>
  <c r="M110" i="24" s="1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B110" i="24" s="1"/>
  <c r="J110" i="24"/>
  <c r="F110" i="24"/>
  <c r="G110" i="24" s="1"/>
  <c r="H110" i="24" s="1"/>
  <c r="I110" i="24" s="1"/>
  <c r="D110" i="24"/>
  <c r="E110" i="24" s="1"/>
  <c r="H109" i="24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B109" i="24" s="1"/>
  <c r="D109" i="24"/>
  <c r="E109" i="24" s="1"/>
  <c r="F109" i="24" s="1"/>
  <c r="G109" i="24" s="1"/>
  <c r="G107" i="24"/>
  <c r="H107" i="24" s="1"/>
  <c r="I107" i="24" s="1"/>
  <c r="J107" i="24" s="1"/>
  <c r="K107" i="24" s="1"/>
  <c r="L107" i="24" s="1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B107" i="24" s="1"/>
  <c r="F107" i="24"/>
  <c r="D107" i="24"/>
  <c r="E107" i="24" s="1"/>
  <c r="R106" i="24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B106" i="24" s="1"/>
  <c r="E106" i="24"/>
  <c r="F106" i="24" s="1"/>
  <c r="G106" i="24" s="1"/>
  <c r="H106" i="24" s="1"/>
  <c r="I106" i="24" s="1"/>
  <c r="J106" i="24" s="1"/>
  <c r="K106" i="24" s="1"/>
  <c r="L106" i="24" s="1"/>
  <c r="M106" i="24" s="1"/>
  <c r="N106" i="24" s="1"/>
  <c r="O106" i="24" s="1"/>
  <c r="P106" i="24" s="1"/>
  <c r="Q106" i="24" s="1"/>
  <c r="D106" i="24"/>
  <c r="N105" i="24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B105" i="24" s="1"/>
  <c r="H105" i="24"/>
  <c r="I105" i="24" s="1"/>
  <c r="J105" i="24" s="1"/>
  <c r="K105" i="24" s="1"/>
  <c r="L105" i="24" s="1"/>
  <c r="M105" i="24" s="1"/>
  <c r="F105" i="24"/>
  <c r="G105" i="24" s="1"/>
  <c r="D105" i="24"/>
  <c r="E105" i="24" s="1"/>
  <c r="D104" i="24"/>
  <c r="E104" i="24" s="1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B104" i="24" s="1"/>
  <c r="D103" i="24"/>
  <c r="D102" i="24"/>
  <c r="AH98" i="24"/>
  <c r="AI98" i="24" s="1"/>
  <c r="AH97" i="24"/>
  <c r="AI97" i="24" s="1"/>
  <c r="AH96" i="24"/>
  <c r="AI96" i="24" s="1"/>
  <c r="AH95" i="24"/>
  <c r="AI95" i="24" s="1"/>
  <c r="AH94" i="24"/>
  <c r="AI94" i="24" s="1"/>
  <c r="C93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G82" i="24"/>
  <c r="AI81" i="24"/>
  <c r="AH81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AF79" i="24"/>
  <c r="AE79" i="24"/>
  <c r="AD79" i="24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AF76" i="24"/>
  <c r="AE76" i="24"/>
  <c r="AD76" i="24"/>
  <c r="AC76" i="24"/>
  <c r="AB76" i="24"/>
  <c r="AA76" i="24"/>
  <c r="AA82" i="24" s="1"/>
  <c r="Z76" i="24"/>
  <c r="Y76" i="24"/>
  <c r="X76" i="24"/>
  <c r="W76" i="24"/>
  <c r="V76" i="24"/>
  <c r="U76" i="24"/>
  <c r="U82" i="24" s="1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AI74" i="24"/>
  <c r="AH74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AI71" i="24"/>
  <c r="AH71" i="24"/>
  <c r="AI70" i="24"/>
  <c r="AH70" i="24"/>
  <c r="AI69" i="24"/>
  <c r="AH69" i="24"/>
  <c r="AG68" i="24"/>
  <c r="AF68" i="24"/>
  <c r="AE5" i="24" s="1"/>
  <c r="AE68" i="24"/>
  <c r="AD5" i="24" s="1"/>
  <c r="AD68" i="24"/>
  <c r="AC5" i="24" s="1"/>
  <c r="AC68" i="24"/>
  <c r="AB5" i="24" s="1"/>
  <c r="AB68" i="24"/>
  <c r="AA68" i="24"/>
  <c r="Z5" i="24" s="1"/>
  <c r="Z68" i="24"/>
  <c r="Y68" i="24"/>
  <c r="X68" i="24"/>
  <c r="W5" i="24" s="1"/>
  <c r="W68" i="24"/>
  <c r="V68" i="24"/>
  <c r="U68" i="24"/>
  <c r="T68" i="24"/>
  <c r="S68" i="24"/>
  <c r="R5" i="24" s="1"/>
  <c r="R68" i="24"/>
  <c r="Q5" i="24" s="1"/>
  <c r="Q68" i="24"/>
  <c r="P68" i="24"/>
  <c r="O5" i="24" s="1"/>
  <c r="O68" i="24"/>
  <c r="N5" i="24" s="1"/>
  <c r="N68" i="24"/>
  <c r="M5" i="24" s="1"/>
  <c r="M68" i="24"/>
  <c r="L68" i="24"/>
  <c r="K68" i="24"/>
  <c r="J68" i="24"/>
  <c r="I5" i="24" s="1"/>
  <c r="I68" i="24"/>
  <c r="H5" i="24" s="1"/>
  <c r="H68" i="24"/>
  <c r="G5" i="24" s="1"/>
  <c r="G68" i="24"/>
  <c r="F5" i="24" s="1"/>
  <c r="F68" i="24"/>
  <c r="E5" i="24" s="1"/>
  <c r="E68" i="24"/>
  <c r="D5" i="24" s="1"/>
  <c r="D68" i="24"/>
  <c r="C5" i="24" s="1"/>
  <c r="C68" i="24"/>
  <c r="B5" i="24" s="1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AI55" i="24"/>
  <c r="AH55" i="24"/>
  <c r="AI54" i="24"/>
  <c r="AH54" i="24"/>
  <c r="AI53" i="24"/>
  <c r="AH53" i="24"/>
  <c r="Z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AG51" i="24"/>
  <c r="AG52" i="24" s="1"/>
  <c r="AG3" i="24" s="1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G2" i="24" s="1"/>
  <c r="AG6" i="24" s="1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L38" i="24"/>
  <c r="K38" i="24"/>
  <c r="J38" i="24"/>
  <c r="I38" i="24"/>
  <c r="H38" i="24"/>
  <c r="G38" i="24"/>
  <c r="F38" i="24"/>
  <c r="E38" i="24"/>
  <c r="D38" i="24"/>
  <c r="C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A5" i="24"/>
  <c r="X5" i="24"/>
  <c r="U5" i="24"/>
  <c r="T5" i="24"/>
  <c r="P5" i="24"/>
  <c r="L5" i="24"/>
  <c r="J5" i="24"/>
  <c r="AG4" i="24"/>
  <c r="K4" i="24"/>
  <c r="B4" i="24"/>
  <c r="AF95" i="23"/>
  <c r="AE51" i="23"/>
  <c r="AE52" i="23"/>
  <c r="AE56" i="23"/>
  <c r="AE68" i="23"/>
  <c r="AE72" i="23"/>
  <c r="AF37" i="23"/>
  <c r="AE95" i="23"/>
  <c r="AE37" i="23"/>
  <c r="AD95" i="23"/>
  <c r="AD37" i="23"/>
  <c r="AC95" i="23"/>
  <c r="AC37" i="23"/>
  <c r="AB95" i="23"/>
  <c r="Y37" i="23"/>
  <c r="E4" i="24"/>
  <c r="L109" i="25" l="1"/>
  <c r="K93" i="25"/>
  <c r="N194" i="25"/>
  <c r="N103" i="25"/>
  <c r="L199" i="25"/>
  <c r="J235" i="25"/>
  <c r="K192" i="25"/>
  <c r="L102" i="25"/>
  <c r="L195" i="25"/>
  <c r="K200" i="25"/>
  <c r="AC82" i="24"/>
  <c r="AE82" i="24"/>
  <c r="AD82" i="24"/>
  <c r="AB82" i="24"/>
  <c r="Z82" i="24"/>
  <c r="V82" i="24"/>
  <c r="T75" i="24"/>
  <c r="S82" i="24"/>
  <c r="S73" i="24"/>
  <c r="S75" i="24"/>
  <c r="S7" i="24" s="1"/>
  <c r="R82" i="24"/>
  <c r="N75" i="24"/>
  <c r="N82" i="24"/>
  <c r="M75" i="24"/>
  <c r="AE214" i="24" s="1"/>
  <c r="M82" i="24"/>
  <c r="L82" i="24"/>
  <c r="K82" i="24"/>
  <c r="K73" i="24"/>
  <c r="J82" i="24"/>
  <c r="AI78" i="24"/>
  <c r="I75" i="24"/>
  <c r="AA214" i="24" s="1"/>
  <c r="AH78" i="24"/>
  <c r="G82" i="24"/>
  <c r="F82" i="24"/>
  <c r="F75" i="24"/>
  <c r="X214" i="24" s="1"/>
  <c r="F73" i="24"/>
  <c r="E82" i="24"/>
  <c r="AH56" i="24"/>
  <c r="D82" i="24"/>
  <c r="D75" i="24"/>
  <c r="D7" i="24" s="1"/>
  <c r="AI80" i="24"/>
  <c r="C82" i="24"/>
  <c r="AH77" i="24"/>
  <c r="C73" i="24"/>
  <c r="C75" i="24" s="1"/>
  <c r="U214" i="24" s="1"/>
  <c r="H4" i="24"/>
  <c r="Q73" i="24"/>
  <c r="AI72" i="24"/>
  <c r="AH72" i="24"/>
  <c r="AK214" i="24"/>
  <c r="AL214" i="24"/>
  <c r="T7" i="24"/>
  <c r="O82" i="24"/>
  <c r="D211" i="24"/>
  <c r="S211" i="24"/>
  <c r="D73" i="24"/>
  <c r="L73" i="24"/>
  <c r="K5" i="24"/>
  <c r="T73" i="24"/>
  <c r="S5" i="24"/>
  <c r="E75" i="24"/>
  <c r="G73" i="24"/>
  <c r="H75" i="24"/>
  <c r="AF82" i="24"/>
  <c r="H82" i="24"/>
  <c r="P82" i="24"/>
  <c r="X82" i="24"/>
  <c r="AH80" i="24"/>
  <c r="AG73" i="24"/>
  <c r="AG83" i="24" s="1"/>
  <c r="J75" i="24"/>
  <c r="R75" i="24"/>
  <c r="Z75" i="24"/>
  <c r="R73" i="24"/>
  <c r="AH38" i="24"/>
  <c r="AI68" i="24"/>
  <c r="AH68" i="24"/>
  <c r="AF5" i="24"/>
  <c r="E73" i="24"/>
  <c r="M73" i="24"/>
  <c r="M83" i="24" s="1"/>
  <c r="I73" i="24"/>
  <c r="AG75" i="24"/>
  <c r="AI76" i="24"/>
  <c r="AH79" i="24"/>
  <c r="AI79" i="24"/>
  <c r="E103" i="24"/>
  <c r="D93" i="24"/>
  <c r="Z73" i="24"/>
  <c r="L75" i="24"/>
  <c r="AF214" i="24"/>
  <c r="N7" i="24"/>
  <c r="G75" i="24"/>
  <c r="M7" i="24"/>
  <c r="AI77" i="24"/>
  <c r="J73" i="24"/>
  <c r="Y5" i="24"/>
  <c r="V5" i="24"/>
  <c r="P75" i="24"/>
  <c r="O73" i="24"/>
  <c r="O75" i="24"/>
  <c r="AI56" i="24"/>
  <c r="H73" i="24"/>
  <c r="P73" i="24"/>
  <c r="AI38" i="24"/>
  <c r="N73" i="24"/>
  <c r="N83" i="24" s="1"/>
  <c r="W82" i="24"/>
  <c r="AH76" i="24"/>
  <c r="K75" i="24"/>
  <c r="T82" i="24"/>
  <c r="Q75" i="24"/>
  <c r="I82" i="24"/>
  <c r="Q82" i="24"/>
  <c r="Y82" i="24"/>
  <c r="D192" i="24"/>
  <c r="E102" i="24"/>
  <c r="D235" i="24"/>
  <c r="F199" i="24"/>
  <c r="E200" i="24"/>
  <c r="F194" i="24"/>
  <c r="K235" i="25" l="1"/>
  <c r="M199" i="25"/>
  <c r="O103" i="25"/>
  <c r="M195" i="25"/>
  <c r="L200" i="25"/>
  <c r="O194" i="25"/>
  <c r="L192" i="25"/>
  <c r="M102" i="25"/>
  <c r="M109" i="25"/>
  <c r="L93" i="25"/>
  <c r="Z83" i="24"/>
  <c r="T83" i="24"/>
  <c r="S83" i="24"/>
  <c r="R83" i="24"/>
  <c r="P83" i="24"/>
  <c r="O83" i="24"/>
  <c r="L83" i="24"/>
  <c r="V214" i="24"/>
  <c r="I83" i="24"/>
  <c r="I7" i="24"/>
  <c r="F83" i="24"/>
  <c r="F7" i="24"/>
  <c r="H83" i="24"/>
  <c r="J83" i="24"/>
  <c r="E83" i="24"/>
  <c r="D83" i="24"/>
  <c r="C83" i="24"/>
  <c r="C7" i="24"/>
  <c r="AI82" i="24"/>
  <c r="AH82" i="24"/>
  <c r="AB214" i="24"/>
  <c r="J7" i="24"/>
  <c r="Z214" i="24"/>
  <c r="H7" i="24"/>
  <c r="AI214" i="24"/>
  <c r="Q7" i="24"/>
  <c r="Q83" i="24"/>
  <c r="Y214" i="24"/>
  <c r="C209" i="24"/>
  <c r="B209" i="24"/>
  <c r="G7" i="24"/>
  <c r="G83" i="24"/>
  <c r="AR214" i="24"/>
  <c r="Z7" i="24"/>
  <c r="W214" i="24"/>
  <c r="E7" i="24"/>
  <c r="E93" i="24"/>
  <c r="F103" i="24"/>
  <c r="AC214" i="24"/>
  <c r="K7" i="24"/>
  <c r="K83" i="24"/>
  <c r="G194" i="24"/>
  <c r="F200" i="24"/>
  <c r="AJ214" i="24"/>
  <c r="R7" i="24"/>
  <c r="E192" i="24"/>
  <c r="F102" i="24"/>
  <c r="AH214" i="24"/>
  <c r="P7" i="24"/>
  <c r="AD214" i="24"/>
  <c r="L7" i="24"/>
  <c r="AG214" i="24"/>
  <c r="O7" i="24"/>
  <c r="G199" i="24"/>
  <c r="E235" i="24"/>
  <c r="P194" i="25" l="1"/>
  <c r="N195" i="25"/>
  <c r="M200" i="25"/>
  <c r="N109" i="25"/>
  <c r="M93" i="25"/>
  <c r="P103" i="25"/>
  <c r="M192" i="25"/>
  <c r="N102" i="25"/>
  <c r="L235" i="25"/>
  <c r="N199" i="25"/>
  <c r="F235" i="24"/>
  <c r="H199" i="24"/>
  <c r="K6" i="24"/>
  <c r="F192" i="24"/>
  <c r="G102" i="24"/>
  <c r="G103" i="24"/>
  <c r="F93" i="24"/>
  <c r="G200" i="24"/>
  <c r="H194" i="24"/>
  <c r="Q103" i="25" l="1"/>
  <c r="O109" i="25"/>
  <c r="N93" i="25"/>
  <c r="O195" i="25"/>
  <c r="N200" i="25"/>
  <c r="M235" i="25"/>
  <c r="O199" i="25"/>
  <c r="N192" i="25"/>
  <c r="O102" i="25"/>
  <c r="Q194" i="25"/>
  <c r="G93" i="24"/>
  <c r="H103" i="24"/>
  <c r="G192" i="24"/>
  <c r="H102" i="24"/>
  <c r="H200" i="24"/>
  <c r="I194" i="24"/>
  <c r="G235" i="24"/>
  <c r="I199" i="24"/>
  <c r="N235" i="25" l="1"/>
  <c r="P199" i="25"/>
  <c r="P195" i="25"/>
  <c r="O200" i="25"/>
  <c r="P109" i="25"/>
  <c r="O93" i="25"/>
  <c r="O192" i="25"/>
  <c r="P102" i="25"/>
  <c r="R103" i="25"/>
  <c r="R194" i="25"/>
  <c r="I103" i="24"/>
  <c r="H93" i="24"/>
  <c r="H235" i="24"/>
  <c r="J199" i="24"/>
  <c r="J194" i="24"/>
  <c r="I200" i="24"/>
  <c r="H192" i="24"/>
  <c r="I102" i="24"/>
  <c r="P192" i="25" l="1"/>
  <c r="Q102" i="25"/>
  <c r="S194" i="25"/>
  <c r="Q195" i="25"/>
  <c r="P200" i="25"/>
  <c r="Q109" i="25"/>
  <c r="P93" i="25"/>
  <c r="Q199" i="25"/>
  <c r="O235" i="25"/>
  <c r="S103" i="25"/>
  <c r="I192" i="24"/>
  <c r="J102" i="24"/>
  <c r="I235" i="24"/>
  <c r="K199" i="24"/>
  <c r="J200" i="24"/>
  <c r="K194" i="24"/>
  <c r="I93" i="24"/>
  <c r="J103" i="24"/>
  <c r="T194" i="25" l="1"/>
  <c r="T103" i="25"/>
  <c r="R195" i="25"/>
  <c r="Q200" i="25"/>
  <c r="Q192" i="25"/>
  <c r="R102" i="25"/>
  <c r="R109" i="25"/>
  <c r="Q93" i="25"/>
  <c r="P235" i="25"/>
  <c r="R199" i="25"/>
  <c r="K103" i="24"/>
  <c r="J93" i="24"/>
  <c r="K200" i="24"/>
  <c r="L194" i="24"/>
  <c r="J192" i="24"/>
  <c r="K102" i="24"/>
  <c r="L199" i="24"/>
  <c r="J235" i="24"/>
  <c r="R192" i="25" l="1"/>
  <c r="S102" i="25"/>
  <c r="S195" i="25"/>
  <c r="R200" i="25"/>
  <c r="S199" i="25"/>
  <c r="Q235" i="25"/>
  <c r="U103" i="25"/>
  <c r="U194" i="25"/>
  <c r="S109" i="25"/>
  <c r="R93" i="25"/>
  <c r="K235" i="24"/>
  <c r="M199" i="24"/>
  <c r="K192" i="24"/>
  <c r="L102" i="24"/>
  <c r="M194" i="24"/>
  <c r="L200" i="24"/>
  <c r="L103" i="24"/>
  <c r="K93" i="24"/>
  <c r="V103" i="25" l="1"/>
  <c r="T109" i="25"/>
  <c r="S93" i="25"/>
  <c r="T195" i="25"/>
  <c r="S200" i="25"/>
  <c r="S192" i="25"/>
  <c r="T102" i="25"/>
  <c r="T199" i="25"/>
  <c r="R235" i="25"/>
  <c r="V194" i="25"/>
  <c r="M200" i="24"/>
  <c r="N194" i="24"/>
  <c r="L235" i="24"/>
  <c r="N199" i="24"/>
  <c r="M103" i="24"/>
  <c r="L93" i="24"/>
  <c r="L192" i="24"/>
  <c r="M102" i="24"/>
  <c r="T192" i="25" l="1"/>
  <c r="U102" i="25"/>
  <c r="W194" i="25"/>
  <c r="U109" i="25"/>
  <c r="T93" i="25"/>
  <c r="U195" i="25"/>
  <c r="T200" i="25"/>
  <c r="U199" i="25"/>
  <c r="S235" i="25"/>
  <c r="W103" i="25"/>
  <c r="M93" i="24"/>
  <c r="N103" i="24"/>
  <c r="O194" i="24"/>
  <c r="N200" i="24"/>
  <c r="M192" i="24"/>
  <c r="N102" i="24"/>
  <c r="O199" i="24"/>
  <c r="M235" i="24"/>
  <c r="X194" i="25" l="1"/>
  <c r="V195" i="25"/>
  <c r="U200" i="25"/>
  <c r="U51" i="25" s="1"/>
  <c r="V109" i="25"/>
  <c r="U93" i="25"/>
  <c r="X103" i="25"/>
  <c r="U192" i="25"/>
  <c r="V102" i="25"/>
  <c r="T235" i="25"/>
  <c r="V199" i="25"/>
  <c r="N235" i="24"/>
  <c r="P199" i="24"/>
  <c r="N192" i="24"/>
  <c r="O102" i="24"/>
  <c r="O200" i="24"/>
  <c r="P194" i="24"/>
  <c r="O103" i="24"/>
  <c r="N93" i="24"/>
  <c r="W109" i="25" l="1"/>
  <c r="V93" i="25"/>
  <c r="U235" i="25"/>
  <c r="W199" i="25"/>
  <c r="W195" i="25"/>
  <c r="V200" i="25"/>
  <c r="V51" i="25" s="1"/>
  <c r="V52" i="25" s="1"/>
  <c r="V192" i="25"/>
  <c r="W102" i="25"/>
  <c r="Y103" i="25"/>
  <c r="U52" i="25"/>
  <c r="Y194" i="25"/>
  <c r="P103" i="24"/>
  <c r="O93" i="24"/>
  <c r="O235" i="24"/>
  <c r="Q199" i="24"/>
  <c r="P200" i="24"/>
  <c r="Q194" i="24"/>
  <c r="O192" i="24"/>
  <c r="P102" i="24"/>
  <c r="U73" i="25" l="1"/>
  <c r="U75" i="25"/>
  <c r="V235" i="25"/>
  <c r="X199" i="25"/>
  <c r="Z194" i="25"/>
  <c r="V73" i="25"/>
  <c r="V75" i="25"/>
  <c r="X195" i="25"/>
  <c r="W200" i="25"/>
  <c r="W51" i="25" s="1"/>
  <c r="W52" i="25" s="1"/>
  <c r="W192" i="25"/>
  <c r="X102" i="25"/>
  <c r="Z103" i="25"/>
  <c r="X109" i="25"/>
  <c r="W93" i="25"/>
  <c r="P192" i="24"/>
  <c r="Q102" i="24"/>
  <c r="R194" i="24"/>
  <c r="Q200" i="24"/>
  <c r="P235" i="24"/>
  <c r="R199" i="24"/>
  <c r="Q103" i="24"/>
  <c r="P93" i="24"/>
  <c r="AM214" i="25" l="1"/>
  <c r="U7" i="25"/>
  <c r="W75" i="25"/>
  <c r="W73" i="25"/>
  <c r="U83" i="25"/>
  <c r="X192" i="25"/>
  <c r="Y102" i="25"/>
  <c r="Y195" i="25"/>
  <c r="X200" i="25"/>
  <c r="X51" i="25" s="1"/>
  <c r="Y109" i="25"/>
  <c r="X93" i="25"/>
  <c r="V83" i="25"/>
  <c r="AA194" i="25"/>
  <c r="Y199" i="25"/>
  <c r="W235" i="25"/>
  <c r="AN214" i="25"/>
  <c r="V7" i="25"/>
  <c r="AA103" i="25"/>
  <c r="R103" i="24"/>
  <c r="Q93" i="24"/>
  <c r="R200" i="24"/>
  <c r="S194" i="24"/>
  <c r="Q192" i="24"/>
  <c r="R102" i="24"/>
  <c r="Q235" i="24"/>
  <c r="S199" i="24"/>
  <c r="W83" i="25" l="1"/>
  <c r="X52" i="25"/>
  <c r="AO214" i="25"/>
  <c r="W7" i="25"/>
  <c r="AB103" i="25"/>
  <c r="Z195" i="25"/>
  <c r="Y200" i="25"/>
  <c r="Y51" i="25" s="1"/>
  <c r="Y52" i="25" s="1"/>
  <c r="Z109" i="25"/>
  <c r="Y93" i="25"/>
  <c r="X235" i="25"/>
  <c r="Z199" i="25"/>
  <c r="Y192" i="25"/>
  <c r="Z102" i="25"/>
  <c r="AB194" i="25"/>
  <c r="T194" i="24"/>
  <c r="S200" i="24"/>
  <c r="T199" i="24"/>
  <c r="R235" i="24"/>
  <c r="R192" i="24"/>
  <c r="S102" i="24"/>
  <c r="R93" i="24"/>
  <c r="S103" i="24"/>
  <c r="Y75" i="25" l="1"/>
  <c r="Y73" i="25"/>
  <c r="Y235" i="25"/>
  <c r="AA199" i="25"/>
  <c r="AA195" i="25"/>
  <c r="Z200" i="25"/>
  <c r="AC103" i="25"/>
  <c r="AC194" i="25"/>
  <c r="AA109" i="25"/>
  <c r="Z93" i="25"/>
  <c r="Z192" i="25"/>
  <c r="AA102" i="25"/>
  <c r="X73" i="25"/>
  <c r="X75" i="25"/>
  <c r="T103" i="24"/>
  <c r="S93" i="24"/>
  <c r="S192" i="24"/>
  <c r="T102" i="24"/>
  <c r="S235" i="24"/>
  <c r="U199" i="24"/>
  <c r="U194" i="24"/>
  <c r="T200" i="24"/>
  <c r="Y83" i="25" l="1"/>
  <c r="AD103" i="25"/>
  <c r="AB109" i="25"/>
  <c r="AA93" i="25"/>
  <c r="AA192" i="25"/>
  <c r="AB102" i="25"/>
  <c r="AB199" i="25"/>
  <c r="Z235" i="25"/>
  <c r="AB195" i="25"/>
  <c r="AA200" i="25"/>
  <c r="AA51" i="25" s="1"/>
  <c r="AP214" i="25"/>
  <c r="X7" i="25"/>
  <c r="X83" i="25"/>
  <c r="AD194" i="25"/>
  <c r="AQ214" i="25"/>
  <c r="Y7" i="25"/>
  <c r="U200" i="24"/>
  <c r="U51" i="24" s="1"/>
  <c r="U52" i="24" s="1"/>
  <c r="V194" i="24"/>
  <c r="T235" i="24"/>
  <c r="V199" i="24"/>
  <c r="T192" i="24"/>
  <c r="U102" i="24"/>
  <c r="U103" i="24"/>
  <c r="T93" i="24"/>
  <c r="AC199" i="25" l="1"/>
  <c r="AA235" i="25"/>
  <c r="AB192" i="25"/>
  <c r="AC102" i="25"/>
  <c r="AE194" i="25"/>
  <c r="AC109" i="25"/>
  <c r="AB93" i="25"/>
  <c r="AA52" i="25"/>
  <c r="AC195" i="25"/>
  <c r="AB200" i="25"/>
  <c r="AB51" i="25" s="1"/>
  <c r="AB52" i="25" s="1"/>
  <c r="AE103" i="25"/>
  <c r="U192" i="24"/>
  <c r="V102" i="24"/>
  <c r="W199" i="24"/>
  <c r="U235" i="24"/>
  <c r="W194" i="24"/>
  <c r="V200" i="24"/>
  <c r="V51" i="24" s="1"/>
  <c r="V52" i="24" s="1"/>
  <c r="U93" i="24"/>
  <c r="V103" i="24"/>
  <c r="U75" i="24"/>
  <c r="U73" i="24"/>
  <c r="U83" i="24" s="1"/>
  <c r="AF194" i="25" l="1"/>
  <c r="AD195" i="25"/>
  <c r="AC200" i="25"/>
  <c r="AC51" i="25" s="1"/>
  <c r="AC52" i="25" s="1"/>
  <c r="AC192" i="25"/>
  <c r="AD102" i="25"/>
  <c r="AB73" i="25"/>
  <c r="AB75" i="25"/>
  <c r="AF103" i="25"/>
  <c r="AB235" i="25"/>
  <c r="AD199" i="25"/>
  <c r="AA75" i="25"/>
  <c r="AA73" i="25"/>
  <c r="AD109" i="25"/>
  <c r="AC93" i="25"/>
  <c r="V93" i="24"/>
  <c r="W103" i="24"/>
  <c r="V235" i="24"/>
  <c r="X199" i="24"/>
  <c r="V73" i="24"/>
  <c r="V75" i="24"/>
  <c r="V192" i="24"/>
  <c r="W102" i="24"/>
  <c r="W200" i="24"/>
  <c r="W51" i="24" s="1"/>
  <c r="W52" i="24" s="1"/>
  <c r="X194" i="24"/>
  <c r="AM214" i="24"/>
  <c r="U7" i="24"/>
  <c r="AE109" i="25" l="1"/>
  <c r="AD93" i="25"/>
  <c r="AB83" i="25"/>
  <c r="AA83" i="25"/>
  <c r="AD192" i="25"/>
  <c r="AE102" i="25"/>
  <c r="AT214" i="25"/>
  <c r="AB7" i="25"/>
  <c r="AS214" i="25"/>
  <c r="AA7" i="25"/>
  <c r="AC235" i="25"/>
  <c r="AE199" i="25"/>
  <c r="AC75" i="25"/>
  <c r="AC73" i="25"/>
  <c r="AE195" i="25"/>
  <c r="AD200" i="25"/>
  <c r="AD51" i="25" s="1"/>
  <c r="AD52" i="25" s="1"/>
  <c r="B103" i="25"/>
  <c r="B194" i="25"/>
  <c r="W235" i="24"/>
  <c r="Y199" i="24"/>
  <c r="AN214" i="24"/>
  <c r="V7" i="24"/>
  <c r="W192" i="24"/>
  <c r="X102" i="24"/>
  <c r="V83" i="24"/>
  <c r="X200" i="24"/>
  <c r="X51" i="24" s="1"/>
  <c r="X52" i="24" s="1"/>
  <c r="Y194" i="24"/>
  <c r="X103" i="24"/>
  <c r="W93" i="24"/>
  <c r="W73" i="24"/>
  <c r="W75" i="24"/>
  <c r="AC83" i="25" l="1"/>
  <c r="AD235" i="25"/>
  <c r="AF199" i="25"/>
  <c r="AF195" i="25"/>
  <c r="AE200" i="25"/>
  <c r="AE51" i="25" s="1"/>
  <c r="AE52" i="25" s="1"/>
  <c r="AE192" i="25"/>
  <c r="AF102" i="25"/>
  <c r="AD73" i="25"/>
  <c r="AD75" i="25"/>
  <c r="AU214" i="25"/>
  <c r="AC7" i="25"/>
  <c r="AF109" i="25"/>
  <c r="AE93" i="25"/>
  <c r="X73" i="24"/>
  <c r="X75" i="24"/>
  <c r="X192" i="24"/>
  <c r="Y102" i="24"/>
  <c r="AO214" i="24"/>
  <c r="W7" i="24"/>
  <c r="Y103" i="24"/>
  <c r="X93" i="24"/>
  <c r="X235" i="24"/>
  <c r="Z199" i="24"/>
  <c r="W83" i="24"/>
  <c r="Z194" i="24"/>
  <c r="Y200" i="24"/>
  <c r="Y51" i="24" s="1"/>
  <c r="Y52" i="24" s="1"/>
  <c r="AE75" i="25" l="1"/>
  <c r="AE73" i="25"/>
  <c r="AE83" i="25" s="1"/>
  <c r="B109" i="25"/>
  <c r="AF93" i="25"/>
  <c r="B195" i="25"/>
  <c r="B200" i="25" s="1"/>
  <c r="AF200" i="25"/>
  <c r="AF51" i="25" s="1"/>
  <c r="AV214" i="25"/>
  <c r="AD7" i="25"/>
  <c r="AD83" i="25"/>
  <c r="AE235" i="25"/>
  <c r="B199" i="25"/>
  <c r="AF235" i="25" s="1"/>
  <c r="AF192" i="25"/>
  <c r="B102" i="25"/>
  <c r="B192" i="25" s="1"/>
  <c r="Z200" i="24"/>
  <c r="AA194" i="24"/>
  <c r="Y192" i="24"/>
  <c r="Z102" i="24"/>
  <c r="Y73" i="24"/>
  <c r="Y75" i="24"/>
  <c r="Y235" i="24"/>
  <c r="AA199" i="24"/>
  <c r="AP214" i="24"/>
  <c r="X7" i="24"/>
  <c r="Y93" i="24"/>
  <c r="Z103" i="24"/>
  <c r="X83" i="24"/>
  <c r="AF52" i="25" l="1"/>
  <c r="AH51" i="25"/>
  <c r="AI51" i="25"/>
  <c r="AH93" i="25"/>
  <c r="AI93" i="25"/>
  <c r="AW214" i="25"/>
  <c r="AE7" i="25"/>
  <c r="Y83" i="24"/>
  <c r="Z192" i="24"/>
  <c r="AA102" i="24"/>
  <c r="AB199" i="24"/>
  <c r="Z235" i="24"/>
  <c r="AA103" i="24"/>
  <c r="Z93" i="24"/>
  <c r="AA200" i="24"/>
  <c r="AA51" i="24" s="1"/>
  <c r="AA52" i="24" s="1"/>
  <c r="AB194" i="24"/>
  <c r="AQ214" i="24"/>
  <c r="Y7" i="24"/>
  <c r="AF73" i="25" l="1"/>
  <c r="AF75" i="25"/>
  <c r="AH52" i="25"/>
  <c r="AI52" i="25"/>
  <c r="AA73" i="24"/>
  <c r="AA75" i="24"/>
  <c r="AB103" i="24"/>
  <c r="AA93" i="24"/>
  <c r="AA235" i="24"/>
  <c r="AC199" i="24"/>
  <c r="AA192" i="24"/>
  <c r="AB102" i="24"/>
  <c r="AB200" i="24"/>
  <c r="AB51" i="24" s="1"/>
  <c r="AB52" i="24" s="1"/>
  <c r="AC194" i="24"/>
  <c r="AX214" i="25" l="1"/>
  <c r="AF7" i="25"/>
  <c r="A7" i="25" s="1"/>
  <c r="AH75" i="25"/>
  <c r="AI75" i="25"/>
  <c r="AF83" i="25"/>
  <c r="AH73" i="25"/>
  <c r="AI73" i="25"/>
  <c r="AB192" i="24"/>
  <c r="AC102" i="24"/>
  <c r="AB235" i="24"/>
  <c r="AD199" i="24"/>
  <c r="AS214" i="24"/>
  <c r="AA7" i="24"/>
  <c r="AC103" i="24"/>
  <c r="AB93" i="24"/>
  <c r="AC200" i="24"/>
  <c r="AC51" i="24" s="1"/>
  <c r="AC52" i="24" s="1"/>
  <c r="AD194" i="24"/>
  <c r="AB75" i="24"/>
  <c r="AB73" i="24"/>
  <c r="AA83" i="24"/>
  <c r="AH83" i="25" l="1"/>
  <c r="AI83" i="25"/>
  <c r="AB83" i="24"/>
  <c r="AE199" i="24"/>
  <c r="AC235" i="24"/>
  <c r="AC93" i="24"/>
  <c r="AD103" i="24"/>
  <c r="AT214" i="24"/>
  <c r="AB7" i="24"/>
  <c r="AE194" i="24"/>
  <c r="AD200" i="24"/>
  <c r="AD51" i="24" s="1"/>
  <c r="AD52" i="24" s="1"/>
  <c r="AC192" i="24"/>
  <c r="AD102" i="24"/>
  <c r="AC75" i="24"/>
  <c r="AC73" i="24"/>
  <c r="AD75" i="24" l="1"/>
  <c r="AD73" i="24"/>
  <c r="AE200" i="24"/>
  <c r="AE51" i="24" s="1"/>
  <c r="AE52" i="24" s="1"/>
  <c r="AF194" i="24"/>
  <c r="AU214" i="24"/>
  <c r="AC7" i="24"/>
  <c r="AD192" i="24"/>
  <c r="AE102" i="24"/>
  <c r="AC83" i="24"/>
  <c r="AE103" i="24"/>
  <c r="AD93" i="24"/>
  <c r="AD235" i="24"/>
  <c r="AF199" i="24"/>
  <c r="AD83" i="24" l="1"/>
  <c r="AE235" i="24"/>
  <c r="B199" i="24"/>
  <c r="AF235" i="24" s="1"/>
  <c r="AE73" i="24"/>
  <c r="AE75" i="24"/>
  <c r="AE192" i="24"/>
  <c r="AF102" i="24"/>
  <c r="AF200" i="24"/>
  <c r="AF51" i="24" s="1"/>
  <c r="AF52" i="24" s="1"/>
  <c r="B194" i="24"/>
  <c r="B200" i="24" s="1"/>
  <c r="AF103" i="24"/>
  <c r="AE93" i="24"/>
  <c r="AV214" i="24"/>
  <c r="AD7" i="24"/>
  <c r="AI51" i="24" l="1"/>
  <c r="AH51" i="24"/>
  <c r="AF192" i="24"/>
  <c r="B102" i="24"/>
  <c r="B192" i="24" s="1"/>
  <c r="AE83" i="24"/>
  <c r="AF73" i="24"/>
  <c r="AF75" i="24"/>
  <c r="AW214" i="24"/>
  <c r="AE7" i="24"/>
  <c r="B103" i="24"/>
  <c r="AF93" i="24"/>
  <c r="AF83" i="24" l="1"/>
  <c r="AH93" i="24"/>
  <c r="AI93" i="24"/>
  <c r="AX214" i="24"/>
  <c r="AF7" i="24"/>
  <c r="AI52" i="24"/>
  <c r="AH52" i="24"/>
  <c r="AI73" i="24" l="1"/>
  <c r="AH73" i="24"/>
  <c r="T214" i="24"/>
  <c r="AH75" i="24"/>
  <c r="AI75" i="24"/>
  <c r="B7" i="24"/>
  <c r="A7" i="24" s="1"/>
  <c r="AH83" i="24" l="1"/>
  <c r="AI83" i="24"/>
  <c r="X37" i="23" l="1"/>
  <c r="L58" i="23" l="1"/>
  <c r="K58" i="23"/>
  <c r="K37" i="23"/>
  <c r="J58" i="23"/>
  <c r="J37" i="23"/>
  <c r="I37" i="23"/>
  <c r="H37" i="23"/>
  <c r="G37" i="23"/>
  <c r="F37" i="23"/>
  <c r="E37" i="23"/>
  <c r="AH100" i="23"/>
  <c r="AI100" i="23" s="1"/>
  <c r="AH99" i="23"/>
  <c r="AI99" i="23" s="1"/>
  <c r="AF239" i="23"/>
  <c r="AE239" i="23"/>
  <c r="AD239" i="23"/>
  <c r="AC239" i="23"/>
  <c r="AB239" i="23"/>
  <c r="AA239" i="23"/>
  <c r="Z239" i="23"/>
  <c r="Y239" i="23"/>
  <c r="X239" i="23"/>
  <c r="W239" i="23"/>
  <c r="V239" i="23"/>
  <c r="U239" i="23"/>
  <c r="T239" i="23"/>
  <c r="S239" i="23"/>
  <c r="R239" i="23"/>
  <c r="Q239" i="23"/>
  <c r="P239" i="23"/>
  <c r="O239" i="23"/>
  <c r="N239" i="23"/>
  <c r="M239" i="23"/>
  <c r="L239" i="23"/>
  <c r="K239" i="23"/>
  <c r="J239" i="23"/>
  <c r="I239" i="23"/>
  <c r="H239" i="23"/>
  <c r="G239" i="23"/>
  <c r="F239" i="23"/>
  <c r="E239" i="23"/>
  <c r="D239" i="23"/>
  <c r="C239" i="23"/>
  <c r="B239" i="23"/>
  <c r="A239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B235" i="23"/>
  <c r="S210" i="23"/>
  <c r="AG200" i="23"/>
  <c r="C200" i="23"/>
  <c r="D199" i="23"/>
  <c r="C235" i="23" s="1"/>
  <c r="F198" i="23"/>
  <c r="G198" i="23" s="1"/>
  <c r="H198" i="23" s="1"/>
  <c r="I198" i="23" s="1"/>
  <c r="J198" i="23" s="1"/>
  <c r="K198" i="23" s="1"/>
  <c r="L198" i="23" s="1"/>
  <c r="M198" i="23" s="1"/>
  <c r="N198" i="23" s="1"/>
  <c r="O198" i="23" s="1"/>
  <c r="P198" i="23" s="1"/>
  <c r="Q198" i="23" s="1"/>
  <c r="R198" i="23" s="1"/>
  <c r="S198" i="23" s="1"/>
  <c r="T198" i="23" s="1"/>
  <c r="U198" i="23" s="1"/>
  <c r="V198" i="23" s="1"/>
  <c r="W198" i="23" s="1"/>
  <c r="X198" i="23" s="1"/>
  <c r="Y198" i="23" s="1"/>
  <c r="Z198" i="23" s="1"/>
  <c r="AA198" i="23" s="1"/>
  <c r="AB198" i="23" s="1"/>
  <c r="AC198" i="23" s="1"/>
  <c r="AD198" i="23" s="1"/>
  <c r="AE198" i="23" s="1"/>
  <c r="AF198" i="23" s="1"/>
  <c r="B198" i="23" s="1"/>
  <c r="D198" i="23"/>
  <c r="E198" i="23" s="1"/>
  <c r="E197" i="23"/>
  <c r="F197" i="23" s="1"/>
  <c r="G197" i="23" s="1"/>
  <c r="H197" i="23" s="1"/>
  <c r="I197" i="23" s="1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B197" i="23" s="1"/>
  <c r="D197" i="23"/>
  <c r="D196" i="23"/>
  <c r="E196" i="23" s="1"/>
  <c r="F196" i="23" s="1"/>
  <c r="G196" i="23" s="1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B196" i="23" s="1"/>
  <c r="D195" i="23"/>
  <c r="E195" i="23" s="1"/>
  <c r="F195" i="23" s="1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B195" i="23" s="1"/>
  <c r="D194" i="23"/>
  <c r="AG192" i="23"/>
  <c r="C192" i="23"/>
  <c r="D191" i="23"/>
  <c r="E191" i="23" s="1"/>
  <c r="F191" i="23" s="1"/>
  <c r="G191" i="23" s="1"/>
  <c r="H191" i="23" s="1"/>
  <c r="I191" i="23" s="1"/>
  <c r="J191" i="23" s="1"/>
  <c r="K191" i="23" s="1"/>
  <c r="L191" i="23" s="1"/>
  <c r="M191" i="23" s="1"/>
  <c r="N191" i="23" s="1"/>
  <c r="O191" i="23" s="1"/>
  <c r="P191" i="23" s="1"/>
  <c r="Q191" i="23" s="1"/>
  <c r="R191" i="23" s="1"/>
  <c r="S191" i="23" s="1"/>
  <c r="T191" i="23" s="1"/>
  <c r="U191" i="23" s="1"/>
  <c r="V191" i="23" s="1"/>
  <c r="W191" i="23" s="1"/>
  <c r="X191" i="23" s="1"/>
  <c r="Y191" i="23" s="1"/>
  <c r="Z191" i="23" s="1"/>
  <c r="AA191" i="23" s="1"/>
  <c r="AB191" i="23" s="1"/>
  <c r="AC191" i="23" s="1"/>
  <c r="AD191" i="23" s="1"/>
  <c r="AE191" i="23" s="1"/>
  <c r="AF191" i="23" s="1"/>
  <c r="B191" i="23" s="1"/>
  <c r="E190" i="23"/>
  <c r="F190" i="23" s="1"/>
  <c r="G190" i="23" s="1"/>
  <c r="H190" i="23" s="1"/>
  <c r="I190" i="23" s="1"/>
  <c r="J190" i="23" s="1"/>
  <c r="K190" i="23" s="1"/>
  <c r="L190" i="23" s="1"/>
  <c r="M190" i="23" s="1"/>
  <c r="N190" i="23" s="1"/>
  <c r="O190" i="23" s="1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B190" i="23" s="1"/>
  <c r="D190" i="23"/>
  <c r="H189" i="23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B189" i="23" s="1"/>
  <c r="D189" i="23"/>
  <c r="E189" i="23" s="1"/>
  <c r="F189" i="23" s="1"/>
  <c r="G189" i="23" s="1"/>
  <c r="N188" i="23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B188" i="23" s="1"/>
  <c r="L188" i="23"/>
  <c r="M188" i="23" s="1"/>
  <c r="F188" i="23"/>
  <c r="G188" i="23" s="1"/>
  <c r="H188" i="23" s="1"/>
  <c r="I188" i="23" s="1"/>
  <c r="J188" i="23" s="1"/>
  <c r="K188" i="23" s="1"/>
  <c r="D188" i="23"/>
  <c r="E188" i="23" s="1"/>
  <c r="M187" i="23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B187" i="23" s="1"/>
  <c r="E187" i="23"/>
  <c r="F187" i="23" s="1"/>
  <c r="G187" i="23" s="1"/>
  <c r="H187" i="23" s="1"/>
  <c r="I187" i="23" s="1"/>
  <c r="J187" i="23" s="1"/>
  <c r="K187" i="23" s="1"/>
  <c r="L187" i="23" s="1"/>
  <c r="D187" i="23"/>
  <c r="F186" i="23"/>
  <c r="G186" i="23" s="1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B186" i="23" s="1"/>
  <c r="E186" i="23"/>
  <c r="D186" i="23"/>
  <c r="E185" i="23"/>
  <c r="F185" i="23" s="1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B185" i="23" s="1"/>
  <c r="D185" i="23"/>
  <c r="Y184" i="23"/>
  <c r="Z184" i="23" s="1"/>
  <c r="AA184" i="23" s="1"/>
  <c r="AB184" i="23" s="1"/>
  <c r="AC184" i="23" s="1"/>
  <c r="AD184" i="23" s="1"/>
  <c r="AE184" i="23" s="1"/>
  <c r="AF184" i="23" s="1"/>
  <c r="B184" i="23" s="1"/>
  <c r="L184" i="23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J184" i="23"/>
  <c r="K184" i="23" s="1"/>
  <c r="F184" i="23"/>
  <c r="G184" i="23" s="1"/>
  <c r="H184" i="23" s="1"/>
  <c r="I184" i="23" s="1"/>
  <c r="D184" i="23"/>
  <c r="E184" i="23" s="1"/>
  <c r="M183" i="23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B183" i="23" s="1"/>
  <c r="E183" i="23"/>
  <c r="F183" i="23" s="1"/>
  <c r="G183" i="23" s="1"/>
  <c r="H183" i="23" s="1"/>
  <c r="I183" i="23" s="1"/>
  <c r="J183" i="23" s="1"/>
  <c r="K183" i="23" s="1"/>
  <c r="L183" i="23" s="1"/>
  <c r="D183" i="23"/>
  <c r="X182" i="23"/>
  <c r="Y182" i="23" s="1"/>
  <c r="Z182" i="23" s="1"/>
  <c r="AA182" i="23" s="1"/>
  <c r="AB182" i="23" s="1"/>
  <c r="AC182" i="23" s="1"/>
  <c r="AD182" i="23" s="1"/>
  <c r="AE182" i="23" s="1"/>
  <c r="AF182" i="23" s="1"/>
  <c r="B182" i="23" s="1"/>
  <c r="L182" i="23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K182" i="23"/>
  <c r="F182" i="23"/>
  <c r="G182" i="23" s="1"/>
  <c r="H182" i="23" s="1"/>
  <c r="I182" i="23" s="1"/>
  <c r="J182" i="23" s="1"/>
  <c r="D182" i="23"/>
  <c r="E182" i="23" s="1"/>
  <c r="AC181" i="23"/>
  <c r="AD181" i="23" s="1"/>
  <c r="AE181" i="23" s="1"/>
  <c r="AF181" i="23" s="1"/>
  <c r="B181" i="23" s="1"/>
  <c r="S181" i="23"/>
  <c r="T181" i="23" s="1"/>
  <c r="U181" i="23" s="1"/>
  <c r="V181" i="23" s="1"/>
  <c r="W181" i="23" s="1"/>
  <c r="X181" i="23" s="1"/>
  <c r="Y181" i="23" s="1"/>
  <c r="Z181" i="23" s="1"/>
  <c r="AA181" i="23" s="1"/>
  <c r="AB181" i="23" s="1"/>
  <c r="P181" i="23"/>
  <c r="Q181" i="23" s="1"/>
  <c r="R181" i="23" s="1"/>
  <c r="N181" i="23"/>
  <c r="O181" i="23" s="1"/>
  <c r="J181" i="23"/>
  <c r="K181" i="23" s="1"/>
  <c r="L181" i="23" s="1"/>
  <c r="M181" i="23" s="1"/>
  <c r="D181" i="23"/>
  <c r="E181" i="23" s="1"/>
  <c r="F181" i="23" s="1"/>
  <c r="G181" i="23" s="1"/>
  <c r="H181" i="23" s="1"/>
  <c r="I181" i="23" s="1"/>
  <c r="T180" i="23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B180" i="23" s="1"/>
  <c r="G180" i="23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D180" i="23"/>
  <c r="E180" i="23" s="1"/>
  <c r="F180" i="23" s="1"/>
  <c r="X179" i="23"/>
  <c r="Y179" i="23" s="1"/>
  <c r="Z179" i="23" s="1"/>
  <c r="AA179" i="23" s="1"/>
  <c r="AB179" i="23" s="1"/>
  <c r="AC179" i="23" s="1"/>
  <c r="AD179" i="23" s="1"/>
  <c r="AE179" i="23" s="1"/>
  <c r="AF179" i="23" s="1"/>
  <c r="B179" i="23" s="1"/>
  <c r="J179" i="23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E179" i="23"/>
  <c r="F179" i="23" s="1"/>
  <c r="G179" i="23" s="1"/>
  <c r="H179" i="23" s="1"/>
  <c r="I179" i="23" s="1"/>
  <c r="D179" i="23"/>
  <c r="G177" i="23"/>
  <c r="H177" i="23" s="1"/>
  <c r="I177" i="23" s="1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T177" i="23" s="1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AF177" i="23" s="1"/>
  <c r="B177" i="23" s="1"/>
  <c r="F177" i="23"/>
  <c r="E177" i="23"/>
  <c r="D177" i="23"/>
  <c r="X176" i="23"/>
  <c r="Y176" i="23" s="1"/>
  <c r="Z176" i="23" s="1"/>
  <c r="AA176" i="23" s="1"/>
  <c r="AB176" i="23" s="1"/>
  <c r="AC176" i="23" s="1"/>
  <c r="AD176" i="23" s="1"/>
  <c r="AE176" i="23" s="1"/>
  <c r="AF176" i="23" s="1"/>
  <c r="S176" i="23"/>
  <c r="T176" i="23" s="1"/>
  <c r="U176" i="23" s="1"/>
  <c r="V176" i="23" s="1"/>
  <c r="W176" i="23" s="1"/>
  <c r="E176" i="23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D176" i="23"/>
  <c r="B176" i="23"/>
  <c r="J175" i="23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B175" i="23" s="1"/>
  <c r="I175" i="23"/>
  <c r="G175" i="23"/>
  <c r="H175" i="23" s="1"/>
  <c r="D175" i="23"/>
  <c r="E175" i="23" s="1"/>
  <c r="F175" i="23" s="1"/>
  <c r="AC174" i="23"/>
  <c r="AD174" i="23" s="1"/>
  <c r="AE174" i="23" s="1"/>
  <c r="AF174" i="23" s="1"/>
  <c r="B174" i="23" s="1"/>
  <c r="E174" i="23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D174" i="23"/>
  <c r="S173" i="23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B173" i="23" s="1"/>
  <c r="O173" i="23"/>
  <c r="P173" i="23" s="1"/>
  <c r="Q173" i="23" s="1"/>
  <c r="R173" i="23" s="1"/>
  <c r="E173" i="23"/>
  <c r="F173" i="23" s="1"/>
  <c r="G173" i="23" s="1"/>
  <c r="H173" i="23" s="1"/>
  <c r="I173" i="23" s="1"/>
  <c r="J173" i="23" s="1"/>
  <c r="K173" i="23" s="1"/>
  <c r="L173" i="23" s="1"/>
  <c r="M173" i="23" s="1"/>
  <c r="N173" i="23" s="1"/>
  <c r="D173" i="23"/>
  <c r="K172" i="23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B172" i="23" s="1"/>
  <c r="G172" i="23"/>
  <c r="H172" i="23" s="1"/>
  <c r="I172" i="23" s="1"/>
  <c r="J172" i="23" s="1"/>
  <c r="E172" i="23"/>
  <c r="F172" i="23" s="1"/>
  <c r="D172" i="23"/>
  <c r="M171" i="23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B171" i="23" s="1"/>
  <c r="L171" i="23"/>
  <c r="F171" i="23"/>
  <c r="G171" i="23" s="1"/>
  <c r="H171" i="23" s="1"/>
  <c r="I171" i="23" s="1"/>
  <c r="J171" i="23" s="1"/>
  <c r="K171" i="23" s="1"/>
  <c r="D171" i="23"/>
  <c r="E171" i="23" s="1"/>
  <c r="J170" i="23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B170" i="23" s="1"/>
  <c r="I170" i="23"/>
  <c r="E170" i="23"/>
  <c r="F170" i="23" s="1"/>
  <c r="G170" i="23" s="1"/>
  <c r="H170" i="23" s="1"/>
  <c r="D170" i="23"/>
  <c r="R168" i="23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B168" i="23" s="1"/>
  <c r="I168" i="23"/>
  <c r="J168" i="23" s="1"/>
  <c r="K168" i="23" s="1"/>
  <c r="L168" i="23" s="1"/>
  <c r="M168" i="23" s="1"/>
  <c r="N168" i="23" s="1"/>
  <c r="O168" i="23" s="1"/>
  <c r="P168" i="23" s="1"/>
  <c r="Q168" i="23" s="1"/>
  <c r="H168" i="23"/>
  <c r="F168" i="23"/>
  <c r="G168" i="23" s="1"/>
  <c r="E168" i="23"/>
  <c r="D168" i="23"/>
  <c r="E167" i="23"/>
  <c r="F167" i="23" s="1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B167" i="23" s="1"/>
  <c r="D167" i="23"/>
  <c r="D166" i="23"/>
  <c r="E166" i="23" s="1"/>
  <c r="F166" i="23" s="1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B166" i="23" s="1"/>
  <c r="R165" i="23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B165" i="23" s="1"/>
  <c r="Q165" i="23"/>
  <c r="H165" i="23"/>
  <c r="I165" i="23" s="1"/>
  <c r="J165" i="23" s="1"/>
  <c r="K165" i="23" s="1"/>
  <c r="L165" i="23" s="1"/>
  <c r="M165" i="23" s="1"/>
  <c r="N165" i="23" s="1"/>
  <c r="O165" i="23" s="1"/>
  <c r="P165" i="23" s="1"/>
  <c r="G165" i="23"/>
  <c r="E165" i="23"/>
  <c r="F165" i="23" s="1"/>
  <c r="D165" i="23"/>
  <c r="U164" i="23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B164" i="23" s="1"/>
  <c r="F164" i="23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E164" i="23"/>
  <c r="D164" i="23"/>
  <c r="AF163" i="23"/>
  <c r="B163" i="23" s="1"/>
  <c r="L163" i="23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F163" i="23"/>
  <c r="G163" i="23" s="1"/>
  <c r="H163" i="23" s="1"/>
  <c r="I163" i="23" s="1"/>
  <c r="J163" i="23" s="1"/>
  <c r="K163" i="23" s="1"/>
  <c r="D163" i="23"/>
  <c r="E163" i="23" s="1"/>
  <c r="T162" i="23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B162" i="23" s="1"/>
  <c r="N162" i="23"/>
  <c r="O162" i="23" s="1"/>
  <c r="P162" i="23" s="1"/>
  <c r="Q162" i="23" s="1"/>
  <c r="R162" i="23" s="1"/>
  <c r="S162" i="23" s="1"/>
  <c r="D162" i="23"/>
  <c r="E162" i="23" s="1"/>
  <c r="F162" i="23" s="1"/>
  <c r="G162" i="23" s="1"/>
  <c r="H162" i="23" s="1"/>
  <c r="I162" i="23" s="1"/>
  <c r="J162" i="23" s="1"/>
  <c r="K162" i="23" s="1"/>
  <c r="L162" i="23" s="1"/>
  <c r="M162" i="23" s="1"/>
  <c r="X161" i="23"/>
  <c r="Y161" i="23" s="1"/>
  <c r="Z161" i="23" s="1"/>
  <c r="AA161" i="23" s="1"/>
  <c r="AB161" i="23" s="1"/>
  <c r="AC161" i="23" s="1"/>
  <c r="AD161" i="23" s="1"/>
  <c r="AE161" i="23" s="1"/>
  <c r="AF161" i="23" s="1"/>
  <c r="B161" i="23" s="1"/>
  <c r="M161" i="23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H161" i="23"/>
  <c r="I161" i="23" s="1"/>
  <c r="J161" i="23" s="1"/>
  <c r="K161" i="23" s="1"/>
  <c r="L161" i="23" s="1"/>
  <c r="G161" i="23"/>
  <c r="E161" i="23"/>
  <c r="F161" i="23" s="1"/>
  <c r="D161" i="23"/>
  <c r="U160" i="23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B160" i="23" s="1"/>
  <c r="J160" i="23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H160" i="23"/>
  <c r="I160" i="23" s="1"/>
  <c r="G160" i="23"/>
  <c r="F160" i="23"/>
  <c r="E160" i="23"/>
  <c r="D160" i="23"/>
  <c r="H159" i="23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B159" i="23" s="1"/>
  <c r="F159" i="23"/>
  <c r="G159" i="23" s="1"/>
  <c r="E159" i="23"/>
  <c r="D159" i="23"/>
  <c r="F158" i="23"/>
  <c r="G158" i="23" s="1"/>
  <c r="H158" i="23" s="1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B158" i="23" s="1"/>
  <c r="E158" i="23"/>
  <c r="D158" i="23"/>
  <c r="I157" i="23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B157" i="23" s="1"/>
  <c r="G157" i="23"/>
  <c r="H157" i="23" s="1"/>
  <c r="E157" i="23"/>
  <c r="F157" i="23" s="1"/>
  <c r="D157" i="23"/>
  <c r="H156" i="23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B156" i="23" s="1"/>
  <c r="E156" i="23"/>
  <c r="F156" i="23" s="1"/>
  <c r="G156" i="23" s="1"/>
  <c r="D156" i="23"/>
  <c r="D154" i="23"/>
  <c r="E154" i="23" s="1"/>
  <c r="F154" i="23" s="1"/>
  <c r="G154" i="23" s="1"/>
  <c r="H154" i="23" s="1"/>
  <c r="I154" i="23" s="1"/>
  <c r="J154" i="23" s="1"/>
  <c r="K154" i="23" s="1"/>
  <c r="L154" i="23" s="1"/>
  <c r="M154" i="23" s="1"/>
  <c r="N154" i="23" s="1"/>
  <c r="O154" i="23" s="1"/>
  <c r="P154" i="23" s="1"/>
  <c r="Q154" i="23" s="1"/>
  <c r="R154" i="23" s="1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B154" i="23" s="1"/>
  <c r="R153" i="23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B153" i="23" s="1"/>
  <c r="G153" i="23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F153" i="23"/>
  <c r="D153" i="23"/>
  <c r="E153" i="23" s="1"/>
  <c r="K152" i="23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B152" i="23" s="1"/>
  <c r="G152" i="23"/>
  <c r="H152" i="23" s="1"/>
  <c r="I152" i="23" s="1"/>
  <c r="J152" i="23" s="1"/>
  <c r="D152" i="23"/>
  <c r="E152" i="23" s="1"/>
  <c r="F152" i="23" s="1"/>
  <c r="E151" i="23"/>
  <c r="F151" i="23" s="1"/>
  <c r="G151" i="23" s="1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B151" i="23" s="1"/>
  <c r="D151" i="23"/>
  <c r="N149" i="23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B149" i="23" s="1"/>
  <c r="I149" i="23"/>
  <c r="J149" i="23" s="1"/>
  <c r="K149" i="23" s="1"/>
  <c r="L149" i="23" s="1"/>
  <c r="M149" i="23" s="1"/>
  <c r="E149" i="23"/>
  <c r="F149" i="23" s="1"/>
  <c r="G149" i="23" s="1"/>
  <c r="H149" i="23" s="1"/>
  <c r="D149" i="23"/>
  <c r="I148" i="23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B148" i="23" s="1"/>
  <c r="G148" i="23"/>
  <c r="H148" i="23" s="1"/>
  <c r="F148" i="23"/>
  <c r="D148" i="23"/>
  <c r="E148" i="23" s="1"/>
  <c r="M146" i="23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B146" i="23" s="1"/>
  <c r="L146" i="23"/>
  <c r="D146" i="23"/>
  <c r="E146" i="23" s="1"/>
  <c r="F146" i="23" s="1"/>
  <c r="G146" i="23" s="1"/>
  <c r="H146" i="23" s="1"/>
  <c r="I146" i="23" s="1"/>
  <c r="J146" i="23" s="1"/>
  <c r="K146" i="23" s="1"/>
  <c r="L145" i="23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B145" i="23" s="1"/>
  <c r="F145" i="23"/>
  <c r="G145" i="23" s="1"/>
  <c r="H145" i="23" s="1"/>
  <c r="I145" i="23" s="1"/>
  <c r="J145" i="23" s="1"/>
  <c r="K145" i="23" s="1"/>
  <c r="E145" i="23"/>
  <c r="D145" i="23"/>
  <c r="I144" i="23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B144" i="23" s="1"/>
  <c r="H144" i="23"/>
  <c r="D144" i="23"/>
  <c r="E144" i="23" s="1"/>
  <c r="F144" i="23" s="1"/>
  <c r="G144" i="23" s="1"/>
  <c r="G143" i="23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B143" i="23" s="1"/>
  <c r="F143" i="23"/>
  <c r="E143" i="23"/>
  <c r="D143" i="23"/>
  <c r="N142" i="23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B142" i="23" s="1"/>
  <c r="M142" i="23"/>
  <c r="D142" i="23"/>
  <c r="E142" i="23" s="1"/>
  <c r="F142" i="23" s="1"/>
  <c r="G142" i="23" s="1"/>
  <c r="H142" i="23" s="1"/>
  <c r="I142" i="23" s="1"/>
  <c r="J142" i="23" s="1"/>
  <c r="K142" i="23" s="1"/>
  <c r="L142" i="23" s="1"/>
  <c r="H141" i="23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B141" i="23" s="1"/>
  <c r="F141" i="23"/>
  <c r="G141" i="23" s="1"/>
  <c r="D141" i="23"/>
  <c r="E141" i="23" s="1"/>
  <c r="G140" i="23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B140" i="23" s="1"/>
  <c r="F140" i="23"/>
  <c r="D140" i="23"/>
  <c r="E140" i="23" s="1"/>
  <c r="D138" i="23"/>
  <c r="E138" i="23" s="1"/>
  <c r="F138" i="23" s="1"/>
  <c r="G138" i="23" s="1"/>
  <c r="H138" i="23" s="1"/>
  <c r="I138" i="23" s="1"/>
  <c r="J138" i="23" s="1"/>
  <c r="K138" i="23" s="1"/>
  <c r="L138" i="23" s="1"/>
  <c r="M138" i="23" s="1"/>
  <c r="N138" i="23" s="1"/>
  <c r="O138" i="23" s="1"/>
  <c r="P138" i="23" s="1"/>
  <c r="Q138" i="23" s="1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B138" i="23" s="1"/>
  <c r="E137" i="23"/>
  <c r="F137" i="23" s="1"/>
  <c r="G137" i="23" s="1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B137" i="23" s="1"/>
  <c r="D137" i="23"/>
  <c r="D136" i="23"/>
  <c r="E136" i="23" s="1"/>
  <c r="F136" i="23" s="1"/>
  <c r="G136" i="23" s="1"/>
  <c r="H136" i="23" s="1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B136" i="23" s="1"/>
  <c r="D135" i="23"/>
  <c r="E135" i="23" s="1"/>
  <c r="F135" i="23" s="1"/>
  <c r="G135" i="23" s="1"/>
  <c r="H135" i="23" s="1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B135" i="23" s="1"/>
  <c r="E134" i="23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B134" i="23" s="1"/>
  <c r="D134" i="23"/>
  <c r="D133" i="23"/>
  <c r="E133" i="23" s="1"/>
  <c r="F133" i="23" s="1"/>
  <c r="G133" i="23" s="1"/>
  <c r="H133" i="23" s="1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B133" i="23" s="1"/>
  <c r="D132" i="23"/>
  <c r="E132" i="23" s="1"/>
  <c r="F132" i="23" s="1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B132" i="23" s="1"/>
  <c r="I131" i="23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B131" i="23" s="1"/>
  <c r="H131" i="23"/>
  <c r="F131" i="23"/>
  <c r="G131" i="23" s="1"/>
  <c r="D131" i="23"/>
  <c r="E131" i="23" s="1"/>
  <c r="D129" i="23"/>
  <c r="E129" i="23" s="1"/>
  <c r="F129" i="23" s="1"/>
  <c r="G129" i="23" s="1"/>
  <c r="H129" i="23" s="1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S129" i="23" s="1"/>
  <c r="T129" i="23" s="1"/>
  <c r="U129" i="23" s="1"/>
  <c r="V129" i="23" s="1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B129" i="23" s="1"/>
  <c r="G128" i="23"/>
  <c r="H128" i="23" s="1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B128" i="23" s="1"/>
  <c r="D128" i="23"/>
  <c r="E128" i="23" s="1"/>
  <c r="F128" i="23" s="1"/>
  <c r="D127" i="23"/>
  <c r="E127" i="23" s="1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B127" i="23" s="1"/>
  <c r="D126" i="23"/>
  <c r="E126" i="23" s="1"/>
  <c r="F126" i="23" s="1"/>
  <c r="G126" i="23" s="1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B126" i="23" s="1"/>
  <c r="G125" i="23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B125" i="23" s="1"/>
  <c r="F125" i="23"/>
  <c r="E125" i="23"/>
  <c r="D125" i="23"/>
  <c r="E124" i="23"/>
  <c r="F124" i="23" s="1"/>
  <c r="G124" i="23" s="1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B124" i="23" s="1"/>
  <c r="D124" i="23"/>
  <c r="G123" i="23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B123" i="23" s="1"/>
  <c r="F123" i="23"/>
  <c r="D123" i="23"/>
  <c r="E123" i="23" s="1"/>
  <c r="E122" i="23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B122" i="23" s="1"/>
  <c r="D122" i="23"/>
  <c r="H121" i="23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B121" i="23" s="1"/>
  <c r="F121" i="23"/>
  <c r="G121" i="23" s="1"/>
  <c r="E121" i="23"/>
  <c r="D121" i="23"/>
  <c r="D120" i="23"/>
  <c r="E120" i="23" s="1"/>
  <c r="F120" i="23" s="1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B120" i="23" s="1"/>
  <c r="D119" i="23"/>
  <c r="E119" i="23" s="1"/>
  <c r="F119" i="23" s="1"/>
  <c r="G119" i="23" s="1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B119" i="23" s="1"/>
  <c r="F118" i="23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B118" i="23" s="1"/>
  <c r="E118" i="23"/>
  <c r="D118" i="23"/>
  <c r="H117" i="23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B117" i="23" s="1"/>
  <c r="D117" i="23"/>
  <c r="E117" i="23" s="1"/>
  <c r="F117" i="23" s="1"/>
  <c r="G117" i="23" s="1"/>
  <c r="F116" i="23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B116" i="23" s="1"/>
  <c r="D116" i="23"/>
  <c r="E116" i="23" s="1"/>
  <c r="E115" i="23"/>
  <c r="F115" i="23" s="1"/>
  <c r="G115" i="23" s="1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B115" i="23" s="1"/>
  <c r="D115" i="23"/>
  <c r="K114" i="23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B114" i="23" s="1"/>
  <c r="D114" i="23"/>
  <c r="E114" i="23" s="1"/>
  <c r="F114" i="23" s="1"/>
  <c r="G114" i="23" s="1"/>
  <c r="H114" i="23" s="1"/>
  <c r="I114" i="23" s="1"/>
  <c r="H113" i="23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B113" i="23" s="1"/>
  <c r="G113" i="23"/>
  <c r="D113" i="23"/>
  <c r="E113" i="23" s="1"/>
  <c r="F113" i="23" s="1"/>
  <c r="H112" i="23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B112" i="23" s="1"/>
  <c r="F112" i="23"/>
  <c r="G112" i="23" s="1"/>
  <c r="E112" i="23"/>
  <c r="D112" i="23"/>
  <c r="G110" i="23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B110" i="23" s="1"/>
  <c r="F110" i="23"/>
  <c r="D110" i="23"/>
  <c r="E110" i="23" s="1"/>
  <c r="E109" i="23"/>
  <c r="D109" i="23"/>
  <c r="D107" i="23"/>
  <c r="E107" i="23" s="1"/>
  <c r="F107" i="23" s="1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B107" i="23" s="1"/>
  <c r="E106" i="23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B106" i="23" s="1"/>
  <c r="D106" i="23"/>
  <c r="D105" i="23"/>
  <c r="E105" i="23" s="1"/>
  <c r="F105" i="23" s="1"/>
  <c r="G105" i="23" s="1"/>
  <c r="H105" i="23" s="1"/>
  <c r="I105" i="23" s="1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B105" i="23" s="1"/>
  <c r="D104" i="23"/>
  <c r="E104" i="23" s="1"/>
  <c r="F104" i="23" s="1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B104" i="23" s="1"/>
  <c r="E103" i="23"/>
  <c r="F103" i="23" s="1"/>
  <c r="G103" i="23" s="1"/>
  <c r="D103" i="23"/>
  <c r="E102" i="23"/>
  <c r="D102" i="23"/>
  <c r="AH98" i="23"/>
  <c r="AI98" i="23" s="1"/>
  <c r="AH97" i="23"/>
  <c r="AI97" i="23" s="1"/>
  <c r="AH96" i="23"/>
  <c r="AI96" i="23" s="1"/>
  <c r="AH95" i="23"/>
  <c r="AI95" i="23" s="1"/>
  <c r="AH94" i="23"/>
  <c r="AI94" i="23" s="1"/>
  <c r="C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G82" i="23"/>
  <c r="AI81" i="23"/>
  <c r="AH81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B80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F77" i="23"/>
  <c r="AE77" i="23"/>
  <c r="AE82" i="23" s="1"/>
  <c r="AD77" i="23"/>
  <c r="AC77" i="23"/>
  <c r="AB77" i="23"/>
  <c r="AA77" i="23"/>
  <c r="Z77" i="23"/>
  <c r="Y77" i="23"/>
  <c r="Y82" i="23" s="1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AF76" i="23"/>
  <c r="AE76" i="23"/>
  <c r="AD76" i="23"/>
  <c r="AD82" i="23" s="1"/>
  <c r="AC76" i="23"/>
  <c r="AB76" i="23"/>
  <c r="AA76" i="23"/>
  <c r="Z76" i="23"/>
  <c r="Y76" i="23"/>
  <c r="X76" i="23"/>
  <c r="W76" i="23"/>
  <c r="V76" i="23"/>
  <c r="U76" i="23"/>
  <c r="T76" i="23"/>
  <c r="S76" i="23"/>
  <c r="R76" i="23"/>
  <c r="R82" i="23" s="1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AI74" i="23"/>
  <c r="AH74" i="23"/>
  <c r="AG72" i="23"/>
  <c r="AF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AH72" i="23" s="1"/>
  <c r="AI71" i="23"/>
  <c r="AH71" i="23"/>
  <c r="AI70" i="23"/>
  <c r="AH70" i="23"/>
  <c r="AI69" i="23"/>
  <c r="AH69" i="23"/>
  <c r="AG68" i="23"/>
  <c r="AF68" i="23"/>
  <c r="AD68" i="23"/>
  <c r="AC5" i="23" s="1"/>
  <c r="AC68" i="23"/>
  <c r="AB5" i="23" s="1"/>
  <c r="AB68" i="23"/>
  <c r="AA5" i="23" s="1"/>
  <c r="AA68" i="23"/>
  <c r="Z5" i="23" s="1"/>
  <c r="Z68" i="23"/>
  <c r="Y68" i="23"/>
  <c r="X5" i="23" s="1"/>
  <c r="X68" i="23"/>
  <c r="W5" i="23" s="1"/>
  <c r="W68" i="23"/>
  <c r="V5" i="23" s="1"/>
  <c r="V68" i="23"/>
  <c r="U68" i="23"/>
  <c r="T68" i="23"/>
  <c r="S68" i="23"/>
  <c r="R68" i="23"/>
  <c r="Q68" i="23"/>
  <c r="P68" i="23"/>
  <c r="O68" i="23"/>
  <c r="N5" i="23" s="1"/>
  <c r="N68" i="23"/>
  <c r="M5" i="23" s="1"/>
  <c r="M68" i="23"/>
  <c r="L5" i="23" s="1"/>
  <c r="L68" i="23"/>
  <c r="K68" i="23"/>
  <c r="J5" i="23" s="1"/>
  <c r="J68" i="23"/>
  <c r="I5" i="23" s="1"/>
  <c r="I68" i="23"/>
  <c r="H68" i="23"/>
  <c r="G68" i="23"/>
  <c r="F5" i="23" s="1"/>
  <c r="F68" i="23"/>
  <c r="E5" i="23" s="1"/>
  <c r="E68" i="23"/>
  <c r="D68" i="23"/>
  <c r="C5" i="23" s="1"/>
  <c r="C68" i="23"/>
  <c r="B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F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I54" i="23"/>
  <c r="AH54" i="23"/>
  <c r="AI53" i="23"/>
  <c r="AH53" i="23"/>
  <c r="Z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AG51" i="23"/>
  <c r="AG52" i="23" s="1"/>
  <c r="AG75" i="23" s="1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F38" i="23"/>
  <c r="AE38" i="23"/>
  <c r="AE73" i="23" s="1"/>
  <c r="AD38" i="23"/>
  <c r="AC38" i="23"/>
  <c r="AB38" i="23"/>
  <c r="AA38" i="23"/>
  <c r="Z38" i="23"/>
  <c r="Y38" i="23"/>
  <c r="X38" i="23"/>
  <c r="W38" i="23"/>
  <c r="V38" i="23"/>
  <c r="U38" i="23"/>
  <c r="T38" i="23"/>
  <c r="T73" i="23" s="1"/>
  <c r="S38" i="23"/>
  <c r="R38" i="23"/>
  <c r="Q38" i="23"/>
  <c r="P38" i="23"/>
  <c r="O38" i="23"/>
  <c r="N38" i="23"/>
  <c r="M38" i="23"/>
  <c r="L38" i="23"/>
  <c r="L75" i="23" s="1"/>
  <c r="K38" i="23"/>
  <c r="J38" i="23"/>
  <c r="I38" i="23"/>
  <c r="H38" i="23"/>
  <c r="G38" i="23"/>
  <c r="F38" i="23"/>
  <c r="E38" i="23"/>
  <c r="D38" i="23"/>
  <c r="C38" i="23"/>
  <c r="C73" i="23" s="1"/>
  <c r="C75" i="23" s="1"/>
  <c r="U214" i="23" s="1"/>
  <c r="B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Y5" i="23"/>
  <c r="U5" i="23"/>
  <c r="S5" i="23"/>
  <c r="R5" i="23"/>
  <c r="Q5" i="23"/>
  <c r="P5" i="23"/>
  <c r="K5" i="23"/>
  <c r="H5" i="23"/>
  <c r="B5" i="23"/>
  <c r="AG4" i="23"/>
  <c r="AG6" i="23" s="1"/>
  <c r="K4" i="23"/>
  <c r="B4" i="23"/>
  <c r="AG3" i="23"/>
  <c r="AG2" i="23"/>
  <c r="AC37" i="22"/>
  <c r="AB95" i="22"/>
  <c r="AB37" i="22"/>
  <c r="Z93" i="22"/>
  <c r="Z75" i="22"/>
  <c r="Z68" i="22"/>
  <c r="Z56" i="22"/>
  <c r="Z52" i="22"/>
  <c r="Z38" i="22"/>
  <c r="AA95" i="22"/>
  <c r="AA37" i="22"/>
  <c r="Y95" i="22"/>
  <c r="Y58" i="22"/>
  <c r="Y37" i="22"/>
  <c r="X95" i="22"/>
  <c r="W58" i="22"/>
  <c r="X58" i="22"/>
  <c r="X37" i="22"/>
  <c r="W95" i="22"/>
  <c r="W37" i="22"/>
  <c r="V95" i="22"/>
  <c r="V58" i="22"/>
  <c r="V37" i="22"/>
  <c r="U58" i="22"/>
  <c r="T95" i="22"/>
  <c r="T58" i="22"/>
  <c r="T37" i="22"/>
  <c r="S58" i="22"/>
  <c r="E4" i="23"/>
  <c r="AB82" i="23" l="1"/>
  <c r="AA82" i="23"/>
  <c r="Z82" i="23"/>
  <c r="Z75" i="23"/>
  <c r="AR214" i="23" s="1"/>
  <c r="X82" i="23"/>
  <c r="W82" i="23"/>
  <c r="V82" i="23"/>
  <c r="T82" i="23"/>
  <c r="T75" i="23"/>
  <c r="T83" i="23" s="1"/>
  <c r="S82" i="23"/>
  <c r="S73" i="23"/>
  <c r="Q82" i="23"/>
  <c r="Q73" i="23"/>
  <c r="Q75" i="23"/>
  <c r="P82" i="23"/>
  <c r="P73" i="23"/>
  <c r="O82" i="23"/>
  <c r="O75" i="23"/>
  <c r="AG214" i="23" s="1"/>
  <c r="N82" i="23"/>
  <c r="N73" i="23"/>
  <c r="M75" i="23"/>
  <c r="AE214" i="23" s="1"/>
  <c r="M73" i="23"/>
  <c r="L82" i="23"/>
  <c r="K82" i="23"/>
  <c r="K73" i="23"/>
  <c r="J82" i="23"/>
  <c r="J75" i="23"/>
  <c r="AB214" i="23" s="1"/>
  <c r="AI76" i="23"/>
  <c r="I73" i="23"/>
  <c r="I75" i="23"/>
  <c r="AA214" i="23" s="1"/>
  <c r="H82" i="23"/>
  <c r="H73" i="23"/>
  <c r="H75" i="23"/>
  <c r="H7" i="23" s="1"/>
  <c r="G82" i="23"/>
  <c r="G75" i="23"/>
  <c r="G7" i="23" s="1"/>
  <c r="F82" i="23"/>
  <c r="F73" i="23"/>
  <c r="E75" i="23"/>
  <c r="W214" i="23" s="1"/>
  <c r="E73" i="23"/>
  <c r="AH78" i="23"/>
  <c r="D82" i="23"/>
  <c r="D73" i="23"/>
  <c r="D75" i="23"/>
  <c r="C82" i="23"/>
  <c r="AH77" i="23"/>
  <c r="AI77" i="23"/>
  <c r="AH80" i="23"/>
  <c r="AI80" i="23"/>
  <c r="AI56" i="23"/>
  <c r="AI38" i="23"/>
  <c r="AI79" i="23"/>
  <c r="H4" i="23"/>
  <c r="AD214" i="23"/>
  <c r="L7" i="23"/>
  <c r="H103" i="23"/>
  <c r="P75" i="23"/>
  <c r="AI78" i="23"/>
  <c r="AH79" i="23"/>
  <c r="I82" i="23"/>
  <c r="E192" i="23"/>
  <c r="D5" i="23"/>
  <c r="T5" i="23"/>
  <c r="AH56" i="23"/>
  <c r="J73" i="23"/>
  <c r="Z73" i="23"/>
  <c r="S211" i="23"/>
  <c r="D211" i="23"/>
  <c r="C7" i="23"/>
  <c r="AI68" i="23"/>
  <c r="C83" i="23"/>
  <c r="K75" i="23"/>
  <c r="S75" i="23"/>
  <c r="S83" i="23" s="1"/>
  <c r="AI72" i="23"/>
  <c r="L73" i="23"/>
  <c r="L83" i="23" s="1"/>
  <c r="AG73" i="23"/>
  <c r="AG83" i="23" s="1"/>
  <c r="R75" i="23"/>
  <c r="E82" i="23"/>
  <c r="M82" i="23"/>
  <c r="U82" i="23"/>
  <c r="AC82" i="23"/>
  <c r="AD5" i="23"/>
  <c r="G5" i="23"/>
  <c r="O5" i="23"/>
  <c r="AE5" i="23"/>
  <c r="AF5" i="23"/>
  <c r="F75" i="23"/>
  <c r="N75" i="23"/>
  <c r="N83" i="23" s="1"/>
  <c r="AF82" i="23"/>
  <c r="G73" i="23"/>
  <c r="D93" i="23"/>
  <c r="AH38" i="23"/>
  <c r="B82" i="23"/>
  <c r="AH76" i="23"/>
  <c r="O73" i="23"/>
  <c r="O83" i="23" s="1"/>
  <c r="F109" i="23"/>
  <c r="G109" i="23" s="1"/>
  <c r="H109" i="23" s="1"/>
  <c r="I109" i="23" s="1"/>
  <c r="J109" i="23" s="1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B109" i="23" s="1"/>
  <c r="R73" i="23"/>
  <c r="AH68" i="23"/>
  <c r="F102" i="23"/>
  <c r="D192" i="23"/>
  <c r="E199" i="23"/>
  <c r="E194" i="23"/>
  <c r="D200" i="23"/>
  <c r="Z83" i="23" l="1"/>
  <c r="Z7" i="23"/>
  <c r="AL214" i="23"/>
  <c r="T7" i="23"/>
  <c r="O7" i="23"/>
  <c r="R83" i="23"/>
  <c r="AI214" i="23"/>
  <c r="Q7" i="23"/>
  <c r="Q83" i="23"/>
  <c r="M7" i="23"/>
  <c r="M83" i="23"/>
  <c r="K83" i="23"/>
  <c r="J7" i="23"/>
  <c r="J83" i="23"/>
  <c r="I7" i="23"/>
  <c r="I83" i="23"/>
  <c r="Z214" i="23"/>
  <c r="H83" i="23"/>
  <c r="Y214" i="23"/>
  <c r="G83" i="23"/>
  <c r="E7" i="23"/>
  <c r="E83" i="23"/>
  <c r="V214" i="23"/>
  <c r="D7" i="23"/>
  <c r="D83" i="23"/>
  <c r="D235" i="23"/>
  <c r="F199" i="23"/>
  <c r="AF214" i="23"/>
  <c r="N7" i="23"/>
  <c r="X214" i="23"/>
  <c r="F7" i="23"/>
  <c r="F83" i="23"/>
  <c r="AH214" i="23"/>
  <c r="P7" i="23"/>
  <c r="AH82" i="23"/>
  <c r="AI82" i="23"/>
  <c r="AC214" i="23"/>
  <c r="K7" i="23"/>
  <c r="B209" i="23"/>
  <c r="F192" i="23"/>
  <c r="G102" i="23"/>
  <c r="E200" i="23"/>
  <c r="F194" i="23"/>
  <c r="E93" i="23"/>
  <c r="P83" i="23"/>
  <c r="AJ214" i="23"/>
  <c r="R7" i="23"/>
  <c r="AK214" i="23"/>
  <c r="S7" i="23"/>
  <c r="I103" i="23"/>
  <c r="C209" i="23"/>
  <c r="K6" i="23" l="1"/>
  <c r="G192" i="23"/>
  <c r="H102" i="23"/>
  <c r="J103" i="23"/>
  <c r="F200" i="23"/>
  <c r="G194" i="23"/>
  <c r="F93" i="23"/>
  <c r="G199" i="23"/>
  <c r="E235" i="23"/>
  <c r="H194" i="23" l="1"/>
  <c r="G200" i="23"/>
  <c r="G93" i="23"/>
  <c r="K103" i="23"/>
  <c r="H192" i="23"/>
  <c r="I102" i="23"/>
  <c r="H199" i="23"/>
  <c r="F235" i="23"/>
  <c r="L103" i="23" l="1"/>
  <c r="I192" i="23"/>
  <c r="J102" i="23"/>
  <c r="H200" i="23"/>
  <c r="I194" i="23"/>
  <c r="H93" i="23"/>
  <c r="G235" i="23"/>
  <c r="I199" i="23"/>
  <c r="I200" i="23" l="1"/>
  <c r="J194" i="23"/>
  <c r="I93" i="23"/>
  <c r="J192" i="23"/>
  <c r="K102" i="23"/>
  <c r="H235" i="23"/>
  <c r="J199" i="23"/>
  <c r="M103" i="23"/>
  <c r="N103" i="23" l="1"/>
  <c r="K192" i="23"/>
  <c r="L102" i="23"/>
  <c r="K194" i="23"/>
  <c r="J200" i="23"/>
  <c r="J93" i="23"/>
  <c r="I235" i="23"/>
  <c r="K199" i="23"/>
  <c r="O103" i="23" l="1"/>
  <c r="K200" i="23"/>
  <c r="L194" i="23"/>
  <c r="K93" i="23"/>
  <c r="L192" i="23"/>
  <c r="M102" i="23"/>
  <c r="J235" i="23"/>
  <c r="L199" i="23"/>
  <c r="P103" i="23" l="1"/>
  <c r="M192" i="23"/>
  <c r="N102" i="23"/>
  <c r="M194" i="23"/>
  <c r="L200" i="23"/>
  <c r="L93" i="23"/>
  <c r="M199" i="23"/>
  <c r="K235" i="23"/>
  <c r="L235" i="23" l="1"/>
  <c r="N199" i="23"/>
  <c r="M200" i="23"/>
  <c r="N194" i="23"/>
  <c r="M93" i="23"/>
  <c r="Q103" i="23"/>
  <c r="N192" i="23"/>
  <c r="O102" i="23"/>
  <c r="R103" i="23" l="1"/>
  <c r="N200" i="23"/>
  <c r="O194" i="23"/>
  <c r="N93" i="23"/>
  <c r="O199" i="23"/>
  <c r="M235" i="23"/>
  <c r="O192" i="23"/>
  <c r="P102" i="23"/>
  <c r="N235" i="23" l="1"/>
  <c r="P199" i="23"/>
  <c r="O200" i="23"/>
  <c r="P194" i="23"/>
  <c r="O93" i="23"/>
  <c r="S103" i="23"/>
  <c r="P192" i="23"/>
  <c r="Q102" i="23"/>
  <c r="T103" i="23" l="1"/>
  <c r="P200" i="23"/>
  <c r="Q194" i="23"/>
  <c r="P93" i="23"/>
  <c r="Q199" i="23"/>
  <c r="O235" i="23"/>
  <c r="Q192" i="23"/>
  <c r="R102" i="23"/>
  <c r="P235" i="23" l="1"/>
  <c r="R199" i="23"/>
  <c r="R194" i="23"/>
  <c r="Q200" i="23"/>
  <c r="Q93" i="23"/>
  <c r="R192" i="23"/>
  <c r="S102" i="23"/>
  <c r="U103" i="23"/>
  <c r="V103" i="23" l="1"/>
  <c r="S192" i="23"/>
  <c r="T102" i="23"/>
  <c r="R200" i="23"/>
  <c r="S194" i="23"/>
  <c r="R93" i="23"/>
  <c r="Q235" i="23"/>
  <c r="S199" i="23"/>
  <c r="T194" i="23" l="1"/>
  <c r="S200" i="23"/>
  <c r="S93" i="23"/>
  <c r="W103" i="23"/>
  <c r="T192" i="23"/>
  <c r="U102" i="23"/>
  <c r="R235" i="23"/>
  <c r="T199" i="23"/>
  <c r="X103" i="23" l="1"/>
  <c r="U192" i="23"/>
  <c r="V102" i="23"/>
  <c r="S235" i="23"/>
  <c r="U199" i="23"/>
  <c r="U194" i="23"/>
  <c r="T200" i="23"/>
  <c r="T93" i="23"/>
  <c r="T235" i="23" l="1"/>
  <c r="V199" i="23"/>
  <c r="V192" i="23"/>
  <c r="W102" i="23"/>
  <c r="Y103" i="23"/>
  <c r="U200" i="23"/>
  <c r="U51" i="23" s="1"/>
  <c r="U52" i="23" s="1"/>
  <c r="V194" i="23"/>
  <c r="U93" i="23"/>
  <c r="V200" i="23" l="1"/>
  <c r="V51" i="23" s="1"/>
  <c r="V52" i="23" s="1"/>
  <c r="W194" i="23"/>
  <c r="V93" i="23"/>
  <c r="U73" i="23"/>
  <c r="U75" i="23"/>
  <c r="Z103" i="23"/>
  <c r="W199" i="23"/>
  <c r="U235" i="23"/>
  <c r="W192" i="23"/>
  <c r="X102" i="23"/>
  <c r="AA103" i="23" l="1"/>
  <c r="X199" i="23"/>
  <c r="V235" i="23"/>
  <c r="U83" i="23"/>
  <c r="X192" i="23"/>
  <c r="Y102" i="23"/>
  <c r="W200" i="23"/>
  <c r="W51" i="23" s="1"/>
  <c r="W52" i="23" s="1"/>
  <c r="X194" i="23"/>
  <c r="W93" i="23"/>
  <c r="AM214" i="23"/>
  <c r="U7" i="23"/>
  <c r="V75" i="23"/>
  <c r="V73" i="23"/>
  <c r="V83" i="23" s="1"/>
  <c r="Z102" i="23" l="1"/>
  <c r="Y192" i="23"/>
  <c r="AN214" i="23"/>
  <c r="V7" i="23"/>
  <c r="Y199" i="23"/>
  <c r="W235" i="23"/>
  <c r="W73" i="23"/>
  <c r="W75" i="23"/>
  <c r="X200" i="23"/>
  <c r="X51" i="23" s="1"/>
  <c r="X52" i="23" s="1"/>
  <c r="Y194" i="23"/>
  <c r="X93" i="23"/>
  <c r="AB103" i="23"/>
  <c r="W83" i="23" l="1"/>
  <c r="Z199" i="23"/>
  <c r="X235" i="23"/>
  <c r="AC103" i="23"/>
  <c r="Y200" i="23"/>
  <c r="Y51" i="23" s="1"/>
  <c r="Y52" i="23" s="1"/>
  <c r="Z194" i="23"/>
  <c r="Y93" i="23"/>
  <c r="AO214" i="23"/>
  <c r="W7" i="23"/>
  <c r="X75" i="23"/>
  <c r="X73" i="23"/>
  <c r="Z192" i="23"/>
  <c r="AA102" i="23"/>
  <c r="X83" i="23" l="1"/>
  <c r="AA192" i="23"/>
  <c r="AB102" i="23"/>
  <c r="Z200" i="23"/>
  <c r="AA194" i="23"/>
  <c r="Z93" i="23"/>
  <c r="Y75" i="23"/>
  <c r="Y73" i="23"/>
  <c r="AD103" i="23"/>
  <c r="AP214" i="23"/>
  <c r="X7" i="23"/>
  <c r="Y235" i="23"/>
  <c r="AA199" i="23"/>
  <c r="AQ214" i="23" l="1"/>
  <c r="Y7" i="23"/>
  <c r="AB192" i="23"/>
  <c r="AC102" i="23"/>
  <c r="Y83" i="23"/>
  <c r="Z235" i="23"/>
  <c r="AB199" i="23"/>
  <c r="AB194" i="23"/>
  <c r="AA200" i="23"/>
  <c r="AA51" i="23" s="1"/>
  <c r="AA52" i="23" s="1"/>
  <c r="AA93" i="23"/>
  <c r="AE103" i="23"/>
  <c r="AC194" i="23" l="1"/>
  <c r="AB200" i="23"/>
  <c r="AB51" i="23" s="1"/>
  <c r="AB52" i="23" s="1"/>
  <c r="AB93" i="23"/>
  <c r="AA235" i="23"/>
  <c r="AC199" i="23"/>
  <c r="AF103" i="23"/>
  <c r="AC192" i="23"/>
  <c r="AD102" i="23"/>
  <c r="AA73" i="23"/>
  <c r="AA75" i="23"/>
  <c r="AS214" i="23" l="1"/>
  <c r="AA7" i="23"/>
  <c r="B103" i="23"/>
  <c r="AB235" i="23"/>
  <c r="AD199" i="23"/>
  <c r="AA83" i="23"/>
  <c r="AB75" i="23"/>
  <c r="AB73" i="23"/>
  <c r="AD192" i="23"/>
  <c r="AE102" i="23"/>
  <c r="AD194" i="23"/>
  <c r="AC200" i="23"/>
  <c r="AC51" i="23" s="1"/>
  <c r="AC52" i="23" s="1"/>
  <c r="AC93" i="23"/>
  <c r="AE199" i="23" l="1"/>
  <c r="AC235" i="23"/>
  <c r="AT214" i="23"/>
  <c r="AB7" i="23"/>
  <c r="AC73" i="23"/>
  <c r="AC75" i="23"/>
  <c r="AD200" i="23"/>
  <c r="AD51" i="23" s="1"/>
  <c r="AD52" i="23" s="1"/>
  <c r="AE194" i="23"/>
  <c r="AD93" i="23"/>
  <c r="AE192" i="23"/>
  <c r="AF102" i="23"/>
  <c r="AB83" i="23"/>
  <c r="AD73" i="23" l="1"/>
  <c r="AD75" i="23"/>
  <c r="AC83" i="23"/>
  <c r="AF192" i="23"/>
  <c r="B102" i="23"/>
  <c r="B192" i="23" s="1"/>
  <c r="AU214" i="23"/>
  <c r="AC7" i="23"/>
  <c r="AE200" i="23"/>
  <c r="AF194" i="23"/>
  <c r="AE93" i="23"/>
  <c r="AD235" i="23"/>
  <c r="AF199" i="23"/>
  <c r="AE235" i="23" l="1"/>
  <c r="B199" i="23"/>
  <c r="AF235" i="23" s="1"/>
  <c r="AE75" i="23"/>
  <c r="AV214" i="23"/>
  <c r="AD7" i="23"/>
  <c r="AF200" i="23"/>
  <c r="AF51" i="23" s="1"/>
  <c r="AF52" i="23" s="1"/>
  <c r="B194" i="23"/>
  <c r="AF93" i="23"/>
  <c r="AD83" i="23"/>
  <c r="AE83" i="23" l="1"/>
  <c r="AF73" i="23"/>
  <c r="AF75" i="23"/>
  <c r="AW214" i="23"/>
  <c r="AE7" i="23"/>
  <c r="B200" i="23"/>
  <c r="B93" i="23"/>
  <c r="AH93" i="23"/>
  <c r="AI93" i="23"/>
  <c r="AX214" i="23" l="1"/>
  <c r="AF7" i="23"/>
  <c r="AI51" i="23"/>
  <c r="B52" i="23"/>
  <c r="AH51" i="23"/>
  <c r="AF83" i="23"/>
  <c r="B75" i="23" l="1"/>
  <c r="AI52" i="23"/>
  <c r="AH52" i="23"/>
  <c r="B73" i="23"/>
  <c r="AH73" i="23" l="1"/>
  <c r="B83" i="23"/>
  <c r="AI73" i="23"/>
  <c r="T214" i="23"/>
  <c r="AI75" i="23"/>
  <c r="B7" i="23"/>
  <c r="A7" i="23" s="1"/>
  <c r="AH75" i="23"/>
  <c r="AI83" i="23" l="1"/>
  <c r="AH83" i="23"/>
  <c r="M37" i="22" l="1"/>
  <c r="L37" i="22"/>
  <c r="K37" i="22"/>
  <c r="J37" i="22"/>
  <c r="I37" i="22"/>
  <c r="H37" i="22"/>
  <c r="G37" i="22"/>
  <c r="F37" i="22"/>
  <c r="E37" i="22"/>
  <c r="D95" i="22"/>
  <c r="D37" i="22"/>
  <c r="AH100" i="22"/>
  <c r="AI100" i="22" s="1"/>
  <c r="AH99" i="22"/>
  <c r="AI99" i="22" s="1"/>
  <c r="C95" i="22"/>
  <c r="C37" i="22"/>
  <c r="B95" i="22"/>
  <c r="B37" i="22"/>
  <c r="B93" i="22"/>
  <c r="B80" i="22"/>
  <c r="B79" i="22"/>
  <c r="B78" i="22"/>
  <c r="B77" i="22"/>
  <c r="B76" i="22"/>
  <c r="B72" i="22"/>
  <c r="B68" i="22"/>
  <c r="B56" i="22"/>
  <c r="B52" i="22"/>
  <c r="B51" i="22"/>
  <c r="B38" i="22"/>
  <c r="AH37" i="22"/>
  <c r="AF239" i="22"/>
  <c r="AE239" i="22"/>
  <c r="AD239" i="22"/>
  <c r="AC239" i="22"/>
  <c r="AB239" i="22"/>
  <c r="AA239" i="22"/>
  <c r="Z239" i="22"/>
  <c r="Y239" i="22"/>
  <c r="X239" i="22"/>
  <c r="W239" i="22"/>
  <c r="V239" i="22"/>
  <c r="U239" i="22"/>
  <c r="T239" i="22"/>
  <c r="S239" i="22"/>
  <c r="R239" i="22"/>
  <c r="Q239" i="22"/>
  <c r="P239" i="22"/>
  <c r="O239" i="22"/>
  <c r="N239" i="22"/>
  <c r="M239" i="22"/>
  <c r="L239" i="22"/>
  <c r="K239" i="22"/>
  <c r="J239" i="22"/>
  <c r="I239" i="22"/>
  <c r="H239" i="22"/>
  <c r="G239" i="22"/>
  <c r="F239" i="22"/>
  <c r="E239" i="22"/>
  <c r="D239" i="22"/>
  <c r="C239" i="22"/>
  <c r="B239" i="22"/>
  <c r="A239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C235" i="22"/>
  <c r="B235" i="22"/>
  <c r="S210" i="22"/>
  <c r="AG200" i="22"/>
  <c r="C200" i="22"/>
  <c r="D199" i="22"/>
  <c r="E199" i="22" s="1"/>
  <c r="L198" i="22"/>
  <c r="M198" i="22" s="1"/>
  <c r="N198" i="22" s="1"/>
  <c r="O198" i="22" s="1"/>
  <c r="P198" i="22" s="1"/>
  <c r="Q198" i="22" s="1"/>
  <c r="R198" i="22" s="1"/>
  <c r="S198" i="22" s="1"/>
  <c r="T198" i="22" s="1"/>
  <c r="U198" i="22" s="1"/>
  <c r="V198" i="22" s="1"/>
  <c r="W198" i="22" s="1"/>
  <c r="X198" i="22" s="1"/>
  <c r="Y198" i="22" s="1"/>
  <c r="Z198" i="22" s="1"/>
  <c r="AA198" i="22" s="1"/>
  <c r="AB198" i="22" s="1"/>
  <c r="AC198" i="22" s="1"/>
  <c r="AD198" i="22" s="1"/>
  <c r="AE198" i="22" s="1"/>
  <c r="AF198" i="22" s="1"/>
  <c r="B198" i="22" s="1"/>
  <c r="D198" i="22"/>
  <c r="E198" i="22" s="1"/>
  <c r="F198" i="22" s="1"/>
  <c r="G198" i="22" s="1"/>
  <c r="H198" i="22" s="1"/>
  <c r="I198" i="22" s="1"/>
  <c r="J198" i="22" s="1"/>
  <c r="K198" i="22" s="1"/>
  <c r="Z197" i="22"/>
  <c r="AA197" i="22" s="1"/>
  <c r="AB197" i="22" s="1"/>
  <c r="AC197" i="22" s="1"/>
  <c r="AD197" i="22" s="1"/>
  <c r="AE197" i="22" s="1"/>
  <c r="AF197" i="22" s="1"/>
  <c r="B197" i="22" s="1"/>
  <c r="J197" i="22"/>
  <c r="K197" i="22" s="1"/>
  <c r="L197" i="22" s="1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D197" i="22"/>
  <c r="E197" i="22" s="1"/>
  <c r="F197" i="22" s="1"/>
  <c r="G197" i="22" s="1"/>
  <c r="H197" i="22" s="1"/>
  <c r="I197" i="22" s="1"/>
  <c r="J196" i="22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B196" i="22" s="1"/>
  <c r="H196" i="22"/>
  <c r="I196" i="22" s="1"/>
  <c r="D196" i="22"/>
  <c r="E196" i="22" s="1"/>
  <c r="F196" i="22" s="1"/>
  <c r="G196" i="22" s="1"/>
  <c r="F195" i="22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B195" i="22" s="1"/>
  <c r="D195" i="22"/>
  <c r="E195" i="22" s="1"/>
  <c r="D194" i="22"/>
  <c r="AG192" i="22"/>
  <c r="C192" i="22"/>
  <c r="T191" i="22"/>
  <c r="U191" i="22" s="1"/>
  <c r="V191" i="22" s="1"/>
  <c r="W191" i="22" s="1"/>
  <c r="X191" i="22" s="1"/>
  <c r="Y191" i="22" s="1"/>
  <c r="Z191" i="22" s="1"/>
  <c r="AA191" i="22" s="1"/>
  <c r="AB191" i="22" s="1"/>
  <c r="AC191" i="22" s="1"/>
  <c r="AD191" i="22" s="1"/>
  <c r="AE191" i="22" s="1"/>
  <c r="AF191" i="22" s="1"/>
  <c r="B191" i="22" s="1"/>
  <c r="O191" i="22"/>
  <c r="P191" i="22" s="1"/>
  <c r="Q191" i="22" s="1"/>
  <c r="R191" i="22" s="1"/>
  <c r="S191" i="22" s="1"/>
  <c r="H191" i="22"/>
  <c r="I191" i="22" s="1"/>
  <c r="J191" i="22" s="1"/>
  <c r="K191" i="22" s="1"/>
  <c r="L191" i="22" s="1"/>
  <c r="M191" i="22" s="1"/>
  <c r="N191" i="22" s="1"/>
  <c r="E191" i="22"/>
  <c r="F191" i="22" s="1"/>
  <c r="G191" i="22" s="1"/>
  <c r="D191" i="22"/>
  <c r="H190" i="22"/>
  <c r="I190" i="22" s="1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B190" i="22" s="1"/>
  <c r="D190" i="22"/>
  <c r="E190" i="22" s="1"/>
  <c r="F190" i="22" s="1"/>
  <c r="G190" i="22" s="1"/>
  <c r="E189" i="22"/>
  <c r="F189" i="22" s="1"/>
  <c r="G189" i="22" s="1"/>
  <c r="H189" i="22" s="1"/>
  <c r="I189" i="22" s="1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B189" i="22" s="1"/>
  <c r="D189" i="22"/>
  <c r="H188" i="22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B188" i="22" s="1"/>
  <c r="D188" i="22"/>
  <c r="E188" i="22" s="1"/>
  <c r="F188" i="22" s="1"/>
  <c r="G188" i="22" s="1"/>
  <c r="W187" i="22"/>
  <c r="X187" i="22" s="1"/>
  <c r="Y187" i="22" s="1"/>
  <c r="Z187" i="22" s="1"/>
  <c r="AA187" i="22" s="1"/>
  <c r="AB187" i="22" s="1"/>
  <c r="AC187" i="22" s="1"/>
  <c r="AD187" i="22" s="1"/>
  <c r="AE187" i="22" s="1"/>
  <c r="AF187" i="22" s="1"/>
  <c r="B187" i="22" s="1"/>
  <c r="O187" i="22"/>
  <c r="P187" i="22" s="1"/>
  <c r="Q187" i="22" s="1"/>
  <c r="R187" i="22" s="1"/>
  <c r="S187" i="22" s="1"/>
  <c r="T187" i="22" s="1"/>
  <c r="U187" i="22" s="1"/>
  <c r="V187" i="22" s="1"/>
  <c r="L187" i="22"/>
  <c r="M187" i="22" s="1"/>
  <c r="N187" i="22" s="1"/>
  <c r="G187" i="22"/>
  <c r="H187" i="22" s="1"/>
  <c r="I187" i="22" s="1"/>
  <c r="J187" i="22" s="1"/>
  <c r="K187" i="22" s="1"/>
  <c r="F187" i="22"/>
  <c r="E187" i="22"/>
  <c r="D187" i="22"/>
  <c r="AB186" i="22"/>
  <c r="AC186" i="22" s="1"/>
  <c r="AD186" i="22" s="1"/>
  <c r="AE186" i="22" s="1"/>
  <c r="AF186" i="22" s="1"/>
  <c r="B186" i="22" s="1"/>
  <c r="D186" i="22"/>
  <c r="E186" i="22" s="1"/>
  <c r="F186" i="22" s="1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F185" i="22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B185" i="22" s="1"/>
  <c r="E185" i="22"/>
  <c r="D185" i="22"/>
  <c r="D184" i="22"/>
  <c r="E184" i="22" s="1"/>
  <c r="F184" i="22" s="1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B184" i="22"/>
  <c r="H183" i="22"/>
  <c r="I183" i="22" s="1"/>
  <c r="J183" i="22" s="1"/>
  <c r="K183" i="22" s="1"/>
  <c r="L183" i="22" s="1"/>
  <c r="M183" i="22" s="1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B183" i="22" s="1"/>
  <c r="G183" i="22"/>
  <c r="D183" i="22"/>
  <c r="E183" i="22" s="1"/>
  <c r="F183" i="22" s="1"/>
  <c r="D182" i="22"/>
  <c r="E182" i="22" s="1"/>
  <c r="F182" i="22" s="1"/>
  <c r="G182" i="22" s="1"/>
  <c r="H182" i="22" s="1"/>
  <c r="I182" i="22" s="1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B182" i="22" s="1"/>
  <c r="H181" i="22"/>
  <c r="I181" i="22" s="1"/>
  <c r="J181" i="22" s="1"/>
  <c r="K181" i="22" s="1"/>
  <c r="L181" i="22" s="1"/>
  <c r="M181" i="22" s="1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B181" i="22" s="1"/>
  <c r="F181" i="22"/>
  <c r="G181" i="22" s="1"/>
  <c r="D181" i="22"/>
  <c r="E181" i="22" s="1"/>
  <c r="F180" i="22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B180" i="22" s="1"/>
  <c r="D180" i="22"/>
  <c r="E180" i="22" s="1"/>
  <c r="R179" i="22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B179" i="22" s="1"/>
  <c r="E179" i="22"/>
  <c r="F179" i="22" s="1"/>
  <c r="G179" i="22" s="1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D179" i="22"/>
  <c r="AE177" i="22"/>
  <c r="AF177" i="22" s="1"/>
  <c r="B177" i="22" s="1"/>
  <c r="I177" i="22"/>
  <c r="J177" i="22" s="1"/>
  <c r="K177" i="22" s="1"/>
  <c r="L177" i="22" s="1"/>
  <c r="M177" i="22" s="1"/>
  <c r="N177" i="22" s="1"/>
  <c r="O177" i="22" s="1"/>
  <c r="P177" i="22" s="1"/>
  <c r="Q177" i="22" s="1"/>
  <c r="R177" i="22" s="1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H177" i="22"/>
  <c r="G177" i="22"/>
  <c r="D177" i="22"/>
  <c r="E177" i="22" s="1"/>
  <c r="F177" i="22" s="1"/>
  <c r="Z176" i="22"/>
  <c r="AA176" i="22" s="1"/>
  <c r="AB176" i="22" s="1"/>
  <c r="AC176" i="22" s="1"/>
  <c r="AD176" i="22" s="1"/>
  <c r="AE176" i="22" s="1"/>
  <c r="AF176" i="22" s="1"/>
  <c r="B176" i="22" s="1"/>
  <c r="G176" i="22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F176" i="22"/>
  <c r="E176" i="22"/>
  <c r="D176" i="22"/>
  <c r="G175" i="22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B175" i="22" s="1"/>
  <c r="E175" i="22"/>
  <c r="F175" i="22" s="1"/>
  <c r="D175" i="22"/>
  <c r="E174" i="22"/>
  <c r="F174" i="22" s="1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B174" i="22" s="1"/>
  <c r="D174" i="22"/>
  <c r="Q173" i="22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B173" i="22" s="1"/>
  <c r="G173" i="22"/>
  <c r="H173" i="22" s="1"/>
  <c r="I173" i="22" s="1"/>
  <c r="J173" i="22" s="1"/>
  <c r="K173" i="22" s="1"/>
  <c r="L173" i="22" s="1"/>
  <c r="M173" i="22" s="1"/>
  <c r="N173" i="22" s="1"/>
  <c r="O173" i="22" s="1"/>
  <c r="P173" i="22" s="1"/>
  <c r="D173" i="22"/>
  <c r="E173" i="22" s="1"/>
  <c r="F173" i="22" s="1"/>
  <c r="M172" i="22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B172" i="22" s="1"/>
  <c r="E172" i="22"/>
  <c r="F172" i="22" s="1"/>
  <c r="G172" i="22" s="1"/>
  <c r="H172" i="22" s="1"/>
  <c r="I172" i="22" s="1"/>
  <c r="J172" i="22" s="1"/>
  <c r="K172" i="22" s="1"/>
  <c r="L172" i="22" s="1"/>
  <c r="D172" i="22"/>
  <c r="AE171" i="22"/>
  <c r="AF171" i="22" s="1"/>
  <c r="B171" i="22" s="1"/>
  <c r="L171" i="22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D171" i="22"/>
  <c r="E171" i="22" s="1"/>
  <c r="F171" i="22" s="1"/>
  <c r="G171" i="22" s="1"/>
  <c r="H171" i="22" s="1"/>
  <c r="I171" i="22" s="1"/>
  <c r="J171" i="22" s="1"/>
  <c r="K171" i="22" s="1"/>
  <c r="D170" i="22"/>
  <c r="E170" i="22" s="1"/>
  <c r="F170" i="22" s="1"/>
  <c r="G170" i="22" s="1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B170" i="22" s="1"/>
  <c r="E168" i="22"/>
  <c r="F168" i="22" s="1"/>
  <c r="G168" i="22" s="1"/>
  <c r="H168" i="22" s="1"/>
  <c r="I168" i="22" s="1"/>
  <c r="J168" i="22" s="1"/>
  <c r="K168" i="22" s="1"/>
  <c r="L168" i="22" s="1"/>
  <c r="M168" i="22" s="1"/>
  <c r="N168" i="22" s="1"/>
  <c r="O168" i="22" s="1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B168" i="22" s="1"/>
  <c r="D168" i="22"/>
  <c r="K167" i="22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B167" i="22" s="1"/>
  <c r="I167" i="22"/>
  <c r="J167" i="22" s="1"/>
  <c r="D167" i="22"/>
  <c r="E167" i="22" s="1"/>
  <c r="F167" i="22" s="1"/>
  <c r="G167" i="22" s="1"/>
  <c r="H167" i="22" s="1"/>
  <c r="F166" i="22"/>
  <c r="G166" i="22" s="1"/>
  <c r="H166" i="22" s="1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B166" i="22" s="1"/>
  <c r="E166" i="22"/>
  <c r="D166" i="22"/>
  <c r="D165" i="22"/>
  <c r="E165" i="22" s="1"/>
  <c r="F165" i="22" s="1"/>
  <c r="G165" i="22" s="1"/>
  <c r="H165" i="22" s="1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B165" i="22" s="1"/>
  <c r="I164" i="22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B164" i="22" s="1"/>
  <c r="F164" i="22"/>
  <c r="G164" i="22" s="1"/>
  <c r="H164" i="22" s="1"/>
  <c r="E164" i="22"/>
  <c r="D164" i="22"/>
  <c r="Q163" i="22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B163" i="22" s="1"/>
  <c r="D163" i="22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E162" i="22"/>
  <c r="F162" i="22" s="1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B162" i="22" s="1"/>
  <c r="D162" i="22"/>
  <c r="F161" i="22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B161" i="22" s="1"/>
  <c r="E161" i="22"/>
  <c r="D161" i="22"/>
  <c r="G160" i="22"/>
  <c r="H160" i="22" s="1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B160" i="22" s="1"/>
  <c r="D160" i="22"/>
  <c r="E160" i="22" s="1"/>
  <c r="F160" i="22" s="1"/>
  <c r="M159" i="22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B159" i="22" s="1"/>
  <c r="D159" i="22"/>
  <c r="E159" i="22" s="1"/>
  <c r="F159" i="22" s="1"/>
  <c r="G159" i="22" s="1"/>
  <c r="H159" i="22" s="1"/>
  <c r="I159" i="22" s="1"/>
  <c r="J159" i="22" s="1"/>
  <c r="K159" i="22" s="1"/>
  <c r="L159" i="22" s="1"/>
  <c r="E158" i="22"/>
  <c r="F158" i="22" s="1"/>
  <c r="G158" i="22" s="1"/>
  <c r="H158" i="22" s="1"/>
  <c r="I158" i="22" s="1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B158" i="22" s="1"/>
  <c r="D158" i="22"/>
  <c r="D157" i="22"/>
  <c r="E157" i="22" s="1"/>
  <c r="F157" i="22" s="1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B157" i="22" s="1"/>
  <c r="O156" i="22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B156" i="22" s="1"/>
  <c r="D156" i="22"/>
  <c r="E156" i="22" s="1"/>
  <c r="F156" i="22" s="1"/>
  <c r="G156" i="22" s="1"/>
  <c r="H156" i="22" s="1"/>
  <c r="I156" i="22" s="1"/>
  <c r="J156" i="22" s="1"/>
  <c r="K156" i="22" s="1"/>
  <c r="L156" i="22" s="1"/>
  <c r="M156" i="22" s="1"/>
  <c r="N156" i="22" s="1"/>
  <c r="D154" i="22"/>
  <c r="E154" i="22" s="1"/>
  <c r="F154" i="22" s="1"/>
  <c r="G154" i="22" s="1"/>
  <c r="H154" i="22" s="1"/>
  <c r="I154" i="22" s="1"/>
  <c r="J154" i="22" s="1"/>
  <c r="K154" i="22" s="1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B154" i="22" s="1"/>
  <c r="D153" i="22"/>
  <c r="E153" i="22" s="1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B153" i="22" s="1"/>
  <c r="AD152" i="22"/>
  <c r="AE152" i="22" s="1"/>
  <c r="AF152" i="22" s="1"/>
  <c r="B152" i="22" s="1"/>
  <c r="N152" i="22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F152" i="22"/>
  <c r="G152" i="22" s="1"/>
  <c r="H152" i="22" s="1"/>
  <c r="I152" i="22" s="1"/>
  <c r="J152" i="22" s="1"/>
  <c r="K152" i="22" s="1"/>
  <c r="L152" i="22" s="1"/>
  <c r="M152" i="22" s="1"/>
  <c r="E152" i="22"/>
  <c r="D152" i="22"/>
  <c r="E151" i="22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B151" i="22" s="1"/>
  <c r="D151" i="22"/>
  <c r="D149" i="22"/>
  <c r="E149" i="22" s="1"/>
  <c r="F149" i="22" s="1"/>
  <c r="G149" i="22" s="1"/>
  <c r="H149" i="22" s="1"/>
  <c r="I149" i="22" s="1"/>
  <c r="J149" i="22" s="1"/>
  <c r="K149" i="22" s="1"/>
  <c r="L149" i="22" s="1"/>
  <c r="M149" i="22" s="1"/>
  <c r="N149" i="22" s="1"/>
  <c r="O149" i="22" s="1"/>
  <c r="P149" i="22" s="1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B149" i="22" s="1"/>
  <c r="D148" i="22"/>
  <c r="E148" i="22" s="1"/>
  <c r="F148" i="22" s="1"/>
  <c r="G148" i="22" s="1"/>
  <c r="H148" i="22" s="1"/>
  <c r="I148" i="22" s="1"/>
  <c r="J148" i="22" s="1"/>
  <c r="K148" i="22" s="1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B148" i="22" s="1"/>
  <c r="Q146" i="22"/>
  <c r="R146" i="22" s="1"/>
  <c r="S146" i="22" s="1"/>
  <c r="T146" i="22" s="1"/>
  <c r="U146" i="22" s="1"/>
  <c r="V146" i="22" s="1"/>
  <c r="W146" i="22" s="1"/>
  <c r="X146" i="22" s="1"/>
  <c r="Y146" i="22" s="1"/>
  <c r="Z146" i="22" s="1"/>
  <c r="AA146" i="22" s="1"/>
  <c r="AB146" i="22" s="1"/>
  <c r="AC146" i="22" s="1"/>
  <c r="AD146" i="22" s="1"/>
  <c r="AE146" i="22" s="1"/>
  <c r="AF146" i="22" s="1"/>
  <c r="B146" i="22" s="1"/>
  <c r="G146" i="22"/>
  <c r="H146" i="22" s="1"/>
  <c r="I146" i="22" s="1"/>
  <c r="J146" i="22" s="1"/>
  <c r="K146" i="22" s="1"/>
  <c r="L146" i="22" s="1"/>
  <c r="M146" i="22" s="1"/>
  <c r="N146" i="22" s="1"/>
  <c r="O146" i="22" s="1"/>
  <c r="P146" i="22" s="1"/>
  <c r="F146" i="22"/>
  <c r="D146" i="22"/>
  <c r="E146" i="22" s="1"/>
  <c r="M145" i="22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B145" i="22" s="1"/>
  <c r="E145" i="22"/>
  <c r="F145" i="22" s="1"/>
  <c r="G145" i="22" s="1"/>
  <c r="H145" i="22" s="1"/>
  <c r="I145" i="22" s="1"/>
  <c r="J145" i="22" s="1"/>
  <c r="K145" i="22" s="1"/>
  <c r="L145" i="22" s="1"/>
  <c r="D145" i="22"/>
  <c r="I144" i="22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B144" i="22" s="1"/>
  <c r="E144" i="22"/>
  <c r="F144" i="22" s="1"/>
  <c r="G144" i="22" s="1"/>
  <c r="H144" i="22" s="1"/>
  <c r="D144" i="22"/>
  <c r="G143" i="22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B143" i="22" s="1"/>
  <c r="D143" i="22"/>
  <c r="E143" i="22" s="1"/>
  <c r="F143" i="22" s="1"/>
  <c r="F142" i="22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B142" i="22" s="1"/>
  <c r="E142" i="22"/>
  <c r="D142" i="22"/>
  <c r="L141" i="22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B141" i="22" s="1"/>
  <c r="E141" i="22"/>
  <c r="F141" i="22" s="1"/>
  <c r="G141" i="22" s="1"/>
  <c r="H141" i="22" s="1"/>
  <c r="I141" i="22" s="1"/>
  <c r="J141" i="22" s="1"/>
  <c r="K141" i="22" s="1"/>
  <c r="D141" i="22"/>
  <c r="Q140" i="22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B140" i="22" s="1"/>
  <c r="J140" i="22"/>
  <c r="K140" i="22" s="1"/>
  <c r="L140" i="22" s="1"/>
  <c r="M140" i="22" s="1"/>
  <c r="N140" i="22" s="1"/>
  <c r="O140" i="22" s="1"/>
  <c r="P140" i="22" s="1"/>
  <c r="D140" i="22"/>
  <c r="E140" i="22" s="1"/>
  <c r="F140" i="22" s="1"/>
  <c r="G140" i="22" s="1"/>
  <c r="H140" i="22" s="1"/>
  <c r="I140" i="22" s="1"/>
  <c r="H138" i="22"/>
  <c r="I138" i="22" s="1"/>
  <c r="J138" i="22" s="1"/>
  <c r="K138" i="22" s="1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B138" i="22" s="1"/>
  <c r="G138" i="22"/>
  <c r="D138" i="22"/>
  <c r="E138" i="22" s="1"/>
  <c r="F138" i="22" s="1"/>
  <c r="N137" i="22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B137" i="22" s="1"/>
  <c r="G137" i="22"/>
  <c r="H137" i="22" s="1"/>
  <c r="I137" i="22" s="1"/>
  <c r="J137" i="22" s="1"/>
  <c r="K137" i="22" s="1"/>
  <c r="L137" i="22" s="1"/>
  <c r="M137" i="22" s="1"/>
  <c r="F137" i="22"/>
  <c r="E137" i="22"/>
  <c r="D137" i="22"/>
  <c r="M136" i="22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B136" i="22" s="1"/>
  <c r="F136" i="22"/>
  <c r="G136" i="22" s="1"/>
  <c r="H136" i="22" s="1"/>
  <c r="I136" i="22" s="1"/>
  <c r="J136" i="22" s="1"/>
  <c r="K136" i="22" s="1"/>
  <c r="L136" i="22" s="1"/>
  <c r="E136" i="22"/>
  <c r="D136" i="22"/>
  <c r="D135" i="22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B135" i="22" s="1"/>
  <c r="P134" i="22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B134" i="22" s="1"/>
  <c r="I134" i="22"/>
  <c r="J134" i="22" s="1"/>
  <c r="K134" i="22" s="1"/>
  <c r="L134" i="22" s="1"/>
  <c r="M134" i="22" s="1"/>
  <c r="N134" i="22" s="1"/>
  <c r="O134" i="22" s="1"/>
  <c r="D134" i="22"/>
  <c r="E134" i="22" s="1"/>
  <c r="F134" i="22" s="1"/>
  <c r="G134" i="22" s="1"/>
  <c r="H134" i="22" s="1"/>
  <c r="E133" i="22"/>
  <c r="F133" i="22" s="1"/>
  <c r="G133" i="22" s="1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B133" i="22" s="1"/>
  <c r="D133" i="22"/>
  <c r="G132" i="22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B132" i="22" s="1"/>
  <c r="D132" i="22"/>
  <c r="E132" i="22" s="1"/>
  <c r="F132" i="22" s="1"/>
  <c r="E131" i="22"/>
  <c r="F131" i="22" s="1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B131" i="22" s="1"/>
  <c r="D131" i="22"/>
  <c r="J129" i="22"/>
  <c r="K129" i="22" s="1"/>
  <c r="L129" i="22" s="1"/>
  <c r="M129" i="22" s="1"/>
  <c r="N129" i="22" s="1"/>
  <c r="O129" i="22" s="1"/>
  <c r="P129" i="22" s="1"/>
  <c r="Q129" i="22" s="1"/>
  <c r="R129" i="22" s="1"/>
  <c r="S129" i="22" s="1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B129" i="22" s="1"/>
  <c r="D129" i="22"/>
  <c r="E129" i="22" s="1"/>
  <c r="F129" i="22" s="1"/>
  <c r="G129" i="22" s="1"/>
  <c r="H129" i="22" s="1"/>
  <c r="I129" i="22" s="1"/>
  <c r="I128" i="22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B128" i="22" s="1"/>
  <c r="E128" i="22"/>
  <c r="F128" i="22" s="1"/>
  <c r="G128" i="22" s="1"/>
  <c r="H128" i="22" s="1"/>
  <c r="D128" i="22"/>
  <c r="D127" i="22"/>
  <c r="E127" i="22" s="1"/>
  <c r="F127" i="22" s="1"/>
  <c r="G127" i="22" s="1"/>
  <c r="H127" i="22" s="1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B127" i="22" s="1"/>
  <c r="E126" i="22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B126" i="22" s="1"/>
  <c r="D126" i="22"/>
  <c r="I125" i="22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B125" i="22" s="1"/>
  <c r="H125" i="22"/>
  <c r="D125" i="22"/>
  <c r="E125" i="22" s="1"/>
  <c r="F125" i="22" s="1"/>
  <c r="G125" i="22" s="1"/>
  <c r="H124" i="22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B124" i="22" s="1"/>
  <c r="E124" i="22"/>
  <c r="F124" i="22" s="1"/>
  <c r="G124" i="22" s="1"/>
  <c r="D124" i="22"/>
  <c r="D123" i="22"/>
  <c r="E123" i="22" s="1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B123" i="22" s="1"/>
  <c r="F122" i="22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B122" i="22" s="1"/>
  <c r="E122" i="22"/>
  <c r="D122" i="22"/>
  <c r="H121" i="22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B121" i="22" s="1"/>
  <c r="D121" i="22"/>
  <c r="E121" i="22" s="1"/>
  <c r="F121" i="22" s="1"/>
  <c r="G121" i="22" s="1"/>
  <c r="H120" i="22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B120" i="22" s="1"/>
  <c r="D120" i="22"/>
  <c r="E120" i="22" s="1"/>
  <c r="F120" i="22" s="1"/>
  <c r="G120" i="22" s="1"/>
  <c r="I119" i="22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B119" i="22" s="1"/>
  <c r="F119" i="22"/>
  <c r="G119" i="22" s="1"/>
  <c r="H119" i="22" s="1"/>
  <c r="D119" i="22"/>
  <c r="E119" i="22" s="1"/>
  <c r="G118" i="22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B118" i="22" s="1"/>
  <c r="D118" i="22"/>
  <c r="E118" i="22" s="1"/>
  <c r="F118" i="22" s="1"/>
  <c r="F117" i="22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B117" i="22" s="1"/>
  <c r="E117" i="22"/>
  <c r="D117" i="22"/>
  <c r="D116" i="22"/>
  <c r="E116" i="22" s="1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B116" i="22" s="1"/>
  <c r="F115" i="22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B115" i="22" s="1"/>
  <c r="D115" i="22"/>
  <c r="E115" i="22" s="1"/>
  <c r="L114" i="22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B114" i="22" s="1"/>
  <c r="K114" i="22"/>
  <c r="D114" i="22"/>
  <c r="E114" i="22" s="1"/>
  <c r="F114" i="22" s="1"/>
  <c r="G114" i="22" s="1"/>
  <c r="H114" i="22" s="1"/>
  <c r="I114" i="22" s="1"/>
  <c r="E113" i="22"/>
  <c r="F113" i="22" s="1"/>
  <c r="G113" i="22" s="1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B113" i="22" s="1"/>
  <c r="D113" i="22"/>
  <c r="D112" i="22"/>
  <c r="E112" i="22" s="1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B112" i="22" s="1"/>
  <c r="E110" i="22"/>
  <c r="F110" i="22" s="1"/>
  <c r="G110" i="22" s="1"/>
  <c r="H110" i="22" s="1"/>
  <c r="I110" i="22" s="1"/>
  <c r="J110" i="22" s="1"/>
  <c r="K110" i="22" s="1"/>
  <c r="L110" i="22" s="1"/>
  <c r="M110" i="22" s="1"/>
  <c r="N110" i="22" s="1"/>
  <c r="O110" i="22" s="1"/>
  <c r="P110" i="22" s="1"/>
  <c r="Q110" i="22" s="1"/>
  <c r="R110" i="22" s="1"/>
  <c r="S110" i="22" s="1"/>
  <c r="T110" i="22" s="1"/>
  <c r="U110" i="22" s="1"/>
  <c r="V110" i="22" s="1"/>
  <c r="W110" i="22" s="1"/>
  <c r="X110" i="22" s="1"/>
  <c r="Y110" i="22" s="1"/>
  <c r="Z110" i="22" s="1"/>
  <c r="AA110" i="22" s="1"/>
  <c r="AB110" i="22" s="1"/>
  <c r="AC110" i="22" s="1"/>
  <c r="AD110" i="22" s="1"/>
  <c r="AE110" i="22" s="1"/>
  <c r="AF110" i="22" s="1"/>
  <c r="B110" i="22" s="1"/>
  <c r="D110" i="22"/>
  <c r="D109" i="22"/>
  <c r="E109" i="22" s="1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B109" i="22" s="1"/>
  <c r="D107" i="22"/>
  <c r="E107" i="22" s="1"/>
  <c r="F107" i="22" s="1"/>
  <c r="G107" i="22" s="1"/>
  <c r="H107" i="22" s="1"/>
  <c r="I107" i="22" s="1"/>
  <c r="J107" i="22" s="1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X107" i="22" s="1"/>
  <c r="Y107" i="22" s="1"/>
  <c r="Z107" i="22" s="1"/>
  <c r="AA107" i="22" s="1"/>
  <c r="AB107" i="22" s="1"/>
  <c r="AC107" i="22" s="1"/>
  <c r="AD107" i="22" s="1"/>
  <c r="AE107" i="22" s="1"/>
  <c r="AF107" i="22" s="1"/>
  <c r="B107" i="22" s="1"/>
  <c r="H106" i="22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B106" i="22" s="1"/>
  <c r="G106" i="22"/>
  <c r="D106" i="22"/>
  <c r="E106" i="22" s="1"/>
  <c r="F106" i="22" s="1"/>
  <c r="E105" i="22"/>
  <c r="F105" i="22" s="1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B105" i="22" s="1"/>
  <c r="D105" i="22"/>
  <c r="F104" i="22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B104" i="22" s="1"/>
  <c r="D104" i="22"/>
  <c r="E104" i="22" s="1"/>
  <c r="E103" i="22"/>
  <c r="D103" i="22"/>
  <c r="D93" i="22" s="1"/>
  <c r="D102" i="22"/>
  <c r="AH98" i="22"/>
  <c r="AI98" i="22" s="1"/>
  <c r="AH97" i="22"/>
  <c r="AI97" i="22" s="1"/>
  <c r="AH96" i="22"/>
  <c r="AI96" i="22" s="1"/>
  <c r="AH95" i="22"/>
  <c r="AI95" i="22" s="1"/>
  <c r="AH94" i="22"/>
  <c r="AI94" i="22" s="1"/>
  <c r="C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G82" i="22"/>
  <c r="AI81" i="22"/>
  <c r="AH81" i="22"/>
  <c r="AF80" i="22"/>
  <c r="AE80" i="22"/>
  <c r="AD80" i="22"/>
  <c r="AC80" i="22"/>
  <c r="AB80" i="22"/>
  <c r="AA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AF79" i="22"/>
  <c r="AE79" i="22"/>
  <c r="AD79" i="22"/>
  <c r="AC79" i="22"/>
  <c r="AB79" i="22"/>
  <c r="AA79" i="22"/>
  <c r="Y79" i="22"/>
  <c r="X79" i="22"/>
  <c r="W79" i="22"/>
  <c r="V79" i="22"/>
  <c r="U79" i="22"/>
  <c r="T79" i="22"/>
  <c r="S79" i="22"/>
  <c r="R79" i="22"/>
  <c r="Q79" i="22"/>
  <c r="P79" i="22"/>
  <c r="P82" i="22" s="1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AF78" i="22"/>
  <c r="AE78" i="22"/>
  <c r="AD78" i="22"/>
  <c r="AC78" i="22"/>
  <c r="AB78" i="22"/>
  <c r="AA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AF77" i="22"/>
  <c r="AE77" i="22"/>
  <c r="AD77" i="22"/>
  <c r="AC77" i="22"/>
  <c r="AB77" i="22"/>
  <c r="AA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AF76" i="22"/>
  <c r="AE76" i="22"/>
  <c r="AE82" i="22" s="1"/>
  <c r="AD76" i="22"/>
  <c r="AC76" i="22"/>
  <c r="AC82" i="22" s="1"/>
  <c r="AB76" i="22"/>
  <c r="AA76" i="22"/>
  <c r="Y76" i="22"/>
  <c r="X76" i="22"/>
  <c r="W76" i="22"/>
  <c r="V76" i="22"/>
  <c r="U76" i="22"/>
  <c r="T76" i="22"/>
  <c r="S76" i="22"/>
  <c r="R76" i="22"/>
  <c r="Q76" i="22"/>
  <c r="Q82" i="22" s="1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AI74" i="22"/>
  <c r="AH74" i="22"/>
  <c r="AG72" i="22"/>
  <c r="AF72" i="22"/>
  <c r="AE72" i="22"/>
  <c r="AD72" i="22"/>
  <c r="AC72" i="22"/>
  <c r="AB72" i="22"/>
  <c r="AA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AI71" i="22"/>
  <c r="AH71" i="22"/>
  <c r="AI70" i="22"/>
  <c r="AH70" i="22"/>
  <c r="AI69" i="22"/>
  <c r="AH69" i="22"/>
  <c r="AG68" i="22"/>
  <c r="AF68" i="22"/>
  <c r="AE68" i="22"/>
  <c r="AD5" i="22" s="1"/>
  <c r="AD68" i="22"/>
  <c r="AC68" i="22"/>
  <c r="AB68" i="22"/>
  <c r="AA68" i="22"/>
  <c r="Z5" i="22" s="1"/>
  <c r="Y68" i="22"/>
  <c r="X68" i="22"/>
  <c r="W68" i="22"/>
  <c r="V5" i="22" s="1"/>
  <c r="V68" i="22"/>
  <c r="U5" i="22" s="1"/>
  <c r="U68" i="22"/>
  <c r="T68" i="22"/>
  <c r="S68" i="22"/>
  <c r="R5" i="22" s="1"/>
  <c r="R68" i="22"/>
  <c r="Q5" i="22" s="1"/>
  <c r="Q68" i="22"/>
  <c r="P5" i="22" s="1"/>
  <c r="P68" i="22"/>
  <c r="O68" i="22"/>
  <c r="N5" i="22" s="1"/>
  <c r="N68" i="22"/>
  <c r="M5" i="22" s="1"/>
  <c r="M68" i="22"/>
  <c r="L68" i="22"/>
  <c r="K68" i="22"/>
  <c r="J5" i="22" s="1"/>
  <c r="J68" i="22"/>
  <c r="I5" i="22" s="1"/>
  <c r="I68" i="22"/>
  <c r="H5" i="22" s="1"/>
  <c r="H68" i="22"/>
  <c r="G68" i="22"/>
  <c r="F5" i="22" s="1"/>
  <c r="F68" i="22"/>
  <c r="E5" i="22" s="1"/>
  <c r="E68" i="22"/>
  <c r="D68" i="22"/>
  <c r="C5" i="22" s="1"/>
  <c r="C68" i="22"/>
  <c r="B5" i="22" s="1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F56" i="22"/>
  <c r="AE56" i="22"/>
  <c r="AD56" i="22"/>
  <c r="AC56" i="22"/>
  <c r="AB56" i="22"/>
  <c r="AA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AI55" i="22"/>
  <c r="AH55" i="22"/>
  <c r="AI54" i="22"/>
  <c r="AH54" i="22"/>
  <c r="AI53" i="22"/>
  <c r="AH53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AG51" i="22"/>
  <c r="AG52" i="22" s="1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F38" i="22"/>
  <c r="AE38" i="22"/>
  <c r="AD38" i="22"/>
  <c r="AC38" i="22"/>
  <c r="AB38" i="22"/>
  <c r="AA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F5" i="22"/>
  <c r="AC5" i="22"/>
  <c r="AA5" i="22"/>
  <c r="Y5" i="22"/>
  <c r="X5" i="22"/>
  <c r="S5" i="22"/>
  <c r="K5" i="22"/>
  <c r="AG4" i="22"/>
  <c r="K4" i="22"/>
  <c r="B4" i="22"/>
  <c r="AG2" i="22"/>
  <c r="AF95" i="20"/>
  <c r="AF37" i="20"/>
  <c r="AE95" i="20"/>
  <c r="AE37" i="20"/>
  <c r="AD95" i="20"/>
  <c r="AD37" i="20"/>
  <c r="AC37" i="20"/>
  <c r="AB37" i="20"/>
  <c r="Y58" i="20"/>
  <c r="X58" i="20"/>
  <c r="W58" i="20"/>
  <c r="V58" i="20"/>
  <c r="U58" i="20"/>
  <c r="S58" i="20"/>
  <c r="T58" i="20"/>
  <c r="R58" i="20"/>
  <c r="R37" i="20"/>
  <c r="P52" i="20"/>
  <c r="Q95" i="20"/>
  <c r="Q37" i="20"/>
  <c r="P95" i="20"/>
  <c r="P37" i="20"/>
  <c r="E4" i="22"/>
  <c r="AF82" i="22" l="1"/>
  <c r="AD82" i="22"/>
  <c r="AA82" i="22"/>
  <c r="Y82" i="22"/>
  <c r="X82" i="22"/>
  <c r="W82" i="22"/>
  <c r="V82" i="22"/>
  <c r="U82" i="22"/>
  <c r="T75" i="22"/>
  <c r="T73" i="22"/>
  <c r="S82" i="22"/>
  <c r="AR214" i="22"/>
  <c r="Z7" i="22"/>
  <c r="R82" i="22"/>
  <c r="R75" i="22"/>
  <c r="AJ214" i="22" s="1"/>
  <c r="AI79" i="22"/>
  <c r="Q73" i="22"/>
  <c r="Q75" i="22"/>
  <c r="P75" i="22"/>
  <c r="O82" i="22"/>
  <c r="R73" i="22"/>
  <c r="P73" i="22"/>
  <c r="O75" i="22"/>
  <c r="AG214" i="22" s="1"/>
  <c r="O73" i="22"/>
  <c r="N82" i="22"/>
  <c r="N73" i="22"/>
  <c r="AH77" i="22"/>
  <c r="M82" i="22"/>
  <c r="M75" i="22"/>
  <c r="AE214" i="22" s="1"/>
  <c r="M73" i="22"/>
  <c r="M83" i="22" s="1"/>
  <c r="L75" i="22"/>
  <c r="AD214" i="22" s="1"/>
  <c r="L73" i="22"/>
  <c r="K82" i="22"/>
  <c r="K75" i="22"/>
  <c r="AC214" i="22" s="1"/>
  <c r="J82" i="22"/>
  <c r="J75" i="22"/>
  <c r="AB214" i="22" s="1"/>
  <c r="J73" i="22"/>
  <c r="I82" i="22"/>
  <c r="AI80" i="22"/>
  <c r="I73" i="22"/>
  <c r="I75" i="22"/>
  <c r="H82" i="22"/>
  <c r="H73" i="22"/>
  <c r="H75" i="22"/>
  <c r="H7" i="22" s="1"/>
  <c r="AI78" i="22"/>
  <c r="AI76" i="22"/>
  <c r="G82" i="22"/>
  <c r="G75" i="22"/>
  <c r="G73" i="22"/>
  <c r="AH78" i="22"/>
  <c r="F82" i="22"/>
  <c r="F73" i="22"/>
  <c r="E75" i="22"/>
  <c r="W214" i="22" s="1"/>
  <c r="E82" i="22"/>
  <c r="E73" i="22"/>
  <c r="AH56" i="22"/>
  <c r="D75" i="22"/>
  <c r="V214" i="22" s="1"/>
  <c r="D73" i="22"/>
  <c r="AI38" i="22"/>
  <c r="S75" i="22"/>
  <c r="S7" i="22" s="1"/>
  <c r="C82" i="22"/>
  <c r="AH68" i="22"/>
  <c r="B82" i="22"/>
  <c r="B75" i="22"/>
  <c r="B73" i="22"/>
  <c r="AI37" i="22"/>
  <c r="AI56" i="22"/>
  <c r="H4" i="22"/>
  <c r="AG6" i="22"/>
  <c r="AG73" i="22"/>
  <c r="AG3" i="22"/>
  <c r="AL214" i="22"/>
  <c r="T7" i="22"/>
  <c r="Q83" i="22"/>
  <c r="E83" i="22"/>
  <c r="AH214" i="22"/>
  <c r="P7" i="22"/>
  <c r="AI214" i="22"/>
  <c r="Q7" i="22"/>
  <c r="AG83" i="22"/>
  <c r="D5" i="22"/>
  <c r="L5" i="22"/>
  <c r="T5" i="22"/>
  <c r="AB5" i="22"/>
  <c r="F75" i="22"/>
  <c r="F83" i="22" s="1"/>
  <c r="N75" i="22"/>
  <c r="D82" i="22"/>
  <c r="L82" i="22"/>
  <c r="T82" i="22"/>
  <c r="T83" i="22" s="1"/>
  <c r="AB82" i="22"/>
  <c r="AH79" i="22"/>
  <c r="S73" i="22"/>
  <c r="AH80" i="22"/>
  <c r="AI72" i="22"/>
  <c r="C73" i="22"/>
  <c r="C75" i="22" s="1"/>
  <c r="K73" i="22"/>
  <c r="Y214" i="22"/>
  <c r="F103" i="22"/>
  <c r="G5" i="22"/>
  <c r="O5" i="22"/>
  <c r="W5" i="22"/>
  <c r="AE5" i="22"/>
  <c r="E7" i="22"/>
  <c r="AG75" i="22"/>
  <c r="AI68" i="22"/>
  <c r="AH38" i="22"/>
  <c r="AH76" i="22"/>
  <c r="AI77" i="22"/>
  <c r="S211" i="22"/>
  <c r="D211" i="22"/>
  <c r="J83" i="22"/>
  <c r="R83" i="22"/>
  <c r="AH72" i="22"/>
  <c r="D192" i="22"/>
  <c r="E102" i="22"/>
  <c r="D235" i="22"/>
  <c r="F199" i="22"/>
  <c r="D200" i="22"/>
  <c r="E194" i="22"/>
  <c r="E93" i="22" s="1"/>
  <c r="O95" i="20"/>
  <c r="O37" i="20"/>
  <c r="N95" i="20"/>
  <c r="N37" i="20"/>
  <c r="M58" i="20"/>
  <c r="M37" i="20"/>
  <c r="L37" i="20"/>
  <c r="K37" i="20"/>
  <c r="J37" i="20"/>
  <c r="I37" i="20"/>
  <c r="H37" i="20"/>
  <c r="G37" i="20"/>
  <c r="F37" i="20"/>
  <c r="E37" i="20"/>
  <c r="AH100" i="20"/>
  <c r="AI100" i="20" s="1"/>
  <c r="AH99" i="20"/>
  <c r="AI99" i="20" s="1"/>
  <c r="AF239" i="20"/>
  <c r="AE239" i="20"/>
  <c r="AD239" i="20"/>
  <c r="AC239" i="20"/>
  <c r="AB239" i="20"/>
  <c r="AA239" i="20"/>
  <c r="Z239" i="20"/>
  <c r="Y239" i="20"/>
  <c r="X239" i="20"/>
  <c r="W239" i="20"/>
  <c r="V239" i="20"/>
  <c r="U239" i="20"/>
  <c r="T239" i="20"/>
  <c r="S239" i="20"/>
  <c r="R239" i="20"/>
  <c r="Q239" i="20"/>
  <c r="P239" i="20"/>
  <c r="O239" i="20"/>
  <c r="N239" i="20"/>
  <c r="M239" i="20"/>
  <c r="L239" i="20"/>
  <c r="K239" i="20"/>
  <c r="J239" i="20"/>
  <c r="I239" i="20"/>
  <c r="H239" i="20"/>
  <c r="G239" i="20"/>
  <c r="F239" i="20"/>
  <c r="E239" i="20"/>
  <c r="D239" i="20"/>
  <c r="C239" i="20"/>
  <c r="B239" i="20"/>
  <c r="A239" i="20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C235" i="20"/>
  <c r="B235" i="20"/>
  <c r="S210" i="20"/>
  <c r="AG200" i="20"/>
  <c r="C200" i="20"/>
  <c r="E199" i="20"/>
  <c r="D235" i="20" s="1"/>
  <c r="D199" i="20"/>
  <c r="D198" i="20"/>
  <c r="E198" i="20" s="1"/>
  <c r="F198" i="20" s="1"/>
  <c r="G198" i="20" s="1"/>
  <c r="H198" i="20" s="1"/>
  <c r="I198" i="20" s="1"/>
  <c r="J198" i="20" s="1"/>
  <c r="K198" i="20" s="1"/>
  <c r="L198" i="20" s="1"/>
  <c r="M198" i="20" s="1"/>
  <c r="N198" i="20" s="1"/>
  <c r="O198" i="20" s="1"/>
  <c r="P198" i="20" s="1"/>
  <c r="Q198" i="20" s="1"/>
  <c r="R198" i="20" s="1"/>
  <c r="S198" i="20" s="1"/>
  <c r="T198" i="20" s="1"/>
  <c r="U198" i="20" s="1"/>
  <c r="V198" i="20" s="1"/>
  <c r="W198" i="20" s="1"/>
  <c r="X198" i="20" s="1"/>
  <c r="Y198" i="20" s="1"/>
  <c r="Z198" i="20" s="1"/>
  <c r="AA198" i="20" s="1"/>
  <c r="AB198" i="20" s="1"/>
  <c r="AC198" i="20" s="1"/>
  <c r="AD198" i="20" s="1"/>
  <c r="AE198" i="20" s="1"/>
  <c r="AF198" i="20" s="1"/>
  <c r="B198" i="20" s="1"/>
  <c r="J197" i="20"/>
  <c r="K197" i="20" s="1"/>
  <c r="L197" i="20" s="1"/>
  <c r="M197" i="20" s="1"/>
  <c r="N197" i="20" s="1"/>
  <c r="O197" i="20" s="1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B197" i="20" s="1"/>
  <c r="I197" i="20"/>
  <c r="D197" i="20"/>
  <c r="E197" i="20" s="1"/>
  <c r="F197" i="20" s="1"/>
  <c r="G197" i="20" s="1"/>
  <c r="H197" i="20" s="1"/>
  <c r="G196" i="20"/>
  <c r="H196" i="20" s="1"/>
  <c r="I196" i="20" s="1"/>
  <c r="J196" i="20" s="1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B196" i="20" s="1"/>
  <c r="E196" i="20"/>
  <c r="F196" i="20" s="1"/>
  <c r="D196" i="20"/>
  <c r="E195" i="20"/>
  <c r="F195" i="20" s="1"/>
  <c r="G195" i="20" s="1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B195" i="20" s="1"/>
  <c r="D195" i="20"/>
  <c r="D194" i="20"/>
  <c r="AG192" i="20"/>
  <c r="C192" i="20"/>
  <c r="D191" i="20"/>
  <c r="E191" i="20" s="1"/>
  <c r="F191" i="20" s="1"/>
  <c r="G191" i="20" s="1"/>
  <c r="H191" i="20" s="1"/>
  <c r="I191" i="20" s="1"/>
  <c r="J191" i="20" s="1"/>
  <c r="K191" i="20" s="1"/>
  <c r="L191" i="20" s="1"/>
  <c r="M191" i="20" s="1"/>
  <c r="N191" i="20" s="1"/>
  <c r="O191" i="20" s="1"/>
  <c r="P191" i="20" s="1"/>
  <c r="Q191" i="20" s="1"/>
  <c r="R191" i="20" s="1"/>
  <c r="S191" i="20" s="1"/>
  <c r="T191" i="20" s="1"/>
  <c r="U191" i="20" s="1"/>
  <c r="V191" i="20" s="1"/>
  <c r="W191" i="20" s="1"/>
  <c r="X191" i="20" s="1"/>
  <c r="Y191" i="20" s="1"/>
  <c r="Z191" i="20" s="1"/>
  <c r="AA191" i="20" s="1"/>
  <c r="AB191" i="20" s="1"/>
  <c r="AC191" i="20" s="1"/>
  <c r="AD191" i="20" s="1"/>
  <c r="AE191" i="20" s="1"/>
  <c r="AF191" i="20" s="1"/>
  <c r="B191" i="20" s="1"/>
  <c r="G190" i="20"/>
  <c r="H190" i="20" s="1"/>
  <c r="I190" i="20" s="1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B190" i="20" s="1"/>
  <c r="E190" i="20"/>
  <c r="F190" i="20" s="1"/>
  <c r="D190" i="20"/>
  <c r="I189" i="20"/>
  <c r="J189" i="20" s="1"/>
  <c r="K189" i="20" s="1"/>
  <c r="L189" i="20" s="1"/>
  <c r="M189" i="20" s="1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AE189" i="20" s="1"/>
  <c r="AF189" i="20" s="1"/>
  <c r="B189" i="20" s="1"/>
  <c r="H189" i="20"/>
  <c r="F189" i="20"/>
  <c r="G189" i="20" s="1"/>
  <c r="E189" i="20"/>
  <c r="D189" i="20"/>
  <c r="N188" i="20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B188" i="20" s="1"/>
  <c r="F188" i="20"/>
  <c r="G188" i="20" s="1"/>
  <c r="H188" i="20" s="1"/>
  <c r="I188" i="20" s="1"/>
  <c r="J188" i="20" s="1"/>
  <c r="K188" i="20" s="1"/>
  <c r="L188" i="20" s="1"/>
  <c r="M188" i="20" s="1"/>
  <c r="D188" i="20"/>
  <c r="E188" i="20" s="1"/>
  <c r="E187" i="20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B187" i="20" s="1"/>
  <c r="D187" i="20"/>
  <c r="W186" i="20"/>
  <c r="X186" i="20" s="1"/>
  <c r="Y186" i="20" s="1"/>
  <c r="Z186" i="20" s="1"/>
  <c r="AA186" i="20" s="1"/>
  <c r="AB186" i="20" s="1"/>
  <c r="AC186" i="20" s="1"/>
  <c r="AD186" i="20" s="1"/>
  <c r="AE186" i="20" s="1"/>
  <c r="AF186" i="20" s="1"/>
  <c r="B186" i="20" s="1"/>
  <c r="E186" i="20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D186" i="20"/>
  <c r="E185" i="20"/>
  <c r="F185" i="20" s="1"/>
  <c r="G185" i="20" s="1"/>
  <c r="H185" i="20" s="1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B185" i="20" s="1"/>
  <c r="D185" i="20"/>
  <c r="D184" i="20"/>
  <c r="E184" i="20" s="1"/>
  <c r="F184" i="20" s="1"/>
  <c r="G184" i="20" s="1"/>
  <c r="H184" i="20" s="1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B184" i="20" s="1"/>
  <c r="R183" i="20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B183" i="20" s="1"/>
  <c r="E183" i="20"/>
  <c r="F183" i="20" s="1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D183" i="20"/>
  <c r="G182" i="20"/>
  <c r="H182" i="20" s="1"/>
  <c r="I182" i="20" s="1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B182" i="20" s="1"/>
  <c r="E182" i="20"/>
  <c r="F182" i="20" s="1"/>
  <c r="D182" i="20"/>
  <c r="K181" i="20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B181" i="20" s="1"/>
  <c r="E181" i="20"/>
  <c r="F181" i="20" s="1"/>
  <c r="G181" i="20" s="1"/>
  <c r="H181" i="20" s="1"/>
  <c r="I181" i="20" s="1"/>
  <c r="J181" i="20" s="1"/>
  <c r="D181" i="20"/>
  <c r="T180" i="20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B180" i="20" s="1"/>
  <c r="F180" i="20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D180" i="20"/>
  <c r="E180" i="20" s="1"/>
  <c r="D179" i="20"/>
  <c r="E179" i="20" s="1"/>
  <c r="F179" i="20" s="1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B179" i="20" s="1"/>
  <c r="E177" i="20"/>
  <c r="F177" i="20" s="1"/>
  <c r="G177" i="20" s="1"/>
  <c r="H177" i="20" s="1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B177" i="20" s="1"/>
  <c r="D177" i="20"/>
  <c r="D176" i="20"/>
  <c r="E176" i="20" s="1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B176" i="20" s="1"/>
  <c r="E175" i="20"/>
  <c r="F175" i="20" s="1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B175" i="20" s="1"/>
  <c r="D175" i="20"/>
  <c r="K174" i="20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B174" i="20" s="1"/>
  <c r="D174" i="20"/>
  <c r="E174" i="20" s="1"/>
  <c r="F174" i="20" s="1"/>
  <c r="G174" i="20" s="1"/>
  <c r="H174" i="20" s="1"/>
  <c r="I174" i="20" s="1"/>
  <c r="J174" i="20" s="1"/>
  <c r="M173" i="20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B173" i="20" s="1"/>
  <c r="E173" i="20"/>
  <c r="F173" i="20" s="1"/>
  <c r="G173" i="20" s="1"/>
  <c r="H173" i="20" s="1"/>
  <c r="I173" i="20" s="1"/>
  <c r="J173" i="20" s="1"/>
  <c r="K173" i="20" s="1"/>
  <c r="L173" i="20" s="1"/>
  <c r="D173" i="20"/>
  <c r="L172" i="20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B172" i="20" s="1"/>
  <c r="D172" i="20"/>
  <c r="E172" i="20" s="1"/>
  <c r="F172" i="20" s="1"/>
  <c r="G172" i="20" s="1"/>
  <c r="H172" i="20" s="1"/>
  <c r="I172" i="20" s="1"/>
  <c r="J172" i="20" s="1"/>
  <c r="K172" i="20" s="1"/>
  <c r="J171" i="20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B171" i="20" s="1"/>
  <c r="D171" i="20"/>
  <c r="E171" i="20" s="1"/>
  <c r="F171" i="20" s="1"/>
  <c r="G171" i="20" s="1"/>
  <c r="H171" i="20" s="1"/>
  <c r="I171" i="20" s="1"/>
  <c r="D170" i="20"/>
  <c r="E170" i="20" s="1"/>
  <c r="F170" i="20" s="1"/>
  <c r="G170" i="20" s="1"/>
  <c r="H170" i="20" s="1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B170" i="20" s="1"/>
  <c r="F168" i="20"/>
  <c r="G168" i="20" s="1"/>
  <c r="H168" i="20" s="1"/>
  <c r="I168" i="20" s="1"/>
  <c r="J168" i="20" s="1"/>
  <c r="K168" i="20" s="1"/>
  <c r="L168" i="20" s="1"/>
  <c r="M168" i="20" s="1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AA168" i="20" s="1"/>
  <c r="AB168" i="20" s="1"/>
  <c r="AC168" i="20" s="1"/>
  <c r="AD168" i="20" s="1"/>
  <c r="AE168" i="20" s="1"/>
  <c r="AF168" i="20" s="1"/>
  <c r="B168" i="20" s="1"/>
  <c r="E168" i="20"/>
  <c r="D168" i="20"/>
  <c r="G167" i="20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B167" i="20" s="1"/>
  <c r="F167" i="20"/>
  <c r="D167" i="20"/>
  <c r="E167" i="20" s="1"/>
  <c r="G166" i="20"/>
  <c r="H166" i="20" s="1"/>
  <c r="I166" i="20" s="1"/>
  <c r="J166" i="20" s="1"/>
  <c r="K166" i="20" s="1"/>
  <c r="L166" i="20" s="1"/>
  <c r="M166" i="20" s="1"/>
  <c r="N166" i="20" s="1"/>
  <c r="O166" i="20" s="1"/>
  <c r="P166" i="20" s="1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B166" i="20" s="1"/>
  <c r="D166" i="20"/>
  <c r="E166" i="20" s="1"/>
  <c r="F166" i="20" s="1"/>
  <c r="W165" i="20"/>
  <c r="X165" i="20" s="1"/>
  <c r="Y165" i="20" s="1"/>
  <c r="Z165" i="20" s="1"/>
  <c r="AA165" i="20" s="1"/>
  <c r="AB165" i="20" s="1"/>
  <c r="AC165" i="20" s="1"/>
  <c r="AD165" i="20" s="1"/>
  <c r="AE165" i="20" s="1"/>
  <c r="AF165" i="20" s="1"/>
  <c r="B165" i="20" s="1"/>
  <c r="E165" i="20"/>
  <c r="F165" i="20" s="1"/>
  <c r="G165" i="20" s="1"/>
  <c r="H165" i="20" s="1"/>
  <c r="I165" i="20" s="1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D165" i="20"/>
  <c r="E164" i="20"/>
  <c r="F164" i="20" s="1"/>
  <c r="G164" i="20" s="1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B164" i="20" s="1"/>
  <c r="D164" i="20"/>
  <c r="Y163" i="20"/>
  <c r="Z163" i="20" s="1"/>
  <c r="AA163" i="20" s="1"/>
  <c r="AB163" i="20" s="1"/>
  <c r="AC163" i="20" s="1"/>
  <c r="AD163" i="20" s="1"/>
  <c r="AE163" i="20" s="1"/>
  <c r="AF163" i="20" s="1"/>
  <c r="B163" i="20" s="1"/>
  <c r="E163" i="20"/>
  <c r="F163" i="20" s="1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D163" i="20"/>
  <c r="D162" i="20"/>
  <c r="E162" i="20" s="1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B162" i="20" s="1"/>
  <c r="F161" i="20"/>
  <c r="G161" i="20" s="1"/>
  <c r="H161" i="20" s="1"/>
  <c r="I161" i="20" s="1"/>
  <c r="J161" i="20" s="1"/>
  <c r="K161" i="20" s="1"/>
  <c r="L161" i="20" s="1"/>
  <c r="M161" i="20" s="1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B161" i="20" s="1"/>
  <c r="E161" i="20"/>
  <c r="D161" i="20"/>
  <c r="E160" i="20"/>
  <c r="F160" i="20" s="1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B160" i="20" s="1"/>
  <c r="D160" i="20"/>
  <c r="E159" i="20"/>
  <c r="F159" i="20" s="1"/>
  <c r="G159" i="20" s="1"/>
  <c r="H159" i="20" s="1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B159" i="20" s="1"/>
  <c r="D159" i="20"/>
  <c r="D158" i="20"/>
  <c r="E158" i="20" s="1"/>
  <c r="F158" i="20" s="1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B158" i="20" s="1"/>
  <c r="E157" i="20"/>
  <c r="F157" i="20" s="1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B157" i="20" s="1"/>
  <c r="D157" i="20"/>
  <c r="F156" i="20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B156" i="20" s="1"/>
  <c r="E156" i="20"/>
  <c r="D156" i="20"/>
  <c r="K154" i="20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B154" i="20" s="1"/>
  <c r="D154" i="20"/>
  <c r="E154" i="20" s="1"/>
  <c r="F154" i="20" s="1"/>
  <c r="G154" i="20" s="1"/>
  <c r="H154" i="20" s="1"/>
  <c r="I154" i="20" s="1"/>
  <c r="J154" i="20" s="1"/>
  <c r="D153" i="20"/>
  <c r="E153" i="20" s="1"/>
  <c r="F153" i="20" s="1"/>
  <c r="G153" i="20" s="1"/>
  <c r="H153" i="20" s="1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B153" i="20" s="1"/>
  <c r="E152" i="20"/>
  <c r="F152" i="20" s="1"/>
  <c r="G152" i="20" s="1"/>
  <c r="H152" i="20" s="1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B152" i="20" s="1"/>
  <c r="D152" i="20"/>
  <c r="V151" i="20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B151" i="20" s="1"/>
  <c r="O151" i="20"/>
  <c r="P151" i="20" s="1"/>
  <c r="Q151" i="20" s="1"/>
  <c r="R151" i="20" s="1"/>
  <c r="S151" i="20" s="1"/>
  <c r="T151" i="20" s="1"/>
  <c r="U151" i="20" s="1"/>
  <c r="D151" i="20"/>
  <c r="E151" i="20" s="1"/>
  <c r="F151" i="20" s="1"/>
  <c r="G151" i="20" s="1"/>
  <c r="H151" i="20" s="1"/>
  <c r="I151" i="20" s="1"/>
  <c r="J151" i="20" s="1"/>
  <c r="K151" i="20" s="1"/>
  <c r="L151" i="20" s="1"/>
  <c r="M151" i="20" s="1"/>
  <c r="N151" i="20" s="1"/>
  <c r="W149" i="20"/>
  <c r="X149" i="20" s="1"/>
  <c r="Y149" i="20" s="1"/>
  <c r="Z149" i="20" s="1"/>
  <c r="AA149" i="20" s="1"/>
  <c r="AB149" i="20" s="1"/>
  <c r="AC149" i="20" s="1"/>
  <c r="AD149" i="20" s="1"/>
  <c r="AE149" i="20" s="1"/>
  <c r="AF149" i="20" s="1"/>
  <c r="B149" i="20" s="1"/>
  <c r="E149" i="20"/>
  <c r="F149" i="20" s="1"/>
  <c r="G149" i="20" s="1"/>
  <c r="H149" i="20" s="1"/>
  <c r="I149" i="20" s="1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T149" i="20" s="1"/>
  <c r="U149" i="20" s="1"/>
  <c r="V149" i="20" s="1"/>
  <c r="D149" i="20"/>
  <c r="K148" i="20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B148" i="20" s="1"/>
  <c r="H148" i="20"/>
  <c r="I148" i="20" s="1"/>
  <c r="J148" i="20" s="1"/>
  <c r="D148" i="20"/>
  <c r="E148" i="20" s="1"/>
  <c r="F148" i="20" s="1"/>
  <c r="G148" i="20" s="1"/>
  <c r="N146" i="20"/>
  <c r="O146" i="20" s="1"/>
  <c r="P146" i="20" s="1"/>
  <c r="Q146" i="20" s="1"/>
  <c r="R146" i="20" s="1"/>
  <c r="S146" i="20" s="1"/>
  <c r="T146" i="20" s="1"/>
  <c r="U146" i="20" s="1"/>
  <c r="V146" i="20" s="1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B146" i="20" s="1"/>
  <c r="J146" i="20"/>
  <c r="K146" i="20" s="1"/>
  <c r="L146" i="20" s="1"/>
  <c r="M146" i="20" s="1"/>
  <c r="E146" i="20"/>
  <c r="F146" i="20" s="1"/>
  <c r="G146" i="20" s="1"/>
  <c r="H146" i="20" s="1"/>
  <c r="I146" i="20" s="1"/>
  <c r="D146" i="20"/>
  <c r="AF145" i="20"/>
  <c r="B145" i="20" s="1"/>
  <c r="X145" i="20"/>
  <c r="Y145" i="20" s="1"/>
  <c r="Z145" i="20" s="1"/>
  <c r="AA145" i="20" s="1"/>
  <c r="AB145" i="20" s="1"/>
  <c r="AC145" i="20" s="1"/>
  <c r="AD145" i="20" s="1"/>
  <c r="AE145" i="20" s="1"/>
  <c r="F145" i="20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E145" i="20"/>
  <c r="D145" i="20"/>
  <c r="D144" i="20"/>
  <c r="E144" i="20" s="1"/>
  <c r="F144" i="20" s="1"/>
  <c r="G144" i="20" s="1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B144" i="20" s="1"/>
  <c r="AF143" i="20"/>
  <c r="B143" i="20" s="1"/>
  <c r="E143" i="20"/>
  <c r="F143" i="20" s="1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D143" i="20"/>
  <c r="G142" i="20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B142" i="20" s="1"/>
  <c r="E142" i="20"/>
  <c r="F142" i="20" s="1"/>
  <c r="D142" i="20"/>
  <c r="G141" i="20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B141" i="20" s="1"/>
  <c r="D141" i="20"/>
  <c r="E141" i="20" s="1"/>
  <c r="F141" i="20" s="1"/>
  <c r="D140" i="20"/>
  <c r="E140" i="20" s="1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B140" i="20" s="1"/>
  <c r="H138" i="20"/>
  <c r="I138" i="20" s="1"/>
  <c r="J138" i="20" s="1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Y138" i="20" s="1"/>
  <c r="Z138" i="20" s="1"/>
  <c r="AA138" i="20" s="1"/>
  <c r="AB138" i="20" s="1"/>
  <c r="AC138" i="20" s="1"/>
  <c r="AD138" i="20" s="1"/>
  <c r="AE138" i="20" s="1"/>
  <c r="AF138" i="20" s="1"/>
  <c r="B138" i="20" s="1"/>
  <c r="E138" i="20"/>
  <c r="F138" i="20" s="1"/>
  <c r="G138" i="20" s="1"/>
  <c r="D138" i="20"/>
  <c r="G137" i="20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B137" i="20" s="1"/>
  <c r="F137" i="20"/>
  <c r="E137" i="20"/>
  <c r="D137" i="20"/>
  <c r="D136" i="20"/>
  <c r="E136" i="20" s="1"/>
  <c r="F136" i="20" s="1"/>
  <c r="G136" i="20" s="1"/>
  <c r="H136" i="20" s="1"/>
  <c r="I136" i="20" s="1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B136" i="20" s="1"/>
  <c r="E135" i="20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B135" i="20" s="1"/>
  <c r="D135" i="20"/>
  <c r="O134" i="20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B134" i="20" s="1"/>
  <c r="J134" i="20"/>
  <c r="K134" i="20" s="1"/>
  <c r="L134" i="20" s="1"/>
  <c r="M134" i="20" s="1"/>
  <c r="N134" i="20" s="1"/>
  <c r="E134" i="20"/>
  <c r="F134" i="20" s="1"/>
  <c r="G134" i="20" s="1"/>
  <c r="H134" i="20" s="1"/>
  <c r="I134" i="20" s="1"/>
  <c r="D134" i="20"/>
  <c r="I133" i="20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B133" i="20" s="1"/>
  <c r="E133" i="20"/>
  <c r="F133" i="20" s="1"/>
  <c r="G133" i="20" s="1"/>
  <c r="H133" i="20" s="1"/>
  <c r="D133" i="20"/>
  <c r="D132" i="20"/>
  <c r="E132" i="20" s="1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B132" i="20" s="1"/>
  <c r="F131" i="20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B131" i="20" s="1"/>
  <c r="E131" i="20"/>
  <c r="D131" i="20"/>
  <c r="F129" i="20"/>
  <c r="G129" i="20" s="1"/>
  <c r="H129" i="20" s="1"/>
  <c r="I129" i="20" s="1"/>
  <c r="J129" i="20" s="1"/>
  <c r="K129" i="20" s="1"/>
  <c r="L129" i="20" s="1"/>
  <c r="M129" i="20" s="1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X129" i="20" s="1"/>
  <c r="Y129" i="20" s="1"/>
  <c r="Z129" i="20" s="1"/>
  <c r="AA129" i="20" s="1"/>
  <c r="AB129" i="20" s="1"/>
  <c r="AC129" i="20" s="1"/>
  <c r="AD129" i="20" s="1"/>
  <c r="AE129" i="20" s="1"/>
  <c r="AF129" i="20" s="1"/>
  <c r="B129" i="20" s="1"/>
  <c r="D129" i="20"/>
  <c r="E129" i="20" s="1"/>
  <c r="K128" i="20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B128" i="20" s="1"/>
  <c r="D128" i="20"/>
  <c r="E128" i="20" s="1"/>
  <c r="F128" i="20" s="1"/>
  <c r="G128" i="20" s="1"/>
  <c r="H128" i="20" s="1"/>
  <c r="I128" i="20" s="1"/>
  <c r="J128" i="20" s="1"/>
  <c r="I127" i="20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B127" i="20" s="1"/>
  <c r="E127" i="20"/>
  <c r="F127" i="20" s="1"/>
  <c r="G127" i="20" s="1"/>
  <c r="H127" i="20" s="1"/>
  <c r="D127" i="20"/>
  <c r="E126" i="20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B126" i="20" s="1"/>
  <c r="D126" i="20"/>
  <c r="E125" i="20"/>
  <c r="F125" i="20" s="1"/>
  <c r="G125" i="20" s="1"/>
  <c r="H125" i="20" s="1"/>
  <c r="I125" i="20" s="1"/>
  <c r="J125" i="20" s="1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B125" i="20" s="1"/>
  <c r="D125" i="20"/>
  <c r="F124" i="20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B124" i="20" s="1"/>
  <c r="D124" i="20"/>
  <c r="E124" i="20" s="1"/>
  <c r="J123" i="20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B123" i="20" s="1"/>
  <c r="F123" i="20"/>
  <c r="G123" i="20" s="1"/>
  <c r="H123" i="20" s="1"/>
  <c r="I123" i="20" s="1"/>
  <c r="D123" i="20"/>
  <c r="E123" i="20" s="1"/>
  <c r="O122" i="20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B122" i="20" s="1"/>
  <c r="D122" i="20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D121" i="20"/>
  <c r="E121" i="20" s="1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B121" i="20" s="1"/>
  <c r="D120" i="20"/>
  <c r="E120" i="20" s="1"/>
  <c r="F120" i="20" s="1"/>
  <c r="G120" i="20" s="1"/>
  <c r="H120" i="20" s="1"/>
  <c r="I120" i="20" s="1"/>
  <c r="J120" i="20" s="1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B120" i="20" s="1"/>
  <c r="D119" i="20"/>
  <c r="E119" i="20" s="1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B119" i="20" s="1"/>
  <c r="X118" i="20"/>
  <c r="Y118" i="20" s="1"/>
  <c r="Z118" i="20" s="1"/>
  <c r="AA118" i="20" s="1"/>
  <c r="AB118" i="20" s="1"/>
  <c r="AC118" i="20" s="1"/>
  <c r="AD118" i="20" s="1"/>
  <c r="AE118" i="20" s="1"/>
  <c r="AF118" i="20" s="1"/>
  <c r="B118" i="20" s="1"/>
  <c r="D118" i="20"/>
  <c r="E118" i="20" s="1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D117" i="20"/>
  <c r="E117" i="20" s="1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B117" i="20" s="1"/>
  <c r="H116" i="20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B116" i="20" s="1"/>
  <c r="E116" i="20"/>
  <c r="F116" i="20" s="1"/>
  <c r="G116" i="20" s="1"/>
  <c r="D116" i="20"/>
  <c r="F115" i="20"/>
  <c r="G115" i="20" s="1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B115" i="20" s="1"/>
  <c r="D115" i="20"/>
  <c r="E115" i="20" s="1"/>
  <c r="Q114" i="20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B114" i="20" s="1"/>
  <c r="L114" i="20"/>
  <c r="M114" i="20" s="1"/>
  <c r="N114" i="20" s="1"/>
  <c r="O114" i="20" s="1"/>
  <c r="P114" i="20" s="1"/>
  <c r="K114" i="20"/>
  <c r="E114" i="20"/>
  <c r="F114" i="20" s="1"/>
  <c r="G114" i="20" s="1"/>
  <c r="H114" i="20" s="1"/>
  <c r="I114" i="20" s="1"/>
  <c r="D114" i="20"/>
  <c r="E113" i="20"/>
  <c r="F113" i="20" s="1"/>
  <c r="G113" i="20" s="1"/>
  <c r="H113" i="20" s="1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B113" i="20" s="1"/>
  <c r="D113" i="20"/>
  <c r="D112" i="20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B112" i="20" s="1"/>
  <c r="E110" i="20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B110" i="20" s="1"/>
  <c r="D110" i="20"/>
  <c r="D109" i="20"/>
  <c r="E109" i="20" s="1"/>
  <c r="F109" i="20" s="1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B109" i="20" s="1"/>
  <c r="E107" i="20"/>
  <c r="F107" i="20" s="1"/>
  <c r="G107" i="20" s="1"/>
  <c r="H107" i="20" s="1"/>
  <c r="I107" i="20" s="1"/>
  <c r="J107" i="20" s="1"/>
  <c r="K107" i="20" s="1"/>
  <c r="L107" i="20" s="1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B107" i="20" s="1"/>
  <c r="D107" i="20"/>
  <c r="I106" i="20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B106" i="20" s="1"/>
  <c r="D106" i="20"/>
  <c r="E106" i="20" s="1"/>
  <c r="F106" i="20" s="1"/>
  <c r="G106" i="20" s="1"/>
  <c r="H106" i="20" s="1"/>
  <c r="G105" i="20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B105" i="20" s="1"/>
  <c r="F105" i="20"/>
  <c r="E105" i="20"/>
  <c r="D105" i="20"/>
  <c r="G104" i="20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B104" i="20" s="1"/>
  <c r="E104" i="20"/>
  <c r="F104" i="20" s="1"/>
  <c r="D104" i="20"/>
  <c r="E103" i="20"/>
  <c r="D103" i="20"/>
  <c r="D102" i="20"/>
  <c r="AH98" i="20"/>
  <c r="AI98" i="20" s="1"/>
  <c r="AH97" i="20"/>
  <c r="AI97" i="20" s="1"/>
  <c r="AH96" i="20"/>
  <c r="AI96" i="20" s="1"/>
  <c r="AH95" i="20"/>
  <c r="AI95" i="20" s="1"/>
  <c r="AH94" i="20"/>
  <c r="AI94" i="20" s="1"/>
  <c r="D93" i="20"/>
  <c r="C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2" i="20"/>
  <c r="AI81" i="20"/>
  <c r="AH81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F76" i="20"/>
  <c r="AF82" i="20" s="1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I74" i="20"/>
  <c r="AH74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I71" i="20"/>
  <c r="AH71" i="20"/>
  <c r="AI70" i="20"/>
  <c r="AH70" i="20"/>
  <c r="AI69" i="20"/>
  <c r="AH69" i="20"/>
  <c r="AG68" i="20"/>
  <c r="AF68" i="20"/>
  <c r="AE5" i="20" s="1"/>
  <c r="AE68" i="20"/>
  <c r="AD5" i="20" s="1"/>
  <c r="AD68" i="20"/>
  <c r="AC68" i="20"/>
  <c r="AB5" i="20" s="1"/>
  <c r="AB68" i="20"/>
  <c r="AA5" i="20" s="1"/>
  <c r="AA68" i="20"/>
  <c r="Z68" i="20"/>
  <c r="Y68" i="20"/>
  <c r="X5" i="20" s="1"/>
  <c r="X68" i="20"/>
  <c r="W5" i="20" s="1"/>
  <c r="W68" i="20"/>
  <c r="V68" i="20"/>
  <c r="U5" i="20" s="1"/>
  <c r="U68" i="20"/>
  <c r="T5" i="20" s="1"/>
  <c r="T68" i="20"/>
  <c r="S5" i="20" s="1"/>
  <c r="S68" i="20"/>
  <c r="R68" i="20"/>
  <c r="Q5" i="20" s="1"/>
  <c r="Q68" i="20"/>
  <c r="P5" i="20" s="1"/>
  <c r="P68" i="20"/>
  <c r="O5" i="20" s="1"/>
  <c r="O68" i="20"/>
  <c r="N68" i="20"/>
  <c r="M5" i="20" s="1"/>
  <c r="M68" i="20"/>
  <c r="L68" i="20"/>
  <c r="K68" i="20"/>
  <c r="J68" i="20"/>
  <c r="I5" i="20" s="1"/>
  <c r="I68" i="20"/>
  <c r="H68" i="20"/>
  <c r="G68" i="20"/>
  <c r="F68" i="20"/>
  <c r="E68" i="20"/>
  <c r="D5" i="20" s="1"/>
  <c r="D68" i="20"/>
  <c r="C5" i="20" s="1"/>
  <c r="C68" i="20"/>
  <c r="B5" i="20" s="1"/>
  <c r="B68" i="20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I55" i="20"/>
  <c r="AH55" i="20"/>
  <c r="AI54" i="20"/>
  <c r="AH54" i="20"/>
  <c r="AI53" i="20"/>
  <c r="AH53" i="20"/>
  <c r="Z52" i="20"/>
  <c r="T52" i="20"/>
  <c r="S52" i="20"/>
  <c r="R52" i="20"/>
  <c r="Q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AG51" i="20"/>
  <c r="AG52" i="20" s="1"/>
  <c r="AG3" i="20" s="1"/>
  <c r="AG6" i="20" s="1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E73" i="20" s="1"/>
  <c r="D38" i="20"/>
  <c r="C38" i="20"/>
  <c r="B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Z5" i="20"/>
  <c r="Y5" i="20"/>
  <c r="V5" i="20"/>
  <c r="R5" i="20"/>
  <c r="L5" i="20"/>
  <c r="K5" i="20"/>
  <c r="J5" i="20"/>
  <c r="H5" i="20"/>
  <c r="G5" i="20"/>
  <c r="F5" i="20"/>
  <c r="AG4" i="20"/>
  <c r="K4" i="20"/>
  <c r="B4" i="20"/>
  <c r="AG2" i="20"/>
  <c r="R58" i="19"/>
  <c r="R37" i="19"/>
  <c r="R95" i="19"/>
  <c r="Q37" i="19"/>
  <c r="P37" i="19"/>
  <c r="O58" i="19"/>
  <c r="O37" i="19"/>
  <c r="N58" i="19"/>
  <c r="N37" i="19"/>
  <c r="M58" i="19"/>
  <c r="M37" i="19"/>
  <c r="L58" i="19"/>
  <c r="C76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Z76" i="19"/>
  <c r="AA76" i="19"/>
  <c r="AB76" i="19"/>
  <c r="AC76" i="19"/>
  <c r="AD76" i="19"/>
  <c r="AE76" i="19"/>
  <c r="AF76" i="19"/>
  <c r="C77" i="19"/>
  <c r="D77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U77" i="19"/>
  <c r="V77" i="19"/>
  <c r="W77" i="19"/>
  <c r="X77" i="19"/>
  <c r="Y77" i="19"/>
  <c r="Z77" i="19"/>
  <c r="AA77" i="19"/>
  <c r="AB77" i="19"/>
  <c r="AC77" i="19"/>
  <c r="AD77" i="19"/>
  <c r="AE77" i="19"/>
  <c r="AF77" i="19"/>
  <c r="C78" i="19"/>
  <c r="D78" i="19"/>
  <c r="E78" i="19"/>
  <c r="F78" i="19"/>
  <c r="G78" i="19"/>
  <c r="H78" i="19"/>
  <c r="I78" i="19"/>
  <c r="J78" i="19"/>
  <c r="K78" i="19"/>
  <c r="L78" i="19"/>
  <c r="M78" i="19"/>
  <c r="N78" i="19"/>
  <c r="O78" i="19"/>
  <c r="P78" i="19"/>
  <c r="Q78" i="19"/>
  <c r="R78" i="19"/>
  <c r="S78" i="19"/>
  <c r="T78" i="19"/>
  <c r="U78" i="19"/>
  <c r="V78" i="19"/>
  <c r="W78" i="19"/>
  <c r="X78" i="19"/>
  <c r="Y78" i="19"/>
  <c r="Z78" i="19"/>
  <c r="AA78" i="19"/>
  <c r="AB78" i="19"/>
  <c r="AC78" i="19"/>
  <c r="AD78" i="19"/>
  <c r="AE78" i="19"/>
  <c r="AF78" i="19"/>
  <c r="C79" i="19"/>
  <c r="D79" i="19"/>
  <c r="E79" i="19"/>
  <c r="E82" i="19" s="1"/>
  <c r="F79" i="19"/>
  <c r="G79" i="19"/>
  <c r="H79" i="19"/>
  <c r="I79" i="19"/>
  <c r="J79" i="19"/>
  <c r="K79" i="19"/>
  <c r="L79" i="19"/>
  <c r="M79" i="19"/>
  <c r="N79" i="19"/>
  <c r="O79" i="19"/>
  <c r="P79" i="19"/>
  <c r="P82" i="19" s="1"/>
  <c r="Q79" i="19"/>
  <c r="R79" i="19"/>
  <c r="S79" i="19"/>
  <c r="T79" i="19"/>
  <c r="U79" i="19"/>
  <c r="V79" i="19"/>
  <c r="W79" i="19"/>
  <c r="X79" i="19"/>
  <c r="Y79" i="19"/>
  <c r="Z79" i="19"/>
  <c r="AA79" i="19"/>
  <c r="AB79" i="19"/>
  <c r="AC79" i="19"/>
  <c r="AD79" i="19"/>
  <c r="AE79" i="19"/>
  <c r="AF79" i="19"/>
  <c r="C80" i="19"/>
  <c r="D80" i="19"/>
  <c r="E80" i="19"/>
  <c r="F80" i="19"/>
  <c r="G80" i="19"/>
  <c r="H80" i="19"/>
  <c r="I80" i="19"/>
  <c r="J80" i="19"/>
  <c r="K80" i="19"/>
  <c r="L80" i="19"/>
  <c r="M80" i="19"/>
  <c r="N80" i="19"/>
  <c r="O80" i="19"/>
  <c r="P80" i="19"/>
  <c r="Q80" i="19"/>
  <c r="R80" i="19"/>
  <c r="S80" i="19"/>
  <c r="T80" i="19"/>
  <c r="U80" i="19"/>
  <c r="V80" i="19"/>
  <c r="W80" i="19"/>
  <c r="X80" i="19"/>
  <c r="Y80" i="19"/>
  <c r="Z80" i="19"/>
  <c r="AA80" i="19"/>
  <c r="AB80" i="19"/>
  <c r="AC80" i="19"/>
  <c r="AD80" i="19"/>
  <c r="AE80" i="19"/>
  <c r="AF80" i="19"/>
  <c r="B93" i="19"/>
  <c r="B80" i="19"/>
  <c r="B79" i="19"/>
  <c r="B78" i="19"/>
  <c r="B77" i="19"/>
  <c r="B82" i="19" s="1"/>
  <c r="B76" i="19"/>
  <c r="B72" i="19"/>
  <c r="B68" i="19"/>
  <c r="B56" i="19"/>
  <c r="B52" i="19"/>
  <c r="B51" i="19"/>
  <c r="B38" i="19"/>
  <c r="AF239" i="19"/>
  <c r="AE239" i="19"/>
  <c r="AD239" i="19"/>
  <c r="AC239" i="19"/>
  <c r="AB239" i="19"/>
  <c r="AA239" i="19"/>
  <c r="Z239" i="19"/>
  <c r="Y239" i="19"/>
  <c r="X239" i="19"/>
  <c r="W239" i="19"/>
  <c r="V239" i="19"/>
  <c r="U239" i="19"/>
  <c r="T239" i="19"/>
  <c r="S239" i="19"/>
  <c r="R239" i="19"/>
  <c r="Q239" i="19"/>
  <c r="P239" i="19"/>
  <c r="O239" i="19"/>
  <c r="N239" i="19"/>
  <c r="M239" i="19"/>
  <c r="L239" i="19"/>
  <c r="K239" i="19"/>
  <c r="J239" i="19"/>
  <c r="I239" i="19"/>
  <c r="H239" i="19"/>
  <c r="G239" i="19"/>
  <c r="F239" i="19"/>
  <c r="E239" i="19"/>
  <c r="D239" i="19"/>
  <c r="C239" i="19"/>
  <c r="B239" i="19"/>
  <c r="A239" i="19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C235" i="19"/>
  <c r="B235" i="19"/>
  <c r="S210" i="19"/>
  <c r="AG200" i="19"/>
  <c r="D200" i="19"/>
  <c r="C200" i="19"/>
  <c r="D199" i="19"/>
  <c r="E199" i="19" s="1"/>
  <c r="D235" i="19" s="1"/>
  <c r="E198" i="19"/>
  <c r="F198" i="19" s="1"/>
  <c r="G198" i="19" s="1"/>
  <c r="H198" i="19" s="1"/>
  <c r="I198" i="19" s="1"/>
  <c r="J198" i="19" s="1"/>
  <c r="K198" i="19" s="1"/>
  <c r="L198" i="19" s="1"/>
  <c r="M198" i="19" s="1"/>
  <c r="N198" i="19" s="1"/>
  <c r="O198" i="19" s="1"/>
  <c r="P198" i="19" s="1"/>
  <c r="Q198" i="19" s="1"/>
  <c r="R198" i="19" s="1"/>
  <c r="S198" i="19" s="1"/>
  <c r="T198" i="19" s="1"/>
  <c r="U198" i="19" s="1"/>
  <c r="V198" i="19" s="1"/>
  <c r="W198" i="19" s="1"/>
  <c r="X198" i="19" s="1"/>
  <c r="Y198" i="19" s="1"/>
  <c r="Z198" i="19" s="1"/>
  <c r="AA198" i="19" s="1"/>
  <c r="AB198" i="19" s="1"/>
  <c r="AC198" i="19" s="1"/>
  <c r="AD198" i="19" s="1"/>
  <c r="AE198" i="19" s="1"/>
  <c r="AF198" i="19" s="1"/>
  <c r="B198" i="19" s="1"/>
  <c r="D198" i="19"/>
  <c r="O197" i="19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AA197" i="19" s="1"/>
  <c r="AB197" i="19" s="1"/>
  <c r="AC197" i="19" s="1"/>
  <c r="AD197" i="19" s="1"/>
  <c r="AE197" i="19" s="1"/>
  <c r="AF197" i="19" s="1"/>
  <c r="B197" i="19" s="1"/>
  <c r="G197" i="19"/>
  <c r="H197" i="19" s="1"/>
  <c r="I197" i="19" s="1"/>
  <c r="J197" i="19" s="1"/>
  <c r="K197" i="19" s="1"/>
  <c r="L197" i="19" s="1"/>
  <c r="M197" i="19" s="1"/>
  <c r="N197" i="19" s="1"/>
  <c r="F197" i="19"/>
  <c r="E197" i="19"/>
  <c r="D197" i="19"/>
  <c r="I196" i="19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B196" i="19" s="1"/>
  <c r="H196" i="19"/>
  <c r="E196" i="19"/>
  <c r="F196" i="19" s="1"/>
  <c r="G196" i="19" s="1"/>
  <c r="D196" i="19"/>
  <c r="D195" i="19"/>
  <c r="E195" i="19" s="1"/>
  <c r="F195" i="19" s="1"/>
  <c r="G195" i="19" s="1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B195" i="19" s="1"/>
  <c r="D194" i="19"/>
  <c r="E194" i="19" s="1"/>
  <c r="AG192" i="19"/>
  <c r="C192" i="19"/>
  <c r="H191" i="19"/>
  <c r="I191" i="19" s="1"/>
  <c r="J191" i="19" s="1"/>
  <c r="K191" i="19" s="1"/>
  <c r="L191" i="19" s="1"/>
  <c r="M191" i="19" s="1"/>
  <c r="N191" i="19" s="1"/>
  <c r="O191" i="19" s="1"/>
  <c r="P191" i="19" s="1"/>
  <c r="Q191" i="19" s="1"/>
  <c r="R191" i="19" s="1"/>
  <c r="S191" i="19" s="1"/>
  <c r="T191" i="19" s="1"/>
  <c r="U191" i="19" s="1"/>
  <c r="V191" i="19" s="1"/>
  <c r="W191" i="19" s="1"/>
  <c r="X191" i="19" s="1"/>
  <c r="Y191" i="19" s="1"/>
  <c r="Z191" i="19" s="1"/>
  <c r="AA191" i="19" s="1"/>
  <c r="AB191" i="19" s="1"/>
  <c r="AC191" i="19" s="1"/>
  <c r="AD191" i="19" s="1"/>
  <c r="AE191" i="19" s="1"/>
  <c r="AF191" i="19" s="1"/>
  <c r="B191" i="19" s="1"/>
  <c r="G191" i="19"/>
  <c r="F191" i="19"/>
  <c r="E191" i="19"/>
  <c r="D191" i="19"/>
  <c r="E190" i="19"/>
  <c r="F190" i="19" s="1"/>
  <c r="G190" i="19" s="1"/>
  <c r="H190" i="19" s="1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X190" i="19" s="1"/>
  <c r="Y190" i="19" s="1"/>
  <c r="Z190" i="19" s="1"/>
  <c r="AA190" i="19" s="1"/>
  <c r="AB190" i="19" s="1"/>
  <c r="AC190" i="19" s="1"/>
  <c r="AD190" i="19" s="1"/>
  <c r="AE190" i="19" s="1"/>
  <c r="AF190" i="19" s="1"/>
  <c r="B190" i="19" s="1"/>
  <c r="D190" i="19"/>
  <c r="N189" i="19"/>
  <c r="O189" i="19" s="1"/>
  <c r="P189" i="19" s="1"/>
  <c r="Q189" i="19" s="1"/>
  <c r="R189" i="19" s="1"/>
  <c r="S189" i="19" s="1"/>
  <c r="T189" i="19" s="1"/>
  <c r="U189" i="19" s="1"/>
  <c r="V189" i="19" s="1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B189" i="19" s="1"/>
  <c r="D189" i="19"/>
  <c r="E189" i="19" s="1"/>
  <c r="F189" i="19" s="1"/>
  <c r="G189" i="19" s="1"/>
  <c r="H189" i="19" s="1"/>
  <c r="I189" i="19" s="1"/>
  <c r="J189" i="19" s="1"/>
  <c r="K189" i="19" s="1"/>
  <c r="L189" i="19" s="1"/>
  <c r="M189" i="19" s="1"/>
  <c r="E188" i="19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B188" i="19" s="1"/>
  <c r="D188" i="19"/>
  <c r="G187" i="19"/>
  <c r="H187" i="19" s="1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B187" i="19" s="1"/>
  <c r="F187" i="19"/>
  <c r="E187" i="19"/>
  <c r="D187" i="19"/>
  <c r="G186" i="19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B186" i="19" s="1"/>
  <c r="F186" i="19"/>
  <c r="E186" i="19"/>
  <c r="D186" i="19"/>
  <c r="D185" i="19"/>
  <c r="E185" i="19" s="1"/>
  <c r="F185" i="19" s="1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B185" i="19" s="1"/>
  <c r="D184" i="19"/>
  <c r="E184" i="19" s="1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B184" i="19" s="1"/>
  <c r="J183" i="19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B183" i="19" s="1"/>
  <c r="I183" i="19"/>
  <c r="H183" i="19"/>
  <c r="G183" i="19"/>
  <c r="F183" i="19"/>
  <c r="E183" i="19"/>
  <c r="D183" i="19"/>
  <c r="L182" i="19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B182" i="19" s="1"/>
  <c r="I182" i="19"/>
  <c r="J182" i="19" s="1"/>
  <c r="K182" i="19" s="1"/>
  <c r="F182" i="19"/>
  <c r="G182" i="19" s="1"/>
  <c r="H182" i="19" s="1"/>
  <c r="D182" i="19"/>
  <c r="E182" i="19" s="1"/>
  <c r="D181" i="19"/>
  <c r="E181" i="19" s="1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B181" i="19" s="1"/>
  <c r="H180" i="19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B180" i="19" s="1"/>
  <c r="E180" i="19"/>
  <c r="F180" i="19" s="1"/>
  <c r="G180" i="19" s="1"/>
  <c r="D180" i="19"/>
  <c r="G179" i="19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B179" i="19" s="1"/>
  <c r="E179" i="19"/>
  <c r="F179" i="19" s="1"/>
  <c r="D179" i="19"/>
  <c r="N177" i="19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B177" i="19" s="1"/>
  <c r="D177" i="19"/>
  <c r="E177" i="19" s="1"/>
  <c r="F177" i="19" s="1"/>
  <c r="G177" i="19" s="1"/>
  <c r="H177" i="19" s="1"/>
  <c r="I177" i="19" s="1"/>
  <c r="J177" i="19" s="1"/>
  <c r="K177" i="19" s="1"/>
  <c r="L177" i="19" s="1"/>
  <c r="M177" i="19" s="1"/>
  <c r="K176" i="19"/>
  <c r="L176" i="19" s="1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B176" i="19" s="1"/>
  <c r="F176" i="19"/>
  <c r="G176" i="19" s="1"/>
  <c r="H176" i="19" s="1"/>
  <c r="I176" i="19" s="1"/>
  <c r="J176" i="19" s="1"/>
  <c r="D176" i="19"/>
  <c r="E176" i="19" s="1"/>
  <c r="I175" i="19"/>
  <c r="J175" i="19" s="1"/>
  <c r="K175" i="19" s="1"/>
  <c r="L175" i="19" s="1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B175" i="19" s="1"/>
  <c r="D175" i="19"/>
  <c r="E175" i="19" s="1"/>
  <c r="F175" i="19" s="1"/>
  <c r="G175" i="19" s="1"/>
  <c r="H175" i="19" s="1"/>
  <c r="T174" i="19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B174" i="19" s="1"/>
  <c r="D174" i="19"/>
  <c r="E174" i="19" s="1"/>
  <c r="F174" i="19" s="1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D173" i="19"/>
  <c r="E173" i="19" s="1"/>
  <c r="F173" i="19" s="1"/>
  <c r="G173" i="19" s="1"/>
  <c r="H173" i="19" s="1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B173" i="19" s="1"/>
  <c r="L172" i="19"/>
  <c r="M172" i="19" s="1"/>
  <c r="N172" i="19" s="1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B172" i="19" s="1"/>
  <c r="K172" i="19"/>
  <c r="D172" i="19"/>
  <c r="E172" i="19" s="1"/>
  <c r="F172" i="19" s="1"/>
  <c r="G172" i="19" s="1"/>
  <c r="H172" i="19" s="1"/>
  <c r="I172" i="19" s="1"/>
  <c r="J172" i="19" s="1"/>
  <c r="N171" i="19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B171" i="19" s="1"/>
  <c r="F171" i="19"/>
  <c r="G171" i="19" s="1"/>
  <c r="H171" i="19" s="1"/>
  <c r="I171" i="19" s="1"/>
  <c r="J171" i="19" s="1"/>
  <c r="K171" i="19" s="1"/>
  <c r="L171" i="19" s="1"/>
  <c r="M171" i="19" s="1"/>
  <c r="D171" i="19"/>
  <c r="E171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B170" i="19" s="1"/>
  <c r="T168" i="19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B168" i="19" s="1"/>
  <c r="E168" i="19"/>
  <c r="F168" i="19" s="1"/>
  <c r="G168" i="19" s="1"/>
  <c r="H168" i="19" s="1"/>
  <c r="I168" i="19" s="1"/>
  <c r="J168" i="19" s="1"/>
  <c r="K168" i="19" s="1"/>
  <c r="L168" i="19" s="1"/>
  <c r="M168" i="19" s="1"/>
  <c r="N168" i="19" s="1"/>
  <c r="O168" i="19" s="1"/>
  <c r="P168" i="19" s="1"/>
  <c r="Q168" i="19" s="1"/>
  <c r="R168" i="19" s="1"/>
  <c r="S168" i="19" s="1"/>
  <c r="D168" i="19"/>
  <c r="AD167" i="19"/>
  <c r="AE167" i="19" s="1"/>
  <c r="AF167" i="19" s="1"/>
  <c r="B167" i="19" s="1"/>
  <c r="D167" i="19"/>
  <c r="E167" i="19" s="1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J166" i="19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B166" i="19" s="1"/>
  <c r="G166" i="19"/>
  <c r="H166" i="19" s="1"/>
  <c r="I166" i="19" s="1"/>
  <c r="F166" i="19"/>
  <c r="D166" i="19"/>
  <c r="E166" i="19" s="1"/>
  <c r="D165" i="19"/>
  <c r="E165" i="19" s="1"/>
  <c r="F165" i="19" s="1"/>
  <c r="G165" i="19" s="1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B165" i="19" s="1"/>
  <c r="AC164" i="19"/>
  <c r="AD164" i="19" s="1"/>
  <c r="AE164" i="19" s="1"/>
  <c r="AF164" i="19" s="1"/>
  <c r="B164" i="19" s="1"/>
  <c r="I164" i="19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E164" i="19"/>
  <c r="F164" i="19" s="1"/>
  <c r="G164" i="19" s="1"/>
  <c r="H164" i="19" s="1"/>
  <c r="D164" i="19"/>
  <c r="D163" i="19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B163" i="19" s="1"/>
  <c r="N162" i="19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B162" i="19" s="1"/>
  <c r="F162" i="19"/>
  <c r="G162" i="19" s="1"/>
  <c r="H162" i="19" s="1"/>
  <c r="I162" i="19" s="1"/>
  <c r="J162" i="19" s="1"/>
  <c r="K162" i="19" s="1"/>
  <c r="L162" i="19" s="1"/>
  <c r="M162" i="19" s="1"/>
  <c r="E162" i="19"/>
  <c r="D162" i="19"/>
  <c r="F161" i="19"/>
  <c r="G161" i="19" s="1"/>
  <c r="H161" i="19" s="1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B161" i="19" s="1"/>
  <c r="D161" i="19"/>
  <c r="E161" i="19" s="1"/>
  <c r="Q160" i="19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B160" i="19" s="1"/>
  <c r="E160" i="19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D160" i="19"/>
  <c r="H159" i="19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B159" i="19" s="1"/>
  <c r="G159" i="19"/>
  <c r="D159" i="19"/>
  <c r="E159" i="19" s="1"/>
  <c r="F159" i="19" s="1"/>
  <c r="Y158" i="19"/>
  <c r="Z158" i="19" s="1"/>
  <c r="AA158" i="19" s="1"/>
  <c r="AB158" i="19" s="1"/>
  <c r="AC158" i="19" s="1"/>
  <c r="AD158" i="19" s="1"/>
  <c r="AE158" i="19" s="1"/>
  <c r="AF158" i="19" s="1"/>
  <c r="B158" i="19" s="1"/>
  <c r="N158" i="19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E158" i="19"/>
  <c r="F158" i="19" s="1"/>
  <c r="G158" i="19" s="1"/>
  <c r="H158" i="19" s="1"/>
  <c r="I158" i="19" s="1"/>
  <c r="J158" i="19" s="1"/>
  <c r="K158" i="19" s="1"/>
  <c r="L158" i="19" s="1"/>
  <c r="M158" i="19" s="1"/>
  <c r="D158" i="19"/>
  <c r="T157" i="19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B157" i="19" s="1"/>
  <c r="F157" i="19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E157" i="19"/>
  <c r="D157" i="19"/>
  <c r="D156" i="19"/>
  <c r="E156" i="19" s="1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B156" i="19" s="1"/>
  <c r="D154" i="19"/>
  <c r="E154" i="19" s="1"/>
  <c r="F154" i="19" s="1"/>
  <c r="G154" i="19" s="1"/>
  <c r="H154" i="19" s="1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W154" i="19" s="1"/>
  <c r="X154" i="19" s="1"/>
  <c r="Y154" i="19" s="1"/>
  <c r="Z154" i="19" s="1"/>
  <c r="AA154" i="19" s="1"/>
  <c r="AB154" i="19" s="1"/>
  <c r="AC154" i="19" s="1"/>
  <c r="AD154" i="19" s="1"/>
  <c r="AE154" i="19" s="1"/>
  <c r="AF154" i="19" s="1"/>
  <c r="B154" i="19" s="1"/>
  <c r="AD153" i="19"/>
  <c r="AE153" i="19" s="1"/>
  <c r="AF153" i="19" s="1"/>
  <c r="B153" i="19" s="1"/>
  <c r="E153" i="19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D153" i="19"/>
  <c r="D152" i="19"/>
  <c r="E152" i="19" s="1"/>
  <c r="F152" i="19" s="1"/>
  <c r="G152" i="19" s="1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B152" i="19" s="1"/>
  <c r="F151" i="19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B151" i="19" s="1"/>
  <c r="E151" i="19"/>
  <c r="D151" i="19"/>
  <c r="AF149" i="19"/>
  <c r="B149" i="19" s="1"/>
  <c r="W149" i="19"/>
  <c r="X149" i="19" s="1"/>
  <c r="Y149" i="19" s="1"/>
  <c r="Z149" i="19" s="1"/>
  <c r="AA149" i="19" s="1"/>
  <c r="AB149" i="19" s="1"/>
  <c r="AC149" i="19" s="1"/>
  <c r="AD149" i="19" s="1"/>
  <c r="AE149" i="19" s="1"/>
  <c r="N149" i="19"/>
  <c r="O149" i="19" s="1"/>
  <c r="P149" i="19" s="1"/>
  <c r="Q149" i="19" s="1"/>
  <c r="R149" i="19" s="1"/>
  <c r="S149" i="19" s="1"/>
  <c r="T149" i="19" s="1"/>
  <c r="U149" i="19" s="1"/>
  <c r="V149" i="19" s="1"/>
  <c r="D149" i="19"/>
  <c r="E149" i="19" s="1"/>
  <c r="F149" i="19" s="1"/>
  <c r="G149" i="19" s="1"/>
  <c r="H149" i="19" s="1"/>
  <c r="I149" i="19" s="1"/>
  <c r="J149" i="19" s="1"/>
  <c r="K149" i="19" s="1"/>
  <c r="L149" i="19" s="1"/>
  <c r="M149" i="19" s="1"/>
  <c r="G148" i="19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B148" i="19" s="1"/>
  <c r="D148" i="19"/>
  <c r="E148" i="19" s="1"/>
  <c r="F148" i="19" s="1"/>
  <c r="S146" i="19"/>
  <c r="T146" i="19" s="1"/>
  <c r="U146" i="19" s="1"/>
  <c r="V146" i="19" s="1"/>
  <c r="W146" i="19" s="1"/>
  <c r="X146" i="19" s="1"/>
  <c r="Y146" i="19" s="1"/>
  <c r="Z146" i="19" s="1"/>
  <c r="AA146" i="19" s="1"/>
  <c r="AB146" i="19" s="1"/>
  <c r="AC146" i="19" s="1"/>
  <c r="AD146" i="19" s="1"/>
  <c r="AE146" i="19" s="1"/>
  <c r="AF146" i="19" s="1"/>
  <c r="B146" i="19" s="1"/>
  <c r="E146" i="19"/>
  <c r="F146" i="19" s="1"/>
  <c r="G146" i="19" s="1"/>
  <c r="H146" i="19" s="1"/>
  <c r="I146" i="19" s="1"/>
  <c r="J146" i="19" s="1"/>
  <c r="K146" i="19" s="1"/>
  <c r="L146" i="19" s="1"/>
  <c r="M146" i="19" s="1"/>
  <c r="N146" i="19" s="1"/>
  <c r="O146" i="19" s="1"/>
  <c r="P146" i="19" s="1"/>
  <c r="Q146" i="19" s="1"/>
  <c r="R146" i="19" s="1"/>
  <c r="D146" i="19"/>
  <c r="Q145" i="19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B145" i="19" s="1"/>
  <c r="L145" i="19"/>
  <c r="M145" i="19" s="1"/>
  <c r="N145" i="19" s="1"/>
  <c r="O145" i="19" s="1"/>
  <c r="P145" i="19" s="1"/>
  <c r="H145" i="19"/>
  <c r="I145" i="19" s="1"/>
  <c r="J145" i="19" s="1"/>
  <c r="K145" i="19" s="1"/>
  <c r="F145" i="19"/>
  <c r="G145" i="19" s="1"/>
  <c r="E145" i="19"/>
  <c r="D145" i="19"/>
  <c r="F144" i="19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B144" i="19" s="1"/>
  <c r="D144" i="19"/>
  <c r="E144" i="19" s="1"/>
  <c r="AD143" i="19"/>
  <c r="AE143" i="19" s="1"/>
  <c r="AF143" i="19" s="1"/>
  <c r="B143" i="19" s="1"/>
  <c r="M143" i="19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H143" i="19"/>
  <c r="I143" i="19" s="1"/>
  <c r="J143" i="19" s="1"/>
  <c r="K143" i="19" s="1"/>
  <c r="L143" i="19" s="1"/>
  <c r="D143" i="19"/>
  <c r="E143" i="19" s="1"/>
  <c r="F143" i="19" s="1"/>
  <c r="G143" i="19" s="1"/>
  <c r="N142" i="19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B142" i="19" s="1"/>
  <c r="K142" i="19"/>
  <c r="L142" i="19" s="1"/>
  <c r="M142" i="19" s="1"/>
  <c r="F142" i="19"/>
  <c r="G142" i="19" s="1"/>
  <c r="H142" i="19" s="1"/>
  <c r="I142" i="19" s="1"/>
  <c r="J142" i="19" s="1"/>
  <c r="E142" i="19"/>
  <c r="D142" i="19"/>
  <c r="H141" i="19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B141" i="19" s="1"/>
  <c r="D141" i="19"/>
  <c r="E141" i="19" s="1"/>
  <c r="F141" i="19" s="1"/>
  <c r="G141" i="19" s="1"/>
  <c r="S140" i="19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B140" i="19" s="1"/>
  <c r="P140" i="19"/>
  <c r="Q140" i="19" s="1"/>
  <c r="R140" i="19" s="1"/>
  <c r="K140" i="19"/>
  <c r="L140" i="19" s="1"/>
  <c r="M140" i="19" s="1"/>
  <c r="N140" i="19" s="1"/>
  <c r="O140" i="19" s="1"/>
  <c r="G140" i="19"/>
  <c r="H140" i="19" s="1"/>
  <c r="I140" i="19" s="1"/>
  <c r="J140" i="19" s="1"/>
  <c r="F140" i="19"/>
  <c r="D140" i="19"/>
  <c r="E140" i="19" s="1"/>
  <c r="D138" i="19"/>
  <c r="E138" i="19" s="1"/>
  <c r="F138" i="19" s="1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B138" i="19" s="1"/>
  <c r="U137" i="19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B137" i="19" s="1"/>
  <c r="D137" i="19"/>
  <c r="E137" i="19" s="1"/>
  <c r="F137" i="19" s="1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D136" i="19"/>
  <c r="E136" i="19" s="1"/>
  <c r="F136" i="19" s="1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B136" i="19" s="1"/>
  <c r="F135" i="19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B135" i="19" s="1"/>
  <c r="E135" i="19"/>
  <c r="D135" i="19"/>
  <c r="AA134" i="19"/>
  <c r="AB134" i="19" s="1"/>
  <c r="AC134" i="19" s="1"/>
  <c r="AD134" i="19" s="1"/>
  <c r="AE134" i="19" s="1"/>
  <c r="AF134" i="19" s="1"/>
  <c r="B134" i="19" s="1"/>
  <c r="L134" i="19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E134" i="19"/>
  <c r="F134" i="19" s="1"/>
  <c r="G134" i="19" s="1"/>
  <c r="H134" i="19" s="1"/>
  <c r="I134" i="19" s="1"/>
  <c r="J134" i="19" s="1"/>
  <c r="K134" i="19" s="1"/>
  <c r="D134" i="19"/>
  <c r="K133" i="19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B133" i="19" s="1"/>
  <c r="J133" i="19"/>
  <c r="D133" i="19"/>
  <c r="E133" i="19" s="1"/>
  <c r="F133" i="19" s="1"/>
  <c r="G133" i="19" s="1"/>
  <c r="H133" i="19" s="1"/>
  <c r="I133" i="19" s="1"/>
  <c r="S132" i="19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B132" i="19" s="1"/>
  <c r="H132" i="19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G132" i="19"/>
  <c r="D132" i="19"/>
  <c r="E132" i="19" s="1"/>
  <c r="F132" i="19" s="1"/>
  <c r="F131" i="19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B131" i="19" s="1"/>
  <c r="E131" i="19"/>
  <c r="D131" i="19"/>
  <c r="E129" i="19"/>
  <c r="F129" i="19" s="1"/>
  <c r="G129" i="19" s="1"/>
  <c r="H129" i="19" s="1"/>
  <c r="I129" i="19" s="1"/>
  <c r="J129" i="19" s="1"/>
  <c r="K129" i="19" s="1"/>
  <c r="L129" i="19" s="1"/>
  <c r="M129" i="19" s="1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B129" i="19" s="1"/>
  <c r="D129" i="19"/>
  <c r="L128" i="19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B128" i="19" s="1"/>
  <c r="I128" i="19"/>
  <c r="J128" i="19" s="1"/>
  <c r="K128" i="19" s="1"/>
  <c r="F128" i="19"/>
  <c r="G128" i="19" s="1"/>
  <c r="H128" i="19" s="1"/>
  <c r="D128" i="19"/>
  <c r="E128" i="19" s="1"/>
  <c r="G127" i="19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B127" i="19" s="1"/>
  <c r="D127" i="19"/>
  <c r="E127" i="19" s="1"/>
  <c r="F127" i="19" s="1"/>
  <c r="D126" i="19"/>
  <c r="E126" i="19" s="1"/>
  <c r="F126" i="19" s="1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B126" i="19" s="1"/>
  <c r="T125" i="19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B125" i="19" s="1"/>
  <c r="D125" i="19"/>
  <c r="E125" i="19" s="1"/>
  <c r="F125" i="19" s="1"/>
  <c r="G125" i="19" s="1"/>
  <c r="H125" i="19" s="1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E124" i="19"/>
  <c r="F124" i="19" s="1"/>
  <c r="G124" i="19" s="1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B124" i="19" s="1"/>
  <c r="D124" i="19"/>
  <c r="H123" i="19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B123" i="19" s="1"/>
  <c r="G123" i="19"/>
  <c r="D123" i="19"/>
  <c r="E123" i="19" s="1"/>
  <c r="F123" i="19" s="1"/>
  <c r="F122" i="19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B122" i="19" s="1"/>
  <c r="E122" i="19"/>
  <c r="D122" i="19"/>
  <c r="U121" i="19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B121" i="19" s="1"/>
  <c r="H121" i="19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G121" i="19"/>
  <c r="E121" i="19"/>
  <c r="F121" i="19" s="1"/>
  <c r="D121" i="19"/>
  <c r="F120" i="19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B120" i="19" s="1"/>
  <c r="E120" i="19"/>
  <c r="D120" i="19"/>
  <c r="N119" i="19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B119" i="19" s="1"/>
  <c r="I119" i="19"/>
  <c r="J119" i="19" s="1"/>
  <c r="K119" i="19" s="1"/>
  <c r="L119" i="19" s="1"/>
  <c r="M119" i="19" s="1"/>
  <c r="H119" i="19"/>
  <c r="F119" i="19"/>
  <c r="G119" i="19" s="1"/>
  <c r="D119" i="19"/>
  <c r="E119" i="19" s="1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B118" i="19" s="1"/>
  <c r="H117" i="19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B117" i="19" s="1"/>
  <c r="F117" i="19"/>
  <c r="G117" i="19" s="1"/>
  <c r="E117" i="19"/>
  <c r="D117" i="19"/>
  <c r="F116" i="19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B116" i="19" s="1"/>
  <c r="D116" i="19"/>
  <c r="E116" i="19" s="1"/>
  <c r="S115" i="19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B115" i="19" s="1"/>
  <c r="K115" i="19"/>
  <c r="L115" i="19" s="1"/>
  <c r="M115" i="19" s="1"/>
  <c r="N115" i="19" s="1"/>
  <c r="O115" i="19" s="1"/>
  <c r="P115" i="19" s="1"/>
  <c r="Q115" i="19" s="1"/>
  <c r="R115" i="19" s="1"/>
  <c r="G115" i="19"/>
  <c r="H115" i="19" s="1"/>
  <c r="I115" i="19" s="1"/>
  <c r="J115" i="19" s="1"/>
  <c r="F115" i="19"/>
  <c r="D115" i="19"/>
  <c r="E115" i="19" s="1"/>
  <c r="M114" i="19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B114" i="19" s="1"/>
  <c r="L114" i="19"/>
  <c r="K114" i="19"/>
  <c r="D114" i="19"/>
  <c r="E114" i="19" s="1"/>
  <c r="F114" i="19" s="1"/>
  <c r="G114" i="19" s="1"/>
  <c r="H114" i="19" s="1"/>
  <c r="I114" i="19" s="1"/>
  <c r="L113" i="19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B113" i="19" s="1"/>
  <c r="G113" i="19"/>
  <c r="H113" i="19" s="1"/>
  <c r="I113" i="19" s="1"/>
  <c r="J113" i="19" s="1"/>
  <c r="K113" i="19" s="1"/>
  <c r="F113" i="19"/>
  <c r="E113" i="19"/>
  <c r="D113" i="19"/>
  <c r="R112" i="19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B112" i="19" s="1"/>
  <c r="K112" i="19"/>
  <c r="L112" i="19" s="1"/>
  <c r="M112" i="19" s="1"/>
  <c r="N112" i="19" s="1"/>
  <c r="O112" i="19" s="1"/>
  <c r="P112" i="19" s="1"/>
  <c r="Q112" i="19" s="1"/>
  <c r="H112" i="19"/>
  <c r="I112" i="19" s="1"/>
  <c r="J112" i="19" s="1"/>
  <c r="G112" i="19"/>
  <c r="E112" i="19"/>
  <c r="F112" i="19" s="1"/>
  <c r="D112" i="19"/>
  <c r="E110" i="19"/>
  <c r="F110" i="19" s="1"/>
  <c r="G110" i="19" s="1"/>
  <c r="H110" i="19" s="1"/>
  <c r="I110" i="19" s="1"/>
  <c r="J110" i="19" s="1"/>
  <c r="K110" i="19" s="1"/>
  <c r="L110" i="19" s="1"/>
  <c r="M110" i="19" s="1"/>
  <c r="N110" i="19" s="1"/>
  <c r="O110" i="19" s="1"/>
  <c r="P110" i="19" s="1"/>
  <c r="Q110" i="19" s="1"/>
  <c r="R110" i="19" s="1"/>
  <c r="S110" i="19" s="1"/>
  <c r="T110" i="19" s="1"/>
  <c r="U110" i="19" s="1"/>
  <c r="V110" i="19" s="1"/>
  <c r="W110" i="19" s="1"/>
  <c r="X110" i="19" s="1"/>
  <c r="Y110" i="19" s="1"/>
  <c r="Z110" i="19" s="1"/>
  <c r="AA110" i="19" s="1"/>
  <c r="AB110" i="19" s="1"/>
  <c r="AC110" i="19" s="1"/>
  <c r="AD110" i="19" s="1"/>
  <c r="AE110" i="19" s="1"/>
  <c r="AF110" i="19" s="1"/>
  <c r="B110" i="19" s="1"/>
  <c r="D110" i="19"/>
  <c r="E109" i="19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B109" i="19" s="1"/>
  <c r="D109" i="19"/>
  <c r="D107" i="19"/>
  <c r="E107" i="19" s="1"/>
  <c r="F107" i="19" s="1"/>
  <c r="G107" i="19" s="1"/>
  <c r="H107" i="19" s="1"/>
  <c r="I107" i="19" s="1"/>
  <c r="J107" i="19" s="1"/>
  <c r="K107" i="19" s="1"/>
  <c r="L107" i="19" s="1"/>
  <c r="M107" i="19" s="1"/>
  <c r="N107" i="19" s="1"/>
  <c r="O107" i="19" s="1"/>
  <c r="P107" i="19" s="1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B107" i="19" s="1"/>
  <c r="D106" i="19"/>
  <c r="E106" i="19" s="1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B106" i="19" s="1"/>
  <c r="K105" i="19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B105" i="19" s="1"/>
  <c r="J105" i="19"/>
  <c r="G105" i="19"/>
  <c r="H105" i="19" s="1"/>
  <c r="I105" i="19" s="1"/>
  <c r="F105" i="19"/>
  <c r="E105" i="19"/>
  <c r="D105" i="19"/>
  <c r="H104" i="19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B104" i="19" s="1"/>
  <c r="E104" i="19"/>
  <c r="F104" i="19" s="1"/>
  <c r="G104" i="19" s="1"/>
  <c r="D104" i="19"/>
  <c r="F103" i="19"/>
  <c r="G103" i="19" s="1"/>
  <c r="D103" i="19"/>
  <c r="E103" i="19" s="1"/>
  <c r="E102" i="19"/>
  <c r="D102" i="19"/>
  <c r="AH100" i="19"/>
  <c r="AI100" i="19" s="1"/>
  <c r="AH99" i="19"/>
  <c r="AI99" i="19" s="1"/>
  <c r="AH98" i="19"/>
  <c r="AI98" i="19" s="1"/>
  <c r="AH97" i="19"/>
  <c r="AI97" i="19" s="1"/>
  <c r="AH96" i="19"/>
  <c r="AI96" i="19" s="1"/>
  <c r="AH95" i="19"/>
  <c r="AI95" i="19" s="1"/>
  <c r="AH94" i="19"/>
  <c r="AI94" i="19" s="1"/>
  <c r="C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G82" i="19"/>
  <c r="AI81" i="19"/>
  <c r="AH81" i="19"/>
  <c r="AB82" i="19"/>
  <c r="Y82" i="19"/>
  <c r="I82" i="19"/>
  <c r="AI74" i="19"/>
  <c r="AH74" i="19"/>
  <c r="AG72" i="19"/>
  <c r="AG75" i="19" s="1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AI71" i="19"/>
  <c r="AH71" i="19"/>
  <c r="AI70" i="19"/>
  <c r="AH70" i="19"/>
  <c r="AI69" i="19"/>
  <c r="AH69" i="19"/>
  <c r="AG68" i="19"/>
  <c r="AG73" i="19" s="1"/>
  <c r="AF68" i="19"/>
  <c r="AE5" i="19" s="1"/>
  <c r="AE68" i="19"/>
  <c r="AD5" i="19" s="1"/>
  <c r="AD68" i="19"/>
  <c r="AC5" i="19" s="1"/>
  <c r="AC68" i="19"/>
  <c r="AB5" i="19" s="1"/>
  <c r="AB68" i="19"/>
  <c r="AA5" i="19" s="1"/>
  <c r="AA68" i="19"/>
  <c r="Z5" i="19" s="1"/>
  <c r="Z68" i="19"/>
  <c r="Y5" i="19" s="1"/>
  <c r="Y68" i="19"/>
  <c r="X5" i="19" s="1"/>
  <c r="X68" i="19"/>
  <c r="W5" i="19" s="1"/>
  <c r="W68" i="19"/>
  <c r="V5" i="19" s="1"/>
  <c r="V68" i="19"/>
  <c r="U5" i="19" s="1"/>
  <c r="U68" i="19"/>
  <c r="T5" i="19" s="1"/>
  <c r="T68" i="19"/>
  <c r="S5" i="19" s="1"/>
  <c r="S68" i="19"/>
  <c r="R5" i="19" s="1"/>
  <c r="R68" i="19"/>
  <c r="Q5" i="19" s="1"/>
  <c r="P68" i="19"/>
  <c r="O5" i="19" s="1"/>
  <c r="O68" i="19"/>
  <c r="N5" i="19" s="1"/>
  <c r="N68" i="19"/>
  <c r="M5" i="19" s="1"/>
  <c r="L68" i="19"/>
  <c r="K5" i="19" s="1"/>
  <c r="K68" i="19"/>
  <c r="J5" i="19" s="1"/>
  <c r="J68" i="19"/>
  <c r="I5" i="19" s="1"/>
  <c r="I68" i="19"/>
  <c r="H5" i="19" s="1"/>
  <c r="H68" i="19"/>
  <c r="G5" i="19" s="1"/>
  <c r="G68" i="19"/>
  <c r="F5" i="19" s="1"/>
  <c r="F68" i="19"/>
  <c r="E5" i="19" s="1"/>
  <c r="E68" i="19"/>
  <c r="D5" i="19" s="1"/>
  <c r="D68" i="19"/>
  <c r="C5" i="19" s="1"/>
  <c r="C68" i="19"/>
  <c r="B5" i="19" s="1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M68" i="19"/>
  <c r="AI57" i="19"/>
  <c r="AH57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AI55" i="19"/>
  <c r="AH55" i="19"/>
  <c r="AI54" i="19"/>
  <c r="AH54" i="19"/>
  <c r="AI53" i="19"/>
  <c r="AH53" i="19"/>
  <c r="Z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AG51" i="19"/>
  <c r="AG52" i="19" s="1"/>
  <c r="AG3" i="19" s="1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G2" i="19" s="1"/>
  <c r="AG6" i="19" s="1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F5" i="19"/>
  <c r="AG4" i="19"/>
  <c r="K4" i="19"/>
  <c r="B4" i="19"/>
  <c r="E4" i="20"/>
  <c r="E4" i="19"/>
  <c r="P83" i="22" l="1"/>
  <c r="AK214" i="22"/>
  <c r="S83" i="22"/>
  <c r="R7" i="22"/>
  <c r="O7" i="22"/>
  <c r="O83" i="22"/>
  <c r="M7" i="22"/>
  <c r="L83" i="22"/>
  <c r="L7" i="22"/>
  <c r="K83" i="22"/>
  <c r="K7" i="22"/>
  <c r="J7" i="22"/>
  <c r="I83" i="22"/>
  <c r="I7" i="22"/>
  <c r="AA214" i="22"/>
  <c r="C209" i="22"/>
  <c r="Z214" i="22"/>
  <c r="B209" i="22"/>
  <c r="H83" i="22"/>
  <c r="G7" i="22"/>
  <c r="G83" i="22"/>
  <c r="D83" i="22"/>
  <c r="D7" i="22"/>
  <c r="B83" i="22"/>
  <c r="G199" i="22"/>
  <c r="E235" i="22"/>
  <c r="N83" i="22"/>
  <c r="C83" i="22"/>
  <c r="E192" i="22"/>
  <c r="F102" i="22"/>
  <c r="AF214" i="22"/>
  <c r="N7" i="22"/>
  <c r="G103" i="22"/>
  <c r="F93" i="22"/>
  <c r="X214" i="22"/>
  <c r="F7" i="22"/>
  <c r="AI82" i="22"/>
  <c r="AH82" i="22"/>
  <c r="E200" i="22"/>
  <c r="F194" i="22"/>
  <c r="U214" i="22"/>
  <c r="C7" i="22"/>
  <c r="AE82" i="20"/>
  <c r="AD82" i="20"/>
  <c r="AC82" i="20"/>
  <c r="AA82" i="20"/>
  <c r="Z82" i="20"/>
  <c r="Y82" i="20"/>
  <c r="X82" i="20"/>
  <c r="W82" i="20"/>
  <c r="V82" i="20"/>
  <c r="T73" i="20"/>
  <c r="S82" i="20"/>
  <c r="R82" i="20"/>
  <c r="Q82" i="20"/>
  <c r="P82" i="20"/>
  <c r="P73" i="20"/>
  <c r="O82" i="20"/>
  <c r="N82" i="20"/>
  <c r="M73" i="20"/>
  <c r="K82" i="20"/>
  <c r="J82" i="20"/>
  <c r="I82" i="20"/>
  <c r="H82" i="20"/>
  <c r="H73" i="20"/>
  <c r="H75" i="20"/>
  <c r="Z214" i="20" s="1"/>
  <c r="G82" i="20"/>
  <c r="F82" i="20"/>
  <c r="L73" i="20"/>
  <c r="D75" i="20"/>
  <c r="V214" i="20" s="1"/>
  <c r="D73" i="20"/>
  <c r="AI79" i="20"/>
  <c r="C82" i="20"/>
  <c r="AH38" i="20"/>
  <c r="AI38" i="20"/>
  <c r="H4" i="20"/>
  <c r="G73" i="20"/>
  <c r="O73" i="20"/>
  <c r="H83" i="20"/>
  <c r="AI80" i="20"/>
  <c r="F103" i="20"/>
  <c r="AG83" i="20"/>
  <c r="O75" i="20"/>
  <c r="Z75" i="20"/>
  <c r="AI78" i="20"/>
  <c r="AI68" i="20"/>
  <c r="AF5" i="20"/>
  <c r="J73" i="20"/>
  <c r="R73" i="20"/>
  <c r="Z73" i="20"/>
  <c r="AH68" i="20"/>
  <c r="AG75" i="20"/>
  <c r="F73" i="20"/>
  <c r="E5" i="20"/>
  <c r="H7" i="20"/>
  <c r="AI56" i="20"/>
  <c r="AH56" i="20"/>
  <c r="C73" i="20"/>
  <c r="C75" i="20" s="1"/>
  <c r="C83" i="20" s="1"/>
  <c r="K73" i="20"/>
  <c r="S73" i="20"/>
  <c r="AI76" i="20"/>
  <c r="D192" i="20"/>
  <c r="E102" i="20"/>
  <c r="AC5" i="20"/>
  <c r="G75" i="20"/>
  <c r="N73" i="20"/>
  <c r="F75" i="20"/>
  <c r="N5" i="20"/>
  <c r="N75" i="20"/>
  <c r="AH77" i="20"/>
  <c r="E82" i="20"/>
  <c r="M82" i="20"/>
  <c r="U82" i="20"/>
  <c r="D211" i="20"/>
  <c r="S211" i="20"/>
  <c r="E75" i="20"/>
  <c r="M75" i="20"/>
  <c r="L75" i="20"/>
  <c r="B82" i="20"/>
  <c r="P75" i="20"/>
  <c r="I73" i="20"/>
  <c r="Q73" i="20"/>
  <c r="AG73" i="20"/>
  <c r="Q75" i="20"/>
  <c r="AH76" i="20"/>
  <c r="AH72" i="20"/>
  <c r="I75" i="20"/>
  <c r="R75" i="20"/>
  <c r="R83" i="20" s="1"/>
  <c r="AH79" i="20"/>
  <c r="AI72" i="20"/>
  <c r="J75" i="20"/>
  <c r="S75" i="20"/>
  <c r="AI77" i="20"/>
  <c r="AH78" i="20"/>
  <c r="AH80" i="20"/>
  <c r="K75" i="20"/>
  <c r="T75" i="20"/>
  <c r="D82" i="20"/>
  <c r="L82" i="20"/>
  <c r="T82" i="20"/>
  <c r="AB82" i="20"/>
  <c r="D200" i="20"/>
  <c r="E194" i="20"/>
  <c r="E93" i="20" s="1"/>
  <c r="F199" i="20"/>
  <c r="AC82" i="19"/>
  <c r="Z82" i="19"/>
  <c r="U82" i="19"/>
  <c r="T82" i="19"/>
  <c r="T75" i="19"/>
  <c r="R82" i="19"/>
  <c r="L75" i="19"/>
  <c r="L82" i="19"/>
  <c r="J82" i="19"/>
  <c r="H82" i="19"/>
  <c r="D82" i="19"/>
  <c r="D75" i="19"/>
  <c r="V214" i="19" s="1"/>
  <c r="B75" i="19"/>
  <c r="T214" i="19" s="1"/>
  <c r="AH76" i="19"/>
  <c r="K82" i="19"/>
  <c r="S82" i="19"/>
  <c r="AA82" i="19"/>
  <c r="AH79" i="19"/>
  <c r="AH78" i="19"/>
  <c r="N82" i="19"/>
  <c r="AD82" i="19"/>
  <c r="F82" i="19"/>
  <c r="V82" i="19"/>
  <c r="G82" i="19"/>
  <c r="O82" i="19"/>
  <c r="W82" i="19"/>
  <c r="AE82" i="19"/>
  <c r="X82" i="19"/>
  <c r="AF82" i="19"/>
  <c r="AH80" i="19"/>
  <c r="Q82" i="19"/>
  <c r="AH56" i="19"/>
  <c r="AI56" i="19"/>
  <c r="E75" i="19"/>
  <c r="E7" i="19" s="1"/>
  <c r="G75" i="19"/>
  <c r="Y214" i="19" s="1"/>
  <c r="P73" i="19"/>
  <c r="L73" i="19"/>
  <c r="L83" i="19" s="1"/>
  <c r="D73" i="19"/>
  <c r="I75" i="19"/>
  <c r="I7" i="19" s="1"/>
  <c r="H73" i="19"/>
  <c r="AL214" i="19"/>
  <c r="T7" i="19"/>
  <c r="AD214" i="19"/>
  <c r="L7" i="19"/>
  <c r="C73" i="19"/>
  <c r="C75" i="19" s="1"/>
  <c r="K73" i="19"/>
  <c r="H75" i="19"/>
  <c r="Z214" i="19" s="1"/>
  <c r="P75" i="19"/>
  <c r="P7" i="19" s="1"/>
  <c r="E73" i="19"/>
  <c r="N75" i="19"/>
  <c r="AF214" i="19" s="1"/>
  <c r="J75" i="19"/>
  <c r="AB214" i="19" s="1"/>
  <c r="R75" i="19"/>
  <c r="AJ214" i="19" s="1"/>
  <c r="F75" i="19"/>
  <c r="X214" i="19" s="1"/>
  <c r="O75" i="19"/>
  <c r="O7" i="19" s="1"/>
  <c r="R73" i="19"/>
  <c r="Z73" i="19"/>
  <c r="I73" i="19"/>
  <c r="S73" i="19"/>
  <c r="AI38" i="19"/>
  <c r="J73" i="19"/>
  <c r="T73" i="19"/>
  <c r="T83" i="19" s="1"/>
  <c r="B73" i="19"/>
  <c r="H4" i="19"/>
  <c r="M73" i="19"/>
  <c r="L5" i="19"/>
  <c r="M75" i="19"/>
  <c r="H103" i="19"/>
  <c r="F73" i="19"/>
  <c r="N73" i="19"/>
  <c r="K75" i="19"/>
  <c r="S75" i="19"/>
  <c r="AI76" i="19"/>
  <c r="AI78" i="19"/>
  <c r="AI79" i="19"/>
  <c r="AI80" i="19"/>
  <c r="D192" i="19"/>
  <c r="G73" i="19"/>
  <c r="O73" i="19"/>
  <c r="AG83" i="19"/>
  <c r="E192" i="19"/>
  <c r="F102" i="19"/>
  <c r="AH37" i="19"/>
  <c r="AH38" i="19"/>
  <c r="Q68" i="19"/>
  <c r="AH68" i="19" s="1"/>
  <c r="AH72" i="19"/>
  <c r="M82" i="19"/>
  <c r="C82" i="19"/>
  <c r="AI72" i="19"/>
  <c r="D93" i="19"/>
  <c r="AI68" i="19"/>
  <c r="E93" i="19"/>
  <c r="F93" i="19"/>
  <c r="S211" i="19"/>
  <c r="D211" i="19"/>
  <c r="Z75" i="19"/>
  <c r="F194" i="19"/>
  <c r="E200" i="19"/>
  <c r="F199" i="19"/>
  <c r="K6" i="22" l="1"/>
  <c r="F192" i="22"/>
  <c r="G102" i="22"/>
  <c r="H103" i="22"/>
  <c r="G93" i="22"/>
  <c r="H199" i="22"/>
  <c r="F235" i="22"/>
  <c r="F200" i="22"/>
  <c r="G194" i="22"/>
  <c r="Z83" i="20"/>
  <c r="S83" i="20"/>
  <c r="Q83" i="20"/>
  <c r="O83" i="20"/>
  <c r="N83" i="20"/>
  <c r="J83" i="20"/>
  <c r="K83" i="20"/>
  <c r="I83" i="20"/>
  <c r="F83" i="20"/>
  <c r="D7" i="20"/>
  <c r="D83" i="20"/>
  <c r="AB214" i="20"/>
  <c r="J7" i="20"/>
  <c r="AE214" i="20"/>
  <c r="M83" i="20"/>
  <c r="M7" i="20"/>
  <c r="AF214" i="20"/>
  <c r="N7" i="20"/>
  <c r="AL214" i="20"/>
  <c r="T7" i="20"/>
  <c r="AH214" i="20"/>
  <c r="P7" i="20"/>
  <c r="W214" i="20"/>
  <c r="E7" i="20"/>
  <c r="E192" i="20"/>
  <c r="F102" i="20"/>
  <c r="E83" i="20"/>
  <c r="AG214" i="20"/>
  <c r="O7" i="20"/>
  <c r="G199" i="20"/>
  <c r="E235" i="20"/>
  <c r="AC214" i="20"/>
  <c r="K7" i="20"/>
  <c r="AI82" i="20"/>
  <c r="AH82" i="20"/>
  <c r="X214" i="20"/>
  <c r="F7" i="20"/>
  <c r="U214" i="20"/>
  <c r="C7" i="20"/>
  <c r="G103" i="20"/>
  <c r="F93" i="20"/>
  <c r="E200" i="20"/>
  <c r="F194" i="20"/>
  <c r="AI214" i="20"/>
  <c r="Q7" i="20"/>
  <c r="AJ214" i="20"/>
  <c r="R7" i="20"/>
  <c r="AA214" i="20"/>
  <c r="I7" i="20"/>
  <c r="AD214" i="20"/>
  <c r="L7" i="20"/>
  <c r="Y214" i="20"/>
  <c r="C209" i="20"/>
  <c r="B209" i="20"/>
  <c r="G7" i="20"/>
  <c r="T83" i="20"/>
  <c r="G83" i="20"/>
  <c r="L83" i="20"/>
  <c r="P83" i="20"/>
  <c r="AK214" i="20"/>
  <c r="S7" i="20"/>
  <c r="AR214" i="20"/>
  <c r="Z7" i="20"/>
  <c r="D83" i="19"/>
  <c r="E83" i="19"/>
  <c r="D7" i="19"/>
  <c r="B83" i="19"/>
  <c r="B7" i="19"/>
  <c r="G7" i="19"/>
  <c r="O83" i="19"/>
  <c r="K83" i="19"/>
  <c r="G83" i="19"/>
  <c r="AG214" i="19"/>
  <c r="R83" i="19"/>
  <c r="N7" i="19"/>
  <c r="Q75" i="19"/>
  <c r="AI214" i="19" s="1"/>
  <c r="AH214" i="19"/>
  <c r="W214" i="19"/>
  <c r="AI77" i="19"/>
  <c r="S83" i="19"/>
  <c r="H83" i="19"/>
  <c r="N83" i="19"/>
  <c r="R7" i="19"/>
  <c r="J7" i="19"/>
  <c r="J83" i="19"/>
  <c r="F7" i="19"/>
  <c r="I83" i="19"/>
  <c r="C209" i="19"/>
  <c r="AA214" i="19"/>
  <c r="P83" i="19"/>
  <c r="M83" i="19"/>
  <c r="H7" i="19"/>
  <c r="AI82" i="19"/>
  <c r="AH82" i="19"/>
  <c r="F192" i="19"/>
  <c r="G102" i="19"/>
  <c r="C83" i="19"/>
  <c r="G194" i="19"/>
  <c r="F200" i="19"/>
  <c r="AR214" i="19"/>
  <c r="Z7" i="19"/>
  <c r="Z83" i="19"/>
  <c r="AK214" i="19"/>
  <c r="S7" i="19"/>
  <c r="F83" i="19"/>
  <c r="Q73" i="19"/>
  <c r="P5" i="19"/>
  <c r="AC214" i="19"/>
  <c r="K7" i="19"/>
  <c r="U214" i="19"/>
  <c r="C7" i="19"/>
  <c r="AH77" i="19"/>
  <c r="E235" i="19"/>
  <c r="G199" i="19"/>
  <c r="B209" i="19"/>
  <c r="I103" i="19"/>
  <c r="AE214" i="19"/>
  <c r="M7" i="19"/>
  <c r="G235" i="22" l="1"/>
  <c r="I199" i="22"/>
  <c r="H93" i="22"/>
  <c r="I103" i="22"/>
  <c r="G192" i="22"/>
  <c r="H102" i="22"/>
  <c r="G200" i="22"/>
  <c r="H194" i="22"/>
  <c r="K6" i="20"/>
  <c r="H103" i="20"/>
  <c r="F235" i="20"/>
  <c r="H199" i="20"/>
  <c r="F200" i="20"/>
  <c r="G194" i="20"/>
  <c r="F192" i="20"/>
  <c r="G102" i="20"/>
  <c r="Q7" i="19"/>
  <c r="K6" i="19"/>
  <c r="Q83" i="19"/>
  <c r="G192" i="19"/>
  <c r="H102" i="19"/>
  <c r="H194" i="19"/>
  <c r="G200" i="19"/>
  <c r="G93" i="19"/>
  <c r="F235" i="19"/>
  <c r="H199" i="19"/>
  <c r="J103" i="19"/>
  <c r="W58" i="18"/>
  <c r="U37" i="18"/>
  <c r="T37" i="18"/>
  <c r="S58" i="18"/>
  <c r="S37" i="18"/>
  <c r="R95" i="18"/>
  <c r="R37" i="18"/>
  <c r="Q95" i="18"/>
  <c r="Q58" i="18"/>
  <c r="Q37" i="18"/>
  <c r="P37" i="18"/>
  <c r="O37" i="18"/>
  <c r="N37" i="18"/>
  <c r="M58" i="18"/>
  <c r="M37" i="18"/>
  <c r="L37" i="18"/>
  <c r="K37" i="18"/>
  <c r="J37" i="18"/>
  <c r="I37" i="18"/>
  <c r="H37" i="18"/>
  <c r="G37" i="18"/>
  <c r="F37" i="18"/>
  <c r="E37" i="18"/>
  <c r="D95" i="18"/>
  <c r="AH100" i="18"/>
  <c r="AI100" i="18" s="1"/>
  <c r="AH99" i="18"/>
  <c r="AI99" i="18" s="1"/>
  <c r="C95" i="18"/>
  <c r="B95" i="18"/>
  <c r="AF239" i="18"/>
  <c r="AE239" i="18"/>
  <c r="AD239" i="18"/>
  <c r="AC239" i="18"/>
  <c r="AB239" i="18"/>
  <c r="AA239" i="18"/>
  <c r="Z239" i="18"/>
  <c r="Y239" i="18"/>
  <c r="X239" i="18"/>
  <c r="W239" i="18"/>
  <c r="V239" i="18"/>
  <c r="U239" i="18"/>
  <c r="T239" i="18"/>
  <c r="S239" i="18"/>
  <c r="R239" i="18"/>
  <c r="Q239" i="18"/>
  <c r="P239" i="18"/>
  <c r="O239" i="18"/>
  <c r="N239" i="18"/>
  <c r="M239" i="18"/>
  <c r="L239" i="18"/>
  <c r="K239" i="18"/>
  <c r="J239" i="18"/>
  <c r="I239" i="18"/>
  <c r="H239" i="18"/>
  <c r="G239" i="18"/>
  <c r="F239" i="18"/>
  <c r="E239" i="18"/>
  <c r="D239" i="18"/>
  <c r="C239" i="18"/>
  <c r="B239" i="18"/>
  <c r="A239" i="18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B235" i="18"/>
  <c r="S210" i="18"/>
  <c r="AG200" i="18"/>
  <c r="C200" i="18"/>
  <c r="D199" i="18"/>
  <c r="C235" i="18" s="1"/>
  <c r="E198" i="18"/>
  <c r="F198" i="18" s="1"/>
  <c r="G198" i="18" s="1"/>
  <c r="H198" i="18" s="1"/>
  <c r="I198" i="18" s="1"/>
  <c r="J198" i="18" s="1"/>
  <c r="K198" i="18" s="1"/>
  <c r="L198" i="18" s="1"/>
  <c r="M198" i="18" s="1"/>
  <c r="N198" i="18" s="1"/>
  <c r="O198" i="18" s="1"/>
  <c r="P198" i="18" s="1"/>
  <c r="Q198" i="18" s="1"/>
  <c r="R198" i="18" s="1"/>
  <c r="S198" i="18" s="1"/>
  <c r="T198" i="18" s="1"/>
  <c r="U198" i="18" s="1"/>
  <c r="V198" i="18" s="1"/>
  <c r="W198" i="18" s="1"/>
  <c r="X198" i="18" s="1"/>
  <c r="Y198" i="18" s="1"/>
  <c r="Z198" i="18" s="1"/>
  <c r="AA198" i="18" s="1"/>
  <c r="AB198" i="18" s="1"/>
  <c r="AC198" i="18" s="1"/>
  <c r="AD198" i="18" s="1"/>
  <c r="AE198" i="18" s="1"/>
  <c r="AF198" i="18" s="1"/>
  <c r="B198" i="18" s="1"/>
  <c r="D198" i="18"/>
  <c r="H197" i="18"/>
  <c r="I197" i="18" s="1"/>
  <c r="J197" i="18" s="1"/>
  <c r="K197" i="18" s="1"/>
  <c r="L197" i="18" s="1"/>
  <c r="M197" i="18" s="1"/>
  <c r="N197" i="18" s="1"/>
  <c r="O197" i="18" s="1"/>
  <c r="P197" i="18" s="1"/>
  <c r="Q197" i="18" s="1"/>
  <c r="R197" i="18" s="1"/>
  <c r="S197" i="18" s="1"/>
  <c r="T197" i="18" s="1"/>
  <c r="U197" i="18" s="1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7" i="18" s="1"/>
  <c r="AF197" i="18" s="1"/>
  <c r="B197" i="18" s="1"/>
  <c r="E197" i="18"/>
  <c r="F197" i="18" s="1"/>
  <c r="G197" i="18" s="1"/>
  <c r="D197" i="18"/>
  <c r="I196" i="18"/>
  <c r="J196" i="18" s="1"/>
  <c r="K196" i="18" s="1"/>
  <c r="L196" i="18" s="1"/>
  <c r="M196" i="18" s="1"/>
  <c r="N196" i="18" s="1"/>
  <c r="O196" i="18" s="1"/>
  <c r="P196" i="18" s="1"/>
  <c r="Q196" i="18" s="1"/>
  <c r="R196" i="18" s="1"/>
  <c r="S196" i="18" s="1"/>
  <c r="T196" i="18" s="1"/>
  <c r="U196" i="18" s="1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6" i="18" s="1"/>
  <c r="AF196" i="18" s="1"/>
  <c r="B196" i="18" s="1"/>
  <c r="E196" i="18"/>
  <c r="F196" i="18" s="1"/>
  <c r="G196" i="18" s="1"/>
  <c r="H196" i="18" s="1"/>
  <c r="D196" i="18"/>
  <c r="D195" i="18"/>
  <c r="E195" i="18" s="1"/>
  <c r="F195" i="18" s="1"/>
  <c r="G195" i="18" s="1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B195" i="18" s="1"/>
  <c r="F194" i="18"/>
  <c r="E194" i="18"/>
  <c r="D194" i="18"/>
  <c r="AG192" i="18"/>
  <c r="C192" i="18"/>
  <c r="W191" i="18"/>
  <c r="X191" i="18" s="1"/>
  <c r="Y191" i="18" s="1"/>
  <c r="Z191" i="18" s="1"/>
  <c r="AA191" i="18" s="1"/>
  <c r="AB191" i="18" s="1"/>
  <c r="AC191" i="18" s="1"/>
  <c r="AD191" i="18" s="1"/>
  <c r="AE191" i="18" s="1"/>
  <c r="AF191" i="18" s="1"/>
  <c r="B191" i="18" s="1"/>
  <c r="G191" i="18"/>
  <c r="H191" i="18" s="1"/>
  <c r="I191" i="18" s="1"/>
  <c r="J191" i="18" s="1"/>
  <c r="K191" i="18" s="1"/>
  <c r="L191" i="18" s="1"/>
  <c r="M191" i="18" s="1"/>
  <c r="N191" i="18" s="1"/>
  <c r="O191" i="18" s="1"/>
  <c r="P191" i="18" s="1"/>
  <c r="Q191" i="18" s="1"/>
  <c r="R191" i="18" s="1"/>
  <c r="S191" i="18" s="1"/>
  <c r="T191" i="18" s="1"/>
  <c r="U191" i="18" s="1"/>
  <c r="V191" i="18" s="1"/>
  <c r="E191" i="18"/>
  <c r="F191" i="18" s="1"/>
  <c r="D191" i="18"/>
  <c r="H190" i="18"/>
  <c r="I190" i="18" s="1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B190" i="18" s="1"/>
  <c r="G190" i="18"/>
  <c r="F190" i="18"/>
  <c r="E190" i="18"/>
  <c r="D190" i="18"/>
  <c r="D189" i="18"/>
  <c r="E189" i="18" s="1"/>
  <c r="F189" i="18" s="1"/>
  <c r="G189" i="18" s="1"/>
  <c r="H189" i="18" s="1"/>
  <c r="I189" i="18" s="1"/>
  <c r="J189" i="18" s="1"/>
  <c r="K189" i="18" s="1"/>
  <c r="L189" i="18" s="1"/>
  <c r="M189" i="18" s="1"/>
  <c r="N189" i="18" s="1"/>
  <c r="O189" i="18" s="1"/>
  <c r="P189" i="18" s="1"/>
  <c r="Q189" i="18" s="1"/>
  <c r="R189" i="18" s="1"/>
  <c r="S189" i="18" s="1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B189" i="18" s="1"/>
  <c r="D188" i="18"/>
  <c r="E188" i="18" s="1"/>
  <c r="F188" i="18" s="1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B188" i="18" s="1"/>
  <c r="E187" i="18"/>
  <c r="F187" i="18" s="1"/>
  <c r="G187" i="18" s="1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B187" i="18" s="1"/>
  <c r="D187" i="18"/>
  <c r="H186" i="18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B186" i="18" s="1"/>
  <c r="E186" i="18"/>
  <c r="F186" i="18" s="1"/>
  <c r="G186" i="18" s="1"/>
  <c r="D186" i="18"/>
  <c r="K185" i="18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B185" i="18" s="1"/>
  <c r="E185" i="18"/>
  <c r="F185" i="18" s="1"/>
  <c r="G185" i="18" s="1"/>
  <c r="H185" i="18" s="1"/>
  <c r="I185" i="18" s="1"/>
  <c r="J185" i="18" s="1"/>
  <c r="D185" i="18"/>
  <c r="E184" i="18"/>
  <c r="F184" i="18" s="1"/>
  <c r="G184" i="18" s="1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B184" i="18" s="1"/>
  <c r="D184" i="18"/>
  <c r="G183" i="18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B183" i="18" s="1"/>
  <c r="D183" i="18"/>
  <c r="E183" i="18" s="1"/>
  <c r="F183" i="18" s="1"/>
  <c r="M182" i="18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B182" i="18" s="1"/>
  <c r="I182" i="18"/>
  <c r="J182" i="18" s="1"/>
  <c r="K182" i="18" s="1"/>
  <c r="L182" i="18" s="1"/>
  <c r="E182" i="18"/>
  <c r="F182" i="18" s="1"/>
  <c r="G182" i="18" s="1"/>
  <c r="H182" i="18" s="1"/>
  <c r="D182" i="18"/>
  <c r="M181" i="18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B181" i="18" s="1"/>
  <c r="H181" i="18"/>
  <c r="I181" i="18" s="1"/>
  <c r="J181" i="18" s="1"/>
  <c r="K181" i="18" s="1"/>
  <c r="L181" i="18" s="1"/>
  <c r="E181" i="18"/>
  <c r="F181" i="18" s="1"/>
  <c r="G181" i="18" s="1"/>
  <c r="D181" i="18"/>
  <c r="D180" i="18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B180" i="18" s="1"/>
  <c r="E179" i="18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B179" i="18" s="1"/>
  <c r="D179" i="18"/>
  <c r="D177" i="18"/>
  <c r="E177" i="18" s="1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B177" i="18" s="1"/>
  <c r="H176" i="18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B176" i="18" s="1"/>
  <c r="E176" i="18"/>
  <c r="F176" i="18" s="1"/>
  <c r="G176" i="18" s="1"/>
  <c r="D176" i="18"/>
  <c r="E175" i="18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B175" i="18" s="1"/>
  <c r="D175" i="18"/>
  <c r="Z174" i="18"/>
  <c r="AA174" i="18" s="1"/>
  <c r="AB174" i="18" s="1"/>
  <c r="AC174" i="18" s="1"/>
  <c r="AD174" i="18" s="1"/>
  <c r="AE174" i="18" s="1"/>
  <c r="AF174" i="18" s="1"/>
  <c r="B174" i="18" s="1"/>
  <c r="E174" i="18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D174" i="18"/>
  <c r="F173" i="18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B173" i="18" s="1"/>
  <c r="E173" i="18"/>
  <c r="D173" i="18"/>
  <c r="F172" i="18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B172" i="18" s="1"/>
  <c r="D172" i="18"/>
  <c r="E172" i="18" s="1"/>
  <c r="D171" i="18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B171" i="18" s="1"/>
  <c r="E170" i="18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B170" i="18" s="1"/>
  <c r="D170" i="18"/>
  <c r="D168" i="18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B168" i="18" s="1"/>
  <c r="D167" i="18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B167" i="18" s="1"/>
  <c r="D166" i="18"/>
  <c r="E166" i="18" s="1"/>
  <c r="F166" i="18" s="1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B166" i="18" s="1"/>
  <c r="I165" i="18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B165" i="18" s="1"/>
  <c r="H165" i="18"/>
  <c r="E165" i="18"/>
  <c r="F165" i="18" s="1"/>
  <c r="G165" i="18" s="1"/>
  <c r="D165" i="18"/>
  <c r="D164" i="18"/>
  <c r="E164" i="18" s="1"/>
  <c r="F164" i="18" s="1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B164" i="18" s="1"/>
  <c r="W163" i="18"/>
  <c r="X163" i="18" s="1"/>
  <c r="Y163" i="18" s="1"/>
  <c r="Z163" i="18" s="1"/>
  <c r="AA163" i="18" s="1"/>
  <c r="AB163" i="18" s="1"/>
  <c r="AC163" i="18" s="1"/>
  <c r="AD163" i="18" s="1"/>
  <c r="AE163" i="18" s="1"/>
  <c r="AF163" i="18" s="1"/>
  <c r="B163" i="18" s="1"/>
  <c r="D163" i="18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D162" i="18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B162" i="18" s="1"/>
  <c r="G161" i="18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B161" i="18" s="1"/>
  <c r="D161" i="18"/>
  <c r="E161" i="18" s="1"/>
  <c r="F161" i="18" s="1"/>
  <c r="E160" i="18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B160" i="18" s="1"/>
  <c r="D160" i="18"/>
  <c r="AA159" i="18"/>
  <c r="AB159" i="18" s="1"/>
  <c r="AC159" i="18" s="1"/>
  <c r="AD159" i="18" s="1"/>
  <c r="AE159" i="18" s="1"/>
  <c r="AF159" i="18" s="1"/>
  <c r="B159" i="18" s="1"/>
  <c r="K159" i="18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G159" i="18"/>
  <c r="H159" i="18" s="1"/>
  <c r="I159" i="18" s="1"/>
  <c r="J159" i="18" s="1"/>
  <c r="D159" i="18"/>
  <c r="E159" i="18" s="1"/>
  <c r="F159" i="18" s="1"/>
  <c r="E158" i="18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B158" i="18" s="1"/>
  <c r="D158" i="18"/>
  <c r="X157" i="18"/>
  <c r="Y157" i="18" s="1"/>
  <c r="Z157" i="18" s="1"/>
  <c r="AA157" i="18" s="1"/>
  <c r="AB157" i="18" s="1"/>
  <c r="AC157" i="18" s="1"/>
  <c r="AD157" i="18" s="1"/>
  <c r="AE157" i="18" s="1"/>
  <c r="AF157" i="18" s="1"/>
  <c r="B157" i="18" s="1"/>
  <c r="H157" i="18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D157" i="18"/>
  <c r="E157" i="18" s="1"/>
  <c r="F157" i="18" s="1"/>
  <c r="G157" i="18" s="1"/>
  <c r="H156" i="18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B156" i="18" s="1"/>
  <c r="E156" i="18"/>
  <c r="F156" i="18" s="1"/>
  <c r="G156" i="18" s="1"/>
  <c r="D156" i="18"/>
  <c r="N154" i="18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B154" i="18" s="1"/>
  <c r="D154" i="18"/>
  <c r="E154" i="18" s="1"/>
  <c r="F154" i="18" s="1"/>
  <c r="G154" i="18" s="1"/>
  <c r="H154" i="18" s="1"/>
  <c r="I154" i="18" s="1"/>
  <c r="J154" i="18" s="1"/>
  <c r="K154" i="18" s="1"/>
  <c r="L154" i="18" s="1"/>
  <c r="M154" i="18" s="1"/>
  <c r="E153" i="18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B153" i="18" s="1"/>
  <c r="D153" i="18"/>
  <c r="D152" i="18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B152" i="18" s="1"/>
  <c r="E151" i="18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B151" i="18" s="1"/>
  <c r="D151" i="18"/>
  <c r="D149" i="18"/>
  <c r="E149" i="18" s="1"/>
  <c r="F149" i="18" s="1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B149" i="18" s="1"/>
  <c r="F148" i="18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B148" i="18" s="1"/>
  <c r="E148" i="18"/>
  <c r="D148" i="18"/>
  <c r="D146" i="18"/>
  <c r="E146" i="18" s="1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B146" i="18" s="1"/>
  <c r="F145" i="18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B145" i="18" s="1"/>
  <c r="E145" i="18"/>
  <c r="D145" i="18"/>
  <c r="E144" i="18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B144" i="18" s="1"/>
  <c r="D144" i="18"/>
  <c r="L143" i="18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B143" i="18" s="1"/>
  <c r="E143" i="18"/>
  <c r="F143" i="18" s="1"/>
  <c r="G143" i="18" s="1"/>
  <c r="H143" i="18" s="1"/>
  <c r="I143" i="18" s="1"/>
  <c r="J143" i="18" s="1"/>
  <c r="K143" i="18" s="1"/>
  <c r="D143" i="18"/>
  <c r="F142" i="18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B142" i="18" s="1"/>
  <c r="D142" i="18"/>
  <c r="E142" i="18" s="1"/>
  <c r="E141" i="18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B141" i="18" s="1"/>
  <c r="D141" i="18"/>
  <c r="I140" i="18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B140" i="18" s="1"/>
  <c r="F140" i="18"/>
  <c r="G140" i="18" s="1"/>
  <c r="H140" i="18" s="1"/>
  <c r="D140" i="18"/>
  <c r="E140" i="18" s="1"/>
  <c r="G138" i="18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B138" i="18" s="1"/>
  <c r="D138" i="18"/>
  <c r="E138" i="18" s="1"/>
  <c r="F138" i="18" s="1"/>
  <c r="E137" i="18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B137" i="18" s="1"/>
  <c r="D137" i="18"/>
  <c r="F136" i="18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B136" i="18" s="1"/>
  <c r="D136" i="18"/>
  <c r="E136" i="18" s="1"/>
  <c r="L135" i="18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B135" i="18" s="1"/>
  <c r="F135" i="18"/>
  <c r="G135" i="18" s="1"/>
  <c r="H135" i="18" s="1"/>
  <c r="I135" i="18" s="1"/>
  <c r="J135" i="18" s="1"/>
  <c r="K135" i="18" s="1"/>
  <c r="D135" i="18"/>
  <c r="E135" i="18" s="1"/>
  <c r="T134" i="18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B134" i="18" s="1"/>
  <c r="D134" i="18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M133" i="18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B133" i="18" s="1"/>
  <c r="E133" i="18"/>
  <c r="F133" i="18" s="1"/>
  <c r="G133" i="18" s="1"/>
  <c r="H133" i="18" s="1"/>
  <c r="I133" i="18" s="1"/>
  <c r="J133" i="18" s="1"/>
  <c r="K133" i="18" s="1"/>
  <c r="L133" i="18" s="1"/>
  <c r="D133" i="18"/>
  <c r="D132" i="18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B132" i="18" s="1"/>
  <c r="V131" i="18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B131" i="18" s="1"/>
  <c r="D131" i="18"/>
  <c r="E131" i="18" s="1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K129" i="18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B129" i="18" s="1"/>
  <c r="D129" i="18"/>
  <c r="E129" i="18" s="1"/>
  <c r="F129" i="18" s="1"/>
  <c r="G129" i="18" s="1"/>
  <c r="H129" i="18" s="1"/>
  <c r="I129" i="18" s="1"/>
  <c r="J129" i="18" s="1"/>
  <c r="E128" i="18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B128" i="18" s="1"/>
  <c r="D128" i="18"/>
  <c r="AF127" i="18"/>
  <c r="B127" i="18" s="1"/>
  <c r="L127" i="18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F127" i="18"/>
  <c r="G127" i="18" s="1"/>
  <c r="H127" i="18" s="1"/>
  <c r="I127" i="18" s="1"/>
  <c r="J127" i="18" s="1"/>
  <c r="K127" i="18" s="1"/>
  <c r="D127" i="18"/>
  <c r="E127" i="18" s="1"/>
  <c r="D126" i="18"/>
  <c r="E126" i="18" s="1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B126" i="18" s="1"/>
  <c r="G125" i="18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B125" i="18" s="1"/>
  <c r="D125" i="18"/>
  <c r="E125" i="18" s="1"/>
  <c r="F125" i="18" s="1"/>
  <c r="E124" i="18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B124" i="18" s="1"/>
  <c r="D124" i="18"/>
  <c r="F123" i="18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B123" i="18" s="1"/>
  <c r="D123" i="18"/>
  <c r="E123" i="18" s="1"/>
  <c r="X122" i="18"/>
  <c r="Y122" i="18" s="1"/>
  <c r="Z122" i="18" s="1"/>
  <c r="AA122" i="18" s="1"/>
  <c r="AB122" i="18" s="1"/>
  <c r="AC122" i="18" s="1"/>
  <c r="AD122" i="18" s="1"/>
  <c r="AE122" i="18" s="1"/>
  <c r="AF122" i="18" s="1"/>
  <c r="B122" i="18" s="1"/>
  <c r="N122" i="18"/>
  <c r="O122" i="18" s="1"/>
  <c r="P122" i="18" s="1"/>
  <c r="Q122" i="18" s="1"/>
  <c r="R122" i="18" s="1"/>
  <c r="S122" i="18" s="1"/>
  <c r="T122" i="18" s="1"/>
  <c r="U122" i="18" s="1"/>
  <c r="V122" i="18" s="1"/>
  <c r="W122" i="18" s="1"/>
  <c r="D122" i="18"/>
  <c r="E122" i="18" s="1"/>
  <c r="F122" i="18" s="1"/>
  <c r="G122" i="18" s="1"/>
  <c r="H122" i="18" s="1"/>
  <c r="I122" i="18" s="1"/>
  <c r="J122" i="18" s="1"/>
  <c r="K122" i="18" s="1"/>
  <c r="L122" i="18" s="1"/>
  <c r="M122" i="18" s="1"/>
  <c r="D121" i="18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B121" i="18" s="1"/>
  <c r="K120" i="18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B120" i="18" s="1"/>
  <c r="D120" i="18"/>
  <c r="E120" i="18" s="1"/>
  <c r="F120" i="18" s="1"/>
  <c r="G120" i="18" s="1"/>
  <c r="H120" i="18" s="1"/>
  <c r="I120" i="18" s="1"/>
  <c r="J120" i="18" s="1"/>
  <c r="F119" i="18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B119" i="18" s="1"/>
  <c r="D119" i="18"/>
  <c r="E119" i="18" s="1"/>
  <c r="R118" i="18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B118" i="18" s="1"/>
  <c r="H118" i="18"/>
  <c r="I118" i="18" s="1"/>
  <c r="J118" i="18" s="1"/>
  <c r="K118" i="18" s="1"/>
  <c r="L118" i="18" s="1"/>
  <c r="M118" i="18" s="1"/>
  <c r="N118" i="18" s="1"/>
  <c r="O118" i="18" s="1"/>
  <c r="P118" i="18" s="1"/>
  <c r="Q118" i="18" s="1"/>
  <c r="E118" i="18"/>
  <c r="F118" i="18" s="1"/>
  <c r="G118" i="18" s="1"/>
  <c r="D118" i="18"/>
  <c r="D117" i="18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B117" i="18" s="1"/>
  <c r="D116" i="18"/>
  <c r="E116" i="18" s="1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B116" i="18" s="1"/>
  <c r="F115" i="18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B115" i="18" s="1"/>
  <c r="D115" i="18"/>
  <c r="E115" i="18" s="1"/>
  <c r="Y114" i="18"/>
  <c r="Z114" i="18" s="1"/>
  <c r="AA114" i="18" s="1"/>
  <c r="AB114" i="18" s="1"/>
  <c r="AC114" i="18" s="1"/>
  <c r="AD114" i="18" s="1"/>
  <c r="AE114" i="18" s="1"/>
  <c r="AF114" i="18" s="1"/>
  <c r="B114" i="18" s="1"/>
  <c r="O114" i="18"/>
  <c r="P114" i="18" s="1"/>
  <c r="Q114" i="18" s="1"/>
  <c r="R114" i="18" s="1"/>
  <c r="S114" i="18" s="1"/>
  <c r="T114" i="18" s="1"/>
  <c r="U114" i="18" s="1"/>
  <c r="V114" i="18" s="1"/>
  <c r="W114" i="18" s="1"/>
  <c r="X114" i="18" s="1"/>
  <c r="L114" i="18"/>
  <c r="M114" i="18" s="1"/>
  <c r="N114" i="18" s="1"/>
  <c r="K114" i="18"/>
  <c r="D114" i="18"/>
  <c r="E114" i="18" s="1"/>
  <c r="F114" i="18" s="1"/>
  <c r="G114" i="18" s="1"/>
  <c r="H114" i="18" s="1"/>
  <c r="I114" i="18" s="1"/>
  <c r="E113" i="18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B113" i="18" s="1"/>
  <c r="D113" i="18"/>
  <c r="L112" i="18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B112" i="18" s="1"/>
  <c r="D112" i="18"/>
  <c r="E112" i="18" s="1"/>
  <c r="F112" i="18" s="1"/>
  <c r="G112" i="18" s="1"/>
  <c r="H112" i="18" s="1"/>
  <c r="I112" i="18" s="1"/>
  <c r="J112" i="18" s="1"/>
  <c r="K112" i="18" s="1"/>
  <c r="E110" i="18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B110" i="18" s="1"/>
  <c r="D110" i="18"/>
  <c r="D109" i="18"/>
  <c r="E109" i="18" s="1"/>
  <c r="F109" i="18" s="1"/>
  <c r="G109" i="18" s="1"/>
  <c r="H109" i="18" s="1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B109" i="18" s="1"/>
  <c r="K107" i="18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B107" i="18" s="1"/>
  <c r="D107" i="18"/>
  <c r="E107" i="18" s="1"/>
  <c r="F107" i="18" s="1"/>
  <c r="G107" i="18" s="1"/>
  <c r="H107" i="18" s="1"/>
  <c r="I107" i="18" s="1"/>
  <c r="J107" i="18" s="1"/>
  <c r="E106" i="18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B106" i="18" s="1"/>
  <c r="D106" i="18"/>
  <c r="E105" i="18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B105" i="18" s="1"/>
  <c r="D105" i="18"/>
  <c r="G104" i="18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B104" i="18" s="1"/>
  <c r="F104" i="18"/>
  <c r="E104" i="18"/>
  <c r="D104" i="18"/>
  <c r="D103" i="18"/>
  <c r="D102" i="18"/>
  <c r="AH98" i="18"/>
  <c r="AI98" i="18" s="1"/>
  <c r="AH97" i="18"/>
  <c r="AI97" i="18" s="1"/>
  <c r="AH96" i="18"/>
  <c r="AI96" i="18" s="1"/>
  <c r="AH95" i="18"/>
  <c r="AI95" i="18" s="1"/>
  <c r="AH94" i="18"/>
  <c r="AI94" i="18" s="1"/>
  <c r="C93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G82" i="18"/>
  <c r="AI81" i="18"/>
  <c r="AH81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F77" i="18"/>
  <c r="AE77" i="18"/>
  <c r="AE82" i="18" s="1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AF76" i="18"/>
  <c r="AE76" i="18"/>
  <c r="AD76" i="18"/>
  <c r="AC76" i="18"/>
  <c r="AB76" i="18"/>
  <c r="AA76" i="18"/>
  <c r="Z76" i="18"/>
  <c r="Y76" i="18"/>
  <c r="Y82" i="18" s="1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I74" i="18"/>
  <c r="AH74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AI71" i="18"/>
  <c r="AH71" i="18"/>
  <c r="AI70" i="18"/>
  <c r="AH70" i="18"/>
  <c r="AI69" i="18"/>
  <c r="AH69" i="18"/>
  <c r="AG68" i="18"/>
  <c r="AF68" i="18"/>
  <c r="AE5" i="18" s="1"/>
  <c r="AE68" i="18"/>
  <c r="AD5" i="18" s="1"/>
  <c r="AD68" i="18"/>
  <c r="AC5" i="18" s="1"/>
  <c r="AC68" i="18"/>
  <c r="AB5" i="18" s="1"/>
  <c r="AB68" i="18"/>
  <c r="AA5" i="18" s="1"/>
  <c r="AA68" i="18"/>
  <c r="Z5" i="18" s="1"/>
  <c r="Z68" i="18"/>
  <c r="Y68" i="18"/>
  <c r="X68" i="18"/>
  <c r="W5" i="18" s="1"/>
  <c r="W68" i="18"/>
  <c r="V5" i="18" s="1"/>
  <c r="V68" i="18"/>
  <c r="U68" i="18"/>
  <c r="T5" i="18" s="1"/>
  <c r="T68" i="18"/>
  <c r="S5" i="18" s="1"/>
  <c r="S68" i="18"/>
  <c r="R5" i="18" s="1"/>
  <c r="R68" i="18"/>
  <c r="Q5" i="18" s="1"/>
  <c r="Q68" i="18"/>
  <c r="P68" i="18"/>
  <c r="O5" i="18" s="1"/>
  <c r="O68" i="18"/>
  <c r="N68" i="18"/>
  <c r="M5" i="18" s="1"/>
  <c r="M68" i="18"/>
  <c r="L5" i="18" s="1"/>
  <c r="L68" i="18"/>
  <c r="K5" i="18" s="1"/>
  <c r="K68" i="18"/>
  <c r="J68" i="18"/>
  <c r="I5" i="18" s="1"/>
  <c r="I68" i="18"/>
  <c r="H5" i="18" s="1"/>
  <c r="H68" i="18"/>
  <c r="G5" i="18" s="1"/>
  <c r="G68" i="18"/>
  <c r="F5" i="18" s="1"/>
  <c r="F68" i="18"/>
  <c r="E68" i="18"/>
  <c r="D5" i="18" s="1"/>
  <c r="D68" i="18"/>
  <c r="C5" i="18" s="1"/>
  <c r="C68" i="18"/>
  <c r="B5" i="18" s="1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AI55" i="18"/>
  <c r="AH55" i="18"/>
  <c r="AI54" i="18"/>
  <c r="AH54" i="18"/>
  <c r="AI53" i="18"/>
  <c r="AH53" i="18"/>
  <c r="AG52" i="18"/>
  <c r="Z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AG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G38" i="18"/>
  <c r="AG2" i="18" s="1"/>
  <c r="AG6" i="18" s="1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N73" i="18" s="1"/>
  <c r="M38" i="18"/>
  <c r="L38" i="18"/>
  <c r="K38" i="18"/>
  <c r="J38" i="18"/>
  <c r="I38" i="18"/>
  <c r="H38" i="18"/>
  <c r="G38" i="18"/>
  <c r="F38" i="18"/>
  <c r="E38" i="18"/>
  <c r="D38" i="18"/>
  <c r="C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U5" i="18"/>
  <c r="J5" i="18"/>
  <c r="E5" i="18"/>
  <c r="AG4" i="18"/>
  <c r="K4" i="18"/>
  <c r="B4" i="18"/>
  <c r="AG3" i="18"/>
  <c r="AF95" i="17"/>
  <c r="AF37" i="17"/>
  <c r="AE37" i="17"/>
  <c r="AE95" i="17"/>
  <c r="AD95" i="17"/>
  <c r="AD37" i="17"/>
  <c r="AC95" i="17"/>
  <c r="AC37" i="17"/>
  <c r="AB95" i="17"/>
  <c r="AB37" i="17"/>
  <c r="W58" i="15"/>
  <c r="W58" i="13"/>
  <c r="L37" i="17"/>
  <c r="K37" i="17"/>
  <c r="J37" i="17"/>
  <c r="I37" i="17"/>
  <c r="H37" i="17"/>
  <c r="G37" i="17"/>
  <c r="F37" i="17"/>
  <c r="E37" i="17"/>
  <c r="AH100" i="17"/>
  <c r="AI100" i="17" s="1"/>
  <c r="AH99" i="17"/>
  <c r="AI99" i="17" s="1"/>
  <c r="AF239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B239" i="17"/>
  <c r="A239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D235" i="17"/>
  <c r="C235" i="17"/>
  <c r="B235" i="17"/>
  <c r="S210" i="17"/>
  <c r="AG200" i="17"/>
  <c r="C200" i="17"/>
  <c r="F199" i="17"/>
  <c r="E199" i="17"/>
  <c r="D199" i="17"/>
  <c r="E198" i="17"/>
  <c r="F198" i="17" s="1"/>
  <c r="G198" i="17" s="1"/>
  <c r="H198" i="17" s="1"/>
  <c r="I198" i="17" s="1"/>
  <c r="J198" i="17" s="1"/>
  <c r="K198" i="17" s="1"/>
  <c r="L198" i="17" s="1"/>
  <c r="M198" i="17" s="1"/>
  <c r="N198" i="17" s="1"/>
  <c r="O198" i="17" s="1"/>
  <c r="P198" i="17" s="1"/>
  <c r="Q198" i="17" s="1"/>
  <c r="R198" i="17" s="1"/>
  <c r="S198" i="17" s="1"/>
  <c r="T198" i="17" s="1"/>
  <c r="U198" i="17" s="1"/>
  <c r="V198" i="17" s="1"/>
  <c r="W198" i="17" s="1"/>
  <c r="X198" i="17" s="1"/>
  <c r="Y198" i="17" s="1"/>
  <c r="Z198" i="17" s="1"/>
  <c r="AA198" i="17" s="1"/>
  <c r="AB198" i="17" s="1"/>
  <c r="AC198" i="17" s="1"/>
  <c r="AD198" i="17" s="1"/>
  <c r="AE198" i="17" s="1"/>
  <c r="AF198" i="17" s="1"/>
  <c r="B198" i="17" s="1"/>
  <c r="D198" i="17"/>
  <c r="J197" i="17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Z197" i="17" s="1"/>
  <c r="AA197" i="17" s="1"/>
  <c r="AB197" i="17" s="1"/>
  <c r="AC197" i="17" s="1"/>
  <c r="AD197" i="17" s="1"/>
  <c r="AE197" i="17" s="1"/>
  <c r="AF197" i="17" s="1"/>
  <c r="B197" i="17" s="1"/>
  <c r="E197" i="17"/>
  <c r="F197" i="17" s="1"/>
  <c r="G197" i="17" s="1"/>
  <c r="H197" i="17" s="1"/>
  <c r="I197" i="17" s="1"/>
  <c r="D197" i="17"/>
  <c r="D200" i="17" s="1"/>
  <c r="E196" i="17"/>
  <c r="F196" i="17" s="1"/>
  <c r="G196" i="17" s="1"/>
  <c r="H196" i="17" s="1"/>
  <c r="I196" i="17" s="1"/>
  <c r="J196" i="17" s="1"/>
  <c r="K196" i="17" s="1"/>
  <c r="L196" i="17" s="1"/>
  <c r="M196" i="17" s="1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AC196" i="17" s="1"/>
  <c r="AD196" i="17" s="1"/>
  <c r="AE196" i="17" s="1"/>
  <c r="AF196" i="17" s="1"/>
  <c r="B196" i="17" s="1"/>
  <c r="D196" i="17"/>
  <c r="X195" i="17"/>
  <c r="Y195" i="17" s="1"/>
  <c r="Z195" i="17" s="1"/>
  <c r="AA195" i="17" s="1"/>
  <c r="AB195" i="17" s="1"/>
  <c r="AC195" i="17" s="1"/>
  <c r="AD195" i="17" s="1"/>
  <c r="AE195" i="17" s="1"/>
  <c r="AF195" i="17" s="1"/>
  <c r="B195" i="17" s="1"/>
  <c r="E195" i="17"/>
  <c r="F195" i="17" s="1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D195" i="17"/>
  <c r="D194" i="17"/>
  <c r="E194" i="17" s="1"/>
  <c r="AG192" i="17"/>
  <c r="C192" i="17"/>
  <c r="Q191" i="17"/>
  <c r="R191" i="17" s="1"/>
  <c r="S191" i="17" s="1"/>
  <c r="T191" i="17" s="1"/>
  <c r="U191" i="17" s="1"/>
  <c r="V191" i="17" s="1"/>
  <c r="W191" i="17" s="1"/>
  <c r="X191" i="17" s="1"/>
  <c r="Y191" i="17" s="1"/>
  <c r="Z191" i="17" s="1"/>
  <c r="AA191" i="17" s="1"/>
  <c r="AB191" i="17" s="1"/>
  <c r="AC191" i="17" s="1"/>
  <c r="AD191" i="17" s="1"/>
  <c r="AE191" i="17" s="1"/>
  <c r="AF191" i="17" s="1"/>
  <c r="B191" i="17" s="1"/>
  <c r="G191" i="17"/>
  <c r="H191" i="17" s="1"/>
  <c r="I191" i="17" s="1"/>
  <c r="J191" i="17" s="1"/>
  <c r="K191" i="17" s="1"/>
  <c r="L191" i="17" s="1"/>
  <c r="M191" i="17" s="1"/>
  <c r="N191" i="17" s="1"/>
  <c r="O191" i="17" s="1"/>
  <c r="P191" i="17" s="1"/>
  <c r="E191" i="17"/>
  <c r="F191" i="17" s="1"/>
  <c r="D191" i="17"/>
  <c r="E190" i="17"/>
  <c r="F190" i="17" s="1"/>
  <c r="G190" i="17" s="1"/>
  <c r="H190" i="17" s="1"/>
  <c r="I190" i="17" s="1"/>
  <c r="J190" i="17" s="1"/>
  <c r="K190" i="17" s="1"/>
  <c r="L190" i="17" s="1"/>
  <c r="M190" i="17" s="1"/>
  <c r="N190" i="17" s="1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AA190" i="17" s="1"/>
  <c r="AB190" i="17" s="1"/>
  <c r="AC190" i="17" s="1"/>
  <c r="AD190" i="17" s="1"/>
  <c r="AE190" i="17" s="1"/>
  <c r="AF190" i="17" s="1"/>
  <c r="B190" i="17" s="1"/>
  <c r="D190" i="17"/>
  <c r="E189" i="17"/>
  <c r="F189" i="17" s="1"/>
  <c r="G189" i="17" s="1"/>
  <c r="H189" i="17" s="1"/>
  <c r="I189" i="17" s="1"/>
  <c r="J189" i="17" s="1"/>
  <c r="K189" i="17" s="1"/>
  <c r="L189" i="17" s="1"/>
  <c r="M189" i="17" s="1"/>
  <c r="N189" i="17" s="1"/>
  <c r="O189" i="17" s="1"/>
  <c r="P189" i="17" s="1"/>
  <c r="Q189" i="17" s="1"/>
  <c r="R189" i="17" s="1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B189" i="17" s="1"/>
  <c r="D189" i="17"/>
  <c r="D188" i="17"/>
  <c r="E188" i="17" s="1"/>
  <c r="F188" i="17" s="1"/>
  <c r="G188" i="17" s="1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B188" i="17" s="1"/>
  <c r="L187" i="17"/>
  <c r="M187" i="17" s="1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B187" i="17" s="1"/>
  <c r="E187" i="17"/>
  <c r="F187" i="17" s="1"/>
  <c r="G187" i="17" s="1"/>
  <c r="H187" i="17" s="1"/>
  <c r="I187" i="17" s="1"/>
  <c r="J187" i="17" s="1"/>
  <c r="K187" i="17" s="1"/>
  <c r="D187" i="17"/>
  <c r="M186" i="17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B186" i="17" s="1"/>
  <c r="I186" i="17"/>
  <c r="J186" i="17" s="1"/>
  <c r="K186" i="17" s="1"/>
  <c r="L186" i="17" s="1"/>
  <c r="E186" i="17"/>
  <c r="F186" i="17" s="1"/>
  <c r="G186" i="17" s="1"/>
  <c r="H186" i="17" s="1"/>
  <c r="D186" i="17"/>
  <c r="AE185" i="17"/>
  <c r="AF185" i="17" s="1"/>
  <c r="B185" i="17" s="1"/>
  <c r="O185" i="17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H185" i="17"/>
  <c r="I185" i="17" s="1"/>
  <c r="J185" i="17" s="1"/>
  <c r="K185" i="17" s="1"/>
  <c r="L185" i="17" s="1"/>
  <c r="M185" i="17" s="1"/>
  <c r="N185" i="17" s="1"/>
  <c r="E185" i="17"/>
  <c r="F185" i="17" s="1"/>
  <c r="G185" i="17" s="1"/>
  <c r="D185" i="17"/>
  <c r="D184" i="17"/>
  <c r="E184" i="17" s="1"/>
  <c r="F184" i="17" s="1"/>
  <c r="G184" i="17" s="1"/>
  <c r="H184" i="17" s="1"/>
  <c r="I184" i="17" s="1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B184" i="17" s="1"/>
  <c r="T183" i="17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B183" i="17" s="1"/>
  <c r="G183" i="17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S183" i="17" s="1"/>
  <c r="E183" i="17"/>
  <c r="F183" i="17" s="1"/>
  <c r="D183" i="17"/>
  <c r="E182" i="17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B182" i="17" s="1"/>
  <c r="D182" i="17"/>
  <c r="AA181" i="17"/>
  <c r="AB181" i="17" s="1"/>
  <c r="AC181" i="17" s="1"/>
  <c r="AD181" i="17" s="1"/>
  <c r="AE181" i="17" s="1"/>
  <c r="AF181" i="17" s="1"/>
  <c r="B181" i="17" s="1"/>
  <c r="N181" i="17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E181" i="17"/>
  <c r="F181" i="17" s="1"/>
  <c r="G181" i="17" s="1"/>
  <c r="H181" i="17" s="1"/>
  <c r="I181" i="17" s="1"/>
  <c r="J181" i="17" s="1"/>
  <c r="K181" i="17" s="1"/>
  <c r="L181" i="17" s="1"/>
  <c r="M181" i="17" s="1"/>
  <c r="D181" i="17"/>
  <c r="F180" i="17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B180" i="17" s="1"/>
  <c r="D180" i="17"/>
  <c r="E180" i="17" s="1"/>
  <c r="X179" i="17"/>
  <c r="Y179" i="17" s="1"/>
  <c r="Z179" i="17" s="1"/>
  <c r="AA179" i="17" s="1"/>
  <c r="AB179" i="17" s="1"/>
  <c r="AC179" i="17" s="1"/>
  <c r="AD179" i="17" s="1"/>
  <c r="AE179" i="17" s="1"/>
  <c r="AF179" i="17" s="1"/>
  <c r="B179" i="17" s="1"/>
  <c r="L179" i="17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D179" i="17"/>
  <c r="E179" i="17" s="1"/>
  <c r="F179" i="17" s="1"/>
  <c r="G179" i="17" s="1"/>
  <c r="H179" i="17" s="1"/>
  <c r="I179" i="17" s="1"/>
  <c r="J179" i="17" s="1"/>
  <c r="K179" i="17" s="1"/>
  <c r="D177" i="17"/>
  <c r="E177" i="17" s="1"/>
  <c r="F177" i="17" s="1"/>
  <c r="G177" i="17" s="1"/>
  <c r="H177" i="17" s="1"/>
  <c r="I177" i="17" s="1"/>
  <c r="J177" i="17" s="1"/>
  <c r="K177" i="17" s="1"/>
  <c r="L177" i="17" s="1"/>
  <c r="M177" i="17" s="1"/>
  <c r="N177" i="17" s="1"/>
  <c r="O177" i="17" s="1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B177" i="17" s="1"/>
  <c r="U176" i="17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B176" i="17" s="1"/>
  <c r="E176" i="17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D176" i="17"/>
  <c r="E175" i="17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B175" i="17" s="1"/>
  <c r="D175" i="17"/>
  <c r="G174" i="17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B174" i="17" s="1"/>
  <c r="D174" i="17"/>
  <c r="E174" i="17" s="1"/>
  <c r="F174" i="17" s="1"/>
  <c r="T173" i="17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B173" i="17" s="1"/>
  <c r="R173" i="17"/>
  <c r="S173" i="17" s="1"/>
  <c r="D173" i="17"/>
  <c r="E173" i="17" s="1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Q173" i="17" s="1"/>
  <c r="D172" i="17"/>
  <c r="E172" i="17" s="1"/>
  <c r="F172" i="17" s="1"/>
  <c r="G172" i="17" s="1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B172" i="17" s="1"/>
  <c r="I171" i="17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B171" i="17" s="1"/>
  <c r="G171" i="17"/>
  <c r="H171" i="17" s="1"/>
  <c r="D171" i="17"/>
  <c r="E171" i="17" s="1"/>
  <c r="F171" i="17" s="1"/>
  <c r="H170" i="17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B170" i="17" s="1"/>
  <c r="G170" i="17"/>
  <c r="E170" i="17"/>
  <c r="F170" i="17" s="1"/>
  <c r="D170" i="17"/>
  <c r="H168" i="17"/>
  <c r="I168" i="17" s="1"/>
  <c r="J168" i="17" s="1"/>
  <c r="K168" i="17" s="1"/>
  <c r="L168" i="17" s="1"/>
  <c r="M168" i="17" s="1"/>
  <c r="N168" i="17" s="1"/>
  <c r="O168" i="17" s="1"/>
  <c r="P168" i="17" s="1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B168" i="17" s="1"/>
  <c r="G168" i="17"/>
  <c r="F168" i="17"/>
  <c r="E168" i="17"/>
  <c r="D168" i="17"/>
  <c r="D167" i="17"/>
  <c r="E167" i="17" s="1"/>
  <c r="F167" i="17" s="1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B167" i="17" s="1"/>
  <c r="X166" i="17"/>
  <c r="Y166" i="17" s="1"/>
  <c r="Z166" i="17" s="1"/>
  <c r="AA166" i="17" s="1"/>
  <c r="AB166" i="17" s="1"/>
  <c r="AC166" i="17" s="1"/>
  <c r="AD166" i="17" s="1"/>
  <c r="AE166" i="17" s="1"/>
  <c r="AF166" i="17" s="1"/>
  <c r="B166" i="17" s="1"/>
  <c r="D166" i="17"/>
  <c r="E166" i="17" s="1"/>
  <c r="F166" i="17" s="1"/>
  <c r="G166" i="17" s="1"/>
  <c r="H166" i="17" s="1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W165" i="17"/>
  <c r="X165" i="17" s="1"/>
  <c r="Y165" i="17" s="1"/>
  <c r="Z165" i="17" s="1"/>
  <c r="AA165" i="17" s="1"/>
  <c r="AB165" i="17" s="1"/>
  <c r="AC165" i="17" s="1"/>
  <c r="AD165" i="17" s="1"/>
  <c r="AE165" i="17" s="1"/>
  <c r="AF165" i="17" s="1"/>
  <c r="B165" i="17" s="1"/>
  <c r="J165" i="17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F165" i="17"/>
  <c r="G165" i="17" s="1"/>
  <c r="H165" i="17" s="1"/>
  <c r="I165" i="17" s="1"/>
  <c r="E165" i="17"/>
  <c r="D165" i="17"/>
  <c r="E164" i="17"/>
  <c r="F164" i="17" s="1"/>
  <c r="G164" i="17" s="1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B164" i="17" s="1"/>
  <c r="D164" i="17"/>
  <c r="K163" i="17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B163" i="17" s="1"/>
  <c r="D163" i="17"/>
  <c r="E163" i="17" s="1"/>
  <c r="F163" i="17" s="1"/>
  <c r="G163" i="17" s="1"/>
  <c r="H163" i="17" s="1"/>
  <c r="I163" i="17" s="1"/>
  <c r="J163" i="17" s="1"/>
  <c r="G162" i="17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B162" i="17" s="1"/>
  <c r="E162" i="17"/>
  <c r="F162" i="17" s="1"/>
  <c r="D162" i="17"/>
  <c r="AC161" i="17"/>
  <c r="AD161" i="17" s="1"/>
  <c r="AE161" i="17" s="1"/>
  <c r="AF161" i="17" s="1"/>
  <c r="B161" i="17" s="1"/>
  <c r="I161" i="17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E161" i="17"/>
  <c r="F161" i="17" s="1"/>
  <c r="G161" i="17" s="1"/>
  <c r="H161" i="17" s="1"/>
  <c r="D161" i="17"/>
  <c r="E160" i="17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B160" i="17" s="1"/>
  <c r="D160" i="17"/>
  <c r="G159" i="17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B159" i="17" s="1"/>
  <c r="F159" i="17"/>
  <c r="E159" i="17"/>
  <c r="D159" i="17"/>
  <c r="M158" i="17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B158" i="17" s="1"/>
  <c r="D158" i="17"/>
  <c r="E158" i="17" s="1"/>
  <c r="F158" i="17" s="1"/>
  <c r="G158" i="17" s="1"/>
  <c r="H158" i="17" s="1"/>
  <c r="I158" i="17" s="1"/>
  <c r="J158" i="17" s="1"/>
  <c r="K158" i="17" s="1"/>
  <c r="L158" i="17" s="1"/>
  <c r="G157" i="17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B157" i="17" s="1"/>
  <c r="E157" i="17"/>
  <c r="F157" i="17" s="1"/>
  <c r="D157" i="17"/>
  <c r="G156" i="17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B156" i="17" s="1"/>
  <c r="F156" i="17"/>
  <c r="D156" i="17"/>
  <c r="E156" i="17" s="1"/>
  <c r="W154" i="17"/>
  <c r="X154" i="17" s="1"/>
  <c r="Y154" i="17" s="1"/>
  <c r="Z154" i="17" s="1"/>
  <c r="AA154" i="17" s="1"/>
  <c r="AB154" i="17" s="1"/>
  <c r="AC154" i="17" s="1"/>
  <c r="AD154" i="17" s="1"/>
  <c r="AE154" i="17" s="1"/>
  <c r="AF154" i="17" s="1"/>
  <c r="B154" i="17" s="1"/>
  <c r="J154" i="17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D154" i="17"/>
  <c r="E154" i="17" s="1"/>
  <c r="F154" i="17" s="1"/>
  <c r="G154" i="17" s="1"/>
  <c r="H154" i="17" s="1"/>
  <c r="I154" i="17" s="1"/>
  <c r="D153" i="17"/>
  <c r="E153" i="17" s="1"/>
  <c r="F153" i="17" s="1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B153" i="17" s="1"/>
  <c r="E152" i="17"/>
  <c r="F152" i="17" s="1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B152" i="17" s="1"/>
  <c r="D152" i="17"/>
  <c r="AC151" i="17"/>
  <c r="AD151" i="17" s="1"/>
  <c r="AE151" i="17" s="1"/>
  <c r="AF151" i="17" s="1"/>
  <c r="B151" i="17" s="1"/>
  <c r="N151" i="17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H151" i="17"/>
  <c r="I151" i="17" s="1"/>
  <c r="J151" i="17" s="1"/>
  <c r="K151" i="17" s="1"/>
  <c r="L151" i="17" s="1"/>
  <c r="M151" i="17" s="1"/>
  <c r="E151" i="17"/>
  <c r="F151" i="17" s="1"/>
  <c r="G151" i="17" s="1"/>
  <c r="D151" i="17"/>
  <c r="G149" i="17"/>
  <c r="H149" i="17" s="1"/>
  <c r="I149" i="17" s="1"/>
  <c r="J149" i="17" s="1"/>
  <c r="K149" i="17" s="1"/>
  <c r="L149" i="17" s="1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B149" i="17" s="1"/>
  <c r="F149" i="17"/>
  <c r="D149" i="17"/>
  <c r="E149" i="17" s="1"/>
  <c r="I148" i="17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B148" i="17" s="1"/>
  <c r="D148" i="17"/>
  <c r="E148" i="17" s="1"/>
  <c r="F148" i="17" s="1"/>
  <c r="G148" i="17" s="1"/>
  <c r="H148" i="17" s="1"/>
  <c r="Y146" i="17"/>
  <c r="Z146" i="17" s="1"/>
  <c r="AA146" i="17" s="1"/>
  <c r="AB146" i="17" s="1"/>
  <c r="AC146" i="17" s="1"/>
  <c r="AD146" i="17" s="1"/>
  <c r="AE146" i="17" s="1"/>
  <c r="AF146" i="17" s="1"/>
  <c r="B146" i="17" s="1"/>
  <c r="Q146" i="17"/>
  <c r="R146" i="17" s="1"/>
  <c r="S146" i="17" s="1"/>
  <c r="T146" i="17" s="1"/>
  <c r="U146" i="17" s="1"/>
  <c r="V146" i="17" s="1"/>
  <c r="W146" i="17" s="1"/>
  <c r="X146" i="17" s="1"/>
  <c r="I146" i="17"/>
  <c r="J146" i="17" s="1"/>
  <c r="K146" i="17" s="1"/>
  <c r="L146" i="17" s="1"/>
  <c r="M146" i="17" s="1"/>
  <c r="N146" i="17" s="1"/>
  <c r="O146" i="17" s="1"/>
  <c r="P146" i="17" s="1"/>
  <c r="E146" i="17"/>
  <c r="F146" i="17" s="1"/>
  <c r="G146" i="17" s="1"/>
  <c r="H146" i="17" s="1"/>
  <c r="D146" i="17"/>
  <c r="F145" i="17"/>
  <c r="G145" i="17" s="1"/>
  <c r="H145" i="17" s="1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B145" i="17" s="1"/>
  <c r="D145" i="17"/>
  <c r="E145" i="17" s="1"/>
  <c r="K144" i="17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B144" i="17" s="1"/>
  <c r="E144" i="17"/>
  <c r="F144" i="17" s="1"/>
  <c r="G144" i="17" s="1"/>
  <c r="H144" i="17" s="1"/>
  <c r="I144" i="17" s="1"/>
  <c r="J144" i="17" s="1"/>
  <c r="D144" i="17"/>
  <c r="AC143" i="17"/>
  <c r="AD143" i="17" s="1"/>
  <c r="AE143" i="17" s="1"/>
  <c r="AF143" i="17" s="1"/>
  <c r="B143" i="17" s="1"/>
  <c r="G143" i="17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D143" i="17"/>
  <c r="E143" i="17" s="1"/>
  <c r="F143" i="17" s="1"/>
  <c r="Y142" i="17"/>
  <c r="Z142" i="17" s="1"/>
  <c r="AA142" i="17" s="1"/>
  <c r="AB142" i="17" s="1"/>
  <c r="AC142" i="17" s="1"/>
  <c r="AD142" i="17" s="1"/>
  <c r="AE142" i="17" s="1"/>
  <c r="AF142" i="17" s="1"/>
  <c r="B142" i="17" s="1"/>
  <c r="U142" i="17"/>
  <c r="V142" i="17" s="1"/>
  <c r="W142" i="17" s="1"/>
  <c r="X142" i="17" s="1"/>
  <c r="O142" i="17"/>
  <c r="P142" i="17" s="1"/>
  <c r="Q142" i="17" s="1"/>
  <c r="R142" i="17" s="1"/>
  <c r="S142" i="17" s="1"/>
  <c r="T142" i="17" s="1"/>
  <c r="J142" i="17"/>
  <c r="K142" i="17" s="1"/>
  <c r="L142" i="17" s="1"/>
  <c r="M142" i="17" s="1"/>
  <c r="N142" i="17" s="1"/>
  <c r="E142" i="17"/>
  <c r="F142" i="17" s="1"/>
  <c r="G142" i="17" s="1"/>
  <c r="H142" i="17" s="1"/>
  <c r="I142" i="17" s="1"/>
  <c r="D142" i="17"/>
  <c r="O141" i="17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B141" i="17" s="1"/>
  <c r="I141" i="17"/>
  <c r="J141" i="17" s="1"/>
  <c r="K141" i="17" s="1"/>
  <c r="L141" i="17" s="1"/>
  <c r="M141" i="17" s="1"/>
  <c r="N141" i="17" s="1"/>
  <c r="E141" i="17"/>
  <c r="F141" i="17" s="1"/>
  <c r="G141" i="17" s="1"/>
  <c r="H141" i="17" s="1"/>
  <c r="D141" i="17"/>
  <c r="I140" i="17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B140" i="17" s="1"/>
  <c r="D140" i="17"/>
  <c r="E140" i="17" s="1"/>
  <c r="F140" i="17" s="1"/>
  <c r="G140" i="17" s="1"/>
  <c r="H140" i="17" s="1"/>
  <c r="M138" i="17"/>
  <c r="N138" i="17" s="1"/>
  <c r="O138" i="17" s="1"/>
  <c r="P138" i="17" s="1"/>
  <c r="Q138" i="17" s="1"/>
  <c r="R138" i="17" s="1"/>
  <c r="S138" i="17" s="1"/>
  <c r="T138" i="17" s="1"/>
  <c r="U138" i="17" s="1"/>
  <c r="V138" i="17" s="1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B138" i="17" s="1"/>
  <c r="L138" i="17"/>
  <c r="G138" i="17"/>
  <c r="H138" i="17" s="1"/>
  <c r="I138" i="17" s="1"/>
  <c r="J138" i="17" s="1"/>
  <c r="K138" i="17" s="1"/>
  <c r="E138" i="17"/>
  <c r="F138" i="17" s="1"/>
  <c r="D138" i="17"/>
  <c r="E137" i="17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B137" i="17" s="1"/>
  <c r="D137" i="17"/>
  <c r="P136" i="17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B136" i="17" s="1"/>
  <c r="D136" i="17"/>
  <c r="E136" i="17" s="1"/>
  <c r="F136" i="17" s="1"/>
  <c r="G136" i="17" s="1"/>
  <c r="H136" i="17" s="1"/>
  <c r="I136" i="17" s="1"/>
  <c r="J136" i="17" s="1"/>
  <c r="K136" i="17" s="1"/>
  <c r="L136" i="17" s="1"/>
  <c r="M136" i="17" s="1"/>
  <c r="N136" i="17" s="1"/>
  <c r="O136" i="17" s="1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B135" i="17" s="1"/>
  <c r="D134" i="17"/>
  <c r="E134" i="17" s="1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B134" i="17" s="1"/>
  <c r="L133" i="17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B133" i="17" s="1"/>
  <c r="K133" i="17"/>
  <c r="G133" i="17"/>
  <c r="H133" i="17" s="1"/>
  <c r="I133" i="17" s="1"/>
  <c r="J133" i="17" s="1"/>
  <c r="F133" i="17"/>
  <c r="E133" i="17"/>
  <c r="D133" i="17"/>
  <c r="D132" i="17"/>
  <c r="E132" i="17" s="1"/>
  <c r="F132" i="17" s="1"/>
  <c r="G132" i="17" s="1"/>
  <c r="H132" i="17" s="1"/>
  <c r="I132" i="17" s="1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B132" i="17" s="1"/>
  <c r="I131" i="17"/>
  <c r="J131" i="17" s="1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B131" i="17" s="1"/>
  <c r="H131" i="17"/>
  <c r="G131" i="17"/>
  <c r="F131" i="17"/>
  <c r="E131" i="17"/>
  <c r="D131" i="17"/>
  <c r="E129" i="17"/>
  <c r="F129" i="17" s="1"/>
  <c r="G129" i="17" s="1"/>
  <c r="H129" i="17" s="1"/>
  <c r="I129" i="17" s="1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B129" i="17" s="1"/>
  <c r="D129" i="17"/>
  <c r="D128" i="17"/>
  <c r="E128" i="17" s="1"/>
  <c r="F128" i="17" s="1"/>
  <c r="G128" i="17" s="1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B128" i="17" s="1"/>
  <c r="I127" i="17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B127" i="17" s="1"/>
  <c r="F127" i="17"/>
  <c r="G127" i="17" s="1"/>
  <c r="H127" i="17" s="1"/>
  <c r="E127" i="17"/>
  <c r="D127" i="17"/>
  <c r="G126" i="17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B126" i="17" s="1"/>
  <c r="D126" i="17"/>
  <c r="E126" i="17" s="1"/>
  <c r="F126" i="17" s="1"/>
  <c r="N125" i="17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B125" i="17" s="1"/>
  <c r="E125" i="17"/>
  <c r="F125" i="17" s="1"/>
  <c r="G125" i="17" s="1"/>
  <c r="H125" i="17" s="1"/>
  <c r="I125" i="17" s="1"/>
  <c r="J125" i="17" s="1"/>
  <c r="K125" i="17" s="1"/>
  <c r="L125" i="17" s="1"/>
  <c r="M125" i="17" s="1"/>
  <c r="D125" i="17"/>
  <c r="D124" i="17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B124" i="17" s="1"/>
  <c r="F123" i="17"/>
  <c r="G123" i="17" s="1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B123" i="17" s="1"/>
  <c r="E123" i="17"/>
  <c r="D123" i="17"/>
  <c r="I122" i="17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B122" i="17" s="1"/>
  <c r="D122" i="17"/>
  <c r="E122" i="17" s="1"/>
  <c r="F122" i="17" s="1"/>
  <c r="G122" i="17" s="1"/>
  <c r="H122" i="17" s="1"/>
  <c r="D121" i="17"/>
  <c r="E121" i="17" s="1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B121" i="17" s="1"/>
  <c r="E120" i="17"/>
  <c r="F120" i="17" s="1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B120" i="17" s="1"/>
  <c r="D120" i="17"/>
  <c r="D119" i="17"/>
  <c r="E119" i="17" s="1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B119" i="17" s="1"/>
  <c r="J118" i="17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B118" i="17" s="1"/>
  <c r="D118" i="17"/>
  <c r="E118" i="17" s="1"/>
  <c r="F118" i="17" s="1"/>
  <c r="G118" i="17" s="1"/>
  <c r="H118" i="17" s="1"/>
  <c r="I118" i="17" s="1"/>
  <c r="D117" i="17"/>
  <c r="E117" i="17" s="1"/>
  <c r="F117" i="17" s="1"/>
  <c r="G117" i="17" s="1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B117" i="17" s="1"/>
  <c r="F116" i="17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B116" i="17" s="1"/>
  <c r="E116" i="17"/>
  <c r="D116" i="17"/>
  <c r="I115" i="17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B115" i="17" s="1"/>
  <c r="D115" i="17"/>
  <c r="E115" i="17" s="1"/>
  <c r="F115" i="17" s="1"/>
  <c r="G115" i="17" s="1"/>
  <c r="H115" i="17" s="1"/>
  <c r="K114" i="17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B114" i="17" s="1"/>
  <c r="E114" i="17"/>
  <c r="F114" i="17" s="1"/>
  <c r="G114" i="17" s="1"/>
  <c r="H114" i="17" s="1"/>
  <c r="I114" i="17" s="1"/>
  <c r="D114" i="17"/>
  <c r="E113" i="17"/>
  <c r="F113" i="17" s="1"/>
  <c r="G113" i="17" s="1"/>
  <c r="H113" i="17" s="1"/>
  <c r="I113" i="17" s="1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B113" i="17" s="1"/>
  <c r="D113" i="17"/>
  <c r="D112" i="17"/>
  <c r="E112" i="17" s="1"/>
  <c r="F112" i="17" s="1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B112" i="17" s="1"/>
  <c r="D110" i="17"/>
  <c r="E110" i="17" s="1"/>
  <c r="F110" i="17" s="1"/>
  <c r="G110" i="17" s="1"/>
  <c r="H110" i="17" s="1"/>
  <c r="I110" i="17" s="1"/>
  <c r="J110" i="17" s="1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B110" i="17" s="1"/>
  <c r="G109" i="17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B109" i="17" s="1"/>
  <c r="E109" i="17"/>
  <c r="F109" i="17" s="1"/>
  <c r="D109" i="17"/>
  <c r="J107" i="17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B107" i="17" s="1"/>
  <c r="E107" i="17"/>
  <c r="F107" i="17" s="1"/>
  <c r="G107" i="17" s="1"/>
  <c r="H107" i="17" s="1"/>
  <c r="I107" i="17" s="1"/>
  <c r="D107" i="17"/>
  <c r="H106" i="17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B106" i="17" s="1"/>
  <c r="D106" i="17"/>
  <c r="E106" i="17" s="1"/>
  <c r="F106" i="17" s="1"/>
  <c r="G106" i="17" s="1"/>
  <c r="G105" i="17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B105" i="17" s="1"/>
  <c r="F105" i="17"/>
  <c r="E105" i="17"/>
  <c r="D105" i="17"/>
  <c r="D104" i="17"/>
  <c r="E104" i="17" s="1"/>
  <c r="F104" i="17" s="1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B104" i="17" s="1"/>
  <c r="D103" i="17"/>
  <c r="D93" i="17" s="1"/>
  <c r="D102" i="17"/>
  <c r="AH98" i="17"/>
  <c r="AI98" i="17" s="1"/>
  <c r="AH97" i="17"/>
  <c r="AI97" i="17" s="1"/>
  <c r="AH96" i="17"/>
  <c r="AI96" i="17" s="1"/>
  <c r="AH95" i="17"/>
  <c r="AI95" i="17" s="1"/>
  <c r="AH94" i="17"/>
  <c r="AI94" i="17" s="1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G82" i="17"/>
  <c r="AI81" i="17"/>
  <c r="AH81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F76" i="17"/>
  <c r="AF82" i="17" s="1"/>
  <c r="AE76" i="17"/>
  <c r="AD76" i="17"/>
  <c r="AC76" i="17"/>
  <c r="AB76" i="17"/>
  <c r="AA76" i="17"/>
  <c r="Z76" i="17"/>
  <c r="Y76" i="17"/>
  <c r="Y82" i="17" s="1"/>
  <c r="X76" i="17"/>
  <c r="W76" i="17"/>
  <c r="V76" i="17"/>
  <c r="U76" i="17"/>
  <c r="T76" i="17"/>
  <c r="S76" i="17"/>
  <c r="R76" i="17"/>
  <c r="R82" i="17" s="1"/>
  <c r="Q76" i="17"/>
  <c r="P76" i="17"/>
  <c r="O76" i="17"/>
  <c r="N76" i="17"/>
  <c r="M76" i="17"/>
  <c r="M82" i="17" s="1"/>
  <c r="L76" i="17"/>
  <c r="K76" i="17"/>
  <c r="J76" i="17"/>
  <c r="I76" i="17"/>
  <c r="H76" i="17"/>
  <c r="G76" i="17"/>
  <c r="F76" i="17"/>
  <c r="E76" i="17"/>
  <c r="D76" i="17"/>
  <c r="C76" i="17"/>
  <c r="B76" i="17"/>
  <c r="AI74" i="17"/>
  <c r="AH74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I71" i="17"/>
  <c r="AH71" i="17"/>
  <c r="AI70" i="17"/>
  <c r="AH70" i="17"/>
  <c r="AI69" i="17"/>
  <c r="AH69" i="17"/>
  <c r="AG68" i="17"/>
  <c r="AF68" i="17"/>
  <c r="AE68" i="17"/>
  <c r="AD5" i="17" s="1"/>
  <c r="AD68" i="17"/>
  <c r="AC5" i="17" s="1"/>
  <c r="AC68" i="17"/>
  <c r="AB5" i="17" s="1"/>
  <c r="AB68" i="17"/>
  <c r="AA5" i="17" s="1"/>
  <c r="AA68" i="17"/>
  <c r="Z5" i="17" s="1"/>
  <c r="Z68" i="17"/>
  <c r="Y68" i="17"/>
  <c r="X5" i="17" s="1"/>
  <c r="X68" i="17"/>
  <c r="W68" i="17"/>
  <c r="V68" i="17"/>
  <c r="U5" i="17" s="1"/>
  <c r="U68" i="17"/>
  <c r="T5" i="17" s="1"/>
  <c r="T68" i="17"/>
  <c r="S5" i="17" s="1"/>
  <c r="S68" i="17"/>
  <c r="R5" i="17" s="1"/>
  <c r="R68" i="17"/>
  <c r="Q68" i="17"/>
  <c r="P68" i="17"/>
  <c r="O68" i="17"/>
  <c r="N5" i="17" s="1"/>
  <c r="N68" i="17"/>
  <c r="M5" i="17" s="1"/>
  <c r="M68" i="17"/>
  <c r="L5" i="17" s="1"/>
  <c r="L68" i="17"/>
  <c r="K5" i="17" s="1"/>
  <c r="K68" i="17"/>
  <c r="J5" i="17" s="1"/>
  <c r="J68" i="17"/>
  <c r="I68" i="17"/>
  <c r="H5" i="17" s="1"/>
  <c r="H68" i="17"/>
  <c r="G68" i="17"/>
  <c r="F68" i="17"/>
  <c r="E68" i="17"/>
  <c r="D68" i="17"/>
  <c r="C5" i="17" s="1"/>
  <c r="C68" i="17"/>
  <c r="B68" i="17"/>
  <c r="AF5" i="17" s="1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I55" i="17"/>
  <c r="AH55" i="17"/>
  <c r="AI54" i="17"/>
  <c r="AH54" i="17"/>
  <c r="AI53" i="17"/>
  <c r="AH53" i="17"/>
  <c r="AG52" i="17"/>
  <c r="AG3" i="17" s="1"/>
  <c r="Z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G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V5" i="17"/>
  <c r="P5" i="17"/>
  <c r="F5" i="17"/>
  <c r="E5" i="17"/>
  <c r="D5" i="17"/>
  <c r="B5" i="17"/>
  <c r="AG4" i="17"/>
  <c r="K4" i="17"/>
  <c r="B4" i="17"/>
  <c r="Z83" i="15"/>
  <c r="Z68" i="15"/>
  <c r="Z56" i="15"/>
  <c r="Z52" i="15"/>
  <c r="Z38" i="15"/>
  <c r="Z7" i="15"/>
  <c r="Y37" i="15"/>
  <c r="X37" i="15"/>
  <c r="W37" i="15"/>
  <c r="V58" i="15"/>
  <c r="V37" i="15"/>
  <c r="U58" i="15"/>
  <c r="U37" i="15"/>
  <c r="T58" i="15"/>
  <c r="T37" i="15"/>
  <c r="S58" i="15"/>
  <c r="S37" i="15"/>
  <c r="E4" i="18"/>
  <c r="E4" i="17"/>
  <c r="H192" i="22" l="1"/>
  <c r="I102" i="22"/>
  <c r="J103" i="22"/>
  <c r="H235" i="22"/>
  <c r="J199" i="22"/>
  <c r="H200" i="22"/>
  <c r="I194" i="22"/>
  <c r="H194" i="20"/>
  <c r="H93" i="20" s="1"/>
  <c r="G200" i="20"/>
  <c r="G235" i="20"/>
  <c r="I199" i="20"/>
  <c r="G93" i="20"/>
  <c r="G192" i="20"/>
  <c r="H102" i="20"/>
  <c r="I103" i="20"/>
  <c r="G235" i="19"/>
  <c r="I199" i="19"/>
  <c r="H200" i="19"/>
  <c r="I194" i="19"/>
  <c r="H93" i="19"/>
  <c r="K103" i="19"/>
  <c r="H192" i="19"/>
  <c r="I102" i="19"/>
  <c r="AB82" i="18"/>
  <c r="AA82" i="18"/>
  <c r="Z82" i="18"/>
  <c r="W82" i="18"/>
  <c r="T82" i="18"/>
  <c r="T75" i="18"/>
  <c r="T7" i="18" s="1"/>
  <c r="O73" i="18"/>
  <c r="S82" i="18"/>
  <c r="S73" i="18"/>
  <c r="R82" i="18"/>
  <c r="R75" i="18"/>
  <c r="Q82" i="18"/>
  <c r="P75" i="18"/>
  <c r="AH214" i="18" s="1"/>
  <c r="N5" i="18"/>
  <c r="O82" i="18"/>
  <c r="O75" i="18"/>
  <c r="AG214" i="18" s="1"/>
  <c r="L82" i="18"/>
  <c r="L75" i="18"/>
  <c r="AD214" i="18" s="1"/>
  <c r="AI79" i="18"/>
  <c r="K82" i="18"/>
  <c r="K75" i="18"/>
  <c r="K7" i="18" s="1"/>
  <c r="J82" i="18"/>
  <c r="I82" i="18"/>
  <c r="G82" i="18"/>
  <c r="G75" i="18"/>
  <c r="G7" i="18" s="1"/>
  <c r="G73" i="18"/>
  <c r="AI38" i="18"/>
  <c r="F73" i="18"/>
  <c r="AI80" i="18"/>
  <c r="H75" i="18"/>
  <c r="Z214" i="18" s="1"/>
  <c r="D75" i="18"/>
  <c r="V214" i="18" s="1"/>
  <c r="D82" i="18"/>
  <c r="C82" i="18"/>
  <c r="AH77" i="18"/>
  <c r="AH80" i="18"/>
  <c r="AI76" i="18"/>
  <c r="C73" i="18"/>
  <c r="C75" i="18" s="1"/>
  <c r="U214" i="18" s="1"/>
  <c r="H4" i="18"/>
  <c r="AJ214" i="18"/>
  <c r="R7" i="18"/>
  <c r="AH76" i="18"/>
  <c r="D192" i="18"/>
  <c r="AH38" i="18"/>
  <c r="AG75" i="18"/>
  <c r="K73" i="18"/>
  <c r="H82" i="18"/>
  <c r="P82" i="18"/>
  <c r="X82" i="18"/>
  <c r="AF82" i="18"/>
  <c r="I73" i="18"/>
  <c r="Q73" i="18"/>
  <c r="AG73" i="18"/>
  <c r="AI72" i="18"/>
  <c r="AH72" i="18"/>
  <c r="P73" i="18"/>
  <c r="P83" i="18" s="1"/>
  <c r="S75" i="18"/>
  <c r="AI77" i="18"/>
  <c r="AI78" i="18"/>
  <c r="AG83" i="18"/>
  <c r="AI68" i="18"/>
  <c r="J73" i="18"/>
  <c r="R73" i="18"/>
  <c r="R83" i="18" s="1"/>
  <c r="Z73" i="18"/>
  <c r="AH68" i="18"/>
  <c r="AH78" i="18"/>
  <c r="D93" i="18"/>
  <c r="AF5" i="18"/>
  <c r="P7" i="18"/>
  <c r="AI56" i="18"/>
  <c r="AH56" i="18"/>
  <c r="Z75" i="18"/>
  <c r="E82" i="18"/>
  <c r="M82" i="18"/>
  <c r="U82" i="18"/>
  <c r="AC82" i="18"/>
  <c r="Q75" i="18"/>
  <c r="E102" i="18"/>
  <c r="X5" i="18"/>
  <c r="D73" i="18"/>
  <c r="L73" i="18"/>
  <c r="T73" i="18"/>
  <c r="T83" i="18" s="1"/>
  <c r="E75" i="18"/>
  <c r="M75" i="18"/>
  <c r="I75" i="18"/>
  <c r="S211" i="18"/>
  <c r="D211" i="18"/>
  <c r="P5" i="18"/>
  <c r="Y5" i="18"/>
  <c r="E73" i="18"/>
  <c r="M73" i="18"/>
  <c r="H73" i="18"/>
  <c r="J75" i="18"/>
  <c r="F82" i="18"/>
  <c r="N82" i="18"/>
  <c r="V82" i="18"/>
  <c r="AD82" i="18"/>
  <c r="F75" i="18"/>
  <c r="N75" i="18"/>
  <c r="AH79" i="18"/>
  <c r="E103" i="18"/>
  <c r="E200" i="18"/>
  <c r="G194" i="18"/>
  <c r="E199" i="18"/>
  <c r="D200" i="18"/>
  <c r="AE82" i="17"/>
  <c r="AD82" i="17"/>
  <c r="AC82" i="17"/>
  <c r="AA82" i="17"/>
  <c r="Z82" i="17"/>
  <c r="Z75" i="17"/>
  <c r="Z73" i="17"/>
  <c r="X82" i="17"/>
  <c r="W82" i="17"/>
  <c r="U82" i="17"/>
  <c r="T75" i="17"/>
  <c r="AL214" i="17" s="1"/>
  <c r="T73" i="17"/>
  <c r="S82" i="17"/>
  <c r="S73" i="17"/>
  <c r="R75" i="17"/>
  <c r="R73" i="17"/>
  <c r="Q82" i="17"/>
  <c r="Q73" i="17"/>
  <c r="P82" i="17"/>
  <c r="O82" i="17"/>
  <c r="O75" i="17"/>
  <c r="O73" i="17"/>
  <c r="N82" i="17"/>
  <c r="N73" i="17"/>
  <c r="N75" i="17"/>
  <c r="M75" i="17"/>
  <c r="AE214" i="17" s="1"/>
  <c r="M73" i="17"/>
  <c r="L75" i="17"/>
  <c r="L73" i="17"/>
  <c r="K82" i="17"/>
  <c r="K73" i="17"/>
  <c r="J82" i="17"/>
  <c r="J75" i="17"/>
  <c r="AB214" i="17" s="1"/>
  <c r="J73" i="17"/>
  <c r="I82" i="17"/>
  <c r="I73" i="17"/>
  <c r="H82" i="17"/>
  <c r="G75" i="17"/>
  <c r="Y214" i="17" s="1"/>
  <c r="G82" i="17"/>
  <c r="G73" i="17"/>
  <c r="F73" i="17"/>
  <c r="F75" i="17"/>
  <c r="E82" i="17"/>
  <c r="AH56" i="17"/>
  <c r="E75" i="17"/>
  <c r="W214" i="17" s="1"/>
  <c r="E73" i="17"/>
  <c r="AI77" i="17"/>
  <c r="D75" i="17"/>
  <c r="V214" i="17" s="1"/>
  <c r="AH38" i="17"/>
  <c r="D73" i="17"/>
  <c r="AI79" i="17"/>
  <c r="AI78" i="17"/>
  <c r="C82" i="17"/>
  <c r="C73" i="17"/>
  <c r="C75" i="17" s="1"/>
  <c r="U214" i="17" s="1"/>
  <c r="AH78" i="17"/>
  <c r="AI38" i="17"/>
  <c r="H4" i="17"/>
  <c r="AJ214" i="17"/>
  <c r="R7" i="17"/>
  <c r="AR214" i="17"/>
  <c r="Z7" i="17"/>
  <c r="AD214" i="17"/>
  <c r="L7" i="17"/>
  <c r="H75" i="17"/>
  <c r="P75" i="17"/>
  <c r="I75" i="17"/>
  <c r="Q75" i="17"/>
  <c r="Q83" i="17" s="1"/>
  <c r="AG75" i="17"/>
  <c r="AI76" i="17"/>
  <c r="G5" i="17"/>
  <c r="AI68" i="17"/>
  <c r="H73" i="17"/>
  <c r="H83" i="17" s="1"/>
  <c r="O5" i="17"/>
  <c r="P73" i="17"/>
  <c r="W5" i="17"/>
  <c r="AE5" i="17"/>
  <c r="N83" i="17"/>
  <c r="AG214" i="17"/>
  <c r="O7" i="17"/>
  <c r="AG73" i="17"/>
  <c r="AG2" i="17"/>
  <c r="AG6" i="17" s="1"/>
  <c r="AI56" i="17"/>
  <c r="F82" i="17"/>
  <c r="V82" i="17"/>
  <c r="AI80" i="17"/>
  <c r="I5" i="17"/>
  <c r="Q5" i="17"/>
  <c r="Y5" i="17"/>
  <c r="K75" i="17"/>
  <c r="S75" i="17"/>
  <c r="S83" i="17" s="1"/>
  <c r="AH76" i="17"/>
  <c r="B82" i="17"/>
  <c r="AH68" i="17"/>
  <c r="R83" i="17"/>
  <c r="Z83" i="17"/>
  <c r="AH72" i="17"/>
  <c r="AH77" i="17"/>
  <c r="AG83" i="17"/>
  <c r="E103" i="17"/>
  <c r="AI72" i="17"/>
  <c r="D82" i="17"/>
  <c r="L82" i="17"/>
  <c r="L83" i="17" s="1"/>
  <c r="T82" i="17"/>
  <c r="AB82" i="17"/>
  <c r="AH79" i="17"/>
  <c r="D211" i="17"/>
  <c r="S211" i="17"/>
  <c r="AH80" i="17"/>
  <c r="D192" i="17"/>
  <c r="E102" i="17"/>
  <c r="E200" i="17"/>
  <c r="G199" i="17"/>
  <c r="E235" i="17"/>
  <c r="F194" i="17"/>
  <c r="J194" i="22" l="1"/>
  <c r="I200" i="22"/>
  <c r="K199" i="22"/>
  <c r="I235" i="22"/>
  <c r="K103" i="22"/>
  <c r="J93" i="22"/>
  <c r="I93" i="22"/>
  <c r="I192" i="22"/>
  <c r="J102" i="22"/>
  <c r="H192" i="20"/>
  <c r="I102" i="20"/>
  <c r="H235" i="20"/>
  <c r="J199" i="20"/>
  <c r="J103" i="20"/>
  <c r="I93" i="20"/>
  <c r="I194" i="20"/>
  <c r="H200" i="20"/>
  <c r="I200" i="19"/>
  <c r="J194" i="19"/>
  <c r="I93" i="19"/>
  <c r="I192" i="19"/>
  <c r="J102" i="19"/>
  <c r="H235" i="19"/>
  <c r="J199" i="19"/>
  <c r="L103" i="19"/>
  <c r="Z83" i="18"/>
  <c r="AL214" i="18"/>
  <c r="M83" i="18"/>
  <c r="O83" i="18"/>
  <c r="Y214" i="18"/>
  <c r="Q83" i="18"/>
  <c r="O7" i="18"/>
  <c r="N83" i="18"/>
  <c r="L7" i="18"/>
  <c r="L83" i="18"/>
  <c r="AC214" i="18"/>
  <c r="K83" i="18"/>
  <c r="H83" i="18"/>
  <c r="H7" i="18"/>
  <c r="G83" i="18"/>
  <c r="C209" i="18"/>
  <c r="F83" i="18"/>
  <c r="I83" i="18"/>
  <c r="J83" i="18"/>
  <c r="E83" i="18"/>
  <c r="D7" i="18"/>
  <c r="D83" i="18"/>
  <c r="AH82" i="18"/>
  <c r="C83" i="18"/>
  <c r="C7" i="18"/>
  <c r="F103" i="18"/>
  <c r="E93" i="18"/>
  <c r="AI82" i="18"/>
  <c r="AK214" i="18"/>
  <c r="S7" i="18"/>
  <c r="AB214" i="18"/>
  <c r="J7" i="18"/>
  <c r="AE214" i="18"/>
  <c r="M7" i="18"/>
  <c r="F199" i="18"/>
  <c r="D235" i="18"/>
  <c r="AF214" i="18"/>
  <c r="N7" i="18"/>
  <c r="AA214" i="18"/>
  <c r="I7" i="18"/>
  <c r="AR214" i="18"/>
  <c r="Z7" i="18"/>
  <c r="S83" i="18"/>
  <c r="H194" i="18"/>
  <c r="X214" i="18"/>
  <c r="F7" i="18"/>
  <c r="B209" i="18"/>
  <c r="W214" i="18"/>
  <c r="E7" i="18"/>
  <c r="E192" i="18"/>
  <c r="F102" i="18"/>
  <c r="AI214" i="18"/>
  <c r="Q7" i="18"/>
  <c r="T7" i="17"/>
  <c r="T83" i="17"/>
  <c r="P83" i="17"/>
  <c r="O83" i="17"/>
  <c r="AF214" i="17"/>
  <c r="N7" i="17"/>
  <c r="M83" i="17"/>
  <c r="M7" i="17"/>
  <c r="G7" i="17"/>
  <c r="G83" i="17"/>
  <c r="K83" i="17"/>
  <c r="J83" i="17"/>
  <c r="J7" i="17"/>
  <c r="C209" i="17"/>
  <c r="B209" i="17"/>
  <c r="F83" i="17"/>
  <c r="X214" i="17"/>
  <c r="F7" i="17"/>
  <c r="E7" i="17"/>
  <c r="E83" i="17"/>
  <c r="D7" i="17"/>
  <c r="D83" i="17"/>
  <c r="C7" i="17"/>
  <c r="C83" i="17"/>
  <c r="E192" i="17"/>
  <c r="F102" i="17"/>
  <c r="E93" i="17"/>
  <c r="F103" i="17"/>
  <c r="AH214" i="17"/>
  <c r="P7" i="17"/>
  <c r="Z214" i="17"/>
  <c r="H7" i="17"/>
  <c r="AI82" i="17"/>
  <c r="AH82" i="17"/>
  <c r="AI214" i="17"/>
  <c r="Q7" i="17"/>
  <c r="AA214" i="17"/>
  <c r="I7" i="17"/>
  <c r="F200" i="17"/>
  <c r="G194" i="17"/>
  <c r="AK214" i="17"/>
  <c r="S7" i="17"/>
  <c r="I83" i="17"/>
  <c r="AC214" i="17"/>
  <c r="K7" i="17"/>
  <c r="F235" i="17"/>
  <c r="H199" i="17"/>
  <c r="J235" i="22" l="1"/>
  <c r="L199" i="22"/>
  <c r="L103" i="22"/>
  <c r="K93" i="22"/>
  <c r="J192" i="22"/>
  <c r="K102" i="22"/>
  <c r="K194" i="22"/>
  <c r="J200" i="22"/>
  <c r="J194" i="20"/>
  <c r="I200" i="20"/>
  <c r="K103" i="20"/>
  <c r="J93" i="20"/>
  <c r="K199" i="20"/>
  <c r="I235" i="20"/>
  <c r="I192" i="20"/>
  <c r="J102" i="20"/>
  <c r="J200" i="19"/>
  <c r="K194" i="19"/>
  <c r="J93" i="19"/>
  <c r="M103" i="19"/>
  <c r="J192" i="19"/>
  <c r="K102" i="19"/>
  <c r="I235" i="19"/>
  <c r="K199" i="19"/>
  <c r="K6" i="18"/>
  <c r="F192" i="18"/>
  <c r="G102" i="18"/>
  <c r="I194" i="18"/>
  <c r="G199" i="18"/>
  <c r="E235" i="18"/>
  <c r="F200" i="18"/>
  <c r="F93" i="18"/>
  <c r="G103" i="18"/>
  <c r="K6" i="17"/>
  <c r="G103" i="17"/>
  <c r="F93" i="17"/>
  <c r="H194" i="17"/>
  <c r="G200" i="17"/>
  <c r="G235" i="17"/>
  <c r="I199" i="17"/>
  <c r="F192" i="17"/>
  <c r="G102" i="17"/>
  <c r="L194" i="22" l="1"/>
  <c r="K200" i="22"/>
  <c r="K192" i="22"/>
  <c r="L102" i="22"/>
  <c r="M103" i="22"/>
  <c r="L93" i="22"/>
  <c r="M199" i="22"/>
  <c r="K235" i="22"/>
  <c r="L199" i="20"/>
  <c r="J235" i="20"/>
  <c r="L103" i="20"/>
  <c r="J192" i="20"/>
  <c r="K102" i="20"/>
  <c r="J200" i="20"/>
  <c r="K194" i="20"/>
  <c r="K192" i="19"/>
  <c r="L102" i="19"/>
  <c r="K200" i="19"/>
  <c r="L194" i="19"/>
  <c r="K93" i="19"/>
  <c r="N103" i="19"/>
  <c r="J235" i="19"/>
  <c r="L199" i="19"/>
  <c r="J194" i="18"/>
  <c r="G192" i="18"/>
  <c r="H102" i="18"/>
  <c r="F235" i="18"/>
  <c r="H199" i="18"/>
  <c r="G200" i="18"/>
  <c r="H103" i="18"/>
  <c r="G93" i="18"/>
  <c r="H200" i="17"/>
  <c r="I194" i="17"/>
  <c r="H235" i="17"/>
  <c r="J199" i="17"/>
  <c r="G192" i="17"/>
  <c r="H102" i="17"/>
  <c r="H103" i="17"/>
  <c r="G93" i="17"/>
  <c r="L235" i="22" l="1"/>
  <c r="N199" i="22"/>
  <c r="N103" i="22"/>
  <c r="M93" i="22"/>
  <c r="L192" i="22"/>
  <c r="M102" i="22"/>
  <c r="L200" i="22"/>
  <c r="M194" i="22"/>
  <c r="K200" i="20"/>
  <c r="L194" i="20"/>
  <c r="K192" i="20"/>
  <c r="L102" i="20"/>
  <c r="K93" i="20"/>
  <c r="M103" i="20"/>
  <c r="L93" i="20"/>
  <c r="K235" i="20"/>
  <c r="M199" i="20"/>
  <c r="O103" i="19"/>
  <c r="L200" i="19"/>
  <c r="M194" i="19"/>
  <c r="L93" i="19"/>
  <c r="L192" i="19"/>
  <c r="M102" i="19"/>
  <c r="K235" i="19"/>
  <c r="M199" i="19"/>
  <c r="H192" i="18"/>
  <c r="I102" i="18"/>
  <c r="G235" i="18"/>
  <c r="I199" i="18"/>
  <c r="H200" i="18"/>
  <c r="H93" i="18"/>
  <c r="I103" i="18"/>
  <c r="K194" i="18"/>
  <c r="J194" i="17"/>
  <c r="I200" i="17"/>
  <c r="H192" i="17"/>
  <c r="I102" i="17"/>
  <c r="I235" i="17"/>
  <c r="K199" i="17"/>
  <c r="H93" i="17"/>
  <c r="I103" i="17"/>
  <c r="L37" i="15"/>
  <c r="K37" i="15"/>
  <c r="J37" i="15"/>
  <c r="I37" i="15"/>
  <c r="H37" i="15"/>
  <c r="G37" i="15"/>
  <c r="F37" i="15"/>
  <c r="E37" i="15"/>
  <c r="M200" i="22" l="1"/>
  <c r="N194" i="22"/>
  <c r="M192" i="22"/>
  <c r="N102" i="22"/>
  <c r="O199" i="22"/>
  <c r="M235" i="22"/>
  <c r="O103" i="22"/>
  <c r="N93" i="22"/>
  <c r="N103" i="20"/>
  <c r="L192" i="20"/>
  <c r="M102" i="20"/>
  <c r="L200" i="20"/>
  <c r="M194" i="20"/>
  <c r="L235" i="20"/>
  <c r="N199" i="20"/>
  <c r="M192" i="19"/>
  <c r="N102" i="19"/>
  <c r="N194" i="19"/>
  <c r="M200" i="19"/>
  <c r="M93" i="19"/>
  <c r="P103" i="19"/>
  <c r="L235" i="19"/>
  <c r="N199" i="19"/>
  <c r="I93" i="18"/>
  <c r="J103" i="18"/>
  <c r="H235" i="18"/>
  <c r="J199" i="18"/>
  <c r="I200" i="18"/>
  <c r="I192" i="18"/>
  <c r="J102" i="18"/>
  <c r="L194" i="18"/>
  <c r="L199" i="17"/>
  <c r="J235" i="17"/>
  <c r="I192" i="17"/>
  <c r="J102" i="17"/>
  <c r="J200" i="17"/>
  <c r="K194" i="17"/>
  <c r="J103" i="17"/>
  <c r="I93" i="17"/>
  <c r="N192" i="22" l="1"/>
  <c r="O102" i="22"/>
  <c r="P103" i="22"/>
  <c r="N235" i="22"/>
  <c r="P199" i="22"/>
  <c r="N200" i="22"/>
  <c r="O194" i="22"/>
  <c r="O93" i="22" s="1"/>
  <c r="M200" i="20"/>
  <c r="N194" i="20"/>
  <c r="O199" i="20"/>
  <c r="M235" i="20"/>
  <c r="M192" i="20"/>
  <c r="N102" i="20"/>
  <c r="N93" i="20"/>
  <c r="O103" i="20"/>
  <c r="M93" i="20"/>
  <c r="O194" i="19"/>
  <c r="N200" i="19"/>
  <c r="N93" i="19"/>
  <c r="Q103" i="19"/>
  <c r="N192" i="19"/>
  <c r="O102" i="19"/>
  <c r="M235" i="19"/>
  <c r="O199" i="19"/>
  <c r="K199" i="18"/>
  <c r="I235" i="18"/>
  <c r="J200" i="18"/>
  <c r="J93" i="18"/>
  <c r="K103" i="18"/>
  <c r="J192" i="18"/>
  <c r="K102" i="18"/>
  <c r="M194" i="18"/>
  <c r="J93" i="17"/>
  <c r="K103" i="17"/>
  <c r="K200" i="17"/>
  <c r="L194" i="17"/>
  <c r="J192" i="17"/>
  <c r="K102" i="17"/>
  <c r="K235" i="17"/>
  <c r="M199" i="17"/>
  <c r="O235" i="22" l="1"/>
  <c r="Q199" i="22"/>
  <c r="P93" i="22"/>
  <c r="Q103" i="22"/>
  <c r="O192" i="22"/>
  <c r="P102" i="22"/>
  <c r="P194" i="22"/>
  <c r="O200" i="22"/>
  <c r="N192" i="20"/>
  <c r="O102" i="20"/>
  <c r="P103" i="20"/>
  <c r="O93" i="20"/>
  <c r="N235" i="20"/>
  <c r="P199" i="20"/>
  <c r="N200" i="20"/>
  <c r="O194" i="20"/>
  <c r="N235" i="19"/>
  <c r="P199" i="19"/>
  <c r="P194" i="19"/>
  <c r="O200" i="19"/>
  <c r="O93" i="19"/>
  <c r="O192" i="19"/>
  <c r="P102" i="19"/>
  <c r="R103" i="19"/>
  <c r="K192" i="18"/>
  <c r="L102" i="18"/>
  <c r="K93" i="18"/>
  <c r="L103" i="18"/>
  <c r="N194" i="18"/>
  <c r="J235" i="18"/>
  <c r="L199" i="18"/>
  <c r="K200" i="18"/>
  <c r="L235" i="17"/>
  <c r="N199" i="17"/>
  <c r="K192" i="17"/>
  <c r="L102" i="17"/>
  <c r="L200" i="17"/>
  <c r="M194" i="17"/>
  <c r="L103" i="17"/>
  <c r="K93" i="17"/>
  <c r="Q194" i="22" l="1"/>
  <c r="P200" i="22"/>
  <c r="P192" i="22"/>
  <c r="Q102" i="22"/>
  <c r="Q93" i="22"/>
  <c r="R103" i="22"/>
  <c r="P235" i="22"/>
  <c r="R199" i="22"/>
  <c r="O192" i="20"/>
  <c r="P102" i="20"/>
  <c r="P194" i="20"/>
  <c r="O200" i="20"/>
  <c r="O235" i="20"/>
  <c r="Q199" i="20"/>
  <c r="P93" i="20"/>
  <c r="Q103" i="20"/>
  <c r="S103" i="19"/>
  <c r="P192" i="19"/>
  <c r="Q102" i="19"/>
  <c r="P200" i="19"/>
  <c r="Q194" i="19"/>
  <c r="P93" i="19"/>
  <c r="O235" i="19"/>
  <c r="Q199" i="19"/>
  <c r="L192" i="18"/>
  <c r="M102" i="18"/>
  <c r="K235" i="18"/>
  <c r="M199" i="18"/>
  <c r="L200" i="18"/>
  <c r="O194" i="18"/>
  <c r="L93" i="18"/>
  <c r="M103" i="18"/>
  <c r="M200" i="17"/>
  <c r="N194" i="17"/>
  <c r="L192" i="17"/>
  <c r="M102" i="17"/>
  <c r="M103" i="17"/>
  <c r="L93" i="17"/>
  <c r="M235" i="17"/>
  <c r="O199" i="17"/>
  <c r="S199" i="22" l="1"/>
  <c r="Q235" i="22"/>
  <c r="Q192" i="22"/>
  <c r="R102" i="22"/>
  <c r="S103" i="22"/>
  <c r="R93" i="22"/>
  <c r="R194" i="22"/>
  <c r="Q200" i="22"/>
  <c r="P192" i="20"/>
  <c r="Q102" i="20"/>
  <c r="R103" i="20"/>
  <c r="Q93" i="20"/>
  <c r="P235" i="20"/>
  <c r="R199" i="20"/>
  <c r="Q194" i="20"/>
  <c r="P200" i="20"/>
  <c r="Q200" i="19"/>
  <c r="R194" i="19"/>
  <c r="Q93" i="19"/>
  <c r="Q192" i="19"/>
  <c r="R102" i="19"/>
  <c r="T103" i="19"/>
  <c r="P235" i="19"/>
  <c r="R199" i="19"/>
  <c r="P194" i="18"/>
  <c r="M192" i="18"/>
  <c r="N102" i="18"/>
  <c r="L235" i="18"/>
  <c r="N199" i="18"/>
  <c r="M200" i="18"/>
  <c r="N103" i="18"/>
  <c r="M93" i="18"/>
  <c r="N235" i="17"/>
  <c r="P199" i="17"/>
  <c r="M93" i="17"/>
  <c r="N103" i="17"/>
  <c r="M192" i="17"/>
  <c r="N102" i="17"/>
  <c r="O194" i="17"/>
  <c r="N200" i="17"/>
  <c r="D37" i="15"/>
  <c r="S194" i="22" l="1"/>
  <c r="R200" i="22"/>
  <c r="S93" i="22"/>
  <c r="T103" i="22"/>
  <c r="R192" i="22"/>
  <c r="S102" i="22"/>
  <c r="R235" i="22"/>
  <c r="T199" i="22"/>
  <c r="R194" i="20"/>
  <c r="Q200" i="20"/>
  <c r="S199" i="20"/>
  <c r="Q235" i="20"/>
  <c r="S103" i="20"/>
  <c r="R93" i="20"/>
  <c r="Q192" i="20"/>
  <c r="R102" i="20"/>
  <c r="U103" i="19"/>
  <c r="R192" i="19"/>
  <c r="S102" i="19"/>
  <c r="R200" i="19"/>
  <c r="S194" i="19"/>
  <c r="R93" i="19"/>
  <c r="Q235" i="19"/>
  <c r="S199" i="19"/>
  <c r="O103" i="18"/>
  <c r="N93" i="18"/>
  <c r="M235" i="18"/>
  <c r="O199" i="18"/>
  <c r="N200" i="18"/>
  <c r="N192" i="18"/>
  <c r="O102" i="18"/>
  <c r="Q194" i="18"/>
  <c r="P194" i="17"/>
  <c r="O200" i="17"/>
  <c r="N192" i="17"/>
  <c r="O102" i="17"/>
  <c r="O103" i="17"/>
  <c r="N93" i="17"/>
  <c r="O235" i="17"/>
  <c r="Q199" i="17"/>
  <c r="U103" i="22" l="1"/>
  <c r="U199" i="22"/>
  <c r="S235" i="22"/>
  <c r="S192" i="22"/>
  <c r="T102" i="22"/>
  <c r="T194" i="22"/>
  <c r="S200" i="22"/>
  <c r="R192" i="20"/>
  <c r="S102" i="20"/>
  <c r="T103" i="20"/>
  <c r="T199" i="20"/>
  <c r="R235" i="20"/>
  <c r="R200" i="20"/>
  <c r="S194" i="20"/>
  <c r="S200" i="19"/>
  <c r="T194" i="19"/>
  <c r="S93" i="19"/>
  <c r="S192" i="19"/>
  <c r="T102" i="19"/>
  <c r="R235" i="19"/>
  <c r="T199" i="19"/>
  <c r="V103" i="19"/>
  <c r="O192" i="18"/>
  <c r="P102" i="18"/>
  <c r="N235" i="18"/>
  <c r="P199" i="18"/>
  <c r="O200" i="18"/>
  <c r="R194" i="18"/>
  <c r="P103" i="18"/>
  <c r="O93" i="18"/>
  <c r="P235" i="17"/>
  <c r="R199" i="17"/>
  <c r="P103" i="17"/>
  <c r="O93" i="17"/>
  <c r="O192" i="17"/>
  <c r="P102" i="17"/>
  <c r="P200" i="17"/>
  <c r="Q194" i="17"/>
  <c r="T200" i="22" l="1"/>
  <c r="U194" i="22"/>
  <c r="T192" i="22"/>
  <c r="U102" i="22"/>
  <c r="T93" i="22"/>
  <c r="T235" i="22"/>
  <c r="V199" i="22"/>
  <c r="V103" i="22"/>
  <c r="U93" i="22"/>
  <c r="S200" i="20"/>
  <c r="T194" i="20"/>
  <c r="U199" i="20"/>
  <c r="S235" i="20"/>
  <c r="S93" i="20"/>
  <c r="U103" i="20"/>
  <c r="T93" i="20"/>
  <c r="S192" i="20"/>
  <c r="T102" i="20"/>
  <c r="W103" i="19"/>
  <c r="S235" i="19"/>
  <c r="U199" i="19"/>
  <c r="T192" i="19"/>
  <c r="U102" i="19"/>
  <c r="T200" i="19"/>
  <c r="U194" i="19"/>
  <c r="T93" i="19"/>
  <c r="P93" i="18"/>
  <c r="Q103" i="18"/>
  <c r="S194" i="18"/>
  <c r="O235" i="18"/>
  <c r="Q199" i="18"/>
  <c r="P200" i="18"/>
  <c r="P192" i="18"/>
  <c r="Q102" i="18"/>
  <c r="R194" i="17"/>
  <c r="Q200" i="17"/>
  <c r="P192" i="17"/>
  <c r="Q102" i="17"/>
  <c r="P93" i="17"/>
  <c r="Q103" i="17"/>
  <c r="Q235" i="17"/>
  <c r="S199" i="17"/>
  <c r="U192" i="22" l="1"/>
  <c r="V102" i="22"/>
  <c r="W103" i="22"/>
  <c r="V93" i="22"/>
  <c r="W199" i="22"/>
  <c r="U235" i="22"/>
  <c r="U200" i="22"/>
  <c r="U51" i="22" s="1"/>
  <c r="U52" i="22" s="1"/>
  <c r="V194" i="22"/>
  <c r="V103" i="20"/>
  <c r="U93" i="20"/>
  <c r="T235" i="20"/>
  <c r="V199" i="20"/>
  <c r="T200" i="20"/>
  <c r="U194" i="20"/>
  <c r="T192" i="20"/>
  <c r="U102" i="20"/>
  <c r="V194" i="19"/>
  <c r="U200" i="19"/>
  <c r="U51" i="19" s="1"/>
  <c r="U93" i="19"/>
  <c r="U192" i="19"/>
  <c r="V102" i="19"/>
  <c r="T235" i="19"/>
  <c r="V199" i="19"/>
  <c r="X103" i="19"/>
  <c r="P235" i="18"/>
  <c r="R199" i="18"/>
  <c r="Q200" i="18"/>
  <c r="T194" i="18"/>
  <c r="Q93" i="18"/>
  <c r="R103" i="18"/>
  <c r="Q192" i="18"/>
  <c r="R102" i="18"/>
  <c r="R103" i="17"/>
  <c r="Q93" i="17"/>
  <c r="Q192" i="17"/>
  <c r="R102" i="17"/>
  <c r="T199" i="17"/>
  <c r="R235" i="17"/>
  <c r="S194" i="17"/>
  <c r="R200" i="17"/>
  <c r="V200" i="22" l="1"/>
  <c r="V51" i="22" s="1"/>
  <c r="V52" i="22" s="1"/>
  <c r="W194" i="22"/>
  <c r="X103" i="22"/>
  <c r="W93" i="22"/>
  <c r="U75" i="22"/>
  <c r="U73" i="22"/>
  <c r="X199" i="22"/>
  <c r="V235" i="22"/>
  <c r="V192" i="22"/>
  <c r="W102" i="22"/>
  <c r="W199" i="20"/>
  <c r="U235" i="20"/>
  <c r="U192" i="20"/>
  <c r="V102" i="20"/>
  <c r="U200" i="20"/>
  <c r="U51" i="20" s="1"/>
  <c r="U52" i="20" s="1"/>
  <c r="V194" i="20"/>
  <c r="W103" i="20"/>
  <c r="V93" i="20"/>
  <c r="Y103" i="19"/>
  <c r="V192" i="19"/>
  <c r="W102" i="19"/>
  <c r="U52" i="19"/>
  <c r="U235" i="19"/>
  <c r="W199" i="19"/>
  <c r="W194" i="19"/>
  <c r="V200" i="19"/>
  <c r="V51" i="19" s="1"/>
  <c r="V52" i="19" s="1"/>
  <c r="V93" i="19"/>
  <c r="R93" i="18"/>
  <c r="S103" i="18"/>
  <c r="U194" i="18"/>
  <c r="S199" i="18"/>
  <c r="Q235" i="18"/>
  <c r="R200" i="18"/>
  <c r="R192" i="18"/>
  <c r="S102" i="18"/>
  <c r="S200" i="17"/>
  <c r="T194" i="17"/>
  <c r="S235" i="17"/>
  <c r="U199" i="17"/>
  <c r="R192" i="17"/>
  <c r="S102" i="17"/>
  <c r="S103" i="17"/>
  <c r="R93" i="17"/>
  <c r="U83" i="22" l="1"/>
  <c r="Y103" i="22"/>
  <c r="W235" i="22"/>
  <c r="Y199" i="22"/>
  <c r="AM214" i="22"/>
  <c r="U7" i="22"/>
  <c r="W192" i="22"/>
  <c r="X102" i="22"/>
  <c r="W200" i="22"/>
  <c r="W51" i="22" s="1"/>
  <c r="W52" i="22" s="1"/>
  <c r="X194" i="22"/>
  <c r="V73" i="22"/>
  <c r="V75" i="22"/>
  <c r="V200" i="20"/>
  <c r="V51" i="20" s="1"/>
  <c r="V52" i="20" s="1"/>
  <c r="W194" i="20"/>
  <c r="V192" i="20"/>
  <c r="W102" i="20"/>
  <c r="X103" i="20"/>
  <c r="W93" i="20"/>
  <c r="U73" i="20"/>
  <c r="U75" i="20"/>
  <c r="V235" i="20"/>
  <c r="X199" i="20"/>
  <c r="U75" i="19"/>
  <c r="U73" i="19"/>
  <c r="W192" i="19"/>
  <c r="X102" i="19"/>
  <c r="V73" i="19"/>
  <c r="V75" i="19"/>
  <c r="X194" i="19"/>
  <c r="W200" i="19"/>
  <c r="W51" i="19" s="1"/>
  <c r="W93" i="19"/>
  <c r="V235" i="19"/>
  <c r="X199" i="19"/>
  <c r="Z103" i="19"/>
  <c r="V194" i="18"/>
  <c r="R235" i="18"/>
  <c r="T199" i="18"/>
  <c r="S200" i="18"/>
  <c r="S93" i="18"/>
  <c r="T103" i="18"/>
  <c r="S192" i="18"/>
  <c r="T102" i="18"/>
  <c r="S93" i="17"/>
  <c r="T103" i="17"/>
  <c r="T200" i="17"/>
  <c r="U194" i="17"/>
  <c r="S192" i="17"/>
  <c r="T102" i="17"/>
  <c r="V199" i="17"/>
  <c r="T235" i="17"/>
  <c r="AN214" i="22" l="1"/>
  <c r="V7" i="22"/>
  <c r="X235" i="22"/>
  <c r="Z199" i="22"/>
  <c r="X192" i="22"/>
  <c r="Y102" i="22"/>
  <c r="V83" i="22"/>
  <c r="Y194" i="22"/>
  <c r="X200" i="22"/>
  <c r="X51" i="22" s="1"/>
  <c r="X52" i="22" s="1"/>
  <c r="Z103" i="22"/>
  <c r="W75" i="22"/>
  <c r="W73" i="22"/>
  <c r="X93" i="22"/>
  <c r="U83" i="20"/>
  <c r="AM214" i="20"/>
  <c r="U7" i="20"/>
  <c r="W192" i="20"/>
  <c r="X102" i="20"/>
  <c r="W235" i="20"/>
  <c r="Y199" i="20"/>
  <c r="X194" i="20"/>
  <c r="W200" i="20"/>
  <c r="W51" i="20" s="1"/>
  <c r="W52" i="20" s="1"/>
  <c r="Y103" i="20"/>
  <c r="V75" i="20"/>
  <c r="V73" i="20"/>
  <c r="V83" i="20" s="1"/>
  <c r="AA103" i="19"/>
  <c r="V83" i="19"/>
  <c r="X192" i="19"/>
  <c r="Y102" i="19"/>
  <c r="AN214" i="19"/>
  <c r="V7" i="19"/>
  <c r="W52" i="19"/>
  <c r="W235" i="19"/>
  <c r="Y199" i="19"/>
  <c r="U83" i="19"/>
  <c r="Y194" i="19"/>
  <c r="X200" i="19"/>
  <c r="X51" i="19" s="1"/>
  <c r="X52" i="19" s="1"/>
  <c r="X93" i="19"/>
  <c r="AM214" i="19"/>
  <c r="U7" i="19"/>
  <c r="T93" i="18"/>
  <c r="U103" i="18"/>
  <c r="W194" i="18"/>
  <c r="U199" i="18"/>
  <c r="S235" i="18"/>
  <c r="T200" i="18"/>
  <c r="T192" i="18"/>
  <c r="U102" i="18"/>
  <c r="T192" i="17"/>
  <c r="U102" i="17"/>
  <c r="U235" i="17"/>
  <c r="W199" i="17"/>
  <c r="U200" i="17"/>
  <c r="U51" i="17" s="1"/>
  <c r="U52" i="17" s="1"/>
  <c r="V194" i="17"/>
  <c r="U103" i="17"/>
  <c r="T93" i="17"/>
  <c r="W83" i="22" l="1"/>
  <c r="Z194" i="22"/>
  <c r="Y200" i="22"/>
  <c r="Y51" i="22" s="1"/>
  <c r="Y52" i="22" s="1"/>
  <c r="Y192" i="22"/>
  <c r="Z102" i="22"/>
  <c r="AO214" i="22"/>
  <c r="W7" i="22"/>
  <c r="AA199" i="22"/>
  <c r="Y235" i="22"/>
  <c r="Y93" i="22"/>
  <c r="AA103" i="22"/>
  <c r="X73" i="22"/>
  <c r="X75" i="22"/>
  <c r="X235" i="20"/>
  <c r="Z199" i="20"/>
  <c r="X192" i="20"/>
  <c r="Y102" i="20"/>
  <c r="Z103" i="20"/>
  <c r="Y194" i="20"/>
  <c r="Y93" i="20" s="1"/>
  <c r="X200" i="20"/>
  <c r="X51" i="20" s="1"/>
  <c r="X52" i="20" s="1"/>
  <c r="X93" i="20"/>
  <c r="AN214" i="20"/>
  <c r="V7" i="20"/>
  <c r="W73" i="20"/>
  <c r="W75" i="20"/>
  <c r="W73" i="19"/>
  <c r="W75" i="19"/>
  <c r="Y200" i="19"/>
  <c r="Y51" i="19" s="1"/>
  <c r="Y52" i="19" s="1"/>
  <c r="Z194" i="19"/>
  <c r="Y93" i="19"/>
  <c r="Y192" i="19"/>
  <c r="Z102" i="19"/>
  <c r="X235" i="19"/>
  <c r="Z199" i="19"/>
  <c r="AB103" i="19"/>
  <c r="X75" i="19"/>
  <c r="X73" i="19"/>
  <c r="X194" i="18"/>
  <c r="T235" i="18"/>
  <c r="V199" i="18"/>
  <c r="U200" i="18"/>
  <c r="U51" i="18" s="1"/>
  <c r="U52" i="18" s="1"/>
  <c r="V103" i="18"/>
  <c r="U93" i="18"/>
  <c r="U192" i="18"/>
  <c r="V102" i="18"/>
  <c r="U75" i="17"/>
  <c r="U73" i="17"/>
  <c r="U83" i="17" s="1"/>
  <c r="W194" i="17"/>
  <c r="V200" i="17"/>
  <c r="V51" i="17" s="1"/>
  <c r="V52" i="17" s="1"/>
  <c r="U192" i="17"/>
  <c r="V102" i="17"/>
  <c r="V103" i="17"/>
  <c r="U93" i="17"/>
  <c r="X199" i="17"/>
  <c r="V235" i="17"/>
  <c r="Z235" i="22" l="1"/>
  <c r="AB199" i="22"/>
  <c r="X83" i="22"/>
  <c r="Z192" i="22"/>
  <c r="AA102" i="22"/>
  <c r="AP214" i="22"/>
  <c r="X7" i="22"/>
  <c r="AA93" i="22"/>
  <c r="AB103" i="22"/>
  <c r="Y73" i="22"/>
  <c r="Y75" i="22"/>
  <c r="AA194" i="22"/>
  <c r="Z200" i="22"/>
  <c r="W83" i="20"/>
  <c r="Y192" i="20"/>
  <c r="Z102" i="20"/>
  <c r="X75" i="20"/>
  <c r="X73" i="20"/>
  <c r="X83" i="20" s="1"/>
  <c r="AA103" i="20"/>
  <c r="Z93" i="20"/>
  <c r="Z194" i="20"/>
  <c r="Y200" i="20"/>
  <c r="Y51" i="20" s="1"/>
  <c r="Y52" i="20" s="1"/>
  <c r="AA199" i="20"/>
  <c r="Y235" i="20"/>
  <c r="AO214" i="20"/>
  <c r="W7" i="20"/>
  <c r="Z200" i="19"/>
  <c r="AA194" i="19"/>
  <c r="Z93" i="19"/>
  <c r="W83" i="19"/>
  <c r="Y235" i="19"/>
  <c r="AA199" i="19"/>
  <c r="Y75" i="19"/>
  <c r="Y73" i="19"/>
  <c r="AC103" i="19"/>
  <c r="X83" i="19"/>
  <c r="Z192" i="19"/>
  <c r="AA102" i="19"/>
  <c r="AP214" i="19"/>
  <c r="X7" i="19"/>
  <c r="AO214" i="19"/>
  <c r="W7" i="19"/>
  <c r="W103" i="18"/>
  <c r="V93" i="18"/>
  <c r="U73" i="18"/>
  <c r="U75" i="18"/>
  <c r="W199" i="18"/>
  <c r="U235" i="18"/>
  <c r="V200" i="18"/>
  <c r="V51" i="18" s="1"/>
  <c r="V52" i="18" s="1"/>
  <c r="V192" i="18"/>
  <c r="W102" i="18"/>
  <c r="Y194" i="18"/>
  <c r="V192" i="17"/>
  <c r="W102" i="17"/>
  <c r="W103" i="17"/>
  <c r="V93" i="17"/>
  <c r="V73" i="17"/>
  <c r="V75" i="17"/>
  <c r="X194" i="17"/>
  <c r="W200" i="17"/>
  <c r="W51" i="17" s="1"/>
  <c r="W52" i="17" s="1"/>
  <c r="W235" i="17"/>
  <c r="Y199" i="17"/>
  <c r="AM214" i="17"/>
  <c r="U7" i="17"/>
  <c r="AQ214" i="22" l="1"/>
  <c r="Y7" i="22"/>
  <c r="AA192" i="22"/>
  <c r="AB102" i="22"/>
  <c r="Y83" i="22"/>
  <c r="AC199" i="22"/>
  <c r="AA235" i="22"/>
  <c r="AB194" i="22"/>
  <c r="AA200" i="22"/>
  <c r="AA51" i="22" s="1"/>
  <c r="AA52" i="22" s="1"/>
  <c r="AC103" i="22"/>
  <c r="AB103" i="20"/>
  <c r="Z200" i="20"/>
  <c r="AA194" i="20"/>
  <c r="AP214" i="20"/>
  <c r="X7" i="20"/>
  <c r="Z192" i="20"/>
  <c r="AA102" i="20"/>
  <c r="AB199" i="20"/>
  <c r="Z235" i="20"/>
  <c r="Y73" i="20"/>
  <c r="Y75" i="20"/>
  <c r="Z235" i="19"/>
  <c r="AB199" i="19"/>
  <c r="AQ214" i="19"/>
  <c r="Y7" i="19"/>
  <c r="AA192" i="19"/>
  <c r="AB102" i="19"/>
  <c r="AD103" i="19"/>
  <c r="AA200" i="19"/>
  <c r="AA51" i="19" s="1"/>
  <c r="AB194" i="19"/>
  <c r="AA93" i="19"/>
  <c r="Y83" i="19"/>
  <c r="AM214" i="18"/>
  <c r="U7" i="18"/>
  <c r="V73" i="18"/>
  <c r="V75" i="18"/>
  <c r="V235" i="18"/>
  <c r="X199" i="18"/>
  <c r="W200" i="18"/>
  <c r="W51" i="18" s="1"/>
  <c r="W52" i="18" s="1"/>
  <c r="U83" i="18"/>
  <c r="Z194" i="18"/>
  <c r="W192" i="18"/>
  <c r="X102" i="18"/>
  <c r="X103" i="18"/>
  <c r="W93" i="18"/>
  <c r="W75" i="17"/>
  <c r="W73" i="17"/>
  <c r="W83" i="17" s="1"/>
  <c r="AN214" i="17"/>
  <c r="V7" i="17"/>
  <c r="X103" i="17"/>
  <c r="W93" i="17"/>
  <c r="X200" i="17"/>
  <c r="X51" i="17" s="1"/>
  <c r="X52" i="17" s="1"/>
  <c r="Y194" i="17"/>
  <c r="X235" i="17"/>
  <c r="Z199" i="17"/>
  <c r="W192" i="17"/>
  <c r="X102" i="17"/>
  <c r="V83" i="17"/>
  <c r="AB192" i="22" l="1"/>
  <c r="AC102" i="22"/>
  <c r="AB200" i="22"/>
  <c r="AB51" i="22" s="1"/>
  <c r="AB52" i="22" s="1"/>
  <c r="AC194" i="22"/>
  <c r="AB93" i="22"/>
  <c r="AB235" i="22"/>
  <c r="AD199" i="22"/>
  <c r="AD103" i="22"/>
  <c r="AA73" i="22"/>
  <c r="AA75" i="22"/>
  <c r="AQ214" i="20"/>
  <c r="Y7" i="20"/>
  <c r="AA200" i="20"/>
  <c r="AA51" i="20" s="1"/>
  <c r="AA52" i="20" s="1"/>
  <c r="AB194" i="20"/>
  <c r="Y83" i="20"/>
  <c r="AA93" i="20"/>
  <c r="AA192" i="20"/>
  <c r="AB102" i="20"/>
  <c r="AC199" i="20"/>
  <c r="AA235" i="20"/>
  <c r="AB93" i="20"/>
  <c r="AC103" i="20"/>
  <c r="AE103" i="19"/>
  <c r="AA52" i="19"/>
  <c r="AB192" i="19"/>
  <c r="AC102" i="19"/>
  <c r="AA235" i="19"/>
  <c r="AC199" i="19"/>
  <c r="AB200" i="19"/>
  <c r="AB51" i="19" s="1"/>
  <c r="AB52" i="19" s="1"/>
  <c r="AC194" i="19"/>
  <c r="AB93" i="19"/>
  <c r="AN214" i="18"/>
  <c r="V7" i="18"/>
  <c r="W235" i="18"/>
  <c r="Y199" i="18"/>
  <c r="X200" i="18"/>
  <c r="X51" i="18" s="1"/>
  <c r="X52" i="18" s="1"/>
  <c r="Y103" i="18"/>
  <c r="X93" i="18"/>
  <c r="V83" i="18"/>
  <c r="W75" i="18"/>
  <c r="W73" i="18"/>
  <c r="W83" i="18" s="1"/>
  <c r="X192" i="18"/>
  <c r="Y102" i="18"/>
  <c r="AA194" i="18"/>
  <c r="Z194" i="17"/>
  <c r="Y200" i="17"/>
  <c r="Y51" i="17" s="1"/>
  <c r="Y52" i="17" s="1"/>
  <c r="X75" i="17"/>
  <c r="X73" i="17"/>
  <c r="X83" i="17" s="1"/>
  <c r="X93" i="17"/>
  <c r="Y103" i="17"/>
  <c r="X192" i="17"/>
  <c r="Y102" i="17"/>
  <c r="Y235" i="17"/>
  <c r="AA199" i="17"/>
  <c r="AO214" i="17"/>
  <c r="W7" i="17"/>
  <c r="AE199" i="22" l="1"/>
  <c r="AC235" i="22"/>
  <c r="AC200" i="22"/>
  <c r="AC51" i="22" s="1"/>
  <c r="AC52" i="22" s="1"/>
  <c r="AD194" i="22"/>
  <c r="AS214" i="22"/>
  <c r="AA7" i="22"/>
  <c r="AB75" i="22"/>
  <c r="AB73" i="22"/>
  <c r="AB83" i="22" s="1"/>
  <c r="AA83" i="22"/>
  <c r="AC192" i="22"/>
  <c r="AD102" i="22"/>
  <c r="AE103" i="22"/>
  <c r="AD93" i="22"/>
  <c r="AC93" i="22"/>
  <c r="AB192" i="20"/>
  <c r="AC102" i="20"/>
  <c r="AA73" i="20"/>
  <c r="AA75" i="20"/>
  <c r="AD103" i="20"/>
  <c r="AC93" i="20"/>
  <c r="AB200" i="20"/>
  <c r="AB51" i="20" s="1"/>
  <c r="AB52" i="20" s="1"/>
  <c r="AC194" i="20"/>
  <c r="AB235" i="20"/>
  <c r="AD199" i="20"/>
  <c r="AD194" i="19"/>
  <c r="AC200" i="19"/>
  <c r="AC51" i="19" s="1"/>
  <c r="AC93" i="19"/>
  <c r="AA73" i="19"/>
  <c r="AA75" i="19"/>
  <c r="AC192" i="19"/>
  <c r="AD102" i="19"/>
  <c r="AB75" i="19"/>
  <c r="AB73" i="19"/>
  <c r="AB235" i="19"/>
  <c r="AD199" i="19"/>
  <c r="AF103" i="19"/>
  <c r="AB194" i="18"/>
  <c r="X73" i="18"/>
  <c r="X75" i="18"/>
  <c r="Y93" i="18"/>
  <c r="Z103" i="18"/>
  <c r="Y192" i="18"/>
  <c r="Z102" i="18"/>
  <c r="X235" i="18"/>
  <c r="Z199" i="18"/>
  <c r="Y200" i="18"/>
  <c r="Y51" i="18" s="1"/>
  <c r="Y52" i="18" s="1"/>
  <c r="AO214" i="18"/>
  <c r="W7" i="18"/>
  <c r="Y73" i="17"/>
  <c r="Y75" i="17"/>
  <c r="Y192" i="17"/>
  <c r="Z102" i="17"/>
  <c r="Y93" i="17"/>
  <c r="Z103" i="17"/>
  <c r="AP214" i="17"/>
  <c r="X7" i="17"/>
  <c r="AB199" i="17"/>
  <c r="Z235" i="17"/>
  <c r="AA194" i="17"/>
  <c r="Z200" i="17"/>
  <c r="AD200" i="22" l="1"/>
  <c r="AD51" i="22" s="1"/>
  <c r="AD52" i="22" s="1"/>
  <c r="AE194" i="22"/>
  <c r="AC75" i="22"/>
  <c r="AC73" i="22"/>
  <c r="AT214" i="22"/>
  <c r="AB7" i="22"/>
  <c r="AE93" i="22"/>
  <c r="AF103" i="22"/>
  <c r="AD192" i="22"/>
  <c r="AE102" i="22"/>
  <c r="AD235" i="22"/>
  <c r="AF199" i="22"/>
  <c r="AB73" i="20"/>
  <c r="AB75" i="20"/>
  <c r="AC200" i="20"/>
  <c r="AC51" i="20" s="1"/>
  <c r="AC52" i="20" s="1"/>
  <c r="AD194" i="20"/>
  <c r="AE103" i="20"/>
  <c r="AD93" i="20"/>
  <c r="AA83" i="20"/>
  <c r="AS214" i="20"/>
  <c r="AA7" i="20"/>
  <c r="AE199" i="20"/>
  <c r="AC235" i="20"/>
  <c r="AC192" i="20"/>
  <c r="AD102" i="20"/>
  <c r="AT214" i="19"/>
  <c r="AB7" i="19"/>
  <c r="B103" i="19"/>
  <c r="AA83" i="19"/>
  <c r="AD192" i="19"/>
  <c r="AE102" i="19"/>
  <c r="AC52" i="19"/>
  <c r="AS214" i="19"/>
  <c r="AA7" i="19"/>
  <c r="AC235" i="19"/>
  <c r="AE199" i="19"/>
  <c r="AB83" i="19"/>
  <c r="AE194" i="19"/>
  <c r="AD200" i="19"/>
  <c r="AD51" i="19" s="1"/>
  <c r="AD52" i="19" s="1"/>
  <c r="AD93" i="19"/>
  <c r="Z192" i="18"/>
  <c r="AA102" i="18"/>
  <c r="Z93" i="18"/>
  <c r="AA103" i="18"/>
  <c r="Y75" i="18"/>
  <c r="Y73" i="18"/>
  <c r="AP214" i="18"/>
  <c r="X7" i="18"/>
  <c r="AA199" i="18"/>
  <c r="Y235" i="18"/>
  <c r="Z200" i="18"/>
  <c r="AC194" i="18"/>
  <c r="X83" i="18"/>
  <c r="Z192" i="17"/>
  <c r="AA102" i="17"/>
  <c r="AQ214" i="17"/>
  <c r="Y7" i="17"/>
  <c r="AA103" i="17"/>
  <c r="Z93" i="17"/>
  <c r="AA200" i="17"/>
  <c r="AA51" i="17" s="1"/>
  <c r="AA52" i="17" s="1"/>
  <c r="AB194" i="17"/>
  <c r="AA235" i="17"/>
  <c r="AC199" i="17"/>
  <c r="Y83" i="17"/>
  <c r="AC83" i="22" l="1"/>
  <c r="AU214" i="22"/>
  <c r="AC7" i="22"/>
  <c r="AE192" i="22"/>
  <c r="AF102" i="22"/>
  <c r="AF194" i="22"/>
  <c r="AE200" i="22"/>
  <c r="AE51" i="22" s="1"/>
  <c r="AE52" i="22" s="1"/>
  <c r="B103" i="22"/>
  <c r="AF93" i="22"/>
  <c r="B199" i="22"/>
  <c r="AF235" i="22" s="1"/>
  <c r="AE235" i="22"/>
  <c r="AD73" i="22"/>
  <c r="AD75" i="22"/>
  <c r="AE194" i="20"/>
  <c r="AD200" i="20"/>
  <c r="AD51" i="20" s="1"/>
  <c r="AD52" i="20" s="1"/>
  <c r="AD192" i="20"/>
  <c r="AE102" i="20"/>
  <c r="AC73" i="20"/>
  <c r="AC75" i="20"/>
  <c r="AD235" i="20"/>
  <c r="AF199" i="20"/>
  <c r="AT214" i="20"/>
  <c r="AB7" i="20"/>
  <c r="AF103" i="20"/>
  <c r="AE93" i="20"/>
  <c r="AB83" i="20"/>
  <c r="AC75" i="19"/>
  <c r="AC73" i="19"/>
  <c r="AD235" i="19"/>
  <c r="AF199" i="19"/>
  <c r="AD73" i="19"/>
  <c r="AD75" i="19"/>
  <c r="AE192" i="19"/>
  <c r="AF102" i="19"/>
  <c r="AF194" i="19"/>
  <c r="AE200" i="19"/>
  <c r="AE51" i="19" s="1"/>
  <c r="AE52" i="19" s="1"/>
  <c r="AE93" i="19"/>
  <c r="Y83" i="18"/>
  <c r="AQ214" i="18"/>
  <c r="Y7" i="18"/>
  <c r="AA192" i="18"/>
  <c r="AB102" i="18"/>
  <c r="AD194" i="18"/>
  <c r="AA93" i="18"/>
  <c r="AB103" i="18"/>
  <c r="Z235" i="18"/>
  <c r="AB199" i="18"/>
  <c r="AA200" i="18"/>
  <c r="AA51" i="18" s="1"/>
  <c r="AA52" i="18" s="1"/>
  <c r="AB200" i="17"/>
  <c r="AB51" i="17" s="1"/>
  <c r="AB52" i="17" s="1"/>
  <c r="AC194" i="17"/>
  <c r="AA73" i="17"/>
  <c r="AA75" i="17"/>
  <c r="AA93" i="17"/>
  <c r="AB103" i="17"/>
  <c r="AB235" i="17"/>
  <c r="AD199" i="17"/>
  <c r="AA192" i="17"/>
  <c r="AB102" i="17"/>
  <c r="AV214" i="22" l="1"/>
  <c r="AD7" i="22"/>
  <c r="AF192" i="22"/>
  <c r="B102" i="22"/>
  <c r="B192" i="22" s="1"/>
  <c r="AH93" i="22"/>
  <c r="AI93" i="22"/>
  <c r="AE75" i="22"/>
  <c r="AE73" i="22"/>
  <c r="AF200" i="22"/>
  <c r="AF51" i="22" s="1"/>
  <c r="AF52" i="22" s="1"/>
  <c r="B194" i="22"/>
  <c r="B200" i="22" s="1"/>
  <c r="AD83" i="22"/>
  <c r="B199" i="20"/>
  <c r="AF235" i="20" s="1"/>
  <c r="AE235" i="20"/>
  <c r="AC83" i="20"/>
  <c r="AD75" i="20"/>
  <c r="AD73" i="20"/>
  <c r="AD83" i="20" s="1"/>
  <c r="AU214" i="20"/>
  <c r="AC7" i="20"/>
  <c r="AE192" i="20"/>
  <c r="AF102" i="20"/>
  <c r="B103" i="20"/>
  <c r="AF194" i="20"/>
  <c r="AE200" i="20"/>
  <c r="AE51" i="20" s="1"/>
  <c r="AE52" i="20" s="1"/>
  <c r="AC83" i="19"/>
  <c r="AV214" i="19"/>
  <c r="AD7" i="19"/>
  <c r="AD83" i="19"/>
  <c r="AE235" i="19"/>
  <c r="B199" i="19"/>
  <c r="AF235" i="19" s="1"/>
  <c r="B194" i="19"/>
  <c r="B200" i="19" s="1"/>
  <c r="AF200" i="19"/>
  <c r="AF51" i="19" s="1"/>
  <c r="AF93" i="19"/>
  <c r="AE75" i="19"/>
  <c r="AE73" i="19"/>
  <c r="AF192" i="19"/>
  <c r="B102" i="19"/>
  <c r="B192" i="19" s="1"/>
  <c r="AU214" i="19"/>
  <c r="AC7" i="19"/>
  <c r="AA73" i="18"/>
  <c r="AA75" i="18"/>
  <c r="AE194" i="18"/>
  <c r="AB192" i="18"/>
  <c r="AC102" i="18"/>
  <c r="AC199" i="18"/>
  <c r="AA235" i="18"/>
  <c r="AB200" i="18"/>
  <c r="AB51" i="18" s="1"/>
  <c r="AB52" i="18" s="1"/>
  <c r="AB93" i="18"/>
  <c r="AC103" i="18"/>
  <c r="AC235" i="17"/>
  <c r="AE199" i="17"/>
  <c r="AC103" i="17"/>
  <c r="AB93" i="17"/>
  <c r="AA83" i="17"/>
  <c r="AS214" i="17"/>
  <c r="AA7" i="17"/>
  <c r="AB192" i="17"/>
  <c r="AC102" i="17"/>
  <c r="AC200" i="17"/>
  <c r="AC51" i="17" s="1"/>
  <c r="AC52" i="17" s="1"/>
  <c r="AD194" i="17"/>
  <c r="AB75" i="17"/>
  <c r="AB73" i="17"/>
  <c r="AB83" i="17" s="1"/>
  <c r="AE83" i="22" l="1"/>
  <c r="AW214" i="22"/>
  <c r="AE7" i="22"/>
  <c r="AI51" i="22"/>
  <c r="AH51" i="22"/>
  <c r="AF73" i="22"/>
  <c r="AF75" i="22"/>
  <c r="AF200" i="20"/>
  <c r="AF51" i="20" s="1"/>
  <c r="AF52" i="20" s="1"/>
  <c r="B194" i="20"/>
  <c r="B200" i="20" s="1"/>
  <c r="AF93" i="20"/>
  <c r="AE73" i="20"/>
  <c r="AE75" i="20"/>
  <c r="AV214" i="20"/>
  <c r="AD7" i="20"/>
  <c r="AF192" i="20"/>
  <c r="B102" i="20"/>
  <c r="B192" i="20" s="1"/>
  <c r="AE83" i="19"/>
  <c r="AI93" i="19"/>
  <c r="AH93" i="19"/>
  <c r="AF52" i="19"/>
  <c r="AH51" i="19"/>
  <c r="AI51" i="19"/>
  <c r="AW214" i="19"/>
  <c r="AE7" i="19"/>
  <c r="AC192" i="18"/>
  <c r="AD102" i="18"/>
  <c r="AD199" i="18"/>
  <c r="AB235" i="18"/>
  <c r="AC200" i="18"/>
  <c r="AC51" i="18" s="1"/>
  <c r="AC52" i="18" s="1"/>
  <c r="AS214" i="18"/>
  <c r="AA7" i="18"/>
  <c r="AF194" i="18"/>
  <c r="AD103" i="18"/>
  <c r="AC93" i="18"/>
  <c r="AB75" i="18"/>
  <c r="AB73" i="18"/>
  <c r="AA83" i="18"/>
  <c r="AT214" i="17"/>
  <c r="AB7" i="17"/>
  <c r="AD200" i="17"/>
  <c r="AD51" i="17" s="1"/>
  <c r="AD52" i="17" s="1"/>
  <c r="AE194" i="17"/>
  <c r="AD235" i="17"/>
  <c r="AF199" i="17"/>
  <c r="AD103" i="17"/>
  <c r="AC93" i="17"/>
  <c r="AC75" i="17"/>
  <c r="AC73" i="17"/>
  <c r="AC83" i="17" s="1"/>
  <c r="AC192" i="17"/>
  <c r="AD102" i="17"/>
  <c r="AF83" i="22" l="1"/>
  <c r="AX214" i="22"/>
  <c r="AF7" i="22"/>
  <c r="AH52" i="22"/>
  <c r="AI52" i="22"/>
  <c r="AE83" i="20"/>
  <c r="AH93" i="20"/>
  <c r="AI93" i="20"/>
  <c r="AW214" i="20"/>
  <c r="AE7" i="20"/>
  <c r="AH51" i="20"/>
  <c r="B52" i="20"/>
  <c r="AI51" i="20"/>
  <c r="AF75" i="20"/>
  <c r="AF73" i="20"/>
  <c r="AF83" i="20" s="1"/>
  <c r="B93" i="20"/>
  <c r="AF75" i="19"/>
  <c r="AF73" i="19"/>
  <c r="AH52" i="19"/>
  <c r="AI52" i="19"/>
  <c r="AB83" i="18"/>
  <c r="B194" i="18"/>
  <c r="AC235" i="18"/>
  <c r="AE199" i="18"/>
  <c r="AD200" i="18"/>
  <c r="AD51" i="18" s="1"/>
  <c r="AD52" i="18" s="1"/>
  <c r="AC75" i="18"/>
  <c r="AC73" i="18"/>
  <c r="AE103" i="18"/>
  <c r="AD93" i="18"/>
  <c r="AD192" i="18"/>
  <c r="AE102" i="18"/>
  <c r="AT214" i="18"/>
  <c r="AB7" i="18"/>
  <c r="AE235" i="17"/>
  <c r="B199" i="17"/>
  <c r="AF235" i="17" s="1"/>
  <c r="AD192" i="17"/>
  <c r="AE102" i="17"/>
  <c r="AF194" i="17"/>
  <c r="AE200" i="17"/>
  <c r="AE51" i="17" s="1"/>
  <c r="AE52" i="17" s="1"/>
  <c r="AD73" i="17"/>
  <c r="AD75" i="17"/>
  <c r="AE103" i="17"/>
  <c r="AD93" i="17"/>
  <c r="AU214" i="17"/>
  <c r="AC7" i="17"/>
  <c r="AI73" i="22" l="1"/>
  <c r="AH73" i="22"/>
  <c r="T214" i="22"/>
  <c r="AI75" i="22"/>
  <c r="AH75" i="22"/>
  <c r="B7" i="22"/>
  <c r="A7" i="22" s="1"/>
  <c r="AI52" i="20"/>
  <c r="AH52" i="20"/>
  <c r="B73" i="20"/>
  <c r="B75" i="20"/>
  <c r="AX214" i="20"/>
  <c r="AF7" i="20"/>
  <c r="AF83" i="19"/>
  <c r="AI73" i="19"/>
  <c r="AH73" i="19"/>
  <c r="AX214" i="19"/>
  <c r="AF7" i="19"/>
  <c r="A7" i="19" s="1"/>
  <c r="AI75" i="19"/>
  <c r="AH75" i="19"/>
  <c r="AC83" i="18"/>
  <c r="AF103" i="18"/>
  <c r="AE93" i="18"/>
  <c r="AD73" i="18"/>
  <c r="AD75" i="18"/>
  <c r="AE192" i="18"/>
  <c r="AF102" i="18"/>
  <c r="AU214" i="18"/>
  <c r="AC7" i="18"/>
  <c r="AD235" i="18"/>
  <c r="AF199" i="18"/>
  <c r="AE200" i="18"/>
  <c r="AE51" i="18" s="1"/>
  <c r="AE52" i="18" s="1"/>
  <c r="AD83" i="17"/>
  <c r="AE75" i="17"/>
  <c r="AE73" i="17"/>
  <c r="AF200" i="17"/>
  <c r="AF51" i="17" s="1"/>
  <c r="AF52" i="17" s="1"/>
  <c r="B194" i="17"/>
  <c r="B200" i="17" s="1"/>
  <c r="AE192" i="17"/>
  <c r="AF102" i="17"/>
  <c r="AV214" i="17"/>
  <c r="AD7" i="17"/>
  <c r="AF103" i="17"/>
  <c r="AE93" i="17"/>
  <c r="AH83" i="22" l="1"/>
  <c r="AI83" i="22"/>
  <c r="AI73" i="20"/>
  <c r="AH73" i="20"/>
  <c r="B83" i="20"/>
  <c r="T214" i="20"/>
  <c r="B7" i="20"/>
  <c r="A7" i="20" s="1"/>
  <c r="AI75" i="20"/>
  <c r="AH75" i="20"/>
  <c r="AH83" i="19"/>
  <c r="AI83" i="19"/>
  <c r="AE75" i="18"/>
  <c r="AE73" i="18"/>
  <c r="AE83" i="18" s="1"/>
  <c r="AF192" i="18"/>
  <c r="B102" i="18"/>
  <c r="B192" i="18" s="1"/>
  <c r="AV214" i="18"/>
  <c r="AD7" i="18"/>
  <c r="AD83" i="18"/>
  <c r="B199" i="18"/>
  <c r="AE235" i="18"/>
  <c r="AF200" i="18"/>
  <c r="AF51" i="18" s="1"/>
  <c r="AF52" i="18" s="1"/>
  <c r="B103" i="18"/>
  <c r="AF93" i="18"/>
  <c r="AE83" i="17"/>
  <c r="AF192" i="17"/>
  <c r="B102" i="17"/>
  <c r="B52" i="17"/>
  <c r="AI51" i="17"/>
  <c r="AH51" i="17"/>
  <c r="AF75" i="17"/>
  <c r="AF73" i="17"/>
  <c r="AW214" i="17"/>
  <c r="AE7" i="17"/>
  <c r="AF93" i="17"/>
  <c r="B103" i="17"/>
  <c r="B93" i="17" s="1"/>
  <c r="AH83" i="20" l="1"/>
  <c r="AI83" i="20"/>
  <c r="AF235" i="18"/>
  <c r="B200" i="18"/>
  <c r="AI93" i="18"/>
  <c r="AH93" i="18"/>
  <c r="AF73" i="18"/>
  <c r="AF75" i="18"/>
  <c r="AW214" i="18"/>
  <c r="AE7" i="18"/>
  <c r="AF83" i="17"/>
  <c r="AI52" i="17"/>
  <c r="AH52" i="17"/>
  <c r="B75" i="17"/>
  <c r="B73" i="17"/>
  <c r="B192" i="17"/>
  <c r="AX214" i="17"/>
  <c r="AF7" i="17"/>
  <c r="AH93" i="17"/>
  <c r="AI93" i="17"/>
  <c r="AX214" i="18" l="1"/>
  <c r="AF7" i="18"/>
  <c r="AF83" i="18"/>
  <c r="AI51" i="18"/>
  <c r="AH51" i="18"/>
  <c r="AI73" i="17"/>
  <c r="AH73" i="17"/>
  <c r="B83" i="17"/>
  <c r="T214" i="17"/>
  <c r="B7" i="17"/>
  <c r="A7" i="17" s="1"/>
  <c r="AI75" i="17"/>
  <c r="AH75" i="17"/>
  <c r="AI52" i="18" l="1"/>
  <c r="AH52" i="18"/>
  <c r="AH83" i="17"/>
  <c r="AI83" i="17"/>
  <c r="T214" i="18" l="1"/>
  <c r="B7" i="18"/>
  <c r="A7" i="18" s="1"/>
  <c r="AH75" i="18"/>
  <c r="AI75" i="18"/>
  <c r="AI73" i="18"/>
  <c r="AH73" i="18"/>
  <c r="AI83" i="18" l="1"/>
  <c r="AH83" i="18"/>
  <c r="AH100" i="15" l="1"/>
  <c r="AI100" i="15" s="1"/>
  <c r="AH99" i="15"/>
  <c r="AI99" i="15" s="1"/>
  <c r="C37" i="15"/>
  <c r="B37" i="15"/>
  <c r="B93" i="15"/>
  <c r="B80" i="15"/>
  <c r="B79" i="15"/>
  <c r="B78" i="15"/>
  <c r="B77" i="15"/>
  <c r="B76" i="15"/>
  <c r="B72" i="15"/>
  <c r="B68" i="15"/>
  <c r="B56" i="15"/>
  <c r="B51" i="15"/>
  <c r="B52" i="15" s="1"/>
  <c r="B38" i="15"/>
  <c r="AF239" i="15"/>
  <c r="AE239" i="15"/>
  <c r="AD239" i="15"/>
  <c r="AC239" i="15"/>
  <c r="AB239" i="15"/>
  <c r="AA239" i="15"/>
  <c r="Z239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B235" i="15"/>
  <c r="S210" i="15"/>
  <c r="AG200" i="15"/>
  <c r="C200" i="15"/>
  <c r="D199" i="15"/>
  <c r="C235" i="15" s="1"/>
  <c r="E198" i="15"/>
  <c r="F198" i="15" s="1"/>
  <c r="G198" i="15" s="1"/>
  <c r="H198" i="15" s="1"/>
  <c r="I198" i="15" s="1"/>
  <c r="J198" i="15" s="1"/>
  <c r="K198" i="15" s="1"/>
  <c r="L198" i="15" s="1"/>
  <c r="M198" i="15" s="1"/>
  <c r="N198" i="15" s="1"/>
  <c r="O198" i="15" s="1"/>
  <c r="P198" i="15" s="1"/>
  <c r="Q198" i="15" s="1"/>
  <c r="R198" i="15" s="1"/>
  <c r="S198" i="15" s="1"/>
  <c r="T198" i="15" s="1"/>
  <c r="U198" i="15" s="1"/>
  <c r="V198" i="15" s="1"/>
  <c r="W198" i="15" s="1"/>
  <c r="X198" i="15" s="1"/>
  <c r="Y198" i="15" s="1"/>
  <c r="Z198" i="15" s="1"/>
  <c r="AA198" i="15" s="1"/>
  <c r="AB198" i="15" s="1"/>
  <c r="AC198" i="15" s="1"/>
  <c r="AD198" i="15" s="1"/>
  <c r="AE198" i="15" s="1"/>
  <c r="AF198" i="15" s="1"/>
  <c r="B198" i="15" s="1"/>
  <c r="D198" i="15"/>
  <c r="F197" i="15"/>
  <c r="G197" i="15" s="1"/>
  <c r="H197" i="15" s="1"/>
  <c r="I197" i="15" s="1"/>
  <c r="J197" i="15" s="1"/>
  <c r="K197" i="15" s="1"/>
  <c r="L197" i="15" s="1"/>
  <c r="M197" i="15" s="1"/>
  <c r="N197" i="15" s="1"/>
  <c r="O197" i="15" s="1"/>
  <c r="P197" i="15" s="1"/>
  <c r="Q197" i="15" s="1"/>
  <c r="R197" i="15" s="1"/>
  <c r="S197" i="15" s="1"/>
  <c r="T197" i="15" s="1"/>
  <c r="U197" i="15" s="1"/>
  <c r="V197" i="15" s="1"/>
  <c r="W197" i="15" s="1"/>
  <c r="X197" i="15" s="1"/>
  <c r="Y197" i="15" s="1"/>
  <c r="Z197" i="15" s="1"/>
  <c r="AA197" i="15" s="1"/>
  <c r="AB197" i="15" s="1"/>
  <c r="AC197" i="15" s="1"/>
  <c r="AD197" i="15" s="1"/>
  <c r="AE197" i="15" s="1"/>
  <c r="AF197" i="15" s="1"/>
  <c r="D197" i="15"/>
  <c r="E197" i="15" s="1"/>
  <c r="B197" i="15"/>
  <c r="J196" i="15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AE196" i="15" s="1"/>
  <c r="AF196" i="15" s="1"/>
  <c r="B196" i="15" s="1"/>
  <c r="I196" i="15"/>
  <c r="D196" i="15"/>
  <c r="E196" i="15" s="1"/>
  <c r="F196" i="15" s="1"/>
  <c r="G196" i="15" s="1"/>
  <c r="H196" i="15" s="1"/>
  <c r="D195" i="15"/>
  <c r="E195" i="15" s="1"/>
  <c r="F195" i="15" s="1"/>
  <c r="G195" i="15" s="1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B195" i="15" s="1"/>
  <c r="E194" i="15"/>
  <c r="F194" i="15" s="1"/>
  <c r="G194" i="15" s="1"/>
  <c r="D194" i="15"/>
  <c r="AG192" i="15"/>
  <c r="C192" i="15"/>
  <c r="R191" i="15"/>
  <c r="S191" i="15" s="1"/>
  <c r="T191" i="15" s="1"/>
  <c r="U191" i="15" s="1"/>
  <c r="V191" i="15" s="1"/>
  <c r="W191" i="15" s="1"/>
  <c r="X191" i="15" s="1"/>
  <c r="Y191" i="15" s="1"/>
  <c r="Z191" i="15" s="1"/>
  <c r="AA191" i="15" s="1"/>
  <c r="AB191" i="15" s="1"/>
  <c r="AC191" i="15" s="1"/>
  <c r="AD191" i="15" s="1"/>
  <c r="AE191" i="15" s="1"/>
  <c r="AF191" i="15" s="1"/>
  <c r="B191" i="15" s="1"/>
  <c r="F191" i="15"/>
  <c r="G191" i="15" s="1"/>
  <c r="H191" i="15" s="1"/>
  <c r="I191" i="15" s="1"/>
  <c r="J191" i="15" s="1"/>
  <c r="K191" i="15" s="1"/>
  <c r="L191" i="15" s="1"/>
  <c r="M191" i="15" s="1"/>
  <c r="N191" i="15" s="1"/>
  <c r="O191" i="15" s="1"/>
  <c r="P191" i="15" s="1"/>
  <c r="Q191" i="15" s="1"/>
  <c r="D191" i="15"/>
  <c r="E191" i="15" s="1"/>
  <c r="D190" i="15"/>
  <c r="E190" i="15" s="1"/>
  <c r="F190" i="15" s="1"/>
  <c r="G190" i="15" s="1"/>
  <c r="H190" i="15" s="1"/>
  <c r="I190" i="15" s="1"/>
  <c r="J190" i="15" s="1"/>
  <c r="K190" i="15" s="1"/>
  <c r="L190" i="15" s="1"/>
  <c r="M190" i="15" s="1"/>
  <c r="N190" i="15" s="1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B190" i="15" s="1"/>
  <c r="D189" i="15"/>
  <c r="E189" i="15" s="1"/>
  <c r="F189" i="15" s="1"/>
  <c r="G189" i="15" s="1"/>
  <c r="H189" i="15" s="1"/>
  <c r="I189" i="15" s="1"/>
  <c r="J189" i="15" s="1"/>
  <c r="K189" i="15" s="1"/>
  <c r="L189" i="15" s="1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B189" i="15" s="1"/>
  <c r="V188" i="15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B188" i="15" s="1"/>
  <c r="K188" i="15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J188" i="15"/>
  <c r="H188" i="15"/>
  <c r="I188" i="15" s="1"/>
  <c r="D188" i="15"/>
  <c r="E188" i="15" s="1"/>
  <c r="F188" i="15" s="1"/>
  <c r="G188" i="15" s="1"/>
  <c r="I187" i="15"/>
  <c r="J187" i="15" s="1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B187" i="15" s="1"/>
  <c r="H187" i="15"/>
  <c r="F187" i="15"/>
  <c r="G187" i="15" s="1"/>
  <c r="D187" i="15"/>
  <c r="E187" i="15" s="1"/>
  <c r="F186" i="15"/>
  <c r="G186" i="15" s="1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B186" i="15" s="1"/>
  <c r="E186" i="15"/>
  <c r="D186" i="15"/>
  <c r="G185" i="15"/>
  <c r="H185" i="15" s="1"/>
  <c r="I185" i="15" s="1"/>
  <c r="J185" i="15" s="1"/>
  <c r="K185" i="15" s="1"/>
  <c r="L185" i="15" s="1"/>
  <c r="M185" i="15" s="1"/>
  <c r="N185" i="15" s="1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B185" i="15" s="1"/>
  <c r="D185" i="15"/>
  <c r="E185" i="15" s="1"/>
  <c r="F185" i="15" s="1"/>
  <c r="J184" i="15"/>
  <c r="K184" i="15" s="1"/>
  <c r="L184" i="15" s="1"/>
  <c r="M184" i="15" s="1"/>
  <c r="N184" i="15" s="1"/>
  <c r="O184" i="15" s="1"/>
  <c r="P184" i="15" s="1"/>
  <c r="Q184" i="15" s="1"/>
  <c r="R184" i="15" s="1"/>
  <c r="S184" i="15" s="1"/>
  <c r="T184" i="15" s="1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B184" i="15" s="1"/>
  <c r="E184" i="15"/>
  <c r="F184" i="15" s="1"/>
  <c r="G184" i="15" s="1"/>
  <c r="H184" i="15" s="1"/>
  <c r="I184" i="15" s="1"/>
  <c r="D184" i="15"/>
  <c r="H183" i="15"/>
  <c r="I183" i="15" s="1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B183" i="15" s="1"/>
  <c r="D183" i="15"/>
  <c r="E183" i="15" s="1"/>
  <c r="F183" i="15" s="1"/>
  <c r="G183" i="15" s="1"/>
  <c r="F182" i="15"/>
  <c r="G182" i="15" s="1"/>
  <c r="H182" i="15" s="1"/>
  <c r="I182" i="15" s="1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B182" i="15" s="1"/>
  <c r="E182" i="15"/>
  <c r="D182" i="15"/>
  <c r="M181" i="15"/>
  <c r="N181" i="15" s="1"/>
  <c r="O181" i="15" s="1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B181" i="15" s="1"/>
  <c r="H181" i="15"/>
  <c r="I181" i="15" s="1"/>
  <c r="J181" i="15" s="1"/>
  <c r="K181" i="15" s="1"/>
  <c r="L181" i="15" s="1"/>
  <c r="D181" i="15"/>
  <c r="E181" i="15" s="1"/>
  <c r="F181" i="15" s="1"/>
  <c r="G181" i="15" s="1"/>
  <c r="T180" i="15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B180" i="15" s="1"/>
  <c r="M180" i="15"/>
  <c r="N180" i="15" s="1"/>
  <c r="O180" i="15" s="1"/>
  <c r="P180" i="15" s="1"/>
  <c r="Q180" i="15" s="1"/>
  <c r="R180" i="15" s="1"/>
  <c r="S180" i="15" s="1"/>
  <c r="K180" i="15"/>
  <c r="L180" i="15" s="1"/>
  <c r="H180" i="15"/>
  <c r="I180" i="15" s="1"/>
  <c r="J180" i="15" s="1"/>
  <c r="F180" i="15"/>
  <c r="G180" i="15" s="1"/>
  <c r="E180" i="15"/>
  <c r="D180" i="15"/>
  <c r="D179" i="15"/>
  <c r="E179" i="15" s="1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B179" i="15" s="1"/>
  <c r="O177" i="15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B177" i="15" s="1"/>
  <c r="N177" i="15"/>
  <c r="D177" i="15"/>
  <c r="E177" i="15" s="1"/>
  <c r="F177" i="15" s="1"/>
  <c r="G177" i="15" s="1"/>
  <c r="H177" i="15" s="1"/>
  <c r="I177" i="15" s="1"/>
  <c r="J177" i="15" s="1"/>
  <c r="K177" i="15" s="1"/>
  <c r="L177" i="15" s="1"/>
  <c r="M177" i="15" s="1"/>
  <c r="G176" i="15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B176" i="15" s="1"/>
  <c r="F176" i="15"/>
  <c r="E176" i="15"/>
  <c r="D176" i="15"/>
  <c r="U175" i="15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B175" i="15" s="1"/>
  <c r="S175" i="15"/>
  <c r="T175" i="15" s="1"/>
  <c r="D175" i="15"/>
  <c r="E175" i="15" s="1"/>
  <c r="F175" i="15" s="1"/>
  <c r="G175" i="15" s="1"/>
  <c r="H175" i="15" s="1"/>
  <c r="I175" i="15" s="1"/>
  <c r="J175" i="15" s="1"/>
  <c r="K175" i="15" s="1"/>
  <c r="L175" i="15" s="1"/>
  <c r="M175" i="15" s="1"/>
  <c r="N175" i="15" s="1"/>
  <c r="O175" i="15" s="1"/>
  <c r="P175" i="15" s="1"/>
  <c r="Q175" i="15" s="1"/>
  <c r="R175" i="15" s="1"/>
  <c r="F174" i="15"/>
  <c r="G174" i="15" s="1"/>
  <c r="H174" i="15" s="1"/>
  <c r="I174" i="15" s="1"/>
  <c r="J174" i="15" s="1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B174" i="15" s="1"/>
  <c r="D174" i="15"/>
  <c r="E174" i="15" s="1"/>
  <c r="D173" i="15"/>
  <c r="E173" i="15" s="1"/>
  <c r="F173" i="15" s="1"/>
  <c r="G173" i="15" s="1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B173" i="15" s="1"/>
  <c r="R172" i="15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B172" i="15" s="1"/>
  <c r="P172" i="15"/>
  <c r="Q172" i="15" s="1"/>
  <c r="F172" i="15"/>
  <c r="G172" i="15" s="1"/>
  <c r="H172" i="15" s="1"/>
  <c r="I172" i="15" s="1"/>
  <c r="J172" i="15" s="1"/>
  <c r="K172" i="15" s="1"/>
  <c r="L172" i="15" s="1"/>
  <c r="M172" i="15" s="1"/>
  <c r="N172" i="15" s="1"/>
  <c r="O172" i="15" s="1"/>
  <c r="E172" i="15"/>
  <c r="D172" i="15"/>
  <c r="F171" i="15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B171" i="15" s="1"/>
  <c r="E171" i="15"/>
  <c r="D171" i="15"/>
  <c r="D170" i="15"/>
  <c r="E170" i="15" s="1"/>
  <c r="F170" i="15" s="1"/>
  <c r="G170" i="15" s="1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B170" i="15" s="1"/>
  <c r="K168" i="15"/>
  <c r="L168" i="15" s="1"/>
  <c r="M168" i="15" s="1"/>
  <c r="N168" i="15" s="1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AF168" i="15" s="1"/>
  <c r="B168" i="15" s="1"/>
  <c r="D168" i="15"/>
  <c r="E168" i="15" s="1"/>
  <c r="F168" i="15" s="1"/>
  <c r="G168" i="15" s="1"/>
  <c r="H168" i="15" s="1"/>
  <c r="I168" i="15" s="1"/>
  <c r="J168" i="15" s="1"/>
  <c r="V167" i="15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B167" i="15" s="1"/>
  <c r="S167" i="15"/>
  <c r="T167" i="15" s="1"/>
  <c r="U167" i="15" s="1"/>
  <c r="J167" i="15"/>
  <c r="K167" i="15" s="1"/>
  <c r="L167" i="15" s="1"/>
  <c r="M167" i="15" s="1"/>
  <c r="N167" i="15" s="1"/>
  <c r="O167" i="15" s="1"/>
  <c r="P167" i="15" s="1"/>
  <c r="Q167" i="15" s="1"/>
  <c r="R167" i="15" s="1"/>
  <c r="I167" i="15"/>
  <c r="H167" i="15"/>
  <c r="G167" i="15"/>
  <c r="F167" i="15"/>
  <c r="E167" i="15"/>
  <c r="D167" i="15"/>
  <c r="D166" i="15"/>
  <c r="E166" i="15" s="1"/>
  <c r="F166" i="15" s="1"/>
  <c r="G166" i="15" s="1"/>
  <c r="H166" i="15" s="1"/>
  <c r="I166" i="15" s="1"/>
  <c r="J166" i="15" s="1"/>
  <c r="K166" i="15" s="1"/>
  <c r="L166" i="15" s="1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B166" i="15" s="1"/>
  <c r="J165" i="15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B165" i="15" s="1"/>
  <c r="G165" i="15"/>
  <c r="H165" i="15" s="1"/>
  <c r="I165" i="15" s="1"/>
  <c r="F165" i="15"/>
  <c r="E165" i="15"/>
  <c r="D165" i="15"/>
  <c r="E164" i="15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B164" i="15" s="1"/>
  <c r="D164" i="15"/>
  <c r="Z163" i="15"/>
  <c r="AA163" i="15" s="1"/>
  <c r="AB163" i="15" s="1"/>
  <c r="AC163" i="15" s="1"/>
  <c r="AD163" i="15" s="1"/>
  <c r="AE163" i="15" s="1"/>
  <c r="AF163" i="15" s="1"/>
  <c r="B163" i="15" s="1"/>
  <c r="F163" i="15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D163" i="15"/>
  <c r="E163" i="15" s="1"/>
  <c r="J162" i="15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B162" i="15" s="1"/>
  <c r="G162" i="15"/>
  <c r="H162" i="15" s="1"/>
  <c r="I162" i="15" s="1"/>
  <c r="F162" i="15"/>
  <c r="E162" i="15"/>
  <c r="D162" i="15"/>
  <c r="D161" i="15"/>
  <c r="E161" i="15" s="1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B161" i="15" s="1"/>
  <c r="P160" i="15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B160" i="15" s="1"/>
  <c r="I160" i="15"/>
  <c r="J160" i="15" s="1"/>
  <c r="K160" i="15" s="1"/>
  <c r="L160" i="15" s="1"/>
  <c r="M160" i="15" s="1"/>
  <c r="N160" i="15" s="1"/>
  <c r="O160" i="15" s="1"/>
  <c r="D160" i="15"/>
  <c r="E160" i="15" s="1"/>
  <c r="F160" i="15" s="1"/>
  <c r="G160" i="15" s="1"/>
  <c r="H160" i="15" s="1"/>
  <c r="N159" i="15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B159" i="15" s="1"/>
  <c r="H159" i="15"/>
  <c r="I159" i="15" s="1"/>
  <c r="J159" i="15" s="1"/>
  <c r="K159" i="15" s="1"/>
  <c r="L159" i="15" s="1"/>
  <c r="M159" i="15" s="1"/>
  <c r="G159" i="15"/>
  <c r="F159" i="15"/>
  <c r="E159" i="15"/>
  <c r="D159" i="15"/>
  <c r="D158" i="15"/>
  <c r="E158" i="15" s="1"/>
  <c r="F158" i="15" s="1"/>
  <c r="G158" i="15" s="1"/>
  <c r="H158" i="15" s="1"/>
  <c r="I158" i="15" s="1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B158" i="15" s="1"/>
  <c r="E157" i="15"/>
  <c r="F157" i="15" s="1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B157" i="15" s="1"/>
  <c r="D157" i="15"/>
  <c r="X156" i="15"/>
  <c r="Y156" i="15" s="1"/>
  <c r="Z156" i="15" s="1"/>
  <c r="AA156" i="15" s="1"/>
  <c r="AB156" i="15" s="1"/>
  <c r="AC156" i="15" s="1"/>
  <c r="AD156" i="15" s="1"/>
  <c r="AE156" i="15" s="1"/>
  <c r="AF156" i="15" s="1"/>
  <c r="B156" i="15" s="1"/>
  <c r="J156" i="15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I156" i="15"/>
  <c r="H156" i="15"/>
  <c r="D156" i="15"/>
  <c r="E156" i="15" s="1"/>
  <c r="F156" i="15" s="1"/>
  <c r="G156" i="15" s="1"/>
  <c r="H154" i="15"/>
  <c r="I154" i="15" s="1"/>
  <c r="J154" i="15" s="1"/>
  <c r="K154" i="15" s="1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AF154" i="15" s="1"/>
  <c r="B154" i="15" s="1"/>
  <c r="F154" i="15"/>
  <c r="G154" i="15" s="1"/>
  <c r="E154" i="15"/>
  <c r="D154" i="15"/>
  <c r="L153" i="15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B153" i="15" s="1"/>
  <c r="D153" i="15"/>
  <c r="E153" i="15" s="1"/>
  <c r="F153" i="15" s="1"/>
  <c r="G153" i="15" s="1"/>
  <c r="H153" i="15" s="1"/>
  <c r="I153" i="15" s="1"/>
  <c r="J153" i="15" s="1"/>
  <c r="K153" i="15" s="1"/>
  <c r="F152" i="15"/>
  <c r="G152" i="15" s="1"/>
  <c r="H152" i="15" s="1"/>
  <c r="I152" i="15" s="1"/>
  <c r="J152" i="15" s="1"/>
  <c r="K152" i="15" s="1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B152" i="15" s="1"/>
  <c r="D152" i="15"/>
  <c r="E152" i="15" s="1"/>
  <c r="H151" i="15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B151" i="15" s="1"/>
  <c r="D151" i="15"/>
  <c r="E151" i="15" s="1"/>
  <c r="F151" i="15" s="1"/>
  <c r="G151" i="15" s="1"/>
  <c r="J149" i="15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B149" i="15" s="1"/>
  <c r="I149" i="15"/>
  <c r="H149" i="15"/>
  <c r="G149" i="15"/>
  <c r="F149" i="15"/>
  <c r="E149" i="15"/>
  <c r="D149" i="15"/>
  <c r="F148" i="15"/>
  <c r="G148" i="15" s="1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B148" i="15" s="1"/>
  <c r="E148" i="15"/>
  <c r="D148" i="15"/>
  <c r="J146" i="15"/>
  <c r="K146" i="15" s="1"/>
  <c r="L146" i="15" s="1"/>
  <c r="M146" i="15" s="1"/>
  <c r="N146" i="15" s="1"/>
  <c r="O146" i="15" s="1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B146" i="15" s="1"/>
  <c r="F146" i="15"/>
  <c r="G146" i="15" s="1"/>
  <c r="H146" i="15" s="1"/>
  <c r="I146" i="15" s="1"/>
  <c r="E146" i="15"/>
  <c r="D146" i="15"/>
  <c r="AA145" i="15"/>
  <c r="AB145" i="15" s="1"/>
  <c r="AC145" i="15" s="1"/>
  <c r="AD145" i="15" s="1"/>
  <c r="AE145" i="15" s="1"/>
  <c r="AF145" i="15" s="1"/>
  <c r="B145" i="15" s="1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D145" i="15"/>
  <c r="I144" i="15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B144" i="15" s="1"/>
  <c r="H144" i="15"/>
  <c r="G144" i="15"/>
  <c r="F144" i="15"/>
  <c r="E144" i="15"/>
  <c r="D144" i="15"/>
  <c r="Y143" i="15"/>
  <c r="Z143" i="15" s="1"/>
  <c r="AA143" i="15" s="1"/>
  <c r="AB143" i="15" s="1"/>
  <c r="AC143" i="15" s="1"/>
  <c r="AD143" i="15" s="1"/>
  <c r="AE143" i="15" s="1"/>
  <c r="AF143" i="15" s="1"/>
  <c r="B143" i="15" s="1"/>
  <c r="D143" i="15"/>
  <c r="E143" i="15" s="1"/>
  <c r="F143" i="15" s="1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F142" i="15"/>
  <c r="G142" i="15" s="1"/>
  <c r="H142" i="15" s="1"/>
  <c r="I142" i="15" s="1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B142" i="15" s="1"/>
  <c r="E142" i="15"/>
  <c r="D142" i="15"/>
  <c r="Q141" i="15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B141" i="15" s="1"/>
  <c r="H141" i="15"/>
  <c r="I141" i="15" s="1"/>
  <c r="J141" i="15" s="1"/>
  <c r="K141" i="15" s="1"/>
  <c r="L141" i="15" s="1"/>
  <c r="M141" i="15" s="1"/>
  <c r="N141" i="15" s="1"/>
  <c r="O141" i="15" s="1"/>
  <c r="P141" i="15" s="1"/>
  <c r="G141" i="15"/>
  <c r="E141" i="15"/>
  <c r="F141" i="15" s="1"/>
  <c r="D141" i="15"/>
  <c r="G140" i="15"/>
  <c r="H140" i="15" s="1"/>
  <c r="I140" i="15" s="1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B140" i="15" s="1"/>
  <c r="D140" i="15"/>
  <c r="E140" i="15" s="1"/>
  <c r="F140" i="15" s="1"/>
  <c r="J138" i="15"/>
  <c r="K138" i="15" s="1"/>
  <c r="L138" i="15" s="1"/>
  <c r="M138" i="15" s="1"/>
  <c r="N138" i="15" s="1"/>
  <c r="O138" i="15" s="1"/>
  <c r="P138" i="15" s="1"/>
  <c r="Q138" i="15" s="1"/>
  <c r="R138" i="15" s="1"/>
  <c r="S138" i="15" s="1"/>
  <c r="T138" i="15" s="1"/>
  <c r="U138" i="15" s="1"/>
  <c r="V138" i="15" s="1"/>
  <c r="W138" i="15" s="1"/>
  <c r="X138" i="15" s="1"/>
  <c r="Y138" i="15" s="1"/>
  <c r="Z138" i="15" s="1"/>
  <c r="AA138" i="15" s="1"/>
  <c r="AB138" i="15" s="1"/>
  <c r="AC138" i="15" s="1"/>
  <c r="AD138" i="15" s="1"/>
  <c r="AE138" i="15" s="1"/>
  <c r="AF138" i="15" s="1"/>
  <c r="B138" i="15" s="1"/>
  <c r="I138" i="15"/>
  <c r="E138" i="15"/>
  <c r="F138" i="15" s="1"/>
  <c r="G138" i="15" s="1"/>
  <c r="H138" i="15" s="1"/>
  <c r="D138" i="15"/>
  <c r="I137" i="15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B137" i="15" s="1"/>
  <c r="H137" i="15"/>
  <c r="G137" i="15"/>
  <c r="F137" i="15"/>
  <c r="E137" i="15"/>
  <c r="D137" i="15"/>
  <c r="E136" i="15"/>
  <c r="F136" i="15" s="1"/>
  <c r="G136" i="15" s="1"/>
  <c r="H136" i="15" s="1"/>
  <c r="I136" i="15" s="1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B136" i="15" s="1"/>
  <c r="D136" i="15"/>
  <c r="D135" i="15"/>
  <c r="E135" i="15" s="1"/>
  <c r="F135" i="15" s="1"/>
  <c r="G135" i="15" s="1"/>
  <c r="H135" i="15" s="1"/>
  <c r="I135" i="15" s="1"/>
  <c r="J135" i="15" s="1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B135" i="15" s="1"/>
  <c r="I134" i="15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B134" i="15" s="1"/>
  <c r="H134" i="15"/>
  <c r="E134" i="15"/>
  <c r="F134" i="15" s="1"/>
  <c r="G134" i="15" s="1"/>
  <c r="D134" i="15"/>
  <c r="S133" i="15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B133" i="15" s="1"/>
  <c r="D133" i="15"/>
  <c r="E133" i="15" s="1"/>
  <c r="F133" i="15" s="1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F132" i="15"/>
  <c r="G132" i="15" s="1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B132" i="15" s="1"/>
  <c r="E132" i="15"/>
  <c r="D132" i="15"/>
  <c r="D131" i="15"/>
  <c r="E131" i="15" s="1"/>
  <c r="F131" i="15" s="1"/>
  <c r="G131" i="15" s="1"/>
  <c r="H131" i="15" s="1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B131" i="15" s="1"/>
  <c r="Y129" i="15"/>
  <c r="Z129" i="15" s="1"/>
  <c r="AA129" i="15" s="1"/>
  <c r="AB129" i="15" s="1"/>
  <c r="AC129" i="15" s="1"/>
  <c r="AD129" i="15" s="1"/>
  <c r="AE129" i="15" s="1"/>
  <c r="AF129" i="15" s="1"/>
  <c r="B129" i="15" s="1"/>
  <c r="H129" i="15"/>
  <c r="I129" i="15" s="1"/>
  <c r="J129" i="15" s="1"/>
  <c r="K129" i="15" s="1"/>
  <c r="L129" i="15" s="1"/>
  <c r="M129" i="15" s="1"/>
  <c r="N129" i="15" s="1"/>
  <c r="O129" i="15" s="1"/>
  <c r="P129" i="15" s="1"/>
  <c r="Q129" i="15" s="1"/>
  <c r="R129" i="15" s="1"/>
  <c r="S129" i="15" s="1"/>
  <c r="T129" i="15" s="1"/>
  <c r="U129" i="15" s="1"/>
  <c r="V129" i="15" s="1"/>
  <c r="W129" i="15" s="1"/>
  <c r="X129" i="15" s="1"/>
  <c r="E129" i="15"/>
  <c r="F129" i="15" s="1"/>
  <c r="G129" i="15" s="1"/>
  <c r="D129" i="15"/>
  <c r="F128" i="15"/>
  <c r="G128" i="15" s="1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B128" i="15" s="1"/>
  <c r="D128" i="15"/>
  <c r="E128" i="15" s="1"/>
  <c r="AE127" i="15"/>
  <c r="AF127" i="15" s="1"/>
  <c r="B127" i="15" s="1"/>
  <c r="M127" i="15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E127" i="15"/>
  <c r="F127" i="15" s="1"/>
  <c r="G127" i="15" s="1"/>
  <c r="H127" i="15" s="1"/>
  <c r="I127" i="15" s="1"/>
  <c r="J127" i="15" s="1"/>
  <c r="K127" i="15" s="1"/>
  <c r="L127" i="15" s="1"/>
  <c r="D127" i="15"/>
  <c r="F126" i="15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B126" i="15" s="1"/>
  <c r="E126" i="15"/>
  <c r="D126" i="15"/>
  <c r="S125" i="15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B125" i="15" s="1"/>
  <c r="D125" i="15"/>
  <c r="E125" i="15" s="1"/>
  <c r="F125" i="15" s="1"/>
  <c r="G125" i="15" s="1"/>
  <c r="H125" i="15" s="1"/>
  <c r="I125" i="15" s="1"/>
  <c r="J125" i="15" s="1"/>
  <c r="K125" i="15" s="1"/>
  <c r="L125" i="15" s="1"/>
  <c r="M125" i="15" s="1"/>
  <c r="N125" i="15" s="1"/>
  <c r="O125" i="15" s="1"/>
  <c r="P125" i="15" s="1"/>
  <c r="Q125" i="15" s="1"/>
  <c r="R125" i="15" s="1"/>
  <c r="G124" i="15"/>
  <c r="H124" i="15" s="1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B124" i="15" s="1"/>
  <c r="F124" i="15"/>
  <c r="D124" i="15"/>
  <c r="E124" i="15" s="1"/>
  <c r="M123" i="15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B123" i="15" s="1"/>
  <c r="E123" i="15"/>
  <c r="F123" i="15" s="1"/>
  <c r="G123" i="15" s="1"/>
  <c r="H123" i="15" s="1"/>
  <c r="I123" i="15" s="1"/>
  <c r="J123" i="15" s="1"/>
  <c r="K123" i="15" s="1"/>
  <c r="L123" i="15" s="1"/>
  <c r="D123" i="15"/>
  <c r="F122" i="15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B122" i="15" s="1"/>
  <c r="D122" i="15"/>
  <c r="E122" i="15" s="1"/>
  <c r="I121" i="15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B121" i="15" s="1"/>
  <c r="E121" i="15"/>
  <c r="F121" i="15" s="1"/>
  <c r="G121" i="15" s="1"/>
  <c r="H121" i="15" s="1"/>
  <c r="D121" i="15"/>
  <c r="H120" i="15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B120" i="15" s="1"/>
  <c r="G120" i="15"/>
  <c r="D120" i="15"/>
  <c r="E120" i="15" s="1"/>
  <c r="F120" i="15" s="1"/>
  <c r="E119" i="15"/>
  <c r="F119" i="15" s="1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B119" i="15" s="1"/>
  <c r="D119" i="15"/>
  <c r="D118" i="15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B118" i="15" s="1"/>
  <c r="E117" i="15"/>
  <c r="F117" i="15" s="1"/>
  <c r="G117" i="15" s="1"/>
  <c r="H117" i="15" s="1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B117" i="15" s="1"/>
  <c r="D117" i="15"/>
  <c r="E116" i="15"/>
  <c r="F116" i="15" s="1"/>
  <c r="G116" i="15" s="1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B116" i="15" s="1"/>
  <c r="D116" i="15"/>
  <c r="D115" i="15"/>
  <c r="E115" i="15" s="1"/>
  <c r="F115" i="15" s="1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B115" i="15" s="1"/>
  <c r="Z114" i="15"/>
  <c r="AA114" i="15" s="1"/>
  <c r="AB114" i="15" s="1"/>
  <c r="AC114" i="15" s="1"/>
  <c r="AD114" i="15" s="1"/>
  <c r="AE114" i="15" s="1"/>
  <c r="AF114" i="15" s="1"/>
  <c r="B114" i="15" s="1"/>
  <c r="M114" i="15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K114" i="15"/>
  <c r="L114" i="15" s="1"/>
  <c r="D114" i="15"/>
  <c r="E114" i="15" s="1"/>
  <c r="F114" i="15" s="1"/>
  <c r="G114" i="15" s="1"/>
  <c r="H114" i="15" s="1"/>
  <c r="I114" i="15" s="1"/>
  <c r="D113" i="15"/>
  <c r="E113" i="15" s="1"/>
  <c r="F113" i="15" s="1"/>
  <c r="G113" i="15" s="1"/>
  <c r="H113" i="15" s="1"/>
  <c r="I113" i="15" s="1"/>
  <c r="J113" i="15" s="1"/>
  <c r="K113" i="15" s="1"/>
  <c r="L113" i="15" s="1"/>
  <c r="M113" i="15" s="1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B113" i="15" s="1"/>
  <c r="D112" i="15"/>
  <c r="E112" i="15" s="1"/>
  <c r="F112" i="15" s="1"/>
  <c r="G112" i="15" s="1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B112" i="15" s="1"/>
  <c r="AB110" i="15"/>
  <c r="AC110" i="15" s="1"/>
  <c r="AD110" i="15" s="1"/>
  <c r="AE110" i="15" s="1"/>
  <c r="AF110" i="15" s="1"/>
  <c r="B110" i="15" s="1"/>
  <c r="R110" i="15"/>
  <c r="S110" i="15" s="1"/>
  <c r="T110" i="15" s="1"/>
  <c r="U110" i="15" s="1"/>
  <c r="V110" i="15" s="1"/>
  <c r="W110" i="15" s="1"/>
  <c r="X110" i="15" s="1"/>
  <c r="Y110" i="15" s="1"/>
  <c r="Z110" i="15" s="1"/>
  <c r="AA110" i="15" s="1"/>
  <c r="F110" i="15"/>
  <c r="G110" i="15" s="1"/>
  <c r="H110" i="15" s="1"/>
  <c r="I110" i="15" s="1"/>
  <c r="J110" i="15" s="1"/>
  <c r="K110" i="15" s="1"/>
  <c r="L110" i="15" s="1"/>
  <c r="M110" i="15" s="1"/>
  <c r="N110" i="15" s="1"/>
  <c r="O110" i="15" s="1"/>
  <c r="P110" i="15" s="1"/>
  <c r="Q110" i="15" s="1"/>
  <c r="E110" i="15"/>
  <c r="D110" i="15"/>
  <c r="D109" i="15"/>
  <c r="D93" i="15" s="1"/>
  <c r="G107" i="15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B107" i="15" s="1"/>
  <c r="F107" i="15"/>
  <c r="D107" i="15"/>
  <c r="E107" i="15" s="1"/>
  <c r="I106" i="15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B106" i="15" s="1"/>
  <c r="D106" i="15"/>
  <c r="E106" i="15" s="1"/>
  <c r="F106" i="15" s="1"/>
  <c r="G106" i="15" s="1"/>
  <c r="H106" i="15" s="1"/>
  <c r="L105" i="15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B105" i="15" s="1"/>
  <c r="D105" i="15"/>
  <c r="E105" i="15" s="1"/>
  <c r="F105" i="15" s="1"/>
  <c r="G105" i="15" s="1"/>
  <c r="H105" i="15" s="1"/>
  <c r="I105" i="15" s="1"/>
  <c r="J105" i="15" s="1"/>
  <c r="K105" i="15" s="1"/>
  <c r="N104" i="15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B104" i="15" s="1"/>
  <c r="E104" i="15"/>
  <c r="F104" i="15" s="1"/>
  <c r="G104" i="15" s="1"/>
  <c r="H104" i="15" s="1"/>
  <c r="I104" i="15" s="1"/>
  <c r="J104" i="15" s="1"/>
  <c r="K104" i="15" s="1"/>
  <c r="L104" i="15" s="1"/>
  <c r="M104" i="15" s="1"/>
  <c r="D104" i="15"/>
  <c r="D103" i="15"/>
  <c r="E103" i="15" s="1"/>
  <c r="F103" i="15" s="1"/>
  <c r="E102" i="15"/>
  <c r="D102" i="15"/>
  <c r="AH98" i="15"/>
  <c r="AI98" i="15" s="1"/>
  <c r="AH97" i="15"/>
  <c r="AI97" i="15" s="1"/>
  <c r="AH96" i="15"/>
  <c r="AI96" i="15" s="1"/>
  <c r="AH95" i="15"/>
  <c r="AI95" i="15" s="1"/>
  <c r="AH94" i="15"/>
  <c r="AI94" i="15" s="1"/>
  <c r="C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G82" i="15"/>
  <c r="AI81" i="15"/>
  <c r="AH81" i="15"/>
  <c r="AF80" i="15"/>
  <c r="AE80" i="15"/>
  <c r="AD80" i="15"/>
  <c r="AC80" i="15"/>
  <c r="AB80" i="15"/>
  <c r="AA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F79" i="15"/>
  <c r="AE79" i="15"/>
  <c r="AD79" i="15"/>
  <c r="AC79" i="15"/>
  <c r="AB79" i="15"/>
  <c r="AA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F78" i="15"/>
  <c r="AE78" i="15"/>
  <c r="AD78" i="15"/>
  <c r="AC78" i="15"/>
  <c r="AB78" i="15"/>
  <c r="AA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F77" i="15"/>
  <c r="AE77" i="15"/>
  <c r="AD77" i="15"/>
  <c r="AC77" i="15"/>
  <c r="AB77" i="15"/>
  <c r="AA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F76" i="15"/>
  <c r="AE76" i="15"/>
  <c r="AD76" i="15"/>
  <c r="AC76" i="15"/>
  <c r="AB76" i="15"/>
  <c r="AA76" i="15"/>
  <c r="AA82" i="15" s="1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I74" i="15"/>
  <c r="AH74" i="15"/>
  <c r="AG72" i="15"/>
  <c r="AF72" i="15"/>
  <c r="AE72" i="15"/>
  <c r="AD72" i="15"/>
  <c r="AC72" i="15"/>
  <c r="AB72" i="15"/>
  <c r="AA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AI71" i="15"/>
  <c r="AH71" i="15"/>
  <c r="AI70" i="15"/>
  <c r="AH70" i="15"/>
  <c r="AI69" i="15"/>
  <c r="AH69" i="15"/>
  <c r="AG68" i="15"/>
  <c r="AF68" i="15"/>
  <c r="AE5" i="15" s="1"/>
  <c r="AE68" i="15"/>
  <c r="AD68" i="15"/>
  <c r="AC68" i="15"/>
  <c r="AB5" i="15" s="1"/>
  <c r="AB68" i="15"/>
  <c r="AA68" i="15"/>
  <c r="Z5" i="15" s="1"/>
  <c r="Y68" i="15"/>
  <c r="X68" i="15"/>
  <c r="W68" i="15"/>
  <c r="V68" i="15"/>
  <c r="U5" i="15" s="1"/>
  <c r="U68" i="15"/>
  <c r="T68" i="15"/>
  <c r="S68" i="15"/>
  <c r="R5" i="15" s="1"/>
  <c r="R68" i="15"/>
  <c r="Q5" i="15" s="1"/>
  <c r="Q68" i="15"/>
  <c r="P68" i="15"/>
  <c r="O5" i="15" s="1"/>
  <c r="O68" i="15"/>
  <c r="N68" i="15"/>
  <c r="M5" i="15" s="1"/>
  <c r="M68" i="15"/>
  <c r="L5" i="15" s="1"/>
  <c r="L68" i="15"/>
  <c r="K68" i="15"/>
  <c r="J5" i="15" s="1"/>
  <c r="J68" i="15"/>
  <c r="I68" i="15"/>
  <c r="H5" i="15" s="1"/>
  <c r="H68" i="15"/>
  <c r="G68" i="15"/>
  <c r="F68" i="15"/>
  <c r="E5" i="15" s="1"/>
  <c r="E68" i="15"/>
  <c r="D5" i="15" s="1"/>
  <c r="D68" i="15"/>
  <c r="C68" i="15"/>
  <c r="B5" i="15" s="1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F56" i="15"/>
  <c r="AE56" i="15"/>
  <c r="AD56" i="15"/>
  <c r="AC56" i="15"/>
  <c r="AB56" i="15"/>
  <c r="AA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AI55" i="15"/>
  <c r="AH55" i="15"/>
  <c r="AI54" i="15"/>
  <c r="AH54" i="15"/>
  <c r="AI53" i="15"/>
  <c r="AH53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G51" i="15"/>
  <c r="AG52" i="15" s="1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F38" i="15"/>
  <c r="AE38" i="15"/>
  <c r="AD38" i="15"/>
  <c r="AC38" i="15"/>
  <c r="AB38" i="15"/>
  <c r="AA38" i="15"/>
  <c r="AR214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C5" i="15"/>
  <c r="Y5" i="15"/>
  <c r="X5" i="15"/>
  <c r="W5" i="15"/>
  <c r="P5" i="15"/>
  <c r="I5" i="15"/>
  <c r="G5" i="15"/>
  <c r="AG4" i="15"/>
  <c r="K4" i="15"/>
  <c r="B4" i="15"/>
  <c r="AG2" i="15"/>
  <c r="AF37" i="14"/>
  <c r="AE37" i="14"/>
  <c r="AD37" i="14"/>
  <c r="AC37" i="14"/>
  <c r="AB37" i="14"/>
  <c r="E4" i="15"/>
  <c r="AF82" i="15" l="1"/>
  <c r="AE82" i="15"/>
  <c r="AD82" i="15"/>
  <c r="AC82" i="15"/>
  <c r="X82" i="15"/>
  <c r="W82" i="15"/>
  <c r="V82" i="15"/>
  <c r="U82" i="15"/>
  <c r="S82" i="15"/>
  <c r="S73" i="15"/>
  <c r="R75" i="15"/>
  <c r="AJ214" i="15" s="1"/>
  <c r="Q73" i="15"/>
  <c r="P82" i="15"/>
  <c r="R73" i="15"/>
  <c r="S75" i="15"/>
  <c r="Q75" i="15"/>
  <c r="AI214" i="15" s="1"/>
  <c r="P73" i="15"/>
  <c r="O82" i="15"/>
  <c r="O75" i="15"/>
  <c r="AG214" i="15" s="1"/>
  <c r="O73" i="15"/>
  <c r="O83" i="15" s="1"/>
  <c r="N82" i="15"/>
  <c r="N73" i="15"/>
  <c r="M82" i="15"/>
  <c r="K82" i="15"/>
  <c r="K73" i="15"/>
  <c r="K75" i="15"/>
  <c r="AI78" i="15"/>
  <c r="J75" i="15"/>
  <c r="AB214" i="15" s="1"/>
  <c r="J73" i="15"/>
  <c r="AI79" i="15"/>
  <c r="I73" i="15"/>
  <c r="I75" i="15"/>
  <c r="AA214" i="15" s="1"/>
  <c r="AI76" i="15"/>
  <c r="H82" i="15"/>
  <c r="H73" i="15"/>
  <c r="G82" i="15"/>
  <c r="G75" i="15"/>
  <c r="G73" i="15"/>
  <c r="F82" i="15"/>
  <c r="F73" i="15"/>
  <c r="F75" i="15"/>
  <c r="X214" i="15" s="1"/>
  <c r="E82" i="15"/>
  <c r="AI56" i="15"/>
  <c r="AH79" i="15"/>
  <c r="C82" i="15"/>
  <c r="AH56" i="15"/>
  <c r="C73" i="15"/>
  <c r="C75" i="15" s="1"/>
  <c r="U214" i="15" s="1"/>
  <c r="AI38" i="15"/>
  <c r="B82" i="15"/>
  <c r="B75" i="15"/>
  <c r="B73" i="15"/>
  <c r="H4" i="15"/>
  <c r="S211" i="15"/>
  <c r="D211" i="15"/>
  <c r="AH68" i="15"/>
  <c r="D75" i="15"/>
  <c r="L75" i="15"/>
  <c r="T75" i="15"/>
  <c r="E73" i="15"/>
  <c r="M73" i="15"/>
  <c r="M83" i="15" s="1"/>
  <c r="I82" i="15"/>
  <c r="Q82" i="15"/>
  <c r="Y82" i="15"/>
  <c r="AH77" i="15"/>
  <c r="J82" i="15"/>
  <c r="R82" i="15"/>
  <c r="AI80" i="15"/>
  <c r="L73" i="15"/>
  <c r="K5" i="15"/>
  <c r="M75" i="15"/>
  <c r="AH80" i="15"/>
  <c r="E75" i="15"/>
  <c r="D73" i="15"/>
  <c r="C5" i="15"/>
  <c r="AA5" i="15"/>
  <c r="F83" i="15"/>
  <c r="AG73" i="15"/>
  <c r="AG75" i="15"/>
  <c r="N75" i="15"/>
  <c r="T5" i="15"/>
  <c r="AH72" i="15"/>
  <c r="D82" i="15"/>
  <c r="L82" i="15"/>
  <c r="T82" i="15"/>
  <c r="AB82" i="15"/>
  <c r="E109" i="15"/>
  <c r="T73" i="15"/>
  <c r="S5" i="15"/>
  <c r="F7" i="15"/>
  <c r="AH78" i="15"/>
  <c r="AG6" i="15"/>
  <c r="AG3" i="15"/>
  <c r="AI72" i="15"/>
  <c r="G103" i="15"/>
  <c r="AI68" i="15"/>
  <c r="AI77" i="15"/>
  <c r="F5" i="15"/>
  <c r="N5" i="15"/>
  <c r="V5" i="15"/>
  <c r="AD5" i="15"/>
  <c r="H75" i="15"/>
  <c r="P75" i="15"/>
  <c r="D192" i="15"/>
  <c r="F102" i="15"/>
  <c r="AH76" i="15"/>
  <c r="AH38" i="15"/>
  <c r="E199" i="15"/>
  <c r="H194" i="15"/>
  <c r="E200" i="15"/>
  <c r="D200" i="15"/>
  <c r="G83" i="15" l="1"/>
  <c r="AG83" i="15"/>
  <c r="T83" i="15"/>
  <c r="R7" i="15"/>
  <c r="R83" i="15"/>
  <c r="Q83" i="15"/>
  <c r="AK214" i="15"/>
  <c r="S7" i="15"/>
  <c r="P83" i="15"/>
  <c r="Q7" i="15"/>
  <c r="O7" i="15"/>
  <c r="S83" i="15"/>
  <c r="N83" i="15"/>
  <c r="AC214" i="15"/>
  <c r="K7" i="15"/>
  <c r="K83" i="15"/>
  <c r="J7" i="15"/>
  <c r="J83" i="15"/>
  <c r="I7" i="15"/>
  <c r="I83" i="15"/>
  <c r="B209" i="15"/>
  <c r="G7" i="15"/>
  <c r="Y214" i="15"/>
  <c r="E83" i="15"/>
  <c r="D83" i="15"/>
  <c r="C83" i="15"/>
  <c r="C7" i="15"/>
  <c r="B83" i="15"/>
  <c r="AD214" i="15"/>
  <c r="L7" i="15"/>
  <c r="F199" i="15"/>
  <c r="D235" i="15"/>
  <c r="W214" i="15"/>
  <c r="E7" i="15"/>
  <c r="V214" i="15"/>
  <c r="D7" i="15"/>
  <c r="I194" i="15"/>
  <c r="AL214" i="15"/>
  <c r="T7" i="15"/>
  <c r="F109" i="15"/>
  <c r="E93" i="15"/>
  <c r="AH214" i="15"/>
  <c r="P7" i="15"/>
  <c r="C209" i="15"/>
  <c r="K6" i="15" s="1"/>
  <c r="AI82" i="15"/>
  <c r="AH82" i="15"/>
  <c r="Z214" i="15"/>
  <c r="H7" i="15"/>
  <c r="H83" i="15"/>
  <c r="E192" i="15"/>
  <c r="AF214" i="15"/>
  <c r="N7" i="15"/>
  <c r="H103" i="15"/>
  <c r="AE214" i="15"/>
  <c r="M7" i="15"/>
  <c r="L83" i="15"/>
  <c r="F192" i="15"/>
  <c r="G102" i="15"/>
  <c r="X58" i="14"/>
  <c r="W58" i="14"/>
  <c r="V58" i="14"/>
  <c r="U58" i="14"/>
  <c r="T58" i="14"/>
  <c r="G109" i="15" l="1"/>
  <c r="F93" i="15"/>
  <c r="I103" i="15"/>
  <c r="E235" i="15"/>
  <c r="G199" i="15"/>
  <c r="F200" i="15"/>
  <c r="J194" i="15"/>
  <c r="G192" i="15"/>
  <c r="H102" i="15"/>
  <c r="I102" i="15" l="1"/>
  <c r="F235" i="15"/>
  <c r="H199" i="15"/>
  <c r="G200" i="15"/>
  <c r="K194" i="15"/>
  <c r="J103" i="15"/>
  <c r="H109" i="15"/>
  <c r="G93" i="15"/>
  <c r="L194" i="15" l="1"/>
  <c r="G235" i="15"/>
  <c r="I199" i="15"/>
  <c r="H200" i="15"/>
  <c r="I109" i="15"/>
  <c r="H93" i="15"/>
  <c r="J102" i="15"/>
  <c r="H192" i="15"/>
  <c r="K103" i="15"/>
  <c r="J109" i="15" l="1"/>
  <c r="I93" i="15"/>
  <c r="H235" i="15"/>
  <c r="J199" i="15"/>
  <c r="I200" i="15"/>
  <c r="M194" i="15"/>
  <c r="L103" i="15"/>
  <c r="J192" i="15"/>
  <c r="K102" i="15"/>
  <c r="I192" i="15"/>
  <c r="S58" i="14"/>
  <c r="K199" i="15" l="1"/>
  <c r="I235" i="15"/>
  <c r="J200" i="15"/>
  <c r="M103" i="15"/>
  <c r="K192" i="15"/>
  <c r="L102" i="15"/>
  <c r="N194" i="15"/>
  <c r="K109" i="15"/>
  <c r="J93" i="15"/>
  <c r="M102" i="15" l="1"/>
  <c r="O194" i="15"/>
  <c r="N103" i="15"/>
  <c r="L109" i="15"/>
  <c r="K93" i="15"/>
  <c r="J235" i="15"/>
  <c r="L199" i="15"/>
  <c r="K200" i="15"/>
  <c r="M109" i="15" l="1"/>
  <c r="L93" i="15"/>
  <c r="O103" i="15"/>
  <c r="P194" i="15"/>
  <c r="K235" i="15"/>
  <c r="M199" i="15"/>
  <c r="L200" i="15"/>
  <c r="M192" i="15"/>
  <c r="N102" i="15"/>
  <c r="L192" i="15"/>
  <c r="R95" i="14"/>
  <c r="R68" i="14"/>
  <c r="R37" i="14"/>
  <c r="R38" i="14"/>
  <c r="R52" i="14"/>
  <c r="R56" i="14"/>
  <c r="R72" i="14"/>
  <c r="R76" i="14"/>
  <c r="R78" i="14"/>
  <c r="R79" i="14"/>
  <c r="R80" i="14"/>
  <c r="Q80" i="14"/>
  <c r="Q79" i="14"/>
  <c r="Q78" i="14"/>
  <c r="Q77" i="14"/>
  <c r="Q76" i="14"/>
  <c r="Q72" i="14"/>
  <c r="Q68" i="14"/>
  <c r="Q56" i="14"/>
  <c r="Q52" i="14"/>
  <c r="Q38" i="14"/>
  <c r="P80" i="14"/>
  <c r="P79" i="14"/>
  <c r="P78" i="14"/>
  <c r="P77" i="14"/>
  <c r="P76" i="14"/>
  <c r="P72" i="14"/>
  <c r="P68" i="14"/>
  <c r="P56" i="14"/>
  <c r="P52" i="14"/>
  <c r="P38" i="14"/>
  <c r="O95" i="14"/>
  <c r="O93" i="14"/>
  <c r="N199" i="15" l="1"/>
  <c r="L235" i="15"/>
  <c r="M200" i="15"/>
  <c r="Q194" i="15"/>
  <c r="N192" i="15"/>
  <c r="O102" i="15"/>
  <c r="P103" i="15"/>
  <c r="N109" i="15"/>
  <c r="M93" i="15"/>
  <c r="R77" i="14"/>
  <c r="R82" i="14"/>
  <c r="R75" i="14"/>
  <c r="R73" i="14"/>
  <c r="R83" i="14" s="1"/>
  <c r="P82" i="14"/>
  <c r="Q82" i="14"/>
  <c r="Q73" i="14"/>
  <c r="Q75" i="14"/>
  <c r="P73" i="14"/>
  <c r="P75" i="14"/>
  <c r="P83" i="14" s="1"/>
  <c r="N95" i="14"/>
  <c r="N58" i="14"/>
  <c r="R194" i="15" l="1"/>
  <c r="P102" i="15"/>
  <c r="O109" i="15"/>
  <c r="N93" i="15"/>
  <c r="Q103" i="15"/>
  <c r="O199" i="15"/>
  <c r="M235" i="15"/>
  <c r="N200" i="15"/>
  <c r="Q83" i="14"/>
  <c r="M37" i="14"/>
  <c r="AH100" i="14"/>
  <c r="AI100" i="14" s="1"/>
  <c r="AH99" i="14"/>
  <c r="AI99" i="14" s="1"/>
  <c r="R103" i="15" l="1"/>
  <c r="S194" i="15"/>
  <c r="P109" i="15"/>
  <c r="O93" i="15"/>
  <c r="P192" i="15"/>
  <c r="Q102" i="15"/>
  <c r="O192" i="15"/>
  <c r="N235" i="15"/>
  <c r="P199" i="15"/>
  <c r="O200" i="15"/>
  <c r="AF239" i="14"/>
  <c r="AE239" i="14"/>
  <c r="AD239" i="14"/>
  <c r="AC239" i="14"/>
  <c r="AB239" i="14"/>
  <c r="AA239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A239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B235" i="14"/>
  <c r="S210" i="14"/>
  <c r="AG200" i="14"/>
  <c r="C200" i="14"/>
  <c r="E199" i="14"/>
  <c r="D235" i="14" s="1"/>
  <c r="D199" i="14"/>
  <c r="C235" i="14" s="1"/>
  <c r="J198" i="14"/>
  <c r="K198" i="14" s="1"/>
  <c r="L198" i="14" s="1"/>
  <c r="M198" i="14" s="1"/>
  <c r="N198" i="14" s="1"/>
  <c r="O198" i="14" s="1"/>
  <c r="P198" i="14" s="1"/>
  <c r="Q198" i="14" s="1"/>
  <c r="R198" i="14" s="1"/>
  <c r="S198" i="14" s="1"/>
  <c r="T198" i="14" s="1"/>
  <c r="U198" i="14" s="1"/>
  <c r="V198" i="14" s="1"/>
  <c r="W198" i="14" s="1"/>
  <c r="X198" i="14" s="1"/>
  <c r="Y198" i="14" s="1"/>
  <c r="Z198" i="14" s="1"/>
  <c r="AA198" i="14" s="1"/>
  <c r="AB198" i="14" s="1"/>
  <c r="AC198" i="14" s="1"/>
  <c r="AD198" i="14" s="1"/>
  <c r="AE198" i="14" s="1"/>
  <c r="AF198" i="14" s="1"/>
  <c r="B198" i="14" s="1"/>
  <c r="F198" i="14"/>
  <c r="G198" i="14" s="1"/>
  <c r="H198" i="14" s="1"/>
  <c r="I198" i="14" s="1"/>
  <c r="E198" i="14"/>
  <c r="D198" i="14"/>
  <c r="R197" i="14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B197" i="14" s="1"/>
  <c r="Q197" i="14"/>
  <c r="L197" i="14"/>
  <c r="M197" i="14" s="1"/>
  <c r="N197" i="14" s="1"/>
  <c r="O197" i="14" s="1"/>
  <c r="P197" i="14" s="1"/>
  <c r="F197" i="14"/>
  <c r="G197" i="14" s="1"/>
  <c r="H197" i="14" s="1"/>
  <c r="I197" i="14" s="1"/>
  <c r="J197" i="14" s="1"/>
  <c r="K197" i="14" s="1"/>
  <c r="D197" i="14"/>
  <c r="E197" i="14" s="1"/>
  <c r="D196" i="14"/>
  <c r="E196" i="14" s="1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Q196" i="14" s="1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B196" i="14" s="1"/>
  <c r="E195" i="14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B195" i="14" s="1"/>
  <c r="D195" i="14"/>
  <c r="D194" i="14"/>
  <c r="AG192" i="14"/>
  <c r="C192" i="14"/>
  <c r="I191" i="14"/>
  <c r="J191" i="14" s="1"/>
  <c r="K191" i="14" s="1"/>
  <c r="L191" i="14" s="1"/>
  <c r="M191" i="14" s="1"/>
  <c r="N191" i="14" s="1"/>
  <c r="O191" i="14" s="1"/>
  <c r="P191" i="14" s="1"/>
  <c r="Q191" i="14" s="1"/>
  <c r="R191" i="14" s="1"/>
  <c r="S191" i="14" s="1"/>
  <c r="T191" i="14" s="1"/>
  <c r="U191" i="14" s="1"/>
  <c r="V191" i="14" s="1"/>
  <c r="W191" i="14" s="1"/>
  <c r="X191" i="14" s="1"/>
  <c r="Y191" i="14" s="1"/>
  <c r="Z191" i="14" s="1"/>
  <c r="AA191" i="14" s="1"/>
  <c r="AB191" i="14" s="1"/>
  <c r="AC191" i="14" s="1"/>
  <c r="AD191" i="14" s="1"/>
  <c r="AE191" i="14" s="1"/>
  <c r="AF191" i="14" s="1"/>
  <c r="B191" i="14" s="1"/>
  <c r="H191" i="14"/>
  <c r="G191" i="14"/>
  <c r="F191" i="14"/>
  <c r="D191" i="14"/>
  <c r="E191" i="14" s="1"/>
  <c r="Z190" i="14"/>
  <c r="AA190" i="14" s="1"/>
  <c r="AB190" i="14" s="1"/>
  <c r="AC190" i="14" s="1"/>
  <c r="AD190" i="14" s="1"/>
  <c r="AE190" i="14" s="1"/>
  <c r="AF190" i="14" s="1"/>
  <c r="B190" i="14" s="1"/>
  <c r="Y190" i="14"/>
  <c r="E190" i="14"/>
  <c r="F190" i="14" s="1"/>
  <c r="G190" i="14" s="1"/>
  <c r="H190" i="14" s="1"/>
  <c r="I190" i="14" s="1"/>
  <c r="J190" i="14" s="1"/>
  <c r="K190" i="14" s="1"/>
  <c r="L190" i="14" s="1"/>
  <c r="M190" i="14" s="1"/>
  <c r="N190" i="14" s="1"/>
  <c r="O190" i="14" s="1"/>
  <c r="P190" i="14" s="1"/>
  <c r="Q190" i="14" s="1"/>
  <c r="R190" i="14" s="1"/>
  <c r="S190" i="14" s="1"/>
  <c r="T190" i="14" s="1"/>
  <c r="U190" i="14" s="1"/>
  <c r="V190" i="14" s="1"/>
  <c r="W190" i="14" s="1"/>
  <c r="X190" i="14" s="1"/>
  <c r="D190" i="14"/>
  <c r="T189" i="14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B189" i="14" s="1"/>
  <c r="N189" i="14"/>
  <c r="O189" i="14" s="1"/>
  <c r="P189" i="14" s="1"/>
  <c r="Q189" i="14" s="1"/>
  <c r="R189" i="14" s="1"/>
  <c r="S189" i="14" s="1"/>
  <c r="J189" i="14"/>
  <c r="K189" i="14" s="1"/>
  <c r="L189" i="14" s="1"/>
  <c r="M189" i="14" s="1"/>
  <c r="G189" i="14"/>
  <c r="H189" i="14" s="1"/>
  <c r="I189" i="14" s="1"/>
  <c r="E189" i="14"/>
  <c r="F189" i="14" s="1"/>
  <c r="D189" i="14"/>
  <c r="D188" i="14"/>
  <c r="E188" i="14" s="1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B188" i="14" s="1"/>
  <c r="I187" i="14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B187" i="14" s="1"/>
  <c r="H187" i="14"/>
  <c r="G187" i="14"/>
  <c r="F187" i="14"/>
  <c r="D187" i="14"/>
  <c r="E187" i="14" s="1"/>
  <c r="R186" i="14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B186" i="14" s="1"/>
  <c r="D186" i="14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5" i="14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B185" i="14" s="1"/>
  <c r="F185" i="14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E185" i="14"/>
  <c r="D185" i="14"/>
  <c r="P184" i="14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B184" i="14" s="1"/>
  <c r="E184" i="14"/>
  <c r="F184" i="14" s="1"/>
  <c r="G184" i="14" s="1"/>
  <c r="H184" i="14" s="1"/>
  <c r="I184" i="14" s="1"/>
  <c r="J184" i="14" s="1"/>
  <c r="K184" i="14" s="1"/>
  <c r="L184" i="14" s="1"/>
  <c r="M184" i="14" s="1"/>
  <c r="N184" i="14" s="1"/>
  <c r="O184" i="14" s="1"/>
  <c r="D184" i="14"/>
  <c r="N183" i="14"/>
  <c r="O183" i="14" s="1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B183" i="14" s="1"/>
  <c r="D183" i="14"/>
  <c r="E183" i="14" s="1"/>
  <c r="F183" i="14" s="1"/>
  <c r="G183" i="14" s="1"/>
  <c r="H183" i="14" s="1"/>
  <c r="I183" i="14" s="1"/>
  <c r="J183" i="14" s="1"/>
  <c r="K183" i="14" s="1"/>
  <c r="L183" i="14" s="1"/>
  <c r="M183" i="14" s="1"/>
  <c r="L182" i="14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B182" i="14" s="1"/>
  <c r="D182" i="14"/>
  <c r="E182" i="14" s="1"/>
  <c r="F182" i="14" s="1"/>
  <c r="G182" i="14" s="1"/>
  <c r="H182" i="14" s="1"/>
  <c r="I182" i="14" s="1"/>
  <c r="J182" i="14" s="1"/>
  <c r="K182" i="14" s="1"/>
  <c r="J181" i="14"/>
  <c r="K181" i="14" s="1"/>
  <c r="L181" i="14" s="1"/>
  <c r="M181" i="14" s="1"/>
  <c r="N181" i="14" s="1"/>
  <c r="O181" i="14" s="1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B181" i="14" s="1"/>
  <c r="G181" i="14"/>
  <c r="H181" i="14" s="1"/>
  <c r="I181" i="14" s="1"/>
  <c r="D181" i="14"/>
  <c r="E181" i="14" s="1"/>
  <c r="F181" i="14" s="1"/>
  <c r="L180" i="14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B180" i="14" s="1"/>
  <c r="J180" i="14"/>
  <c r="K180" i="14" s="1"/>
  <c r="I180" i="14"/>
  <c r="F180" i="14"/>
  <c r="G180" i="14" s="1"/>
  <c r="H180" i="14" s="1"/>
  <c r="E180" i="14"/>
  <c r="D180" i="14"/>
  <c r="V179" i="14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B179" i="14" s="1"/>
  <c r="J179" i="14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D179" i="14"/>
  <c r="E179" i="14" s="1"/>
  <c r="F179" i="14" s="1"/>
  <c r="G179" i="14" s="1"/>
  <c r="H179" i="14" s="1"/>
  <c r="I179" i="14" s="1"/>
  <c r="AA177" i="14"/>
  <c r="AB177" i="14" s="1"/>
  <c r="AC177" i="14" s="1"/>
  <c r="AD177" i="14" s="1"/>
  <c r="AE177" i="14" s="1"/>
  <c r="AF177" i="14" s="1"/>
  <c r="B177" i="14" s="1"/>
  <c r="F177" i="14"/>
  <c r="G177" i="14" s="1"/>
  <c r="H177" i="14" s="1"/>
  <c r="I177" i="14" s="1"/>
  <c r="J177" i="14" s="1"/>
  <c r="K177" i="14" s="1"/>
  <c r="L177" i="14" s="1"/>
  <c r="M177" i="14" s="1"/>
  <c r="N177" i="14" s="1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D177" i="14"/>
  <c r="E177" i="14" s="1"/>
  <c r="AF176" i="14"/>
  <c r="B176" i="14" s="1"/>
  <c r="N176" i="14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D176" i="14"/>
  <c r="E176" i="14" s="1"/>
  <c r="F176" i="14" s="1"/>
  <c r="G176" i="14" s="1"/>
  <c r="H176" i="14" s="1"/>
  <c r="I176" i="14" s="1"/>
  <c r="J176" i="14" s="1"/>
  <c r="K176" i="14" s="1"/>
  <c r="L176" i="14" s="1"/>
  <c r="M176" i="14" s="1"/>
  <c r="D175" i="14"/>
  <c r="E175" i="14" s="1"/>
  <c r="F175" i="14" s="1"/>
  <c r="G175" i="14" s="1"/>
  <c r="H175" i="14" s="1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B175" i="14" s="1"/>
  <c r="E174" i="14"/>
  <c r="F174" i="14" s="1"/>
  <c r="G174" i="14" s="1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B174" i="14" s="1"/>
  <c r="D174" i="14"/>
  <c r="J173" i="14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B173" i="14" s="1"/>
  <c r="F173" i="14"/>
  <c r="G173" i="14" s="1"/>
  <c r="H173" i="14" s="1"/>
  <c r="I173" i="14" s="1"/>
  <c r="D173" i="14"/>
  <c r="E173" i="14" s="1"/>
  <c r="D172" i="14"/>
  <c r="E172" i="14" s="1"/>
  <c r="F172" i="14" s="1"/>
  <c r="G172" i="14" s="1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B172" i="14" s="1"/>
  <c r="R171" i="14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B171" i="14" s="1"/>
  <c r="H171" i="14"/>
  <c r="I171" i="14" s="1"/>
  <c r="J171" i="14" s="1"/>
  <c r="K171" i="14" s="1"/>
  <c r="L171" i="14" s="1"/>
  <c r="M171" i="14" s="1"/>
  <c r="N171" i="14" s="1"/>
  <c r="O171" i="14" s="1"/>
  <c r="P171" i="14" s="1"/>
  <c r="Q171" i="14" s="1"/>
  <c r="F171" i="14"/>
  <c r="G171" i="14" s="1"/>
  <c r="E171" i="14"/>
  <c r="D171" i="14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B170" i="14" s="1"/>
  <c r="N168" i="14"/>
  <c r="O168" i="14" s="1"/>
  <c r="P168" i="14" s="1"/>
  <c r="Q168" i="14" s="1"/>
  <c r="R168" i="14" s="1"/>
  <c r="S168" i="14" s="1"/>
  <c r="T168" i="14" s="1"/>
  <c r="U168" i="14" s="1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B168" i="14" s="1"/>
  <c r="D168" i="14"/>
  <c r="E168" i="14" s="1"/>
  <c r="F168" i="14" s="1"/>
  <c r="G168" i="14" s="1"/>
  <c r="H168" i="14" s="1"/>
  <c r="I168" i="14" s="1"/>
  <c r="J168" i="14" s="1"/>
  <c r="K168" i="14" s="1"/>
  <c r="L168" i="14" s="1"/>
  <c r="M168" i="14" s="1"/>
  <c r="J167" i="14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B167" i="14" s="1"/>
  <c r="G167" i="14"/>
  <c r="H167" i="14" s="1"/>
  <c r="I167" i="14" s="1"/>
  <c r="D167" i="14"/>
  <c r="E167" i="14" s="1"/>
  <c r="F167" i="14" s="1"/>
  <c r="H166" i="14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B166" i="14" s="1"/>
  <c r="E166" i="14"/>
  <c r="F166" i="14" s="1"/>
  <c r="G166" i="14" s="1"/>
  <c r="D166" i="14"/>
  <c r="F165" i="14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B165" i="14" s="1"/>
  <c r="E165" i="14"/>
  <c r="D165" i="14"/>
  <c r="F164" i="14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B164" i="14" s="1"/>
  <c r="E164" i="14"/>
  <c r="D164" i="14"/>
  <c r="J163" i="14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B163" i="14" s="1"/>
  <c r="E163" i="14"/>
  <c r="F163" i="14" s="1"/>
  <c r="G163" i="14" s="1"/>
  <c r="H163" i="14" s="1"/>
  <c r="I163" i="14" s="1"/>
  <c r="D163" i="14"/>
  <c r="P162" i="14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B162" i="14" s="1"/>
  <c r="E162" i="14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D162" i="14"/>
  <c r="AD161" i="14"/>
  <c r="AE161" i="14" s="1"/>
  <c r="AF161" i="14" s="1"/>
  <c r="B161" i="14" s="1"/>
  <c r="I161" i="14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H161" i="14"/>
  <c r="G161" i="14"/>
  <c r="F161" i="14"/>
  <c r="E161" i="14"/>
  <c r="D161" i="14"/>
  <c r="W160" i="14"/>
  <c r="X160" i="14" s="1"/>
  <c r="Y160" i="14" s="1"/>
  <c r="Z160" i="14" s="1"/>
  <c r="AA160" i="14" s="1"/>
  <c r="AB160" i="14" s="1"/>
  <c r="AC160" i="14" s="1"/>
  <c r="AD160" i="14" s="1"/>
  <c r="AE160" i="14" s="1"/>
  <c r="AF160" i="14" s="1"/>
  <c r="B160" i="14" s="1"/>
  <c r="E160" i="14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D160" i="14"/>
  <c r="M159" i="14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B159" i="14" s="1"/>
  <c r="E159" i="14"/>
  <c r="F159" i="14" s="1"/>
  <c r="G159" i="14" s="1"/>
  <c r="H159" i="14" s="1"/>
  <c r="I159" i="14" s="1"/>
  <c r="J159" i="14" s="1"/>
  <c r="K159" i="14" s="1"/>
  <c r="L159" i="14" s="1"/>
  <c r="D159" i="14"/>
  <c r="Y158" i="14"/>
  <c r="Z158" i="14" s="1"/>
  <c r="AA158" i="14" s="1"/>
  <c r="AB158" i="14" s="1"/>
  <c r="AC158" i="14" s="1"/>
  <c r="AD158" i="14" s="1"/>
  <c r="AE158" i="14" s="1"/>
  <c r="AF158" i="14" s="1"/>
  <c r="B158" i="14" s="1"/>
  <c r="H158" i="14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E158" i="14"/>
  <c r="F158" i="14" s="1"/>
  <c r="G158" i="14" s="1"/>
  <c r="D158" i="14"/>
  <c r="E157" i="14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B157" i="14" s="1"/>
  <c r="D157" i="14"/>
  <c r="D156" i="14"/>
  <c r="E156" i="14" s="1"/>
  <c r="F156" i="14" s="1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B156" i="14" s="1"/>
  <c r="E154" i="14"/>
  <c r="F154" i="14" s="1"/>
  <c r="G154" i="14" s="1"/>
  <c r="H154" i="14" s="1"/>
  <c r="I154" i="14" s="1"/>
  <c r="J154" i="14" s="1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B154" i="14" s="1"/>
  <c r="D154" i="14"/>
  <c r="T153" i="14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B153" i="14" s="1"/>
  <c r="D153" i="14"/>
  <c r="E153" i="14" s="1"/>
  <c r="F153" i="14" s="1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K152" i="14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B152" i="14" s="1"/>
  <c r="F152" i="14"/>
  <c r="G152" i="14" s="1"/>
  <c r="H152" i="14" s="1"/>
  <c r="I152" i="14" s="1"/>
  <c r="J152" i="14" s="1"/>
  <c r="E152" i="14"/>
  <c r="D152" i="14"/>
  <c r="G151" i="14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B151" i="14" s="1"/>
  <c r="F151" i="14"/>
  <c r="E151" i="14"/>
  <c r="D151" i="14"/>
  <c r="T149" i="14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B149" i="14" s="1"/>
  <c r="I149" i="14"/>
  <c r="J149" i="14" s="1"/>
  <c r="K149" i="14" s="1"/>
  <c r="L149" i="14" s="1"/>
  <c r="M149" i="14" s="1"/>
  <c r="N149" i="14" s="1"/>
  <c r="O149" i="14" s="1"/>
  <c r="P149" i="14" s="1"/>
  <c r="Q149" i="14" s="1"/>
  <c r="R149" i="14" s="1"/>
  <c r="S149" i="14" s="1"/>
  <c r="G149" i="14"/>
  <c r="H149" i="14" s="1"/>
  <c r="D149" i="14"/>
  <c r="E149" i="14" s="1"/>
  <c r="F149" i="14" s="1"/>
  <c r="AE148" i="14"/>
  <c r="AF148" i="14" s="1"/>
  <c r="B148" i="14" s="1"/>
  <c r="H148" i="14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E148" i="14"/>
  <c r="F148" i="14" s="1"/>
  <c r="G148" i="14" s="1"/>
  <c r="D148" i="14"/>
  <c r="R146" i="14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B146" i="14" s="1"/>
  <c r="F146" i="14"/>
  <c r="G146" i="14" s="1"/>
  <c r="H146" i="14" s="1"/>
  <c r="I146" i="14" s="1"/>
  <c r="J146" i="14" s="1"/>
  <c r="K146" i="14" s="1"/>
  <c r="L146" i="14" s="1"/>
  <c r="M146" i="14" s="1"/>
  <c r="N146" i="14" s="1"/>
  <c r="O146" i="14" s="1"/>
  <c r="P146" i="14" s="1"/>
  <c r="Q146" i="14" s="1"/>
  <c r="E146" i="14"/>
  <c r="D146" i="14"/>
  <c r="AF145" i="14"/>
  <c r="B145" i="14" s="1"/>
  <c r="J145" i="14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E145" i="14"/>
  <c r="F145" i="14" s="1"/>
  <c r="G145" i="14" s="1"/>
  <c r="H145" i="14" s="1"/>
  <c r="I145" i="14" s="1"/>
  <c r="D145" i="14"/>
  <c r="R144" i="14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B144" i="14" s="1"/>
  <c r="H144" i="14"/>
  <c r="I144" i="14" s="1"/>
  <c r="J144" i="14" s="1"/>
  <c r="K144" i="14" s="1"/>
  <c r="L144" i="14" s="1"/>
  <c r="M144" i="14" s="1"/>
  <c r="N144" i="14" s="1"/>
  <c r="O144" i="14" s="1"/>
  <c r="P144" i="14" s="1"/>
  <c r="Q144" i="14" s="1"/>
  <c r="D144" i="14"/>
  <c r="E144" i="14" s="1"/>
  <c r="F144" i="14" s="1"/>
  <c r="G144" i="14" s="1"/>
  <c r="J143" i="14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B143" i="14" s="1"/>
  <c r="G143" i="14"/>
  <c r="H143" i="14" s="1"/>
  <c r="I143" i="14" s="1"/>
  <c r="F143" i="14"/>
  <c r="E143" i="14"/>
  <c r="D143" i="14"/>
  <c r="J142" i="14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B142" i="14" s="1"/>
  <c r="H142" i="14"/>
  <c r="I142" i="14" s="1"/>
  <c r="E142" i="14"/>
  <c r="F142" i="14" s="1"/>
  <c r="G142" i="14" s="1"/>
  <c r="D142" i="14"/>
  <c r="K141" i="14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B141" i="14" s="1"/>
  <c r="H141" i="14"/>
  <c r="I141" i="14" s="1"/>
  <c r="J141" i="14" s="1"/>
  <c r="F141" i="14"/>
  <c r="G141" i="14" s="1"/>
  <c r="D141" i="14"/>
  <c r="E141" i="14" s="1"/>
  <c r="F140" i="14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B140" i="14" s="1"/>
  <c r="D140" i="14"/>
  <c r="E140" i="14" s="1"/>
  <c r="I138" i="14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B138" i="14" s="1"/>
  <c r="D138" i="14"/>
  <c r="E138" i="14" s="1"/>
  <c r="F138" i="14" s="1"/>
  <c r="G138" i="14" s="1"/>
  <c r="H138" i="14" s="1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B137" i="14" s="1"/>
  <c r="H136" i="14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B136" i="14" s="1"/>
  <c r="F136" i="14"/>
  <c r="G136" i="14" s="1"/>
  <c r="E136" i="14"/>
  <c r="D136" i="14"/>
  <c r="K135" i="14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B135" i="14" s="1"/>
  <c r="H135" i="14"/>
  <c r="I135" i="14" s="1"/>
  <c r="J135" i="14" s="1"/>
  <c r="G135" i="14"/>
  <c r="F135" i="14"/>
  <c r="D135" i="14"/>
  <c r="E135" i="14" s="1"/>
  <c r="E134" i="14"/>
  <c r="F134" i="14" s="1"/>
  <c r="G134" i="14" s="1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B134" i="14" s="1"/>
  <c r="D134" i="14"/>
  <c r="G133" i="14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B133" i="14" s="1"/>
  <c r="D133" i="14"/>
  <c r="E133" i="14" s="1"/>
  <c r="F133" i="14" s="1"/>
  <c r="E132" i="14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B132" i="14" s="1"/>
  <c r="D132" i="14"/>
  <c r="D131" i="14"/>
  <c r="E131" i="14" s="1"/>
  <c r="F131" i="14" s="1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B131" i="14" s="1"/>
  <c r="E129" i="14"/>
  <c r="F129" i="14" s="1"/>
  <c r="G129" i="14" s="1"/>
  <c r="H129" i="14" s="1"/>
  <c r="I129" i="14" s="1"/>
  <c r="J129" i="14" s="1"/>
  <c r="K129" i="14" s="1"/>
  <c r="L129" i="14" s="1"/>
  <c r="M129" i="14" s="1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B129" i="14" s="1"/>
  <c r="D129" i="14"/>
  <c r="E128" i="14"/>
  <c r="F128" i="14" s="1"/>
  <c r="G128" i="14" s="1"/>
  <c r="H128" i="14" s="1"/>
  <c r="I128" i="14" s="1"/>
  <c r="J128" i="14" s="1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B128" i="14" s="1"/>
  <c r="D128" i="14"/>
  <c r="H127" i="14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B127" i="14" s="1"/>
  <c r="F127" i="14"/>
  <c r="G127" i="14" s="1"/>
  <c r="E127" i="14"/>
  <c r="D127" i="14"/>
  <c r="D126" i="14"/>
  <c r="E126" i="14" s="1"/>
  <c r="F126" i="14" s="1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B126" i="14" s="1"/>
  <c r="D125" i="14"/>
  <c r="E125" i="14" s="1"/>
  <c r="F125" i="14" s="1"/>
  <c r="G125" i="14" s="1"/>
  <c r="H125" i="14" s="1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B125" i="14" s="1"/>
  <c r="E124" i="14"/>
  <c r="F124" i="14" s="1"/>
  <c r="G124" i="14" s="1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B124" i="14" s="1"/>
  <c r="D124" i="14"/>
  <c r="H123" i="14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B123" i="14" s="1"/>
  <c r="D123" i="14"/>
  <c r="E123" i="14" s="1"/>
  <c r="F123" i="14" s="1"/>
  <c r="G123" i="14" s="1"/>
  <c r="F122" i="14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B122" i="14" s="1"/>
  <c r="D122" i="14"/>
  <c r="E122" i="14" s="1"/>
  <c r="E121" i="14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B121" i="14" s="1"/>
  <c r="D121" i="14"/>
  <c r="G120" i="14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B120" i="14" s="1"/>
  <c r="F120" i="14"/>
  <c r="E120" i="14"/>
  <c r="D120" i="14"/>
  <c r="D119" i="14"/>
  <c r="E119" i="14" s="1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B119" i="14" s="1"/>
  <c r="G118" i="14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B118" i="14" s="1"/>
  <c r="F118" i="14"/>
  <c r="D118" i="14"/>
  <c r="E118" i="14" s="1"/>
  <c r="F117" i="14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B117" i="14" s="1"/>
  <c r="E117" i="14"/>
  <c r="D117" i="14"/>
  <c r="D116" i="14"/>
  <c r="E116" i="14" s="1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B116" i="14" s="1"/>
  <c r="E115" i="14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B115" i="14" s="1"/>
  <c r="D115" i="14"/>
  <c r="K114" i="14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B114" i="14" s="1"/>
  <c r="G114" i="14"/>
  <c r="H114" i="14" s="1"/>
  <c r="I114" i="14" s="1"/>
  <c r="F114" i="14"/>
  <c r="E114" i="14"/>
  <c r="D114" i="14"/>
  <c r="F113" i="14"/>
  <c r="G113" i="14" s="1"/>
  <c r="H113" i="14" s="1"/>
  <c r="I113" i="14" s="1"/>
  <c r="J113" i="14" s="1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B113" i="14" s="1"/>
  <c r="E113" i="14"/>
  <c r="D113" i="14"/>
  <c r="D112" i="14"/>
  <c r="E112" i="14" s="1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B112" i="14" s="1"/>
  <c r="G110" i="14"/>
  <c r="H110" i="14" s="1"/>
  <c r="I110" i="14" s="1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B110" i="14" s="1"/>
  <c r="E110" i="14"/>
  <c r="F110" i="14" s="1"/>
  <c r="D110" i="14"/>
  <c r="E109" i="14"/>
  <c r="F109" i="14" s="1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B109" i="14" s="1"/>
  <c r="D109" i="14"/>
  <c r="D107" i="14"/>
  <c r="E107" i="14" s="1"/>
  <c r="F107" i="14" s="1"/>
  <c r="G107" i="14" s="1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B107" i="14" s="1"/>
  <c r="E106" i="14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B106" i="14" s="1"/>
  <c r="D106" i="14"/>
  <c r="D105" i="14"/>
  <c r="E105" i="14" s="1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B105" i="14" s="1"/>
  <c r="F104" i="14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B104" i="14" s="1"/>
  <c r="E104" i="14"/>
  <c r="D104" i="14"/>
  <c r="E103" i="14"/>
  <c r="F103" i="14" s="1"/>
  <c r="G103" i="14" s="1"/>
  <c r="D103" i="14"/>
  <c r="F102" i="14"/>
  <c r="E102" i="14"/>
  <c r="D102" i="14"/>
  <c r="AH98" i="14"/>
  <c r="AI98" i="14" s="1"/>
  <c r="AH97" i="14"/>
  <c r="AI97" i="14" s="1"/>
  <c r="AH96" i="14"/>
  <c r="AI96" i="14" s="1"/>
  <c r="AH95" i="14"/>
  <c r="AI95" i="14" s="1"/>
  <c r="AH94" i="14"/>
  <c r="AI94" i="14" s="1"/>
  <c r="D93" i="14"/>
  <c r="C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G82" i="14"/>
  <c r="AI81" i="14"/>
  <c r="AH81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F77" i="14"/>
  <c r="AE77" i="14"/>
  <c r="AD77" i="14"/>
  <c r="AC77" i="14"/>
  <c r="AB77" i="14"/>
  <c r="AA77" i="14"/>
  <c r="Z77" i="14"/>
  <c r="Z82" i="14" s="1"/>
  <c r="Y77" i="14"/>
  <c r="X77" i="14"/>
  <c r="W77" i="14"/>
  <c r="V77" i="14"/>
  <c r="U77" i="14"/>
  <c r="T77" i="14"/>
  <c r="S77" i="14"/>
  <c r="O77" i="14"/>
  <c r="N77" i="14"/>
  <c r="M77" i="14"/>
  <c r="L77" i="14"/>
  <c r="K77" i="14"/>
  <c r="J77" i="14"/>
  <c r="I77" i="14"/>
  <c r="H77" i="14"/>
  <c r="G77" i="14"/>
  <c r="F77" i="14"/>
  <c r="E77" i="14"/>
  <c r="E82" i="14" s="1"/>
  <c r="D77" i="14"/>
  <c r="C77" i="14"/>
  <c r="B77" i="14"/>
  <c r="AF76" i="14"/>
  <c r="AF82" i="14" s="1"/>
  <c r="AE76" i="14"/>
  <c r="AD76" i="14"/>
  <c r="AC76" i="14"/>
  <c r="AB76" i="14"/>
  <c r="AA76" i="14"/>
  <c r="AA82" i="14" s="1"/>
  <c r="Z76" i="14"/>
  <c r="Y76" i="14"/>
  <c r="X76" i="14"/>
  <c r="W76" i="14"/>
  <c r="V76" i="14"/>
  <c r="V82" i="14" s="1"/>
  <c r="U76" i="14"/>
  <c r="T76" i="14"/>
  <c r="S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J214" i="14"/>
  <c r="AI214" i="14"/>
  <c r="AH214" i="14"/>
  <c r="AI74" i="14"/>
  <c r="AH74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H72" i="14" s="1"/>
  <c r="AI71" i="14"/>
  <c r="AH71" i="14"/>
  <c r="AI70" i="14"/>
  <c r="AH70" i="14"/>
  <c r="AI69" i="14"/>
  <c r="AH69" i="14"/>
  <c r="AG68" i="14"/>
  <c r="AF68" i="14"/>
  <c r="AE5" i="14" s="1"/>
  <c r="AE68" i="14"/>
  <c r="AD68" i="14"/>
  <c r="AC5" i="14" s="1"/>
  <c r="AC68" i="14"/>
  <c r="AB5" i="14" s="1"/>
  <c r="AB68" i="14"/>
  <c r="AA68" i="14"/>
  <c r="Z68" i="14"/>
  <c r="Y68" i="14"/>
  <c r="X5" i="14" s="1"/>
  <c r="X68" i="14"/>
  <c r="W5" i="14" s="1"/>
  <c r="W68" i="14"/>
  <c r="V68" i="14"/>
  <c r="U5" i="14" s="1"/>
  <c r="U68" i="14"/>
  <c r="T68" i="14"/>
  <c r="S68" i="14"/>
  <c r="O68" i="14"/>
  <c r="N68" i="14"/>
  <c r="M5" i="14" s="1"/>
  <c r="M68" i="14"/>
  <c r="L5" i="14" s="1"/>
  <c r="L68" i="14"/>
  <c r="K68" i="14"/>
  <c r="J68" i="14"/>
  <c r="I5" i="14" s="1"/>
  <c r="I68" i="14"/>
  <c r="H68" i="14"/>
  <c r="G68" i="14"/>
  <c r="F5" i="14" s="1"/>
  <c r="F68" i="14"/>
  <c r="E5" i="14" s="1"/>
  <c r="E68" i="14"/>
  <c r="D68" i="14"/>
  <c r="C68" i="14"/>
  <c r="B68" i="14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I55" i="14"/>
  <c r="AH55" i="14"/>
  <c r="AI54" i="14"/>
  <c r="AH54" i="14"/>
  <c r="AI53" i="14"/>
  <c r="AH53" i="14"/>
  <c r="Z52" i="14"/>
  <c r="T52" i="14"/>
  <c r="S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G51" i="14"/>
  <c r="AG52" i="14" s="1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G2" i="14" s="1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R7" i="14"/>
  <c r="AD5" i="14"/>
  <c r="AA5" i="14"/>
  <c r="Y5" i="14"/>
  <c r="V5" i="14"/>
  <c r="T5" i="14"/>
  <c r="S5" i="14"/>
  <c r="Q5" i="14"/>
  <c r="P5" i="14"/>
  <c r="O5" i="14"/>
  <c r="N5" i="14"/>
  <c r="K5" i="14"/>
  <c r="D5" i="14"/>
  <c r="C5" i="14"/>
  <c r="AG4" i="14"/>
  <c r="K4" i="14"/>
  <c r="B4" i="14"/>
  <c r="E4" i="14"/>
  <c r="R102" i="15" l="1"/>
  <c r="Q109" i="15"/>
  <c r="P93" i="15"/>
  <c r="T194" i="15"/>
  <c r="O235" i="15"/>
  <c r="Q199" i="15"/>
  <c r="P200" i="15"/>
  <c r="S103" i="15"/>
  <c r="AE82" i="14"/>
  <c r="AD82" i="14"/>
  <c r="AC82" i="14"/>
  <c r="AB82" i="14"/>
  <c r="Z73" i="14"/>
  <c r="Z75" i="14"/>
  <c r="Y82" i="14"/>
  <c r="X82" i="14"/>
  <c r="W82" i="14"/>
  <c r="U82" i="14"/>
  <c r="T82" i="14"/>
  <c r="T73" i="14"/>
  <c r="S82" i="14"/>
  <c r="S73" i="14"/>
  <c r="O82" i="14"/>
  <c r="O75" i="14"/>
  <c r="AG214" i="14" s="1"/>
  <c r="O73" i="14"/>
  <c r="N82" i="14"/>
  <c r="N75" i="14"/>
  <c r="N7" i="14" s="1"/>
  <c r="M82" i="14"/>
  <c r="M75" i="14"/>
  <c r="M73" i="14"/>
  <c r="AI78" i="14"/>
  <c r="K82" i="14"/>
  <c r="L73" i="14"/>
  <c r="K73" i="14"/>
  <c r="J82" i="14"/>
  <c r="J75" i="14"/>
  <c r="J7" i="14" s="1"/>
  <c r="L82" i="14"/>
  <c r="J73" i="14"/>
  <c r="I82" i="14"/>
  <c r="I73" i="14"/>
  <c r="I75" i="14"/>
  <c r="AA214" i="14" s="1"/>
  <c r="H82" i="14"/>
  <c r="H73" i="14"/>
  <c r="AB214" i="14"/>
  <c r="H5" i="14"/>
  <c r="H75" i="14"/>
  <c r="Z214" i="14" s="1"/>
  <c r="G5" i="14"/>
  <c r="G82" i="14"/>
  <c r="AH80" i="14"/>
  <c r="AI80" i="14"/>
  <c r="AH56" i="14"/>
  <c r="G75" i="14"/>
  <c r="G7" i="14" s="1"/>
  <c r="G73" i="14"/>
  <c r="D73" i="14"/>
  <c r="AI79" i="14"/>
  <c r="AH79" i="14"/>
  <c r="F82" i="14"/>
  <c r="F75" i="14"/>
  <c r="F7" i="14" s="1"/>
  <c r="AI76" i="14"/>
  <c r="E75" i="14"/>
  <c r="W214" i="14" s="1"/>
  <c r="E73" i="14"/>
  <c r="D82" i="14"/>
  <c r="AI77" i="14"/>
  <c r="AH68" i="14"/>
  <c r="C82" i="14"/>
  <c r="C73" i="14"/>
  <c r="C75" i="14" s="1"/>
  <c r="C7" i="14" s="1"/>
  <c r="AI38" i="14"/>
  <c r="AF5" i="14"/>
  <c r="AI56" i="14"/>
  <c r="H4" i="14"/>
  <c r="AE214" i="14"/>
  <c r="M7" i="14"/>
  <c r="M83" i="14"/>
  <c r="Z83" i="14"/>
  <c r="AG3" i="14"/>
  <c r="AG6" i="14" s="1"/>
  <c r="AG73" i="14"/>
  <c r="AG75" i="14"/>
  <c r="AG83" i="14" s="1"/>
  <c r="H103" i="14"/>
  <c r="U214" i="14"/>
  <c r="X214" i="14"/>
  <c r="AF214" i="14"/>
  <c r="E192" i="14"/>
  <c r="F192" i="14"/>
  <c r="K75" i="14"/>
  <c r="S75" i="14"/>
  <c r="AH76" i="14"/>
  <c r="B82" i="14"/>
  <c r="G102" i="14"/>
  <c r="N73" i="14"/>
  <c r="N83" i="14" s="1"/>
  <c r="AH38" i="14"/>
  <c r="B5" i="14"/>
  <c r="J5" i="14"/>
  <c r="R5" i="14"/>
  <c r="Z5" i="14"/>
  <c r="P7" i="14"/>
  <c r="D75" i="14"/>
  <c r="L75" i="14"/>
  <c r="T75" i="14"/>
  <c r="T83" i="14" s="1"/>
  <c r="AH77" i="14"/>
  <c r="F73" i="14"/>
  <c r="Q7" i="14"/>
  <c r="AI68" i="14"/>
  <c r="AI72" i="14"/>
  <c r="AH78" i="14"/>
  <c r="S211" i="14"/>
  <c r="D211" i="14"/>
  <c r="D192" i="14"/>
  <c r="F199" i="14"/>
  <c r="E194" i="14"/>
  <c r="D200" i="14"/>
  <c r="W37" i="13"/>
  <c r="V58" i="13"/>
  <c r="U58" i="13"/>
  <c r="T58" i="13"/>
  <c r="S58" i="13"/>
  <c r="R58" i="13"/>
  <c r="R37" i="13"/>
  <c r="Q58" i="13"/>
  <c r="Q37" i="13"/>
  <c r="P58" i="13"/>
  <c r="P37" i="13"/>
  <c r="O37" i="13"/>
  <c r="N37" i="13"/>
  <c r="M37" i="13"/>
  <c r="B93" i="13"/>
  <c r="B80" i="13"/>
  <c r="B79" i="13"/>
  <c r="B78" i="13"/>
  <c r="B77" i="13"/>
  <c r="B76" i="13"/>
  <c r="B82" i="13" s="1"/>
  <c r="B72" i="13"/>
  <c r="B68" i="13"/>
  <c r="B73" i="13" s="1"/>
  <c r="B56" i="13"/>
  <c r="B52" i="13"/>
  <c r="B51" i="13"/>
  <c r="B38" i="13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B235" i="13"/>
  <c r="S210" i="13"/>
  <c r="AG200" i="13"/>
  <c r="C200" i="13"/>
  <c r="D199" i="13"/>
  <c r="E199" i="13" s="1"/>
  <c r="E198" i="13"/>
  <c r="F198" i="13" s="1"/>
  <c r="G198" i="13" s="1"/>
  <c r="H198" i="13" s="1"/>
  <c r="I198" i="13" s="1"/>
  <c r="J198" i="13" s="1"/>
  <c r="K198" i="13" s="1"/>
  <c r="L198" i="13" s="1"/>
  <c r="M198" i="13" s="1"/>
  <c r="N198" i="13" s="1"/>
  <c r="O198" i="13" s="1"/>
  <c r="P198" i="13" s="1"/>
  <c r="Q198" i="13" s="1"/>
  <c r="R198" i="13" s="1"/>
  <c r="S198" i="13" s="1"/>
  <c r="T198" i="13" s="1"/>
  <c r="U198" i="13" s="1"/>
  <c r="V198" i="13" s="1"/>
  <c r="W198" i="13" s="1"/>
  <c r="X198" i="13" s="1"/>
  <c r="Y198" i="13" s="1"/>
  <c r="Z198" i="13" s="1"/>
  <c r="AA198" i="13" s="1"/>
  <c r="AB198" i="13" s="1"/>
  <c r="AC198" i="13" s="1"/>
  <c r="AD198" i="13" s="1"/>
  <c r="AE198" i="13" s="1"/>
  <c r="AF198" i="13" s="1"/>
  <c r="B198" i="13" s="1"/>
  <c r="D198" i="13"/>
  <c r="G197" i="13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B197" i="13" s="1"/>
  <c r="D197" i="13"/>
  <c r="E197" i="13" s="1"/>
  <c r="F197" i="13" s="1"/>
  <c r="E196" i="13"/>
  <c r="F196" i="13" s="1"/>
  <c r="G196" i="13" s="1"/>
  <c r="H196" i="13" s="1"/>
  <c r="I196" i="13" s="1"/>
  <c r="J196" i="13" s="1"/>
  <c r="K196" i="13" s="1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B196" i="13" s="1"/>
  <c r="D196" i="13"/>
  <c r="D195" i="13"/>
  <c r="E195" i="13" s="1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B195" i="13" s="1"/>
  <c r="E194" i="13"/>
  <c r="D194" i="13"/>
  <c r="AG192" i="13"/>
  <c r="C192" i="13"/>
  <c r="F191" i="13"/>
  <c r="G191" i="13" s="1"/>
  <c r="H191" i="13" s="1"/>
  <c r="I191" i="13" s="1"/>
  <c r="J191" i="13" s="1"/>
  <c r="K191" i="13" s="1"/>
  <c r="L191" i="13" s="1"/>
  <c r="M191" i="13" s="1"/>
  <c r="N191" i="13" s="1"/>
  <c r="O191" i="13" s="1"/>
  <c r="P191" i="13" s="1"/>
  <c r="Q191" i="13" s="1"/>
  <c r="R191" i="13" s="1"/>
  <c r="S191" i="13" s="1"/>
  <c r="T191" i="13" s="1"/>
  <c r="U191" i="13" s="1"/>
  <c r="V191" i="13" s="1"/>
  <c r="W191" i="13" s="1"/>
  <c r="X191" i="13" s="1"/>
  <c r="Y191" i="13" s="1"/>
  <c r="Z191" i="13" s="1"/>
  <c r="AA191" i="13" s="1"/>
  <c r="AB191" i="13" s="1"/>
  <c r="AC191" i="13" s="1"/>
  <c r="AD191" i="13" s="1"/>
  <c r="AE191" i="13" s="1"/>
  <c r="AF191" i="13" s="1"/>
  <c r="B191" i="13" s="1"/>
  <c r="D191" i="13"/>
  <c r="E191" i="13" s="1"/>
  <c r="H190" i="13"/>
  <c r="I190" i="13" s="1"/>
  <c r="J190" i="13" s="1"/>
  <c r="K190" i="13" s="1"/>
  <c r="L190" i="13" s="1"/>
  <c r="M190" i="13" s="1"/>
  <c r="N190" i="13" s="1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B190" i="13" s="1"/>
  <c r="D190" i="13"/>
  <c r="E190" i="13" s="1"/>
  <c r="F190" i="13" s="1"/>
  <c r="G190" i="13" s="1"/>
  <c r="E189" i="13"/>
  <c r="F189" i="13" s="1"/>
  <c r="G189" i="13" s="1"/>
  <c r="H189" i="13" s="1"/>
  <c r="I189" i="13" s="1"/>
  <c r="J189" i="13" s="1"/>
  <c r="K189" i="13" s="1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V189" i="13" s="1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B189" i="13" s="1"/>
  <c r="D189" i="13"/>
  <c r="D188" i="13"/>
  <c r="E188" i="13" s="1"/>
  <c r="F188" i="13" s="1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B188" i="13" s="1"/>
  <c r="D187" i="13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B187" i="13" s="1"/>
  <c r="D186" i="13"/>
  <c r="E186" i="13" s="1"/>
  <c r="F186" i="13" s="1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AE186" i="13" s="1"/>
  <c r="AF186" i="13" s="1"/>
  <c r="B186" i="13" s="1"/>
  <c r="G185" i="13"/>
  <c r="H185" i="13" s="1"/>
  <c r="I185" i="13" s="1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B185" i="13" s="1"/>
  <c r="F185" i="13"/>
  <c r="D185" i="13"/>
  <c r="E185" i="13" s="1"/>
  <c r="E184" i="13"/>
  <c r="F184" i="13" s="1"/>
  <c r="G184" i="13" s="1"/>
  <c r="H184" i="13" s="1"/>
  <c r="I184" i="13" s="1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B184" i="13" s="1"/>
  <c r="D184" i="13"/>
  <c r="D183" i="13"/>
  <c r="E183" i="13" s="1"/>
  <c r="F183" i="13" s="1"/>
  <c r="G183" i="13" s="1"/>
  <c r="H183" i="13" s="1"/>
  <c r="I183" i="13" s="1"/>
  <c r="J183" i="13" s="1"/>
  <c r="K183" i="13" s="1"/>
  <c r="L183" i="13" s="1"/>
  <c r="M183" i="13" s="1"/>
  <c r="N183" i="13" s="1"/>
  <c r="O183" i="13" s="1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B183" i="13" s="1"/>
  <c r="E182" i="13"/>
  <c r="F182" i="13" s="1"/>
  <c r="G182" i="13" s="1"/>
  <c r="H182" i="13" s="1"/>
  <c r="I182" i="13" s="1"/>
  <c r="J182" i="13" s="1"/>
  <c r="K182" i="13" s="1"/>
  <c r="L182" i="13" s="1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B182" i="13" s="1"/>
  <c r="D182" i="13"/>
  <c r="D181" i="13"/>
  <c r="E181" i="13" s="1"/>
  <c r="F181" i="13" s="1"/>
  <c r="G181" i="13" s="1"/>
  <c r="H181" i="13" s="1"/>
  <c r="I181" i="13" s="1"/>
  <c r="J181" i="13" s="1"/>
  <c r="K181" i="13" s="1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B181" i="13" s="1"/>
  <c r="D180" i="13"/>
  <c r="E180" i="13" s="1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B180" i="13" s="1"/>
  <c r="D179" i="13"/>
  <c r="E179" i="13" s="1"/>
  <c r="F179" i="13" s="1"/>
  <c r="G179" i="13" s="1"/>
  <c r="H179" i="13" s="1"/>
  <c r="I179" i="13" s="1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B179" i="13" s="1"/>
  <c r="I177" i="13"/>
  <c r="J177" i="13" s="1"/>
  <c r="K177" i="13" s="1"/>
  <c r="L177" i="13" s="1"/>
  <c r="M177" i="13" s="1"/>
  <c r="N177" i="13" s="1"/>
  <c r="O177" i="13" s="1"/>
  <c r="P177" i="13" s="1"/>
  <c r="Q177" i="13" s="1"/>
  <c r="R177" i="13" s="1"/>
  <c r="S177" i="13" s="1"/>
  <c r="T177" i="13" s="1"/>
  <c r="U177" i="13" s="1"/>
  <c r="V177" i="13" s="1"/>
  <c r="W177" i="13" s="1"/>
  <c r="X177" i="13" s="1"/>
  <c r="Y177" i="13" s="1"/>
  <c r="Z177" i="13" s="1"/>
  <c r="AA177" i="13" s="1"/>
  <c r="AB177" i="13" s="1"/>
  <c r="AC177" i="13" s="1"/>
  <c r="AD177" i="13" s="1"/>
  <c r="AE177" i="13" s="1"/>
  <c r="AF177" i="13" s="1"/>
  <c r="B177" i="13" s="1"/>
  <c r="E177" i="13"/>
  <c r="F177" i="13" s="1"/>
  <c r="G177" i="13" s="1"/>
  <c r="H177" i="13" s="1"/>
  <c r="D177" i="13"/>
  <c r="D176" i="13"/>
  <c r="E176" i="13" s="1"/>
  <c r="F176" i="13" s="1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B176" i="13" s="1"/>
  <c r="E175" i="13"/>
  <c r="F175" i="13" s="1"/>
  <c r="G175" i="13" s="1"/>
  <c r="H175" i="13" s="1"/>
  <c r="I175" i="13" s="1"/>
  <c r="J175" i="13" s="1"/>
  <c r="K175" i="13" s="1"/>
  <c r="L175" i="13" s="1"/>
  <c r="M175" i="13" s="1"/>
  <c r="N175" i="13" s="1"/>
  <c r="O175" i="13" s="1"/>
  <c r="P175" i="13" s="1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B175" i="13" s="1"/>
  <c r="D175" i="13"/>
  <c r="E174" i="13"/>
  <c r="F174" i="13" s="1"/>
  <c r="G174" i="13" s="1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B174" i="13" s="1"/>
  <c r="D174" i="13"/>
  <c r="F173" i="13"/>
  <c r="G173" i="13" s="1"/>
  <c r="H173" i="13" s="1"/>
  <c r="I173" i="13" s="1"/>
  <c r="J173" i="13" s="1"/>
  <c r="K173" i="13" s="1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B173" i="13" s="1"/>
  <c r="D173" i="13"/>
  <c r="E173" i="13" s="1"/>
  <c r="H172" i="13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B172" i="13" s="1"/>
  <c r="D172" i="13"/>
  <c r="E172" i="13" s="1"/>
  <c r="F172" i="13" s="1"/>
  <c r="G172" i="13" s="1"/>
  <c r="D171" i="13"/>
  <c r="E171" i="13" s="1"/>
  <c r="F171" i="13" s="1"/>
  <c r="G171" i="13" s="1"/>
  <c r="H171" i="13" s="1"/>
  <c r="I171" i="13" s="1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B171" i="13" s="1"/>
  <c r="H170" i="13"/>
  <c r="I170" i="13" s="1"/>
  <c r="J170" i="13" s="1"/>
  <c r="K170" i="13" s="1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B170" i="13" s="1"/>
  <c r="D170" i="13"/>
  <c r="E170" i="13" s="1"/>
  <c r="F170" i="13" s="1"/>
  <c r="G170" i="13" s="1"/>
  <c r="V168" i="13"/>
  <c r="W168" i="13" s="1"/>
  <c r="X168" i="13" s="1"/>
  <c r="Y168" i="13" s="1"/>
  <c r="Z168" i="13" s="1"/>
  <c r="AA168" i="13" s="1"/>
  <c r="AB168" i="13" s="1"/>
  <c r="AC168" i="13" s="1"/>
  <c r="AD168" i="13" s="1"/>
  <c r="AE168" i="13" s="1"/>
  <c r="AF168" i="13" s="1"/>
  <c r="B168" i="13" s="1"/>
  <c r="F168" i="13"/>
  <c r="G168" i="13" s="1"/>
  <c r="H168" i="13" s="1"/>
  <c r="I168" i="13" s="1"/>
  <c r="J168" i="13" s="1"/>
  <c r="K168" i="13" s="1"/>
  <c r="L168" i="13" s="1"/>
  <c r="M168" i="13" s="1"/>
  <c r="N168" i="13" s="1"/>
  <c r="O168" i="13" s="1"/>
  <c r="P168" i="13" s="1"/>
  <c r="Q168" i="13" s="1"/>
  <c r="R168" i="13" s="1"/>
  <c r="S168" i="13" s="1"/>
  <c r="T168" i="13" s="1"/>
  <c r="U168" i="13" s="1"/>
  <c r="D168" i="13"/>
  <c r="E168" i="13" s="1"/>
  <c r="H167" i="13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B167" i="13" s="1"/>
  <c r="D167" i="13"/>
  <c r="E167" i="13" s="1"/>
  <c r="F167" i="13" s="1"/>
  <c r="G167" i="13" s="1"/>
  <c r="F166" i="13"/>
  <c r="G166" i="13" s="1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B166" i="13" s="1"/>
  <c r="D166" i="13"/>
  <c r="E166" i="13" s="1"/>
  <c r="D165" i="13"/>
  <c r="E165" i="13" s="1"/>
  <c r="F165" i="13" s="1"/>
  <c r="G165" i="13" s="1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B165" i="13" s="1"/>
  <c r="N164" i="13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D164" i="13"/>
  <c r="E164" i="13" s="1"/>
  <c r="F164" i="13" s="1"/>
  <c r="G164" i="13" s="1"/>
  <c r="H164" i="13" s="1"/>
  <c r="I164" i="13" s="1"/>
  <c r="J164" i="13" s="1"/>
  <c r="K164" i="13" s="1"/>
  <c r="L164" i="13" s="1"/>
  <c r="M164" i="13" s="1"/>
  <c r="B164" i="13"/>
  <c r="D163" i="13"/>
  <c r="E163" i="13" s="1"/>
  <c r="F163" i="13" s="1"/>
  <c r="G163" i="13" s="1"/>
  <c r="H163" i="13" s="1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B163" i="13" s="1"/>
  <c r="K162" i="13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B162" i="13" s="1"/>
  <c r="D162" i="13"/>
  <c r="E162" i="13" s="1"/>
  <c r="F162" i="13" s="1"/>
  <c r="G162" i="13" s="1"/>
  <c r="H162" i="13" s="1"/>
  <c r="I162" i="13" s="1"/>
  <c r="J162" i="13" s="1"/>
  <c r="D161" i="13"/>
  <c r="E161" i="13" s="1"/>
  <c r="F161" i="13" s="1"/>
  <c r="G161" i="13" s="1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B161" i="13" s="1"/>
  <c r="G160" i="13"/>
  <c r="H160" i="13" s="1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B160" i="13" s="1"/>
  <c r="D160" i="13"/>
  <c r="E160" i="13" s="1"/>
  <c r="F160" i="13" s="1"/>
  <c r="AB159" i="13"/>
  <c r="AC159" i="13" s="1"/>
  <c r="AD159" i="13" s="1"/>
  <c r="AE159" i="13" s="1"/>
  <c r="AF159" i="13" s="1"/>
  <c r="B159" i="13" s="1"/>
  <c r="D159" i="13"/>
  <c r="E159" i="13" s="1"/>
  <c r="F159" i="13" s="1"/>
  <c r="G159" i="13" s="1"/>
  <c r="H159" i="13" s="1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E158" i="13"/>
  <c r="F158" i="13" s="1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B158" i="13" s="1"/>
  <c r="D158" i="13"/>
  <c r="D157" i="13"/>
  <c r="E157" i="13" s="1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B157" i="13" s="1"/>
  <c r="E156" i="13"/>
  <c r="F156" i="13" s="1"/>
  <c r="G156" i="13" s="1"/>
  <c r="H156" i="13" s="1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B156" i="13" s="1"/>
  <c r="D156" i="13"/>
  <c r="G154" i="13"/>
  <c r="H154" i="13" s="1"/>
  <c r="I154" i="13" s="1"/>
  <c r="J154" i="13" s="1"/>
  <c r="K154" i="13" s="1"/>
  <c r="L154" i="13" s="1"/>
  <c r="M154" i="13" s="1"/>
  <c r="N154" i="13" s="1"/>
  <c r="O154" i="13" s="1"/>
  <c r="P154" i="13" s="1"/>
  <c r="Q154" i="13" s="1"/>
  <c r="R154" i="13" s="1"/>
  <c r="S154" i="13" s="1"/>
  <c r="T154" i="13" s="1"/>
  <c r="U154" i="13" s="1"/>
  <c r="V154" i="13" s="1"/>
  <c r="W154" i="13" s="1"/>
  <c r="X154" i="13" s="1"/>
  <c r="Y154" i="13" s="1"/>
  <c r="Z154" i="13" s="1"/>
  <c r="AA154" i="13" s="1"/>
  <c r="AB154" i="13" s="1"/>
  <c r="AC154" i="13" s="1"/>
  <c r="AD154" i="13" s="1"/>
  <c r="AE154" i="13" s="1"/>
  <c r="AF154" i="13" s="1"/>
  <c r="B154" i="13" s="1"/>
  <c r="D154" i="13"/>
  <c r="E154" i="13" s="1"/>
  <c r="F154" i="13" s="1"/>
  <c r="P153" i="13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B153" i="13" s="1"/>
  <c r="E153" i="13"/>
  <c r="F153" i="13" s="1"/>
  <c r="G153" i="13" s="1"/>
  <c r="H153" i="13" s="1"/>
  <c r="I153" i="13" s="1"/>
  <c r="J153" i="13" s="1"/>
  <c r="K153" i="13" s="1"/>
  <c r="L153" i="13" s="1"/>
  <c r="M153" i="13" s="1"/>
  <c r="N153" i="13" s="1"/>
  <c r="O153" i="13" s="1"/>
  <c r="D153" i="13"/>
  <c r="F152" i="13"/>
  <c r="G152" i="13" s="1"/>
  <c r="H152" i="13" s="1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B152" i="13" s="1"/>
  <c r="D152" i="13"/>
  <c r="E152" i="13" s="1"/>
  <c r="Q151" i="13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B151" i="13" s="1"/>
  <c r="E151" i="13"/>
  <c r="F151" i="13" s="1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D151" i="13"/>
  <c r="Z149" i="13"/>
  <c r="AA149" i="13" s="1"/>
  <c r="AB149" i="13" s="1"/>
  <c r="AC149" i="13" s="1"/>
  <c r="AD149" i="13" s="1"/>
  <c r="AE149" i="13" s="1"/>
  <c r="AF149" i="13" s="1"/>
  <c r="B149" i="13" s="1"/>
  <c r="D149" i="13"/>
  <c r="E149" i="13" s="1"/>
  <c r="F149" i="13" s="1"/>
  <c r="G149" i="13" s="1"/>
  <c r="H149" i="13" s="1"/>
  <c r="I149" i="13" s="1"/>
  <c r="J149" i="13" s="1"/>
  <c r="K149" i="13" s="1"/>
  <c r="L149" i="13" s="1"/>
  <c r="M149" i="13" s="1"/>
  <c r="N149" i="13" s="1"/>
  <c r="O149" i="13" s="1"/>
  <c r="P149" i="13" s="1"/>
  <c r="Q149" i="13" s="1"/>
  <c r="R149" i="13" s="1"/>
  <c r="S149" i="13" s="1"/>
  <c r="T149" i="13" s="1"/>
  <c r="U149" i="13" s="1"/>
  <c r="V149" i="13" s="1"/>
  <c r="W149" i="13" s="1"/>
  <c r="X149" i="13" s="1"/>
  <c r="Y149" i="13" s="1"/>
  <c r="E148" i="13"/>
  <c r="F148" i="13" s="1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B148" i="13" s="1"/>
  <c r="D148" i="13"/>
  <c r="AA146" i="13"/>
  <c r="AB146" i="13" s="1"/>
  <c r="AC146" i="13" s="1"/>
  <c r="AD146" i="13" s="1"/>
  <c r="AE146" i="13" s="1"/>
  <c r="AF146" i="13" s="1"/>
  <c r="B146" i="13" s="1"/>
  <c r="O146" i="13"/>
  <c r="P146" i="13" s="1"/>
  <c r="Q146" i="13" s="1"/>
  <c r="R146" i="13" s="1"/>
  <c r="S146" i="13" s="1"/>
  <c r="T146" i="13" s="1"/>
  <c r="U146" i="13" s="1"/>
  <c r="V146" i="13" s="1"/>
  <c r="W146" i="13" s="1"/>
  <c r="X146" i="13" s="1"/>
  <c r="Y146" i="13" s="1"/>
  <c r="Z146" i="13" s="1"/>
  <c r="F146" i="13"/>
  <c r="G146" i="13" s="1"/>
  <c r="H146" i="13" s="1"/>
  <c r="I146" i="13" s="1"/>
  <c r="J146" i="13" s="1"/>
  <c r="K146" i="13" s="1"/>
  <c r="L146" i="13" s="1"/>
  <c r="M146" i="13" s="1"/>
  <c r="N146" i="13" s="1"/>
  <c r="D146" i="13"/>
  <c r="E146" i="13" s="1"/>
  <c r="L145" i="13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B145" i="13" s="1"/>
  <c r="D145" i="13"/>
  <c r="E145" i="13" s="1"/>
  <c r="F145" i="13" s="1"/>
  <c r="G145" i="13" s="1"/>
  <c r="H145" i="13" s="1"/>
  <c r="I145" i="13" s="1"/>
  <c r="J145" i="13" s="1"/>
  <c r="K145" i="13" s="1"/>
  <c r="Z144" i="13"/>
  <c r="AA144" i="13" s="1"/>
  <c r="AB144" i="13" s="1"/>
  <c r="AC144" i="13" s="1"/>
  <c r="AD144" i="13" s="1"/>
  <c r="AE144" i="13" s="1"/>
  <c r="AF144" i="13" s="1"/>
  <c r="B144" i="13" s="1"/>
  <c r="R144" i="13"/>
  <c r="S144" i="13" s="1"/>
  <c r="T144" i="13" s="1"/>
  <c r="U144" i="13" s="1"/>
  <c r="V144" i="13" s="1"/>
  <c r="W144" i="13" s="1"/>
  <c r="X144" i="13" s="1"/>
  <c r="Y144" i="13" s="1"/>
  <c r="K144" i="13"/>
  <c r="L144" i="13" s="1"/>
  <c r="M144" i="13" s="1"/>
  <c r="N144" i="13" s="1"/>
  <c r="O144" i="13" s="1"/>
  <c r="P144" i="13" s="1"/>
  <c r="Q144" i="13" s="1"/>
  <c r="G144" i="13"/>
  <c r="H144" i="13" s="1"/>
  <c r="I144" i="13" s="1"/>
  <c r="J144" i="13" s="1"/>
  <c r="D144" i="13"/>
  <c r="E144" i="13" s="1"/>
  <c r="F144" i="13" s="1"/>
  <c r="M143" i="13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B143" i="13" s="1"/>
  <c r="F143" i="13"/>
  <c r="G143" i="13" s="1"/>
  <c r="H143" i="13" s="1"/>
  <c r="I143" i="13" s="1"/>
  <c r="J143" i="13" s="1"/>
  <c r="K143" i="13" s="1"/>
  <c r="L143" i="13" s="1"/>
  <c r="E143" i="13"/>
  <c r="D143" i="13"/>
  <c r="G142" i="13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B142" i="13" s="1"/>
  <c r="D142" i="13"/>
  <c r="E142" i="13" s="1"/>
  <c r="F142" i="13" s="1"/>
  <c r="K141" i="13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B141" i="13" s="1"/>
  <c r="E141" i="13"/>
  <c r="F141" i="13" s="1"/>
  <c r="G141" i="13" s="1"/>
  <c r="H141" i="13" s="1"/>
  <c r="I141" i="13" s="1"/>
  <c r="J141" i="13" s="1"/>
  <c r="D141" i="13"/>
  <c r="G140" i="13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D140" i="13"/>
  <c r="E140" i="13" s="1"/>
  <c r="F140" i="13" s="1"/>
  <c r="B140" i="13"/>
  <c r="E138" i="13"/>
  <c r="F138" i="13" s="1"/>
  <c r="G138" i="13" s="1"/>
  <c r="H138" i="13" s="1"/>
  <c r="I138" i="13" s="1"/>
  <c r="J138" i="13" s="1"/>
  <c r="K138" i="13" s="1"/>
  <c r="L138" i="13" s="1"/>
  <c r="M138" i="13" s="1"/>
  <c r="N138" i="13" s="1"/>
  <c r="O138" i="13" s="1"/>
  <c r="P138" i="13" s="1"/>
  <c r="Q138" i="13" s="1"/>
  <c r="R138" i="13" s="1"/>
  <c r="S138" i="13" s="1"/>
  <c r="T138" i="13" s="1"/>
  <c r="U138" i="13" s="1"/>
  <c r="V138" i="13" s="1"/>
  <c r="W138" i="13" s="1"/>
  <c r="X138" i="13" s="1"/>
  <c r="Y138" i="13" s="1"/>
  <c r="Z138" i="13" s="1"/>
  <c r="AA138" i="13" s="1"/>
  <c r="AB138" i="13" s="1"/>
  <c r="AC138" i="13" s="1"/>
  <c r="AD138" i="13" s="1"/>
  <c r="AE138" i="13" s="1"/>
  <c r="AF138" i="13" s="1"/>
  <c r="B138" i="13" s="1"/>
  <c r="D138" i="13"/>
  <c r="D137" i="13"/>
  <c r="E137" i="13" s="1"/>
  <c r="F137" i="13" s="1"/>
  <c r="G137" i="13" s="1"/>
  <c r="H137" i="13" s="1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B137" i="13" s="1"/>
  <c r="Z136" i="13"/>
  <c r="AA136" i="13" s="1"/>
  <c r="AB136" i="13" s="1"/>
  <c r="AC136" i="13" s="1"/>
  <c r="AD136" i="13" s="1"/>
  <c r="AE136" i="13" s="1"/>
  <c r="AF136" i="13" s="1"/>
  <c r="B136" i="13" s="1"/>
  <c r="T136" i="13"/>
  <c r="U136" i="13" s="1"/>
  <c r="V136" i="13" s="1"/>
  <c r="W136" i="13" s="1"/>
  <c r="X136" i="13" s="1"/>
  <c r="Y136" i="13" s="1"/>
  <c r="N136" i="13"/>
  <c r="O136" i="13" s="1"/>
  <c r="P136" i="13" s="1"/>
  <c r="Q136" i="13" s="1"/>
  <c r="R136" i="13" s="1"/>
  <c r="S136" i="13" s="1"/>
  <c r="J136" i="13"/>
  <c r="K136" i="13" s="1"/>
  <c r="L136" i="13" s="1"/>
  <c r="M136" i="13" s="1"/>
  <c r="D136" i="13"/>
  <c r="E136" i="13" s="1"/>
  <c r="F136" i="13" s="1"/>
  <c r="G136" i="13" s="1"/>
  <c r="H136" i="13" s="1"/>
  <c r="I136" i="13" s="1"/>
  <c r="R135" i="13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B135" i="13" s="1"/>
  <c r="L135" i="13"/>
  <c r="M135" i="13" s="1"/>
  <c r="N135" i="13" s="1"/>
  <c r="O135" i="13" s="1"/>
  <c r="P135" i="13" s="1"/>
  <c r="Q135" i="13" s="1"/>
  <c r="J135" i="13"/>
  <c r="K135" i="13" s="1"/>
  <c r="H135" i="13"/>
  <c r="I135" i="13" s="1"/>
  <c r="D135" i="13"/>
  <c r="E135" i="13" s="1"/>
  <c r="F135" i="13" s="1"/>
  <c r="G135" i="13" s="1"/>
  <c r="F134" i="13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B134" i="13" s="1"/>
  <c r="E134" i="13"/>
  <c r="D134" i="13"/>
  <c r="E133" i="13"/>
  <c r="F133" i="13" s="1"/>
  <c r="G133" i="13" s="1"/>
  <c r="H133" i="13" s="1"/>
  <c r="I133" i="13" s="1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B133" i="13" s="1"/>
  <c r="D133" i="13"/>
  <c r="I132" i="13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B132" i="13" s="1"/>
  <c r="E132" i="13"/>
  <c r="F132" i="13" s="1"/>
  <c r="G132" i="13" s="1"/>
  <c r="H132" i="13" s="1"/>
  <c r="D132" i="13"/>
  <c r="O131" i="13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B131" i="13" s="1"/>
  <c r="K131" i="13"/>
  <c r="L131" i="13" s="1"/>
  <c r="M131" i="13" s="1"/>
  <c r="N131" i="13" s="1"/>
  <c r="G131" i="13"/>
  <c r="H131" i="13" s="1"/>
  <c r="I131" i="13" s="1"/>
  <c r="J131" i="13" s="1"/>
  <c r="D131" i="13"/>
  <c r="E131" i="13" s="1"/>
  <c r="F131" i="13" s="1"/>
  <c r="U129" i="13"/>
  <c r="V129" i="13" s="1"/>
  <c r="W129" i="13" s="1"/>
  <c r="X129" i="13" s="1"/>
  <c r="Y129" i="13" s="1"/>
  <c r="Z129" i="13" s="1"/>
  <c r="AA129" i="13" s="1"/>
  <c r="AB129" i="13" s="1"/>
  <c r="AC129" i="13" s="1"/>
  <c r="AD129" i="13" s="1"/>
  <c r="AE129" i="13" s="1"/>
  <c r="AF129" i="13" s="1"/>
  <c r="B129" i="13" s="1"/>
  <c r="O129" i="13"/>
  <c r="P129" i="13" s="1"/>
  <c r="Q129" i="13" s="1"/>
  <c r="R129" i="13" s="1"/>
  <c r="S129" i="13" s="1"/>
  <c r="T129" i="13" s="1"/>
  <c r="M129" i="13"/>
  <c r="N129" i="13" s="1"/>
  <c r="I129" i="13"/>
  <c r="J129" i="13" s="1"/>
  <c r="K129" i="13" s="1"/>
  <c r="L129" i="13" s="1"/>
  <c r="E129" i="13"/>
  <c r="F129" i="13" s="1"/>
  <c r="G129" i="13" s="1"/>
  <c r="H129" i="13" s="1"/>
  <c r="D129" i="13"/>
  <c r="D128" i="13"/>
  <c r="E128" i="13" s="1"/>
  <c r="F128" i="13" s="1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B128" i="13" s="1"/>
  <c r="F127" i="13"/>
  <c r="G127" i="13" s="1"/>
  <c r="H127" i="13" s="1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B127" i="13" s="1"/>
  <c r="D127" i="13"/>
  <c r="E127" i="13" s="1"/>
  <c r="AF126" i="13"/>
  <c r="B126" i="13" s="1"/>
  <c r="D126" i="13"/>
  <c r="E126" i="13" s="1"/>
  <c r="F126" i="13" s="1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F125" i="13"/>
  <c r="G125" i="13" s="1"/>
  <c r="H125" i="13" s="1"/>
  <c r="I125" i="13" s="1"/>
  <c r="J125" i="13" s="1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B125" i="13" s="1"/>
  <c r="E125" i="13"/>
  <c r="D125" i="13"/>
  <c r="M124" i="13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B124" i="13" s="1"/>
  <c r="G124" i="13"/>
  <c r="H124" i="13" s="1"/>
  <c r="I124" i="13" s="1"/>
  <c r="J124" i="13" s="1"/>
  <c r="K124" i="13" s="1"/>
  <c r="L124" i="13" s="1"/>
  <c r="E124" i="13"/>
  <c r="F124" i="13" s="1"/>
  <c r="D124" i="13"/>
  <c r="Q123" i="13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B123" i="13" s="1"/>
  <c r="M123" i="13"/>
  <c r="N123" i="13" s="1"/>
  <c r="O123" i="13" s="1"/>
  <c r="P123" i="13" s="1"/>
  <c r="K123" i="13"/>
  <c r="L123" i="13" s="1"/>
  <c r="E123" i="13"/>
  <c r="F123" i="13" s="1"/>
  <c r="G123" i="13" s="1"/>
  <c r="H123" i="13" s="1"/>
  <c r="I123" i="13" s="1"/>
  <c r="J123" i="13" s="1"/>
  <c r="D123" i="13"/>
  <c r="X122" i="13"/>
  <c r="Y122" i="13" s="1"/>
  <c r="Z122" i="13" s="1"/>
  <c r="AA122" i="13" s="1"/>
  <c r="AB122" i="13" s="1"/>
  <c r="AC122" i="13" s="1"/>
  <c r="AD122" i="13" s="1"/>
  <c r="AE122" i="13" s="1"/>
  <c r="AF122" i="13" s="1"/>
  <c r="B122" i="13" s="1"/>
  <c r="I122" i="13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D122" i="13"/>
  <c r="E122" i="13" s="1"/>
  <c r="F122" i="13" s="1"/>
  <c r="G122" i="13" s="1"/>
  <c r="H122" i="13" s="1"/>
  <c r="M121" i="13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B121" i="13" s="1"/>
  <c r="J121" i="13"/>
  <c r="K121" i="13" s="1"/>
  <c r="L121" i="13" s="1"/>
  <c r="I121" i="13"/>
  <c r="G121" i="13"/>
  <c r="H121" i="13" s="1"/>
  <c r="E121" i="13"/>
  <c r="F121" i="13" s="1"/>
  <c r="D121" i="13"/>
  <c r="AD120" i="13"/>
  <c r="AE120" i="13" s="1"/>
  <c r="AF120" i="13" s="1"/>
  <c r="B120" i="13" s="1"/>
  <c r="L120" i="13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K120" i="13"/>
  <c r="H120" i="13"/>
  <c r="I120" i="13" s="1"/>
  <c r="J120" i="13" s="1"/>
  <c r="F120" i="13"/>
  <c r="G120" i="13" s="1"/>
  <c r="D120" i="13"/>
  <c r="E120" i="13" s="1"/>
  <c r="AB119" i="13"/>
  <c r="AC119" i="13" s="1"/>
  <c r="AD119" i="13" s="1"/>
  <c r="AE119" i="13" s="1"/>
  <c r="AF119" i="13" s="1"/>
  <c r="B119" i="13" s="1"/>
  <c r="J119" i="13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I119" i="13"/>
  <c r="F119" i="13"/>
  <c r="G119" i="13" s="1"/>
  <c r="H119" i="13" s="1"/>
  <c r="D119" i="13"/>
  <c r="E119" i="13" s="1"/>
  <c r="X118" i="13"/>
  <c r="Y118" i="13" s="1"/>
  <c r="Z118" i="13" s="1"/>
  <c r="AA118" i="13" s="1"/>
  <c r="AB118" i="13" s="1"/>
  <c r="AC118" i="13" s="1"/>
  <c r="AD118" i="13" s="1"/>
  <c r="AE118" i="13" s="1"/>
  <c r="AF118" i="13" s="1"/>
  <c r="B118" i="13" s="1"/>
  <c r="G118" i="13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D118" i="13"/>
  <c r="E118" i="13" s="1"/>
  <c r="F118" i="13" s="1"/>
  <c r="Q117" i="13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B117" i="13" s="1"/>
  <c r="F117" i="13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E117" i="13"/>
  <c r="D117" i="13"/>
  <c r="E116" i="13"/>
  <c r="F116" i="13" s="1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B116" i="13" s="1"/>
  <c r="D116" i="13"/>
  <c r="T115" i="13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B115" i="13" s="1"/>
  <c r="J115" i="13"/>
  <c r="K115" i="13" s="1"/>
  <c r="L115" i="13" s="1"/>
  <c r="M115" i="13" s="1"/>
  <c r="N115" i="13" s="1"/>
  <c r="O115" i="13" s="1"/>
  <c r="P115" i="13" s="1"/>
  <c r="Q115" i="13" s="1"/>
  <c r="R115" i="13" s="1"/>
  <c r="S115" i="13" s="1"/>
  <c r="I115" i="13"/>
  <c r="H115" i="13"/>
  <c r="E115" i="13"/>
  <c r="F115" i="13" s="1"/>
  <c r="G115" i="13" s="1"/>
  <c r="D115" i="13"/>
  <c r="K114" i="13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B114" i="13" s="1"/>
  <c r="G114" i="13"/>
  <c r="H114" i="13" s="1"/>
  <c r="I114" i="13" s="1"/>
  <c r="F114" i="13"/>
  <c r="E114" i="13"/>
  <c r="D114" i="13"/>
  <c r="AB113" i="13"/>
  <c r="AC113" i="13" s="1"/>
  <c r="AD113" i="13" s="1"/>
  <c r="AE113" i="13" s="1"/>
  <c r="AF113" i="13" s="1"/>
  <c r="B113" i="13" s="1"/>
  <c r="P113" i="13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F113" i="13"/>
  <c r="G113" i="13" s="1"/>
  <c r="H113" i="13" s="1"/>
  <c r="I113" i="13" s="1"/>
  <c r="J113" i="13" s="1"/>
  <c r="K113" i="13" s="1"/>
  <c r="L113" i="13" s="1"/>
  <c r="M113" i="13" s="1"/>
  <c r="N113" i="13" s="1"/>
  <c r="O113" i="13" s="1"/>
  <c r="E113" i="13"/>
  <c r="D113" i="13"/>
  <c r="Z112" i="13"/>
  <c r="AA112" i="13" s="1"/>
  <c r="AB112" i="13" s="1"/>
  <c r="AC112" i="13" s="1"/>
  <c r="AD112" i="13" s="1"/>
  <c r="AE112" i="13" s="1"/>
  <c r="AF112" i="13" s="1"/>
  <c r="B112" i="13" s="1"/>
  <c r="N112" i="13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D112" i="13"/>
  <c r="E112" i="13" s="1"/>
  <c r="F112" i="13" s="1"/>
  <c r="G112" i="13" s="1"/>
  <c r="H112" i="13" s="1"/>
  <c r="I112" i="13" s="1"/>
  <c r="J112" i="13" s="1"/>
  <c r="K112" i="13" s="1"/>
  <c r="L112" i="13" s="1"/>
  <c r="M112" i="13" s="1"/>
  <c r="X110" i="13"/>
  <c r="Y110" i="13" s="1"/>
  <c r="Z110" i="13" s="1"/>
  <c r="AA110" i="13" s="1"/>
  <c r="AB110" i="13" s="1"/>
  <c r="AC110" i="13" s="1"/>
  <c r="AD110" i="13" s="1"/>
  <c r="AE110" i="13" s="1"/>
  <c r="AF110" i="13" s="1"/>
  <c r="B110" i="13" s="1"/>
  <c r="L110" i="13"/>
  <c r="M110" i="13" s="1"/>
  <c r="N110" i="13" s="1"/>
  <c r="O110" i="13" s="1"/>
  <c r="P110" i="13" s="1"/>
  <c r="Q110" i="13" s="1"/>
  <c r="R110" i="13" s="1"/>
  <c r="S110" i="13" s="1"/>
  <c r="T110" i="13" s="1"/>
  <c r="U110" i="13" s="1"/>
  <c r="V110" i="13" s="1"/>
  <c r="W110" i="13" s="1"/>
  <c r="D110" i="13"/>
  <c r="E110" i="13" s="1"/>
  <c r="F110" i="13" s="1"/>
  <c r="G110" i="13" s="1"/>
  <c r="H110" i="13" s="1"/>
  <c r="I110" i="13" s="1"/>
  <c r="J110" i="13" s="1"/>
  <c r="K110" i="13" s="1"/>
  <c r="J109" i="13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B109" i="13" s="1"/>
  <c r="E109" i="13"/>
  <c r="F109" i="13" s="1"/>
  <c r="G109" i="13" s="1"/>
  <c r="H109" i="13" s="1"/>
  <c r="I109" i="13" s="1"/>
  <c r="D109" i="13"/>
  <c r="D107" i="13"/>
  <c r="E107" i="13" s="1"/>
  <c r="F107" i="13" s="1"/>
  <c r="G107" i="13" s="1"/>
  <c r="H107" i="13" s="1"/>
  <c r="I107" i="13" s="1"/>
  <c r="J107" i="13" s="1"/>
  <c r="K107" i="13" s="1"/>
  <c r="L107" i="13" s="1"/>
  <c r="M107" i="13" s="1"/>
  <c r="N107" i="13" s="1"/>
  <c r="O107" i="13" s="1"/>
  <c r="P107" i="13" s="1"/>
  <c r="Q107" i="13" s="1"/>
  <c r="R107" i="13" s="1"/>
  <c r="S107" i="13" s="1"/>
  <c r="T107" i="13" s="1"/>
  <c r="U107" i="13" s="1"/>
  <c r="V107" i="13" s="1"/>
  <c r="W107" i="13" s="1"/>
  <c r="X107" i="13" s="1"/>
  <c r="Y107" i="13" s="1"/>
  <c r="Z107" i="13" s="1"/>
  <c r="AA107" i="13" s="1"/>
  <c r="AB107" i="13" s="1"/>
  <c r="AC107" i="13" s="1"/>
  <c r="AD107" i="13" s="1"/>
  <c r="AE107" i="13" s="1"/>
  <c r="AF107" i="13" s="1"/>
  <c r="B107" i="13" s="1"/>
  <c r="I106" i="13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B106" i="13" s="1"/>
  <c r="F106" i="13"/>
  <c r="G106" i="13" s="1"/>
  <c r="H106" i="13" s="1"/>
  <c r="E106" i="13"/>
  <c r="D106" i="13"/>
  <c r="G105" i="13"/>
  <c r="H105" i="13" s="1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B105" i="13" s="1"/>
  <c r="D105" i="13"/>
  <c r="E105" i="13" s="1"/>
  <c r="F105" i="13" s="1"/>
  <c r="N104" i="13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B104" i="13" s="1"/>
  <c r="E104" i="13"/>
  <c r="F104" i="13" s="1"/>
  <c r="G104" i="13" s="1"/>
  <c r="H104" i="13" s="1"/>
  <c r="I104" i="13" s="1"/>
  <c r="J104" i="13" s="1"/>
  <c r="K104" i="13" s="1"/>
  <c r="L104" i="13" s="1"/>
  <c r="M104" i="13" s="1"/>
  <c r="D104" i="13"/>
  <c r="D103" i="13"/>
  <c r="D102" i="13"/>
  <c r="AH100" i="13"/>
  <c r="AI100" i="13" s="1"/>
  <c r="AH99" i="13"/>
  <c r="AI99" i="13" s="1"/>
  <c r="AH98" i="13"/>
  <c r="AI98" i="13" s="1"/>
  <c r="AH97" i="13"/>
  <c r="AI97" i="13" s="1"/>
  <c r="AH96" i="13"/>
  <c r="AI96" i="13" s="1"/>
  <c r="AH95" i="13"/>
  <c r="AI95" i="13" s="1"/>
  <c r="AH94" i="13"/>
  <c r="AI94" i="13" s="1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G82" i="13"/>
  <c r="AI81" i="13"/>
  <c r="AH81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S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AF76" i="13"/>
  <c r="AE76" i="13"/>
  <c r="AD76" i="13"/>
  <c r="AC76" i="13"/>
  <c r="AB76" i="13"/>
  <c r="AA76" i="13"/>
  <c r="Z76" i="13"/>
  <c r="Z82" i="13" s="1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I74" i="13"/>
  <c r="AH74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I71" i="13"/>
  <c r="AH71" i="13"/>
  <c r="AI70" i="13"/>
  <c r="AH70" i="13"/>
  <c r="AI69" i="13"/>
  <c r="AH69" i="13"/>
  <c r="AG68" i="13"/>
  <c r="AF68" i="13"/>
  <c r="AE68" i="13"/>
  <c r="AD5" i="13" s="1"/>
  <c r="AD68" i="13"/>
  <c r="AC5" i="13" s="1"/>
  <c r="AC68" i="13"/>
  <c r="AB68" i="13"/>
  <c r="AA68" i="13"/>
  <c r="Z5" i="13" s="1"/>
  <c r="Z68" i="13"/>
  <c r="Y68" i="13"/>
  <c r="X68" i="13"/>
  <c r="W5" i="13" s="1"/>
  <c r="W68" i="13"/>
  <c r="V5" i="13" s="1"/>
  <c r="V68" i="13"/>
  <c r="U5" i="13" s="1"/>
  <c r="U68" i="13"/>
  <c r="T5" i="13" s="1"/>
  <c r="S68" i="13"/>
  <c r="R68" i="13"/>
  <c r="Q5" i="13" s="1"/>
  <c r="P68" i="13"/>
  <c r="O68" i="13"/>
  <c r="N68" i="13"/>
  <c r="M68" i="13"/>
  <c r="L5" i="13" s="1"/>
  <c r="L68" i="13"/>
  <c r="K5" i="13" s="1"/>
  <c r="K68" i="13"/>
  <c r="J68" i="13"/>
  <c r="I5" i="13" s="1"/>
  <c r="I68" i="13"/>
  <c r="H5" i="13" s="1"/>
  <c r="H68" i="13"/>
  <c r="G68" i="13"/>
  <c r="F5" i="13" s="1"/>
  <c r="F68" i="13"/>
  <c r="E5" i="13" s="1"/>
  <c r="E68" i="13"/>
  <c r="D5" i="13" s="1"/>
  <c r="D68" i="13"/>
  <c r="C5" i="13" s="1"/>
  <c r="C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H58" i="13"/>
  <c r="T77" i="13"/>
  <c r="R77" i="13"/>
  <c r="Q68" i="13"/>
  <c r="AI57" i="13"/>
  <c r="AH57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AI55" i="13"/>
  <c r="AH55" i="13"/>
  <c r="AI54" i="13"/>
  <c r="AH54" i="13"/>
  <c r="AI53" i="13"/>
  <c r="AH53" i="13"/>
  <c r="Z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G51" i="13"/>
  <c r="AG52" i="13" s="1"/>
  <c r="AG3" i="13" s="1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I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F5" i="13"/>
  <c r="AE5" i="13"/>
  <c r="AB5" i="13"/>
  <c r="AA5" i="13"/>
  <c r="Y5" i="13"/>
  <c r="X5" i="13"/>
  <c r="O5" i="13"/>
  <c r="N5" i="13"/>
  <c r="G5" i="13"/>
  <c r="AG4" i="13"/>
  <c r="K4" i="13"/>
  <c r="B4" i="13"/>
  <c r="AG2" i="13"/>
  <c r="AG6" i="13" s="1"/>
  <c r="E4" i="13"/>
  <c r="U194" i="15" l="1"/>
  <c r="R109" i="15"/>
  <c r="Q93" i="15"/>
  <c r="T103" i="15"/>
  <c r="R192" i="15"/>
  <c r="S102" i="15"/>
  <c r="P235" i="15"/>
  <c r="R199" i="15"/>
  <c r="Q200" i="15"/>
  <c r="Q192" i="15"/>
  <c r="AR214" i="14"/>
  <c r="Z7" i="14"/>
  <c r="O7" i="14"/>
  <c r="O83" i="14"/>
  <c r="L83" i="14"/>
  <c r="J83" i="14"/>
  <c r="I83" i="14"/>
  <c r="I7" i="14"/>
  <c r="H7" i="14"/>
  <c r="H83" i="14"/>
  <c r="C209" i="14"/>
  <c r="Y214" i="14"/>
  <c r="G83" i="14"/>
  <c r="F83" i="14"/>
  <c r="E83" i="14"/>
  <c r="E7" i="14"/>
  <c r="D83" i="14"/>
  <c r="C83" i="14"/>
  <c r="V214" i="14"/>
  <c r="D7" i="14"/>
  <c r="AK214" i="14"/>
  <c r="S7" i="14"/>
  <c r="AC214" i="14"/>
  <c r="K7" i="14"/>
  <c r="K83" i="14"/>
  <c r="I103" i="14"/>
  <c r="B209" i="14"/>
  <c r="G192" i="14"/>
  <c r="H102" i="14"/>
  <c r="E200" i="14"/>
  <c r="F194" i="14"/>
  <c r="AL214" i="14"/>
  <c r="T7" i="14"/>
  <c r="AI82" i="14"/>
  <c r="AH82" i="14"/>
  <c r="E93" i="14"/>
  <c r="S83" i="14"/>
  <c r="E235" i="14"/>
  <c r="G199" i="14"/>
  <c r="AD214" i="14"/>
  <c r="L7" i="14"/>
  <c r="AE82" i="13"/>
  <c r="AC82" i="13"/>
  <c r="AB82" i="13"/>
  <c r="W82" i="13"/>
  <c r="P73" i="13"/>
  <c r="M82" i="13"/>
  <c r="L82" i="13"/>
  <c r="K82" i="13"/>
  <c r="J82" i="13"/>
  <c r="AI78" i="13"/>
  <c r="D82" i="13"/>
  <c r="L75" i="13"/>
  <c r="AD214" i="13" s="1"/>
  <c r="L73" i="13"/>
  <c r="D75" i="13"/>
  <c r="D7" i="13" s="1"/>
  <c r="C82" i="13"/>
  <c r="B75" i="13"/>
  <c r="S82" i="13"/>
  <c r="I82" i="13"/>
  <c r="H82" i="13"/>
  <c r="P82" i="13"/>
  <c r="X82" i="13"/>
  <c r="AF82" i="13"/>
  <c r="R82" i="13"/>
  <c r="Y82" i="13"/>
  <c r="AA82" i="13"/>
  <c r="E82" i="13"/>
  <c r="U82" i="13"/>
  <c r="M73" i="13"/>
  <c r="D73" i="13"/>
  <c r="I75" i="13"/>
  <c r="AA214" i="13" s="1"/>
  <c r="H75" i="13"/>
  <c r="H7" i="13" s="1"/>
  <c r="Z73" i="13"/>
  <c r="F75" i="13"/>
  <c r="X214" i="13" s="1"/>
  <c r="N75" i="13"/>
  <c r="N7" i="13" s="1"/>
  <c r="G73" i="13"/>
  <c r="O73" i="13"/>
  <c r="R73" i="13"/>
  <c r="J73" i="13"/>
  <c r="S73" i="13"/>
  <c r="C73" i="13"/>
  <c r="C75" i="13" s="1"/>
  <c r="U214" i="13" s="1"/>
  <c r="K73" i="13"/>
  <c r="E73" i="13"/>
  <c r="Z75" i="13"/>
  <c r="N73" i="13"/>
  <c r="K75" i="13"/>
  <c r="AC214" i="13" s="1"/>
  <c r="S75" i="13"/>
  <c r="B83" i="13"/>
  <c r="AH38" i="13"/>
  <c r="H4" i="13"/>
  <c r="Q73" i="13"/>
  <c r="P5" i="13"/>
  <c r="AG75" i="13"/>
  <c r="AI38" i="13"/>
  <c r="AI56" i="13"/>
  <c r="AI58" i="13"/>
  <c r="G75" i="13"/>
  <c r="O75" i="13"/>
  <c r="AH76" i="13"/>
  <c r="AH78" i="13"/>
  <c r="AI79" i="13"/>
  <c r="AI80" i="13"/>
  <c r="D93" i="13"/>
  <c r="E103" i="13"/>
  <c r="H73" i="13"/>
  <c r="P75" i="13"/>
  <c r="P83" i="13" s="1"/>
  <c r="AI76" i="13"/>
  <c r="Q77" i="13"/>
  <c r="Q82" i="13" s="1"/>
  <c r="AH56" i="13"/>
  <c r="AH79" i="13"/>
  <c r="B5" i="13"/>
  <c r="J5" i="13"/>
  <c r="R5" i="13"/>
  <c r="I73" i="13"/>
  <c r="AG73" i="13"/>
  <c r="AG83" i="13" s="1"/>
  <c r="Q75" i="13"/>
  <c r="F73" i="13"/>
  <c r="AI72" i="13"/>
  <c r="AH72" i="13"/>
  <c r="R75" i="13"/>
  <c r="T82" i="13"/>
  <c r="S211" i="13"/>
  <c r="D211" i="13"/>
  <c r="M5" i="13"/>
  <c r="AH37" i="13"/>
  <c r="T68" i="13"/>
  <c r="AI68" i="13" s="1"/>
  <c r="J75" i="13"/>
  <c r="F82" i="13"/>
  <c r="N82" i="13"/>
  <c r="V82" i="13"/>
  <c r="AD82" i="13"/>
  <c r="E75" i="13"/>
  <c r="M75" i="13"/>
  <c r="G82" i="13"/>
  <c r="O82" i="13"/>
  <c r="D192" i="13"/>
  <c r="AH80" i="13"/>
  <c r="E102" i="13"/>
  <c r="F199" i="13"/>
  <c r="D235" i="13"/>
  <c r="D200" i="13"/>
  <c r="E200" i="13"/>
  <c r="C235" i="13"/>
  <c r="F194" i="13"/>
  <c r="T58" i="11"/>
  <c r="S37" i="11"/>
  <c r="T102" i="15" l="1"/>
  <c r="U103" i="15"/>
  <c r="S109" i="15"/>
  <c r="R93" i="15"/>
  <c r="S199" i="15"/>
  <c r="Q235" i="15"/>
  <c r="R200" i="15"/>
  <c r="V194" i="15"/>
  <c r="K6" i="14"/>
  <c r="J103" i="14"/>
  <c r="G194" i="14"/>
  <c r="F200" i="14"/>
  <c r="F93" i="14"/>
  <c r="H192" i="14"/>
  <c r="I102" i="14"/>
  <c r="F235" i="14"/>
  <c r="H199" i="14"/>
  <c r="R83" i="13"/>
  <c r="AF214" i="13"/>
  <c r="L83" i="13"/>
  <c r="L7" i="13"/>
  <c r="V214" i="13"/>
  <c r="F7" i="13"/>
  <c r="D83" i="13"/>
  <c r="C83" i="13"/>
  <c r="I7" i="13"/>
  <c r="F83" i="13"/>
  <c r="Z214" i="13"/>
  <c r="AI77" i="13"/>
  <c r="AH77" i="13"/>
  <c r="H83" i="13"/>
  <c r="K7" i="13"/>
  <c r="Z83" i="13"/>
  <c r="AI82" i="13"/>
  <c r="N83" i="13"/>
  <c r="Z7" i="13"/>
  <c r="AR214" i="13"/>
  <c r="S83" i="13"/>
  <c r="J83" i="13"/>
  <c r="K83" i="13"/>
  <c r="S7" i="13"/>
  <c r="C7" i="13"/>
  <c r="AK214" i="13"/>
  <c r="G83" i="13"/>
  <c r="Q83" i="13"/>
  <c r="E192" i="13"/>
  <c r="F102" i="13"/>
  <c r="G194" i="13"/>
  <c r="F200" i="13"/>
  <c r="AE214" i="13"/>
  <c r="M7" i="13"/>
  <c r="AI214" i="13"/>
  <c r="Q7" i="13"/>
  <c r="T214" i="13"/>
  <c r="B7" i="13"/>
  <c r="I83" i="13"/>
  <c r="M83" i="13"/>
  <c r="F103" i="13"/>
  <c r="E93" i="13"/>
  <c r="AH82" i="13"/>
  <c r="AB214" i="13"/>
  <c r="J7" i="13"/>
  <c r="S5" i="13"/>
  <c r="T73" i="13"/>
  <c r="W214" i="13"/>
  <c r="E7" i="13"/>
  <c r="AJ214" i="13"/>
  <c r="R7" i="13"/>
  <c r="AG214" i="13"/>
  <c r="O7" i="13"/>
  <c r="O83" i="13"/>
  <c r="Y214" i="13"/>
  <c r="C209" i="13"/>
  <c r="B209" i="13"/>
  <c r="G7" i="13"/>
  <c r="E83" i="13"/>
  <c r="G199" i="13"/>
  <c r="E235" i="13"/>
  <c r="T75" i="13"/>
  <c r="AH68" i="13"/>
  <c r="AH214" i="13"/>
  <c r="P7" i="13"/>
  <c r="R95" i="11"/>
  <c r="R58" i="11"/>
  <c r="R37" i="11"/>
  <c r="Q58" i="11"/>
  <c r="Q37" i="11"/>
  <c r="P37" i="11"/>
  <c r="N95" i="11"/>
  <c r="O58" i="11"/>
  <c r="O37" i="11"/>
  <c r="N37" i="11"/>
  <c r="M95" i="11"/>
  <c r="M37" i="11"/>
  <c r="L37" i="11"/>
  <c r="K37" i="11"/>
  <c r="J37" i="11"/>
  <c r="I37" i="11"/>
  <c r="H37" i="11"/>
  <c r="G37" i="11"/>
  <c r="F37" i="11"/>
  <c r="AH100" i="11"/>
  <c r="AI100" i="11" s="1"/>
  <c r="AH99" i="11"/>
  <c r="AI99" i="11" s="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C235" i="11"/>
  <c r="B235" i="11"/>
  <c r="S210" i="11"/>
  <c r="AG200" i="11"/>
  <c r="C200" i="11"/>
  <c r="E199" i="11"/>
  <c r="F199" i="11" s="1"/>
  <c r="E235" i="11" s="1"/>
  <c r="D199" i="11"/>
  <c r="D198" i="11"/>
  <c r="E198" i="11" s="1"/>
  <c r="F198" i="11" s="1"/>
  <c r="G198" i="11" s="1"/>
  <c r="H198" i="11" s="1"/>
  <c r="I198" i="11" s="1"/>
  <c r="J198" i="11" s="1"/>
  <c r="K198" i="11" s="1"/>
  <c r="L198" i="11" s="1"/>
  <c r="M198" i="11" s="1"/>
  <c r="N198" i="11" s="1"/>
  <c r="O198" i="11" s="1"/>
  <c r="P198" i="11" s="1"/>
  <c r="Q198" i="11" s="1"/>
  <c r="R198" i="11" s="1"/>
  <c r="S198" i="11" s="1"/>
  <c r="T198" i="11" s="1"/>
  <c r="U198" i="11" s="1"/>
  <c r="V198" i="11" s="1"/>
  <c r="W198" i="11" s="1"/>
  <c r="X198" i="11" s="1"/>
  <c r="Y198" i="11" s="1"/>
  <c r="Z198" i="11" s="1"/>
  <c r="AA198" i="11" s="1"/>
  <c r="AB198" i="11" s="1"/>
  <c r="AC198" i="11" s="1"/>
  <c r="AD198" i="11" s="1"/>
  <c r="AE198" i="11" s="1"/>
  <c r="AF198" i="11" s="1"/>
  <c r="B198" i="11" s="1"/>
  <c r="J197" i="11"/>
  <c r="K197" i="11" s="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B197" i="11" s="1"/>
  <c r="G197" i="11"/>
  <c r="H197" i="11" s="1"/>
  <c r="I197" i="11" s="1"/>
  <c r="F197" i="11"/>
  <c r="E197" i="11"/>
  <c r="D197" i="11"/>
  <c r="P196" i="1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B196" i="11" s="1"/>
  <c r="E196" i="11"/>
  <c r="F196" i="11" s="1"/>
  <c r="G196" i="11" s="1"/>
  <c r="H196" i="11" s="1"/>
  <c r="I196" i="11" s="1"/>
  <c r="J196" i="11" s="1"/>
  <c r="K196" i="11" s="1"/>
  <c r="L196" i="11" s="1"/>
  <c r="M196" i="11" s="1"/>
  <c r="N196" i="11" s="1"/>
  <c r="O196" i="11" s="1"/>
  <c r="D196" i="11"/>
  <c r="E195" i="11"/>
  <c r="F195" i="11" s="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B195" i="11" s="1"/>
  <c r="D195" i="11"/>
  <c r="D194" i="11"/>
  <c r="D200" i="11" s="1"/>
  <c r="AG192" i="11"/>
  <c r="C192" i="11"/>
  <c r="H191" i="11"/>
  <c r="I191" i="11" s="1"/>
  <c r="J191" i="11" s="1"/>
  <c r="K191" i="11" s="1"/>
  <c r="L191" i="11" s="1"/>
  <c r="M191" i="11" s="1"/>
  <c r="N191" i="11" s="1"/>
  <c r="O191" i="11" s="1"/>
  <c r="P191" i="11" s="1"/>
  <c r="Q191" i="11" s="1"/>
  <c r="R191" i="11" s="1"/>
  <c r="S191" i="11" s="1"/>
  <c r="T191" i="11" s="1"/>
  <c r="U191" i="11" s="1"/>
  <c r="V191" i="11" s="1"/>
  <c r="W191" i="11" s="1"/>
  <c r="X191" i="11" s="1"/>
  <c r="Y191" i="11" s="1"/>
  <c r="Z191" i="11" s="1"/>
  <c r="AA191" i="11" s="1"/>
  <c r="AB191" i="11" s="1"/>
  <c r="AC191" i="11" s="1"/>
  <c r="AD191" i="11" s="1"/>
  <c r="AE191" i="11" s="1"/>
  <c r="AF191" i="11" s="1"/>
  <c r="B191" i="11" s="1"/>
  <c r="F191" i="11"/>
  <c r="G191" i="11" s="1"/>
  <c r="E191" i="11"/>
  <c r="D191" i="11"/>
  <c r="H190" i="11"/>
  <c r="I190" i="11" s="1"/>
  <c r="J190" i="11" s="1"/>
  <c r="K190" i="11" s="1"/>
  <c r="L190" i="11" s="1"/>
  <c r="M190" i="11" s="1"/>
  <c r="N190" i="11" s="1"/>
  <c r="O190" i="11" s="1"/>
  <c r="P190" i="11" s="1"/>
  <c r="Q190" i="11" s="1"/>
  <c r="R190" i="11" s="1"/>
  <c r="S190" i="11" s="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B190" i="11" s="1"/>
  <c r="F190" i="11"/>
  <c r="G190" i="11" s="1"/>
  <c r="D190" i="11"/>
  <c r="E190" i="11" s="1"/>
  <c r="D189" i="11"/>
  <c r="E189" i="11" s="1"/>
  <c r="F189" i="11" s="1"/>
  <c r="G189" i="11" s="1"/>
  <c r="H189" i="11" s="1"/>
  <c r="I189" i="11" s="1"/>
  <c r="J189" i="11" s="1"/>
  <c r="K189" i="11" s="1"/>
  <c r="L189" i="11" s="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B189" i="11" s="1"/>
  <c r="D188" i="11"/>
  <c r="E188" i="11" s="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B188" i="11" s="1"/>
  <c r="H187" i="1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B187" i="11" s="1"/>
  <c r="G187" i="11"/>
  <c r="F187" i="11"/>
  <c r="E187" i="11"/>
  <c r="D187" i="11"/>
  <c r="E186" i="11"/>
  <c r="F186" i="11" s="1"/>
  <c r="G186" i="11" s="1"/>
  <c r="H186" i="11" s="1"/>
  <c r="I186" i="11" s="1"/>
  <c r="J186" i="11" s="1"/>
  <c r="K186" i="11" s="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B186" i="11" s="1"/>
  <c r="D186" i="11"/>
  <c r="J185" i="1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B185" i="11" s="1"/>
  <c r="F185" i="11"/>
  <c r="G185" i="11" s="1"/>
  <c r="H185" i="11" s="1"/>
  <c r="I185" i="11" s="1"/>
  <c r="E185" i="11"/>
  <c r="D185" i="11"/>
  <c r="H184" i="1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B184" i="11" s="1"/>
  <c r="D184" i="11"/>
  <c r="E184" i="11" s="1"/>
  <c r="F184" i="11" s="1"/>
  <c r="G184" i="11" s="1"/>
  <c r="I183" i="1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B183" i="11" s="1"/>
  <c r="G183" i="11"/>
  <c r="H183" i="11" s="1"/>
  <c r="F183" i="11"/>
  <c r="E183" i="11"/>
  <c r="D183" i="11"/>
  <c r="O182" i="1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B182" i="11" s="1"/>
  <c r="F182" i="11"/>
  <c r="G182" i="11" s="1"/>
  <c r="H182" i="11" s="1"/>
  <c r="I182" i="11" s="1"/>
  <c r="J182" i="11" s="1"/>
  <c r="K182" i="11" s="1"/>
  <c r="L182" i="11" s="1"/>
  <c r="M182" i="11" s="1"/>
  <c r="N182" i="11" s="1"/>
  <c r="D182" i="11"/>
  <c r="E182" i="11" s="1"/>
  <c r="F181" i="11"/>
  <c r="G181" i="11" s="1"/>
  <c r="H181" i="11" s="1"/>
  <c r="I181" i="11" s="1"/>
  <c r="J181" i="11" s="1"/>
  <c r="K181" i="11" s="1"/>
  <c r="L181" i="11" s="1"/>
  <c r="M181" i="11" s="1"/>
  <c r="N181" i="11" s="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B181" i="11" s="1"/>
  <c r="D181" i="11"/>
  <c r="E181" i="11" s="1"/>
  <c r="G180" i="11"/>
  <c r="H180" i="11" s="1"/>
  <c r="I180" i="11" s="1"/>
  <c r="J180" i="11" s="1"/>
  <c r="K180" i="11" s="1"/>
  <c r="L180" i="11" s="1"/>
  <c r="M180" i="11" s="1"/>
  <c r="N180" i="11" s="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B180" i="11" s="1"/>
  <c r="E180" i="11"/>
  <c r="F180" i="11" s="1"/>
  <c r="D180" i="11"/>
  <c r="E179" i="11"/>
  <c r="F179" i="11" s="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B179" i="11" s="1"/>
  <c r="D179" i="11"/>
  <c r="F177" i="11"/>
  <c r="G177" i="11" s="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B177" i="11" s="1"/>
  <c r="D177" i="11"/>
  <c r="E177" i="11" s="1"/>
  <c r="L176" i="1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B176" i="11" s="1"/>
  <c r="D176" i="11"/>
  <c r="E176" i="11" s="1"/>
  <c r="F176" i="11" s="1"/>
  <c r="G176" i="11" s="1"/>
  <c r="H176" i="11" s="1"/>
  <c r="I176" i="11" s="1"/>
  <c r="J176" i="11" s="1"/>
  <c r="K176" i="11" s="1"/>
  <c r="K175" i="1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B175" i="11" s="1"/>
  <c r="E175" i="11"/>
  <c r="F175" i="11" s="1"/>
  <c r="G175" i="11" s="1"/>
  <c r="H175" i="11" s="1"/>
  <c r="I175" i="11" s="1"/>
  <c r="J175" i="11" s="1"/>
  <c r="D175" i="11"/>
  <c r="D174" i="11"/>
  <c r="E174" i="11" s="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B174" i="11" s="1"/>
  <c r="G173" i="11"/>
  <c r="H173" i="11" s="1"/>
  <c r="I173" i="11" s="1"/>
  <c r="J173" i="11" s="1"/>
  <c r="K173" i="11" s="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B173" i="11" s="1"/>
  <c r="D173" i="11"/>
  <c r="E173" i="11" s="1"/>
  <c r="F173" i="11" s="1"/>
  <c r="M172" i="1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B172" i="11" s="1"/>
  <c r="I172" i="11"/>
  <c r="J172" i="11" s="1"/>
  <c r="K172" i="11" s="1"/>
  <c r="L172" i="11" s="1"/>
  <c r="D172" i="11"/>
  <c r="E172" i="11" s="1"/>
  <c r="F172" i="11" s="1"/>
  <c r="G172" i="11" s="1"/>
  <c r="H172" i="11" s="1"/>
  <c r="D171" i="11"/>
  <c r="E171" i="11" s="1"/>
  <c r="F171" i="11" s="1"/>
  <c r="G171" i="11" s="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B171" i="11" s="1"/>
  <c r="D170" i="11"/>
  <c r="E170" i="11" s="1"/>
  <c r="F170" i="11" s="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B170" i="11" s="1"/>
  <c r="E168" i="11"/>
  <c r="F168" i="11" s="1"/>
  <c r="G168" i="11" s="1"/>
  <c r="H168" i="11" s="1"/>
  <c r="I168" i="11" s="1"/>
  <c r="J168" i="11" s="1"/>
  <c r="K168" i="11" s="1"/>
  <c r="L168" i="11" s="1"/>
  <c r="M168" i="11" s="1"/>
  <c r="N168" i="11" s="1"/>
  <c r="O168" i="11" s="1"/>
  <c r="P168" i="11" s="1"/>
  <c r="Q168" i="11" s="1"/>
  <c r="R168" i="11" s="1"/>
  <c r="S168" i="11" s="1"/>
  <c r="T168" i="11" s="1"/>
  <c r="U168" i="11" s="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B168" i="11" s="1"/>
  <c r="D168" i="11"/>
  <c r="F167" i="11"/>
  <c r="G167" i="11" s="1"/>
  <c r="H167" i="11" s="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D167" i="11"/>
  <c r="E167" i="11" s="1"/>
  <c r="B167" i="11"/>
  <c r="D166" i="11"/>
  <c r="E166" i="11" s="1"/>
  <c r="F166" i="11" s="1"/>
  <c r="G166" i="11" s="1"/>
  <c r="H166" i="11" s="1"/>
  <c r="I166" i="11" s="1"/>
  <c r="J166" i="11" s="1"/>
  <c r="K166" i="11" s="1"/>
  <c r="L166" i="11" s="1"/>
  <c r="M166" i="11" s="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B166" i="11" s="1"/>
  <c r="O165" i="1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B165" i="11" s="1"/>
  <c r="D165" i="11"/>
  <c r="E165" i="11" s="1"/>
  <c r="F165" i="11" s="1"/>
  <c r="G165" i="11" s="1"/>
  <c r="H165" i="11" s="1"/>
  <c r="I165" i="11" s="1"/>
  <c r="J165" i="11" s="1"/>
  <c r="K165" i="11" s="1"/>
  <c r="L165" i="11" s="1"/>
  <c r="M165" i="11" s="1"/>
  <c r="N165" i="11" s="1"/>
  <c r="E164" i="1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B164" i="11" s="1"/>
  <c r="D164" i="11"/>
  <c r="D163" i="11"/>
  <c r="E163" i="11" s="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B163" i="11" s="1"/>
  <c r="I162" i="1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B162" i="11" s="1"/>
  <c r="E162" i="11"/>
  <c r="F162" i="11" s="1"/>
  <c r="G162" i="11" s="1"/>
  <c r="H162" i="11" s="1"/>
  <c r="D162" i="11"/>
  <c r="L161" i="1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B161" i="11" s="1"/>
  <c r="D161" i="11"/>
  <c r="E161" i="11" s="1"/>
  <c r="F161" i="11" s="1"/>
  <c r="G161" i="11" s="1"/>
  <c r="H161" i="11" s="1"/>
  <c r="I161" i="11" s="1"/>
  <c r="J161" i="11" s="1"/>
  <c r="K161" i="11" s="1"/>
  <c r="D160" i="11"/>
  <c r="E160" i="11" s="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B160" i="11" s="1"/>
  <c r="AF159" i="11"/>
  <c r="B159" i="11" s="1"/>
  <c r="D159" i="11"/>
  <c r="E159" i="11" s="1"/>
  <c r="F159" i="11" s="1"/>
  <c r="G159" i="11" s="1"/>
  <c r="H159" i="11" s="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D158" i="11"/>
  <c r="E158" i="11" s="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B158" i="11" s="1"/>
  <c r="D157" i="11"/>
  <c r="E157" i="11" s="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B157" i="11" s="1"/>
  <c r="E156" i="11"/>
  <c r="F156" i="11" s="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B156" i="11" s="1"/>
  <c r="D156" i="11"/>
  <c r="H154" i="1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B154" i="11" s="1"/>
  <c r="D154" i="11"/>
  <c r="E154" i="11" s="1"/>
  <c r="F154" i="11" s="1"/>
  <c r="G154" i="11" s="1"/>
  <c r="J153" i="1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B153" i="11" s="1"/>
  <c r="F153" i="11"/>
  <c r="G153" i="11" s="1"/>
  <c r="H153" i="11" s="1"/>
  <c r="I153" i="11" s="1"/>
  <c r="D153" i="11"/>
  <c r="E153" i="11" s="1"/>
  <c r="D152" i="11"/>
  <c r="E152" i="11" s="1"/>
  <c r="F152" i="11" s="1"/>
  <c r="G152" i="11" s="1"/>
  <c r="H152" i="11" s="1"/>
  <c r="I152" i="11" s="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B152" i="11" s="1"/>
  <c r="D151" i="11"/>
  <c r="E151" i="11" s="1"/>
  <c r="F151" i="11" s="1"/>
  <c r="G151" i="11" s="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B151" i="11" s="1"/>
  <c r="H149" i="1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AC149" i="11" s="1"/>
  <c r="AD149" i="11" s="1"/>
  <c r="AE149" i="11" s="1"/>
  <c r="AF149" i="11" s="1"/>
  <c r="B149" i="11" s="1"/>
  <c r="D149" i="11"/>
  <c r="E149" i="11" s="1"/>
  <c r="F149" i="11" s="1"/>
  <c r="G149" i="11" s="1"/>
  <c r="D148" i="11"/>
  <c r="E148" i="11" s="1"/>
  <c r="F148" i="11" s="1"/>
  <c r="G148" i="11" s="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B148" i="11" s="1"/>
  <c r="F146" i="11"/>
  <c r="G146" i="11" s="1"/>
  <c r="H146" i="11" s="1"/>
  <c r="I146" i="11" s="1"/>
  <c r="J146" i="11" s="1"/>
  <c r="K146" i="11" s="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B146" i="11" s="1"/>
  <c r="D146" i="11"/>
  <c r="E146" i="11" s="1"/>
  <c r="R145" i="1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B145" i="11" s="1"/>
  <c r="J145" i="11"/>
  <c r="K145" i="11" s="1"/>
  <c r="L145" i="11" s="1"/>
  <c r="M145" i="11" s="1"/>
  <c r="N145" i="11" s="1"/>
  <c r="O145" i="11" s="1"/>
  <c r="P145" i="11" s="1"/>
  <c r="Q145" i="11" s="1"/>
  <c r="E145" i="11"/>
  <c r="F145" i="11" s="1"/>
  <c r="G145" i="11" s="1"/>
  <c r="H145" i="11" s="1"/>
  <c r="I145" i="11" s="1"/>
  <c r="D145" i="11"/>
  <c r="AA144" i="11"/>
  <c r="AB144" i="11" s="1"/>
  <c r="AC144" i="11" s="1"/>
  <c r="AD144" i="11" s="1"/>
  <c r="AE144" i="11" s="1"/>
  <c r="AF144" i="11" s="1"/>
  <c r="B144" i="11" s="1"/>
  <c r="D144" i="11"/>
  <c r="E144" i="11" s="1"/>
  <c r="F144" i="11" s="1"/>
  <c r="G144" i="11" s="1"/>
  <c r="H144" i="11" s="1"/>
  <c r="I144" i="11" s="1"/>
  <c r="J144" i="11" s="1"/>
  <c r="K144" i="11" s="1"/>
  <c r="L144" i="11" s="1"/>
  <c r="M144" i="11" s="1"/>
  <c r="N144" i="11" s="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J143" i="1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B143" i="11" s="1"/>
  <c r="H143" i="11"/>
  <c r="I143" i="11" s="1"/>
  <c r="D143" i="11"/>
  <c r="E143" i="11" s="1"/>
  <c r="F143" i="11" s="1"/>
  <c r="G143" i="11" s="1"/>
  <c r="F142" i="1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B142" i="11" s="1"/>
  <c r="E142" i="11"/>
  <c r="D142" i="11"/>
  <c r="D141" i="1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B141" i="11" s="1"/>
  <c r="O140" i="1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B140" i="11" s="1"/>
  <c r="G140" i="11"/>
  <c r="H140" i="11" s="1"/>
  <c r="I140" i="11" s="1"/>
  <c r="J140" i="11" s="1"/>
  <c r="K140" i="11" s="1"/>
  <c r="L140" i="11" s="1"/>
  <c r="M140" i="11" s="1"/>
  <c r="N140" i="11" s="1"/>
  <c r="E140" i="11"/>
  <c r="F140" i="11" s="1"/>
  <c r="D140" i="11"/>
  <c r="G138" i="11"/>
  <c r="H138" i="11" s="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B138" i="11" s="1"/>
  <c r="E138" i="11"/>
  <c r="F138" i="11" s="1"/>
  <c r="D138" i="11"/>
  <c r="E137" i="1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B137" i="11" s="1"/>
  <c r="D137" i="11"/>
  <c r="G136" i="11"/>
  <c r="H136" i="11" s="1"/>
  <c r="I136" i="11" s="1"/>
  <c r="J136" i="11" s="1"/>
  <c r="K136" i="11" s="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B136" i="11" s="1"/>
  <c r="D136" i="11"/>
  <c r="E136" i="11" s="1"/>
  <c r="F136" i="11" s="1"/>
  <c r="I135" i="1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B135" i="11" s="1"/>
  <c r="E135" i="11"/>
  <c r="F135" i="11" s="1"/>
  <c r="G135" i="11" s="1"/>
  <c r="H135" i="11" s="1"/>
  <c r="D135" i="11"/>
  <c r="O134" i="1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B134" i="11" s="1"/>
  <c r="E134" i="11"/>
  <c r="F134" i="11" s="1"/>
  <c r="G134" i="11" s="1"/>
  <c r="H134" i="11" s="1"/>
  <c r="I134" i="11" s="1"/>
  <c r="J134" i="11" s="1"/>
  <c r="K134" i="11" s="1"/>
  <c r="L134" i="11" s="1"/>
  <c r="M134" i="11" s="1"/>
  <c r="N134" i="11" s="1"/>
  <c r="D134" i="11"/>
  <c r="D133" i="11"/>
  <c r="E133" i="11" s="1"/>
  <c r="F133" i="11" s="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B133" i="11" s="1"/>
  <c r="G132" i="1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B132" i="11" s="1"/>
  <c r="D132" i="11"/>
  <c r="E132" i="11" s="1"/>
  <c r="F132" i="11" s="1"/>
  <c r="E131" i="11"/>
  <c r="F131" i="11" s="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B131" i="11" s="1"/>
  <c r="D131" i="11"/>
  <c r="E129" i="11"/>
  <c r="F129" i="11" s="1"/>
  <c r="G129" i="11" s="1"/>
  <c r="H129" i="11" s="1"/>
  <c r="I129" i="11" s="1"/>
  <c r="J129" i="11" s="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B129" i="11" s="1"/>
  <c r="D129" i="11"/>
  <c r="E128" i="1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B128" i="11" s="1"/>
  <c r="D128" i="11"/>
  <c r="E127" i="11"/>
  <c r="F127" i="11" s="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B127" i="11" s="1"/>
  <c r="D127" i="11"/>
  <c r="D126" i="11"/>
  <c r="E126" i="11" s="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B126" i="11" s="1"/>
  <c r="D125" i="11"/>
  <c r="E125" i="11" s="1"/>
  <c r="F125" i="11" s="1"/>
  <c r="G125" i="11" s="1"/>
  <c r="H125" i="11" s="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B125" i="11" s="1"/>
  <c r="J124" i="1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B124" i="11" s="1"/>
  <c r="E124" i="11"/>
  <c r="F124" i="11" s="1"/>
  <c r="G124" i="11" s="1"/>
  <c r="H124" i="11" s="1"/>
  <c r="I124" i="11" s="1"/>
  <c r="D124" i="11"/>
  <c r="E123" i="1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B123" i="11" s="1"/>
  <c r="D123" i="11"/>
  <c r="D122" i="11"/>
  <c r="E122" i="11" s="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B122" i="11" s="1"/>
  <c r="D121" i="11"/>
  <c r="E121" i="11" s="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B121" i="11" s="1"/>
  <c r="E120" i="1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B120" i="11" s="1"/>
  <c r="D120" i="11"/>
  <c r="E119" i="1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B119" i="11" s="1"/>
  <c r="D119" i="11"/>
  <c r="F118" i="1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B118" i="11" s="1"/>
  <c r="D118" i="11"/>
  <c r="E118" i="11" s="1"/>
  <c r="D117" i="11"/>
  <c r="E117" i="11" s="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B117" i="11" s="1"/>
  <c r="E116" i="1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B116" i="11" s="1"/>
  <c r="D116" i="11"/>
  <c r="E115" i="1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B115" i="11" s="1"/>
  <c r="D115" i="11"/>
  <c r="O114" i="1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B114" i="11" s="1"/>
  <c r="N114" i="11"/>
  <c r="K114" i="11"/>
  <c r="L114" i="11" s="1"/>
  <c r="M114" i="11" s="1"/>
  <c r="E114" i="11"/>
  <c r="F114" i="11" s="1"/>
  <c r="G114" i="11" s="1"/>
  <c r="H114" i="11" s="1"/>
  <c r="I114" i="11" s="1"/>
  <c r="D114" i="11"/>
  <c r="D113" i="11"/>
  <c r="E113" i="11" s="1"/>
  <c r="F113" i="11" s="1"/>
  <c r="G113" i="11" s="1"/>
  <c r="H113" i="11" s="1"/>
  <c r="I113" i="11" s="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B113" i="11" s="1"/>
  <c r="F112" i="1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B112" i="11" s="1"/>
  <c r="D112" i="11"/>
  <c r="E112" i="11" s="1"/>
  <c r="D110" i="11"/>
  <c r="E110" i="11" s="1"/>
  <c r="F110" i="11" s="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B110" i="11" s="1"/>
  <c r="F109" i="1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B109" i="11" s="1"/>
  <c r="E109" i="11"/>
  <c r="D109" i="11"/>
  <c r="L107" i="1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B107" i="11" s="1"/>
  <c r="F107" i="11"/>
  <c r="G107" i="11" s="1"/>
  <c r="H107" i="11" s="1"/>
  <c r="I107" i="11" s="1"/>
  <c r="J107" i="11" s="1"/>
  <c r="K107" i="11" s="1"/>
  <c r="D107" i="11"/>
  <c r="E107" i="11" s="1"/>
  <c r="Z106" i="11"/>
  <c r="AA106" i="11" s="1"/>
  <c r="AB106" i="11" s="1"/>
  <c r="AC106" i="11" s="1"/>
  <c r="AD106" i="11" s="1"/>
  <c r="AE106" i="11" s="1"/>
  <c r="AF106" i="11" s="1"/>
  <c r="B106" i="11" s="1"/>
  <c r="J106" i="1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D106" i="11"/>
  <c r="E106" i="11" s="1"/>
  <c r="F106" i="11" s="1"/>
  <c r="G106" i="11" s="1"/>
  <c r="H106" i="11" s="1"/>
  <c r="I106" i="11" s="1"/>
  <c r="D105" i="11"/>
  <c r="E105" i="11" s="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B105" i="11" s="1"/>
  <c r="F104" i="1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B104" i="11" s="1"/>
  <c r="E104" i="11"/>
  <c r="D104" i="11"/>
  <c r="D103" i="11"/>
  <c r="D102" i="11"/>
  <c r="AH98" i="11"/>
  <c r="AI98" i="11" s="1"/>
  <c r="AH97" i="11"/>
  <c r="AI97" i="11" s="1"/>
  <c r="AH96" i="11"/>
  <c r="AI96" i="11" s="1"/>
  <c r="AH95" i="11"/>
  <c r="AI95" i="11" s="1"/>
  <c r="AH94" i="11"/>
  <c r="AI94" i="11" s="1"/>
  <c r="C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G82" i="11"/>
  <c r="AI81" i="11"/>
  <c r="AH81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F77" i="11"/>
  <c r="AE77" i="11"/>
  <c r="AD77" i="11"/>
  <c r="AC77" i="11"/>
  <c r="AB77" i="11"/>
  <c r="AA77" i="11"/>
  <c r="Z77" i="11"/>
  <c r="Y77" i="11"/>
  <c r="X77" i="11"/>
  <c r="X82" i="11" s="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F76" i="11"/>
  <c r="AE76" i="11"/>
  <c r="AD76" i="11"/>
  <c r="AC76" i="11"/>
  <c r="AC82" i="11" s="1"/>
  <c r="AB76" i="11"/>
  <c r="AA76" i="11"/>
  <c r="AA82" i="11" s="1"/>
  <c r="Z76" i="11"/>
  <c r="Y76" i="11"/>
  <c r="Y82" i="11" s="1"/>
  <c r="X76" i="11"/>
  <c r="W76" i="11"/>
  <c r="V76" i="11"/>
  <c r="U76" i="11"/>
  <c r="U82" i="11" s="1"/>
  <c r="T76" i="11"/>
  <c r="S76" i="11"/>
  <c r="R76" i="11"/>
  <c r="Q76" i="11"/>
  <c r="P76" i="11"/>
  <c r="O76" i="11"/>
  <c r="N76" i="11"/>
  <c r="M76" i="11"/>
  <c r="L76" i="11"/>
  <c r="K76" i="11"/>
  <c r="J76" i="11"/>
  <c r="J82" i="11" s="1"/>
  <c r="I76" i="11"/>
  <c r="H76" i="11"/>
  <c r="G76" i="11"/>
  <c r="F76" i="11"/>
  <c r="E76" i="11"/>
  <c r="D76" i="11"/>
  <c r="C76" i="11"/>
  <c r="B76" i="11"/>
  <c r="AI74" i="11"/>
  <c r="AH74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I71" i="11"/>
  <c r="AH71" i="11"/>
  <c r="AI70" i="11"/>
  <c r="AH70" i="11"/>
  <c r="AI69" i="11"/>
  <c r="AH69" i="11"/>
  <c r="AG68" i="11"/>
  <c r="AG75" i="11" s="1"/>
  <c r="AF68" i="11"/>
  <c r="AE5" i="11" s="1"/>
  <c r="AE68" i="11"/>
  <c r="AD5" i="11" s="1"/>
  <c r="AD68" i="11"/>
  <c r="AC5" i="11" s="1"/>
  <c r="AC68" i="11"/>
  <c r="AB68" i="11"/>
  <c r="AA5" i="11" s="1"/>
  <c r="AA68" i="11"/>
  <c r="Z68" i="11"/>
  <c r="Y68" i="11"/>
  <c r="X68" i="11"/>
  <c r="W68" i="11"/>
  <c r="V5" i="11" s="1"/>
  <c r="V68" i="11"/>
  <c r="U5" i="11" s="1"/>
  <c r="U68" i="11"/>
  <c r="T68" i="11"/>
  <c r="S68" i="11"/>
  <c r="R68" i="11"/>
  <c r="Q68" i="11"/>
  <c r="P5" i="11" s="1"/>
  <c r="P68" i="11"/>
  <c r="O68" i="11"/>
  <c r="N5" i="11" s="1"/>
  <c r="N68" i="11"/>
  <c r="M68" i="11"/>
  <c r="L68" i="11"/>
  <c r="K5" i="11" s="1"/>
  <c r="K68" i="11"/>
  <c r="J5" i="11" s="1"/>
  <c r="J68" i="11"/>
  <c r="I68" i="11"/>
  <c r="H68" i="11"/>
  <c r="G68" i="11"/>
  <c r="F5" i="11" s="1"/>
  <c r="F68" i="11"/>
  <c r="E68" i="11"/>
  <c r="D68" i="11"/>
  <c r="C5" i="11" s="1"/>
  <c r="C68" i="11"/>
  <c r="B5" i="11" s="1"/>
  <c r="B68" i="1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I55" i="11"/>
  <c r="AH55" i="11"/>
  <c r="AI54" i="11"/>
  <c r="AH54" i="11"/>
  <c r="AI53" i="11"/>
  <c r="AH53" i="11"/>
  <c r="Z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G51" i="11"/>
  <c r="AG52" i="11" s="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Z5" i="11"/>
  <c r="X5" i="11"/>
  <c r="W5" i="11"/>
  <c r="S5" i="11"/>
  <c r="R5" i="11"/>
  <c r="O5" i="11"/>
  <c r="M5" i="11"/>
  <c r="H5" i="11"/>
  <c r="G5" i="11"/>
  <c r="E5" i="11"/>
  <c r="AG4" i="11"/>
  <c r="K4" i="11"/>
  <c r="B4" i="11"/>
  <c r="AG2" i="11"/>
  <c r="AB37" i="9"/>
  <c r="E4" i="11"/>
  <c r="R235" i="15" l="1"/>
  <c r="T199" i="15"/>
  <c r="S200" i="15"/>
  <c r="T109" i="15"/>
  <c r="S93" i="15"/>
  <c r="V103" i="15"/>
  <c r="W194" i="15"/>
  <c r="U102" i="15"/>
  <c r="S192" i="15"/>
  <c r="I192" i="14"/>
  <c r="J102" i="14"/>
  <c r="G200" i="14"/>
  <c r="H194" i="14"/>
  <c r="G93" i="14"/>
  <c r="I199" i="14"/>
  <c r="G235" i="14"/>
  <c r="K103" i="14"/>
  <c r="K6" i="13"/>
  <c r="T83" i="13"/>
  <c r="H194" i="13"/>
  <c r="G200" i="13"/>
  <c r="F192" i="13"/>
  <c r="G102" i="13"/>
  <c r="F235" i="13"/>
  <c r="H199" i="13"/>
  <c r="AL214" i="13"/>
  <c r="T7" i="13"/>
  <c r="G103" i="13"/>
  <c r="F93" i="13"/>
  <c r="AF82" i="11"/>
  <c r="AD82" i="11"/>
  <c r="Z82" i="11"/>
  <c r="AB82" i="11"/>
  <c r="V82" i="11"/>
  <c r="T82" i="11"/>
  <c r="T73" i="11"/>
  <c r="T75" i="11"/>
  <c r="S82" i="11"/>
  <c r="R82" i="11"/>
  <c r="Q82" i="11"/>
  <c r="Q73" i="11"/>
  <c r="Q75" i="11"/>
  <c r="P82" i="11"/>
  <c r="P73" i="11"/>
  <c r="P75" i="11"/>
  <c r="O75" i="11"/>
  <c r="AG214" i="11" s="1"/>
  <c r="O73" i="11"/>
  <c r="N82" i="11"/>
  <c r="N73" i="11"/>
  <c r="M82" i="11"/>
  <c r="M75" i="11"/>
  <c r="AE214" i="11" s="1"/>
  <c r="M73" i="11"/>
  <c r="M83" i="11" s="1"/>
  <c r="L82" i="11"/>
  <c r="L73" i="11"/>
  <c r="L75" i="11"/>
  <c r="K82" i="11"/>
  <c r="AI76" i="11"/>
  <c r="I82" i="11"/>
  <c r="I73" i="11"/>
  <c r="H82" i="11"/>
  <c r="H75" i="11"/>
  <c r="Z214" i="11" s="1"/>
  <c r="G75" i="11"/>
  <c r="E75" i="11"/>
  <c r="W214" i="11" s="1"/>
  <c r="H73" i="11"/>
  <c r="H83" i="11" s="1"/>
  <c r="I75" i="11"/>
  <c r="AA214" i="11" s="1"/>
  <c r="G73" i="11"/>
  <c r="F73" i="11"/>
  <c r="E82" i="11"/>
  <c r="E73" i="11"/>
  <c r="D82" i="11"/>
  <c r="D75" i="11"/>
  <c r="AI56" i="11"/>
  <c r="D73" i="11"/>
  <c r="D83" i="11"/>
  <c r="AH78" i="11"/>
  <c r="C82" i="11"/>
  <c r="AI77" i="11"/>
  <c r="AI38" i="11"/>
  <c r="H4" i="11"/>
  <c r="F82" i="11"/>
  <c r="AH80" i="11"/>
  <c r="E103" i="11"/>
  <c r="D93" i="11"/>
  <c r="AH38" i="11"/>
  <c r="T83" i="11"/>
  <c r="AG73" i="11"/>
  <c r="AG83" i="11" s="1"/>
  <c r="AG3" i="11"/>
  <c r="AG6" i="11" s="1"/>
  <c r="P83" i="11"/>
  <c r="G82" i="11"/>
  <c r="O82" i="11"/>
  <c r="O83" i="11" s="1"/>
  <c r="W82" i="11"/>
  <c r="AE82" i="11"/>
  <c r="AL214" i="11"/>
  <c r="T7" i="11"/>
  <c r="AI80" i="11"/>
  <c r="Z75" i="11"/>
  <c r="AI214" i="11"/>
  <c r="Q7" i="11"/>
  <c r="AI72" i="11"/>
  <c r="J75" i="11"/>
  <c r="R75" i="11"/>
  <c r="AH72" i="11"/>
  <c r="AH77" i="11"/>
  <c r="AI79" i="11"/>
  <c r="AF5" i="11"/>
  <c r="AI68" i="11"/>
  <c r="I5" i="11"/>
  <c r="J73" i="11"/>
  <c r="J83" i="11" s="1"/>
  <c r="Q5" i="11"/>
  <c r="R73" i="11"/>
  <c r="Y5" i="11"/>
  <c r="Z73" i="11"/>
  <c r="AH68" i="11"/>
  <c r="K75" i="11"/>
  <c r="S75" i="11"/>
  <c r="V214" i="11"/>
  <c r="D7" i="11"/>
  <c r="B82" i="11"/>
  <c r="AH76" i="11"/>
  <c r="AI78" i="11"/>
  <c r="AH56" i="11"/>
  <c r="C73" i="11"/>
  <c r="C75" i="11" s="1"/>
  <c r="K73" i="11"/>
  <c r="S73" i="11"/>
  <c r="D5" i="11"/>
  <c r="L5" i="11"/>
  <c r="T5" i="11"/>
  <c r="AB5" i="11"/>
  <c r="F75" i="11"/>
  <c r="N75" i="11"/>
  <c r="AH79" i="11"/>
  <c r="D192" i="11"/>
  <c r="E102" i="11"/>
  <c r="D211" i="11"/>
  <c r="S211" i="11"/>
  <c r="Y214" i="11"/>
  <c r="G7" i="11"/>
  <c r="O7" i="11"/>
  <c r="G199" i="11"/>
  <c r="E194" i="11"/>
  <c r="D235" i="11"/>
  <c r="X194" i="15" l="1"/>
  <c r="U109" i="15"/>
  <c r="T93" i="15"/>
  <c r="U192" i="15"/>
  <c r="V102" i="15"/>
  <c r="T192" i="15"/>
  <c r="S235" i="15"/>
  <c r="U199" i="15"/>
  <c r="T200" i="15"/>
  <c r="W103" i="15"/>
  <c r="J199" i="14"/>
  <c r="H235" i="14"/>
  <c r="H200" i="14"/>
  <c r="I194" i="14"/>
  <c r="H93" i="14"/>
  <c r="L103" i="14"/>
  <c r="J192" i="14"/>
  <c r="K102" i="14"/>
  <c r="H103" i="13"/>
  <c r="G93" i="13"/>
  <c r="H200" i="13"/>
  <c r="I194" i="13"/>
  <c r="G235" i="13"/>
  <c r="I199" i="13"/>
  <c r="G192" i="13"/>
  <c r="H102" i="13"/>
  <c r="Z83" i="11"/>
  <c r="S83" i="11"/>
  <c r="R83" i="11"/>
  <c r="Q83" i="11"/>
  <c r="AH214" i="11"/>
  <c r="P7" i="11"/>
  <c r="M7" i="11"/>
  <c r="L83" i="11"/>
  <c r="AD214" i="11"/>
  <c r="L7" i="11"/>
  <c r="I83" i="11"/>
  <c r="I7" i="11"/>
  <c r="C209" i="11"/>
  <c r="K6" i="11" s="1"/>
  <c r="H7" i="11"/>
  <c r="E7" i="11"/>
  <c r="E83" i="11"/>
  <c r="G83" i="11"/>
  <c r="B209" i="11"/>
  <c r="K83" i="11"/>
  <c r="AF214" i="11"/>
  <c r="N7" i="11"/>
  <c r="AH82" i="11"/>
  <c r="AI82" i="11"/>
  <c r="U214" i="11"/>
  <c r="C7" i="11"/>
  <c r="X214" i="11"/>
  <c r="F7" i="11"/>
  <c r="AR214" i="11"/>
  <c r="Z7" i="11"/>
  <c r="E93" i="11"/>
  <c r="F103" i="11"/>
  <c r="F235" i="11"/>
  <c r="H199" i="11"/>
  <c r="AK214" i="11"/>
  <c r="S7" i="11"/>
  <c r="N83" i="11"/>
  <c r="AC214" i="11"/>
  <c r="K7" i="11"/>
  <c r="AJ214" i="11"/>
  <c r="R7" i="11"/>
  <c r="F83" i="11"/>
  <c r="F194" i="11"/>
  <c r="E200" i="11"/>
  <c r="E192" i="11"/>
  <c r="F102" i="11"/>
  <c r="C83" i="11"/>
  <c r="AB214" i="11"/>
  <c r="J7" i="11"/>
  <c r="W102" i="15" l="1"/>
  <c r="X103" i="15"/>
  <c r="Y194" i="15"/>
  <c r="V109" i="15"/>
  <c r="U93" i="15"/>
  <c r="V199" i="15"/>
  <c r="T235" i="15"/>
  <c r="U200" i="15"/>
  <c r="U51" i="15" s="1"/>
  <c r="U52" i="15" s="1"/>
  <c r="M103" i="14"/>
  <c r="I200" i="14"/>
  <c r="J194" i="14"/>
  <c r="I93" i="14"/>
  <c r="K192" i="14"/>
  <c r="L102" i="14"/>
  <c r="K199" i="14"/>
  <c r="I235" i="14"/>
  <c r="H235" i="13"/>
  <c r="J199" i="13"/>
  <c r="J194" i="13"/>
  <c r="I200" i="13"/>
  <c r="I103" i="13"/>
  <c r="H93" i="13"/>
  <c r="H192" i="13"/>
  <c r="I102" i="13"/>
  <c r="G235" i="11"/>
  <c r="I199" i="11"/>
  <c r="F93" i="11"/>
  <c r="G103" i="11"/>
  <c r="F192" i="11"/>
  <c r="G102" i="11"/>
  <c r="G194" i="11"/>
  <c r="F200" i="11"/>
  <c r="Y103" i="15" l="1"/>
  <c r="X102" i="15"/>
  <c r="W109" i="15"/>
  <c r="V93" i="15"/>
  <c r="Z194" i="15"/>
  <c r="U75" i="15"/>
  <c r="U73" i="15"/>
  <c r="U235" i="15"/>
  <c r="W199" i="15"/>
  <c r="V200" i="15"/>
  <c r="V51" i="15" s="1"/>
  <c r="V52" i="15" s="1"/>
  <c r="V192" i="15"/>
  <c r="J200" i="14"/>
  <c r="K194" i="14"/>
  <c r="J93" i="14"/>
  <c r="J235" i="14"/>
  <c r="L199" i="14"/>
  <c r="L192" i="14"/>
  <c r="M102" i="14"/>
  <c r="N103" i="14"/>
  <c r="I192" i="13"/>
  <c r="J102" i="13"/>
  <c r="J103" i="13"/>
  <c r="I93" i="13"/>
  <c r="J200" i="13"/>
  <c r="K194" i="13"/>
  <c r="I235" i="13"/>
  <c r="K199" i="13"/>
  <c r="G192" i="11"/>
  <c r="H102" i="11"/>
  <c r="H194" i="11"/>
  <c r="G200" i="11"/>
  <c r="G93" i="11"/>
  <c r="H103" i="11"/>
  <c r="H235" i="11"/>
  <c r="J199" i="11"/>
  <c r="AA194" i="15" l="1"/>
  <c r="V73" i="15"/>
  <c r="V75" i="15"/>
  <c r="X109" i="15"/>
  <c r="W93" i="15"/>
  <c r="W192" i="15"/>
  <c r="X192" i="15"/>
  <c r="Y102" i="15"/>
  <c r="U83" i="15"/>
  <c r="Z103" i="15"/>
  <c r="V235" i="15"/>
  <c r="X199" i="15"/>
  <c r="W200" i="15"/>
  <c r="W51" i="15" s="1"/>
  <c r="W52" i="15" s="1"/>
  <c r="AM214" i="15"/>
  <c r="U7" i="15"/>
  <c r="O103" i="14"/>
  <c r="M192" i="14"/>
  <c r="N102" i="14"/>
  <c r="K235" i="14"/>
  <c r="M199" i="14"/>
  <c r="L194" i="14"/>
  <c r="K200" i="14"/>
  <c r="K93" i="14"/>
  <c r="K103" i="13"/>
  <c r="J93" i="13"/>
  <c r="J192" i="13"/>
  <c r="K102" i="13"/>
  <c r="J235" i="13"/>
  <c r="L199" i="13"/>
  <c r="K200" i="13"/>
  <c r="L194" i="13"/>
  <c r="I194" i="11"/>
  <c r="H200" i="11"/>
  <c r="I103" i="11"/>
  <c r="H93" i="11"/>
  <c r="H192" i="11"/>
  <c r="I102" i="11"/>
  <c r="I235" i="11"/>
  <c r="K199" i="11"/>
  <c r="W235" i="15" l="1"/>
  <c r="Y199" i="15"/>
  <c r="X200" i="15"/>
  <c r="X51" i="15" s="1"/>
  <c r="X52" i="15" s="1"/>
  <c r="V83" i="15"/>
  <c r="Y109" i="15"/>
  <c r="X93" i="15"/>
  <c r="AA103" i="15"/>
  <c r="AB194" i="15"/>
  <c r="W75" i="15"/>
  <c r="W73" i="15"/>
  <c r="W83" i="15" s="1"/>
  <c r="AN214" i="15"/>
  <c r="V7" i="15"/>
  <c r="Y192" i="15"/>
  <c r="Z102" i="15"/>
  <c r="M194" i="14"/>
  <c r="L200" i="14"/>
  <c r="L93" i="14"/>
  <c r="L235" i="14"/>
  <c r="N199" i="14"/>
  <c r="N192" i="14"/>
  <c r="O102" i="14"/>
  <c r="P103" i="14"/>
  <c r="L200" i="13"/>
  <c r="M194" i="13"/>
  <c r="K235" i="13"/>
  <c r="M199" i="13"/>
  <c r="K192" i="13"/>
  <c r="L102" i="13"/>
  <c r="K93" i="13"/>
  <c r="L103" i="13"/>
  <c r="L199" i="11"/>
  <c r="J235" i="11"/>
  <c r="I192" i="11"/>
  <c r="J102" i="11"/>
  <c r="J103" i="11"/>
  <c r="I93" i="11"/>
  <c r="I200" i="11"/>
  <c r="J194" i="11"/>
  <c r="X73" i="15" l="1"/>
  <c r="X75" i="15"/>
  <c r="AA102" i="15"/>
  <c r="AB103" i="15"/>
  <c r="AC194" i="15"/>
  <c r="X235" i="15"/>
  <c r="Z199" i="15"/>
  <c r="Y200" i="15"/>
  <c r="Y51" i="15" s="1"/>
  <c r="Y52" i="15" s="1"/>
  <c r="Z109" i="15"/>
  <c r="Z192" i="15" s="1"/>
  <c r="Y93" i="15"/>
  <c r="AO214" i="15"/>
  <c r="W7" i="15"/>
  <c r="Q103" i="14"/>
  <c r="O192" i="14"/>
  <c r="P102" i="14"/>
  <c r="M235" i="14"/>
  <c r="O199" i="14"/>
  <c r="N194" i="14"/>
  <c r="M200" i="14"/>
  <c r="M93" i="14"/>
  <c r="L93" i="13"/>
  <c r="M103" i="13"/>
  <c r="L192" i="13"/>
  <c r="M102" i="13"/>
  <c r="L235" i="13"/>
  <c r="N199" i="13"/>
  <c r="M200" i="13"/>
  <c r="N194" i="13"/>
  <c r="J200" i="11"/>
  <c r="K194" i="11"/>
  <c r="K103" i="11"/>
  <c r="J93" i="11"/>
  <c r="J192" i="11"/>
  <c r="K102" i="11"/>
  <c r="M199" i="11"/>
  <c r="K235" i="11"/>
  <c r="AD194" i="15" l="1"/>
  <c r="AA109" i="15"/>
  <c r="AA199" i="15"/>
  <c r="Y235" i="15"/>
  <c r="Z200" i="15"/>
  <c r="AP214" i="15"/>
  <c r="X7" i="15"/>
  <c r="AC103" i="15"/>
  <c r="AA192" i="15"/>
  <c r="AB102" i="15"/>
  <c r="Y75" i="15"/>
  <c r="Y73" i="15"/>
  <c r="Y83" i="15" s="1"/>
  <c r="X83" i="15"/>
  <c r="O194" i="14"/>
  <c r="N200" i="14"/>
  <c r="N93" i="14"/>
  <c r="N235" i="14"/>
  <c r="P199" i="14"/>
  <c r="P192" i="14"/>
  <c r="Q102" i="14"/>
  <c r="R103" i="14"/>
  <c r="O194" i="13"/>
  <c r="N200" i="13"/>
  <c r="M235" i="13"/>
  <c r="O199" i="13"/>
  <c r="M192" i="13"/>
  <c r="N102" i="13"/>
  <c r="M93" i="13"/>
  <c r="N103" i="13"/>
  <c r="L235" i="11"/>
  <c r="N199" i="11"/>
  <c r="K192" i="11"/>
  <c r="L102" i="11"/>
  <c r="K200" i="11"/>
  <c r="L194" i="11"/>
  <c r="L103" i="11"/>
  <c r="K93" i="11"/>
  <c r="AQ214" i="15" l="1"/>
  <c r="Y7" i="15"/>
  <c r="AC102" i="15"/>
  <c r="Z235" i="15"/>
  <c r="AB199" i="15"/>
  <c r="AA200" i="15"/>
  <c r="AA51" i="15" s="1"/>
  <c r="AA52" i="15" s="1"/>
  <c r="AD103" i="15"/>
  <c r="AE194" i="15"/>
  <c r="AB109" i="15"/>
  <c r="AA93" i="15"/>
  <c r="S103" i="14"/>
  <c r="Q192" i="14"/>
  <c r="R102" i="14"/>
  <c r="Q199" i="14"/>
  <c r="O235" i="14"/>
  <c r="O200" i="14"/>
  <c r="P194" i="14"/>
  <c r="O103" i="13"/>
  <c r="N93" i="13"/>
  <c r="N192" i="13"/>
  <c r="O102" i="13"/>
  <c r="N235" i="13"/>
  <c r="P199" i="13"/>
  <c r="P194" i="13"/>
  <c r="O200" i="13"/>
  <c r="M103" i="11"/>
  <c r="L93" i="11"/>
  <c r="M194" i="11"/>
  <c r="L200" i="11"/>
  <c r="L192" i="11"/>
  <c r="M102" i="11"/>
  <c r="M235" i="11"/>
  <c r="O199" i="11"/>
  <c r="AA73" i="15" l="1"/>
  <c r="AA75" i="15"/>
  <c r="AA235" i="15"/>
  <c r="AC199" i="15"/>
  <c r="AB200" i="15"/>
  <c r="AB51" i="15" s="1"/>
  <c r="AB52" i="15" s="1"/>
  <c r="AC109" i="15"/>
  <c r="AB93" i="15"/>
  <c r="AF194" i="15"/>
  <c r="AD102" i="15"/>
  <c r="AB192" i="15"/>
  <c r="AE103" i="15"/>
  <c r="P200" i="14"/>
  <c r="Q194" i="14"/>
  <c r="P93" i="14"/>
  <c r="R199" i="14"/>
  <c r="P235" i="14"/>
  <c r="R192" i="14"/>
  <c r="S102" i="14"/>
  <c r="T103" i="14"/>
  <c r="O235" i="13"/>
  <c r="Q199" i="13"/>
  <c r="O192" i="13"/>
  <c r="P102" i="13"/>
  <c r="P200" i="13"/>
  <c r="Q194" i="13"/>
  <c r="P103" i="13"/>
  <c r="O93" i="13"/>
  <c r="N235" i="11"/>
  <c r="P199" i="11"/>
  <c r="M192" i="11"/>
  <c r="N102" i="11"/>
  <c r="N194" i="11"/>
  <c r="M200" i="11"/>
  <c r="M93" i="11"/>
  <c r="N103" i="11"/>
  <c r="AF103" i="15" l="1"/>
  <c r="AD109" i="15"/>
  <c r="AC93" i="15"/>
  <c r="AB75" i="15"/>
  <c r="AB73" i="15"/>
  <c r="AB83" i="15" s="1"/>
  <c r="AC192" i="15"/>
  <c r="AS214" i="15"/>
  <c r="AA7" i="15"/>
  <c r="AD199" i="15"/>
  <c r="AB235" i="15"/>
  <c r="AC200" i="15"/>
  <c r="AC51" i="15" s="1"/>
  <c r="AC52" i="15" s="1"/>
  <c r="AD192" i="15"/>
  <c r="AE102" i="15"/>
  <c r="B194" i="15"/>
  <c r="AA83" i="15"/>
  <c r="U103" i="14"/>
  <c r="S192" i="14"/>
  <c r="T102" i="14"/>
  <c r="R194" i="14"/>
  <c r="Q200" i="14"/>
  <c r="Q93" i="14"/>
  <c r="S199" i="14"/>
  <c r="Q235" i="14"/>
  <c r="Q103" i="13"/>
  <c r="P93" i="13"/>
  <c r="Q200" i="13"/>
  <c r="R194" i="13"/>
  <c r="P192" i="13"/>
  <c r="Q102" i="13"/>
  <c r="P235" i="13"/>
  <c r="R199" i="13"/>
  <c r="O103" i="11"/>
  <c r="N93" i="11"/>
  <c r="O194" i="11"/>
  <c r="N200" i="11"/>
  <c r="N192" i="11"/>
  <c r="O102" i="11"/>
  <c r="O235" i="11"/>
  <c r="Q199" i="11"/>
  <c r="AF102" i="15" l="1"/>
  <c r="AT214" i="15"/>
  <c r="AB7" i="15"/>
  <c r="AE109" i="15"/>
  <c r="AD93" i="15"/>
  <c r="AC75" i="15"/>
  <c r="AC73" i="15"/>
  <c r="AC235" i="15"/>
  <c r="AE199" i="15"/>
  <c r="AD200" i="15"/>
  <c r="AD51" i="15" s="1"/>
  <c r="AD52" i="15" s="1"/>
  <c r="B103" i="15"/>
  <c r="R200" i="14"/>
  <c r="S194" i="14"/>
  <c r="R93" i="14"/>
  <c r="T192" i="14"/>
  <c r="U102" i="14"/>
  <c r="T199" i="14"/>
  <c r="R235" i="14"/>
  <c r="V103" i="14"/>
  <c r="Q235" i="13"/>
  <c r="S199" i="13"/>
  <c r="Q192" i="13"/>
  <c r="R102" i="13"/>
  <c r="R200" i="13"/>
  <c r="S194" i="13"/>
  <c r="R103" i="13"/>
  <c r="Q93" i="13"/>
  <c r="P235" i="11"/>
  <c r="R199" i="11"/>
  <c r="O192" i="11"/>
  <c r="P102" i="11"/>
  <c r="P194" i="11"/>
  <c r="O200" i="11"/>
  <c r="O93" i="11"/>
  <c r="P103" i="11"/>
  <c r="AU214" i="15" l="1"/>
  <c r="AC7" i="15"/>
  <c r="AD235" i="15"/>
  <c r="AF199" i="15"/>
  <c r="AE200" i="15"/>
  <c r="AE51" i="15" s="1"/>
  <c r="AE52" i="15" s="1"/>
  <c r="AD73" i="15"/>
  <c r="AD75" i="15"/>
  <c r="B102" i="15"/>
  <c r="AF109" i="15"/>
  <c r="AE93" i="15"/>
  <c r="AC83" i="15"/>
  <c r="AE192" i="15"/>
  <c r="W103" i="14"/>
  <c r="U192" i="14"/>
  <c r="V102" i="14"/>
  <c r="T194" i="14"/>
  <c r="S200" i="14"/>
  <c r="S93" i="14"/>
  <c r="S235" i="14"/>
  <c r="U199" i="14"/>
  <c r="S103" i="13"/>
  <c r="R93" i="13"/>
  <c r="S200" i="13"/>
  <c r="T194" i="13"/>
  <c r="R192" i="13"/>
  <c r="S102" i="13"/>
  <c r="T199" i="13"/>
  <c r="R235" i="13"/>
  <c r="Q103" i="11"/>
  <c r="P93" i="11"/>
  <c r="P200" i="11"/>
  <c r="Q194" i="11"/>
  <c r="P192" i="11"/>
  <c r="Q102" i="11"/>
  <c r="Q235" i="11"/>
  <c r="S199" i="11"/>
  <c r="AD83" i="15" l="1"/>
  <c r="AV214" i="15"/>
  <c r="AD7" i="15"/>
  <c r="AE75" i="15"/>
  <c r="AE73" i="15"/>
  <c r="AE83" i="15" s="1"/>
  <c r="B192" i="15"/>
  <c r="B199" i="15"/>
  <c r="AE235" i="15"/>
  <c r="AF200" i="15"/>
  <c r="AF51" i="15" s="1"/>
  <c r="AF52" i="15" s="1"/>
  <c r="B109" i="15"/>
  <c r="AF93" i="15"/>
  <c r="AF192" i="15"/>
  <c r="T235" i="14"/>
  <c r="V199" i="14"/>
  <c r="U194" i="14"/>
  <c r="T200" i="14"/>
  <c r="T93" i="14"/>
  <c r="V192" i="14"/>
  <c r="W102" i="14"/>
  <c r="X103" i="14"/>
  <c r="S235" i="13"/>
  <c r="U199" i="13"/>
  <c r="T200" i="13"/>
  <c r="U194" i="13"/>
  <c r="S192" i="13"/>
  <c r="T102" i="13"/>
  <c r="T103" i="13"/>
  <c r="S93" i="13"/>
  <c r="T199" i="11"/>
  <c r="R235" i="11"/>
  <c r="Q192" i="11"/>
  <c r="R102" i="11"/>
  <c r="Q200" i="11"/>
  <c r="R194" i="11"/>
  <c r="R103" i="11"/>
  <c r="Q93" i="11"/>
  <c r="AF235" i="15" l="1"/>
  <c r="B200" i="15"/>
  <c r="AI93" i="15"/>
  <c r="AH93" i="15"/>
  <c r="AW214" i="15"/>
  <c r="AE7" i="15"/>
  <c r="AF75" i="15"/>
  <c r="AF73" i="15"/>
  <c r="W192" i="14"/>
  <c r="X102" i="14"/>
  <c r="V194" i="14"/>
  <c r="U200" i="14"/>
  <c r="U51" i="14" s="1"/>
  <c r="U52" i="14" s="1"/>
  <c r="U93" i="14"/>
  <c r="Y103" i="14"/>
  <c r="U235" i="14"/>
  <c r="W199" i="14"/>
  <c r="U103" i="13"/>
  <c r="T93" i="13"/>
  <c r="T192" i="13"/>
  <c r="U102" i="13"/>
  <c r="V194" i="13"/>
  <c r="U200" i="13"/>
  <c r="U51" i="13" s="1"/>
  <c r="T235" i="13"/>
  <c r="V199" i="13"/>
  <c r="S103" i="11"/>
  <c r="R93" i="11"/>
  <c r="R200" i="11"/>
  <c r="S194" i="11"/>
  <c r="R192" i="11"/>
  <c r="S102" i="11"/>
  <c r="U199" i="11"/>
  <c r="S235" i="11"/>
  <c r="AX214" i="15" l="1"/>
  <c r="AF7" i="15"/>
  <c r="AI51" i="15"/>
  <c r="AH51" i="15"/>
  <c r="AF83" i="15"/>
  <c r="Z103" i="14"/>
  <c r="U75" i="14"/>
  <c r="U73" i="14"/>
  <c r="U83" i="14" s="1"/>
  <c r="W194" i="14"/>
  <c r="V200" i="14"/>
  <c r="V51" i="14" s="1"/>
  <c r="V52" i="14" s="1"/>
  <c r="V93" i="14"/>
  <c r="X192" i="14"/>
  <c r="Y102" i="14"/>
  <c r="V235" i="14"/>
  <c r="X199" i="14"/>
  <c r="U52" i="13"/>
  <c r="W194" i="13"/>
  <c r="V200" i="13"/>
  <c r="V51" i="13" s="1"/>
  <c r="V52" i="13" s="1"/>
  <c r="U192" i="13"/>
  <c r="V102" i="13"/>
  <c r="U235" i="13"/>
  <c r="W199" i="13"/>
  <c r="V103" i="13"/>
  <c r="U93" i="13"/>
  <c r="V199" i="11"/>
  <c r="T235" i="11"/>
  <c r="S192" i="11"/>
  <c r="T102" i="11"/>
  <c r="S200" i="11"/>
  <c r="T194" i="11"/>
  <c r="T103" i="11"/>
  <c r="S93" i="11"/>
  <c r="AH52" i="15" l="1"/>
  <c r="AI52" i="15"/>
  <c r="V75" i="14"/>
  <c r="V73" i="14"/>
  <c r="V83" i="14" s="1"/>
  <c r="X194" i="14"/>
  <c r="W200" i="14"/>
  <c r="W51" i="14" s="1"/>
  <c r="W52" i="14" s="1"/>
  <c r="W93" i="14"/>
  <c r="Y199" i="14"/>
  <c r="W235" i="14"/>
  <c r="AM214" i="14"/>
  <c r="U7" i="14"/>
  <c r="Y192" i="14"/>
  <c r="Z102" i="14"/>
  <c r="AA103" i="14"/>
  <c r="V192" i="13"/>
  <c r="W102" i="13"/>
  <c r="V73" i="13"/>
  <c r="V75" i="13"/>
  <c r="X194" i="13"/>
  <c r="W200" i="13"/>
  <c r="W51" i="13" s="1"/>
  <c r="W52" i="13" s="1"/>
  <c r="U73" i="13"/>
  <c r="U75" i="13"/>
  <c r="W103" i="13"/>
  <c r="V93" i="13"/>
  <c r="V235" i="13"/>
  <c r="X199" i="13"/>
  <c r="T192" i="11"/>
  <c r="U102" i="11"/>
  <c r="U103" i="11"/>
  <c r="T93" i="11"/>
  <c r="T200" i="11"/>
  <c r="U194" i="11"/>
  <c r="U235" i="11"/>
  <c r="W199" i="11"/>
  <c r="T214" i="15" l="1"/>
  <c r="AI75" i="15"/>
  <c r="AH75" i="15"/>
  <c r="B7" i="15"/>
  <c r="A7" i="15" s="1"/>
  <c r="AI73" i="15"/>
  <c r="AH73" i="15"/>
  <c r="Z199" i="14"/>
  <c r="X235" i="14"/>
  <c r="AB103" i="14"/>
  <c r="W73" i="14"/>
  <c r="W75" i="14"/>
  <c r="Z192" i="14"/>
  <c r="AA102" i="14"/>
  <c r="X200" i="14"/>
  <c r="X51" i="14" s="1"/>
  <c r="X52" i="14" s="1"/>
  <c r="Y194" i="14"/>
  <c r="X93" i="14"/>
  <c r="AN214" i="14"/>
  <c r="V7" i="14"/>
  <c r="AN214" i="13"/>
  <c r="V7" i="13"/>
  <c r="V83" i="13"/>
  <c r="X103" i="13"/>
  <c r="W93" i="13"/>
  <c r="AM214" i="13"/>
  <c r="U7" i="13"/>
  <c r="W192" i="13"/>
  <c r="X102" i="13"/>
  <c r="W235" i="13"/>
  <c r="Y199" i="13"/>
  <c r="W73" i="13"/>
  <c r="W75" i="13"/>
  <c r="X200" i="13"/>
  <c r="X51" i="13" s="1"/>
  <c r="Y194" i="13"/>
  <c r="U83" i="13"/>
  <c r="V235" i="11"/>
  <c r="X199" i="11"/>
  <c r="V194" i="11"/>
  <c r="U200" i="11"/>
  <c r="U51" i="11" s="1"/>
  <c r="U52" i="11" s="1"/>
  <c r="U93" i="11"/>
  <c r="V103" i="11"/>
  <c r="U192" i="11"/>
  <c r="V102" i="11"/>
  <c r="AH83" i="15" l="1"/>
  <c r="AI83" i="15"/>
  <c r="AA192" i="14"/>
  <c r="AB102" i="14"/>
  <c r="AO214" i="14"/>
  <c r="W7" i="14"/>
  <c r="W83" i="14"/>
  <c r="AC103" i="14"/>
  <c r="Y200" i="14"/>
  <c r="Y51" i="14" s="1"/>
  <c r="Y52" i="14" s="1"/>
  <c r="Z194" i="14"/>
  <c r="Y93" i="14"/>
  <c r="X75" i="14"/>
  <c r="X73" i="14"/>
  <c r="X83" i="14" s="1"/>
  <c r="AA199" i="14"/>
  <c r="Y235" i="14"/>
  <c r="W83" i="13"/>
  <c r="Y103" i="13"/>
  <c r="X93" i="13"/>
  <c r="X192" i="13"/>
  <c r="Y102" i="13"/>
  <c r="AO214" i="13"/>
  <c r="W7" i="13"/>
  <c r="X235" i="13"/>
  <c r="Z199" i="13"/>
  <c r="Y200" i="13"/>
  <c r="Y51" i="13" s="1"/>
  <c r="Y52" i="13" s="1"/>
  <c r="Z194" i="13"/>
  <c r="X52" i="13"/>
  <c r="V192" i="11"/>
  <c r="W102" i="11"/>
  <c r="W103" i="11"/>
  <c r="V93" i="11"/>
  <c r="U75" i="11"/>
  <c r="U73" i="11"/>
  <c r="U83" i="11" s="1"/>
  <c r="W194" i="11"/>
  <c r="V200" i="11"/>
  <c r="V51" i="11" s="1"/>
  <c r="V52" i="11" s="1"/>
  <c r="W235" i="11"/>
  <c r="Y199" i="11"/>
  <c r="Y73" i="14" l="1"/>
  <c r="Y75" i="14"/>
  <c r="AD103" i="14"/>
  <c r="AB199" i="14"/>
  <c r="Z235" i="14"/>
  <c r="AP214" i="14"/>
  <c r="X7" i="14"/>
  <c r="AB192" i="14"/>
  <c r="AC102" i="14"/>
  <c r="Z200" i="14"/>
  <c r="AA194" i="14"/>
  <c r="Z93" i="14"/>
  <c r="Y75" i="13"/>
  <c r="Y73" i="13"/>
  <c r="Z103" i="13"/>
  <c r="Y93" i="13"/>
  <c r="X75" i="13"/>
  <c r="X73" i="13"/>
  <c r="Z200" i="13"/>
  <c r="AA194" i="13"/>
  <c r="Y192" i="13"/>
  <c r="Z102" i="13"/>
  <c r="Y235" i="13"/>
  <c r="AA199" i="13"/>
  <c r="X194" i="11"/>
  <c r="W200" i="11"/>
  <c r="W51" i="11" s="1"/>
  <c r="W52" i="11" s="1"/>
  <c r="AM214" i="11"/>
  <c r="U7" i="11"/>
  <c r="V73" i="11"/>
  <c r="V75" i="11"/>
  <c r="X103" i="11"/>
  <c r="W93" i="11"/>
  <c r="X235" i="11"/>
  <c r="Z199" i="11"/>
  <c r="W192" i="11"/>
  <c r="X102" i="11"/>
  <c r="AC199" i="14" l="1"/>
  <c r="AA235" i="14"/>
  <c r="AB194" i="14"/>
  <c r="AA200" i="14"/>
  <c r="AA51" i="14" s="1"/>
  <c r="AA52" i="14" s="1"/>
  <c r="AA93" i="14"/>
  <c r="AE103" i="14"/>
  <c r="AC192" i="14"/>
  <c r="AD102" i="14"/>
  <c r="AQ214" i="14"/>
  <c r="Y7" i="14"/>
  <c r="Y83" i="14"/>
  <c r="Y83" i="13"/>
  <c r="AB199" i="13"/>
  <c r="Z235" i="13"/>
  <c r="X83" i="13"/>
  <c r="AP214" i="13"/>
  <c r="X7" i="13"/>
  <c r="Z192" i="13"/>
  <c r="AA102" i="13"/>
  <c r="AQ214" i="13"/>
  <c r="Y7" i="13"/>
  <c r="Z93" i="13"/>
  <c r="AA103" i="13"/>
  <c r="AA200" i="13"/>
  <c r="AA51" i="13" s="1"/>
  <c r="AB194" i="13"/>
  <c r="V83" i="11"/>
  <c r="AN214" i="11"/>
  <c r="V7" i="11"/>
  <c r="Y103" i="11"/>
  <c r="X93" i="11"/>
  <c r="X192" i="11"/>
  <c r="Y102" i="11"/>
  <c r="Y235" i="11"/>
  <c r="AA199" i="11"/>
  <c r="W75" i="11"/>
  <c r="W73" i="11"/>
  <c r="Y194" i="11"/>
  <c r="X200" i="11"/>
  <c r="X51" i="11" s="1"/>
  <c r="X52" i="11" s="1"/>
  <c r="AF103" i="14" l="1"/>
  <c r="AA73" i="14"/>
  <c r="AA75" i="14"/>
  <c r="AC194" i="14"/>
  <c r="AB200" i="14"/>
  <c r="AB51" i="14" s="1"/>
  <c r="AB52" i="14" s="1"/>
  <c r="AB93" i="14"/>
  <c r="AD192" i="14"/>
  <c r="AE102" i="14"/>
  <c r="AB235" i="14"/>
  <c r="AD199" i="14"/>
  <c r="AA93" i="13"/>
  <c r="AB103" i="13"/>
  <c r="AB200" i="13"/>
  <c r="AB51" i="13" s="1"/>
  <c r="AB52" i="13" s="1"/>
  <c r="AC194" i="13"/>
  <c r="AA52" i="13"/>
  <c r="AA192" i="13"/>
  <c r="AB102" i="13"/>
  <c r="AC199" i="13"/>
  <c r="AA235" i="13"/>
  <c r="W83" i="11"/>
  <c r="AB199" i="11"/>
  <c r="Z235" i="11"/>
  <c r="Y192" i="11"/>
  <c r="Z102" i="11"/>
  <c r="X75" i="11"/>
  <c r="X73" i="11"/>
  <c r="X83" i="11" s="1"/>
  <c r="Y200" i="11"/>
  <c r="Y51" i="11" s="1"/>
  <c r="Y52" i="11" s="1"/>
  <c r="Z194" i="11"/>
  <c r="Z103" i="11"/>
  <c r="Y93" i="11"/>
  <c r="AO214" i="11"/>
  <c r="W7" i="11"/>
  <c r="AS214" i="14" l="1"/>
  <c r="AA7" i="14"/>
  <c r="AB73" i="14"/>
  <c r="AB75" i="14"/>
  <c r="AD194" i="14"/>
  <c r="AC200" i="14"/>
  <c r="AC51" i="14" s="1"/>
  <c r="AC52" i="14" s="1"/>
  <c r="AC93" i="14"/>
  <c r="AC235" i="14"/>
  <c r="AE199" i="14"/>
  <c r="AA83" i="14"/>
  <c r="AE192" i="14"/>
  <c r="AF102" i="14"/>
  <c r="B103" i="14"/>
  <c r="AB192" i="13"/>
  <c r="AC102" i="13"/>
  <c r="AB73" i="13"/>
  <c r="AB75" i="13"/>
  <c r="AA73" i="13"/>
  <c r="AA75" i="13"/>
  <c r="AB93" i="13"/>
  <c r="AC103" i="13"/>
  <c r="AC200" i="13"/>
  <c r="AC51" i="13" s="1"/>
  <c r="AC52" i="13" s="1"/>
  <c r="AD194" i="13"/>
  <c r="AD199" i="13"/>
  <c r="AB235" i="13"/>
  <c r="Y73" i="11"/>
  <c r="Y75" i="11"/>
  <c r="AP214" i="11"/>
  <c r="X7" i="11"/>
  <c r="Z192" i="11"/>
  <c r="AA102" i="11"/>
  <c r="Z200" i="11"/>
  <c r="AA194" i="11"/>
  <c r="Z93" i="11"/>
  <c r="AA103" i="11"/>
  <c r="AA235" i="11"/>
  <c r="AC199" i="11"/>
  <c r="AC73" i="14" l="1"/>
  <c r="AC75" i="14"/>
  <c r="AT214" i="14"/>
  <c r="AB7" i="14"/>
  <c r="AE194" i="14"/>
  <c r="AD200" i="14"/>
  <c r="AD51" i="14" s="1"/>
  <c r="AD52" i="14" s="1"/>
  <c r="AD93" i="14"/>
  <c r="AF192" i="14"/>
  <c r="B102" i="14"/>
  <c r="B192" i="14" s="1"/>
  <c r="AB83" i="14"/>
  <c r="AD235" i="14"/>
  <c r="AF199" i="14"/>
  <c r="AA83" i="13"/>
  <c r="AE194" i="13"/>
  <c r="AD200" i="13"/>
  <c r="AD51" i="13" s="1"/>
  <c r="AD52" i="13" s="1"/>
  <c r="AC73" i="13"/>
  <c r="AC75" i="13"/>
  <c r="AS214" i="13"/>
  <c r="AA7" i="13"/>
  <c r="AC235" i="13"/>
  <c r="AE199" i="13"/>
  <c r="AT214" i="13"/>
  <c r="AB7" i="13"/>
  <c r="AB83" i="13"/>
  <c r="AC93" i="13"/>
  <c r="AD103" i="13"/>
  <c r="AC192" i="13"/>
  <c r="AD102" i="13"/>
  <c r="AA192" i="11"/>
  <c r="AB102" i="11"/>
  <c r="AB235" i="11"/>
  <c r="AD199" i="11"/>
  <c r="AB103" i="11"/>
  <c r="AA93" i="11"/>
  <c r="AQ214" i="11"/>
  <c r="Y7" i="11"/>
  <c r="AA200" i="11"/>
  <c r="AA51" i="11" s="1"/>
  <c r="AA52" i="11" s="1"/>
  <c r="AB194" i="11"/>
  <c r="Y83" i="11"/>
  <c r="AD75" i="14" l="1"/>
  <c r="AD73" i="14"/>
  <c r="AF194" i="14"/>
  <c r="AE200" i="14"/>
  <c r="AE51" i="14" s="1"/>
  <c r="AE52" i="14" s="1"/>
  <c r="AE93" i="14"/>
  <c r="AE235" i="14"/>
  <c r="B199" i="14"/>
  <c r="AF235" i="14" s="1"/>
  <c r="AU214" i="14"/>
  <c r="AC7" i="14"/>
  <c r="AC83" i="14"/>
  <c r="AE103" i="13"/>
  <c r="AD93" i="13"/>
  <c r="AC83" i="13"/>
  <c r="AD235" i="13"/>
  <c r="AF199" i="13"/>
  <c r="AU214" i="13"/>
  <c r="AC7" i="13"/>
  <c r="AD75" i="13"/>
  <c r="AD73" i="13"/>
  <c r="AD192" i="13"/>
  <c r="AE102" i="13"/>
  <c r="AF194" i="13"/>
  <c r="AE200" i="13"/>
  <c r="AE51" i="13" s="1"/>
  <c r="AE52" i="13" s="1"/>
  <c r="AC103" i="11"/>
  <c r="AB93" i="11"/>
  <c r="AC194" i="11"/>
  <c r="AB200" i="11"/>
  <c r="AB51" i="11" s="1"/>
  <c r="AB52" i="11" s="1"/>
  <c r="AB192" i="11"/>
  <c r="AC102" i="11"/>
  <c r="AC235" i="11"/>
  <c r="AE199" i="11"/>
  <c r="AA73" i="11"/>
  <c r="AA75" i="11"/>
  <c r="AE73" i="14" l="1"/>
  <c r="AE75" i="14"/>
  <c r="AF200" i="14"/>
  <c r="AF51" i="14" s="1"/>
  <c r="AF52" i="14" s="1"/>
  <c r="B194" i="14"/>
  <c r="AF93" i="14"/>
  <c r="AD83" i="14"/>
  <c r="AV214" i="14"/>
  <c r="AD7" i="14"/>
  <c r="AE73" i="13"/>
  <c r="AE75" i="13"/>
  <c r="AF200" i="13"/>
  <c r="AF51" i="13" s="1"/>
  <c r="B194" i="13"/>
  <c r="B200" i="13" s="1"/>
  <c r="AE192" i="13"/>
  <c r="AF102" i="13"/>
  <c r="AV214" i="13"/>
  <c r="AD7" i="13"/>
  <c r="AE235" i="13"/>
  <c r="B199" i="13"/>
  <c r="AF235" i="13" s="1"/>
  <c r="AD83" i="13"/>
  <c r="AF103" i="13"/>
  <c r="AE93" i="13"/>
  <c r="AD235" i="11"/>
  <c r="AF199" i="11"/>
  <c r="AC192" i="11"/>
  <c r="AD102" i="11"/>
  <c r="AD194" i="11"/>
  <c r="AC200" i="11"/>
  <c r="AC51" i="11" s="1"/>
  <c r="AC52" i="11" s="1"/>
  <c r="AB73" i="11"/>
  <c r="AB75" i="11"/>
  <c r="AS214" i="11"/>
  <c r="AA7" i="11"/>
  <c r="AA83" i="11"/>
  <c r="AC93" i="11"/>
  <c r="AD103" i="11"/>
  <c r="AI93" i="14" l="1"/>
  <c r="AH93" i="14"/>
  <c r="B200" i="14"/>
  <c r="B93" i="14"/>
  <c r="AF75" i="14"/>
  <c r="AF73" i="14"/>
  <c r="AW214" i="14"/>
  <c r="AE7" i="14"/>
  <c r="AE83" i="14"/>
  <c r="AF192" i="13"/>
  <c r="B102" i="13"/>
  <c r="AW214" i="13"/>
  <c r="AE7" i="13"/>
  <c r="AF93" i="13"/>
  <c r="B103" i="13"/>
  <c r="AF52" i="13"/>
  <c r="AH51" i="13"/>
  <c r="AI51" i="13"/>
  <c r="AE83" i="13"/>
  <c r="AB83" i="11"/>
  <c r="AE103" i="11"/>
  <c r="AD93" i="11"/>
  <c r="AT214" i="11"/>
  <c r="AB7" i="11"/>
  <c r="AC75" i="11"/>
  <c r="AC73" i="11"/>
  <c r="AC83" i="11" s="1"/>
  <c r="AE194" i="11"/>
  <c r="AD200" i="11"/>
  <c r="AD51" i="11" s="1"/>
  <c r="AD52" i="11" s="1"/>
  <c r="AD192" i="11"/>
  <c r="AE102" i="11"/>
  <c r="AE235" i="11"/>
  <c r="B199" i="11"/>
  <c r="AF235" i="11" s="1"/>
  <c r="AF83" i="14" l="1"/>
  <c r="AX214" i="14"/>
  <c r="AF7" i="14"/>
  <c r="B52" i="14"/>
  <c r="AH51" i="14"/>
  <c r="AI51" i="14"/>
  <c r="AF73" i="13"/>
  <c r="AF75" i="13"/>
  <c r="AH52" i="13"/>
  <c r="AI52" i="13"/>
  <c r="AI93" i="13"/>
  <c r="AH93" i="13"/>
  <c r="B192" i="13"/>
  <c r="AU214" i="11"/>
  <c r="AC7" i="11"/>
  <c r="AE192" i="11"/>
  <c r="AF102" i="11"/>
  <c r="AF194" i="11"/>
  <c r="AE200" i="11"/>
  <c r="AE51" i="11" s="1"/>
  <c r="AE52" i="11" s="1"/>
  <c r="AF103" i="11"/>
  <c r="AE93" i="11"/>
  <c r="AD73" i="11"/>
  <c r="AD75" i="11"/>
  <c r="B73" i="14" l="1"/>
  <c r="AI52" i="14"/>
  <c r="AH52" i="14"/>
  <c r="B75" i="14"/>
  <c r="AX214" i="13"/>
  <c r="AF7" i="13"/>
  <c r="A7" i="13" s="1"/>
  <c r="AI75" i="13"/>
  <c r="AH75" i="13"/>
  <c r="AF83" i="13"/>
  <c r="AH73" i="13"/>
  <c r="AI73" i="13"/>
  <c r="B103" i="11"/>
  <c r="AF93" i="11"/>
  <c r="AF200" i="11"/>
  <c r="AF51" i="11" s="1"/>
  <c r="AF52" i="11" s="1"/>
  <c r="B194" i="11"/>
  <c r="B200" i="11" s="1"/>
  <c r="AE75" i="11"/>
  <c r="AE73" i="11"/>
  <c r="AF192" i="11"/>
  <c r="B102" i="11"/>
  <c r="B192" i="11" s="1"/>
  <c r="AV214" i="11"/>
  <c r="AD7" i="11"/>
  <c r="AD83" i="11"/>
  <c r="T214" i="14" l="1"/>
  <c r="B7" i="14"/>
  <c r="A7" i="14" s="1"/>
  <c r="AI75" i="14"/>
  <c r="AH75" i="14"/>
  <c r="AI73" i="14"/>
  <c r="AH73" i="14"/>
  <c r="B83" i="14"/>
  <c r="AH83" i="13"/>
  <c r="AI83" i="13"/>
  <c r="AE83" i="11"/>
  <c r="AF73" i="11"/>
  <c r="AF75" i="11"/>
  <c r="AW214" i="11"/>
  <c r="AE7" i="11"/>
  <c r="AI93" i="11"/>
  <c r="AH93" i="11"/>
  <c r="AI51" i="11"/>
  <c r="AH51" i="11"/>
  <c r="B52" i="11"/>
  <c r="B93" i="11"/>
  <c r="AI83" i="14" l="1"/>
  <c r="AH83" i="14"/>
  <c r="AX214" i="11"/>
  <c r="AF7" i="11"/>
  <c r="AI52" i="11"/>
  <c r="AH52" i="11"/>
  <c r="B73" i="11"/>
  <c r="B75" i="11"/>
  <c r="AF83" i="11"/>
  <c r="T214" i="11" l="1"/>
  <c r="AI75" i="11"/>
  <c r="AH75" i="11"/>
  <c r="B7" i="11"/>
  <c r="A7" i="11" s="1"/>
  <c r="AI73" i="11"/>
  <c r="AH73" i="11"/>
  <c r="B83" i="11"/>
  <c r="AH83" i="11" l="1"/>
  <c r="AI83" i="11"/>
  <c r="AF239" i="10" l="1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B235" i="10"/>
  <c r="S210" i="10"/>
  <c r="AG200" i="10"/>
  <c r="C200" i="10"/>
  <c r="E199" i="10"/>
  <c r="D235" i="10" s="1"/>
  <c r="D199" i="10"/>
  <c r="C235" i="10" s="1"/>
  <c r="D198" i="10"/>
  <c r="E198" i="10" s="1"/>
  <c r="F198" i="10" s="1"/>
  <c r="G198" i="10" s="1"/>
  <c r="H198" i="10" s="1"/>
  <c r="I198" i="10" s="1"/>
  <c r="J198" i="10" s="1"/>
  <c r="K198" i="10" s="1"/>
  <c r="L198" i="10" s="1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X198" i="10" s="1"/>
  <c r="Y198" i="10" s="1"/>
  <c r="Z198" i="10" s="1"/>
  <c r="AA198" i="10" s="1"/>
  <c r="AB198" i="10" s="1"/>
  <c r="AC198" i="10" s="1"/>
  <c r="AD198" i="10" s="1"/>
  <c r="AE198" i="10" s="1"/>
  <c r="AF198" i="10" s="1"/>
  <c r="B198" i="10" s="1"/>
  <c r="D197" i="10"/>
  <c r="E197" i="10" s="1"/>
  <c r="F197" i="10" s="1"/>
  <c r="G197" i="10" s="1"/>
  <c r="H197" i="10" s="1"/>
  <c r="I197" i="10" s="1"/>
  <c r="J197" i="10" s="1"/>
  <c r="K197" i="10" s="1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X197" i="10" s="1"/>
  <c r="Y197" i="10" s="1"/>
  <c r="Z197" i="10" s="1"/>
  <c r="AA197" i="10" s="1"/>
  <c r="AB197" i="10" s="1"/>
  <c r="AC197" i="10" s="1"/>
  <c r="AD197" i="10" s="1"/>
  <c r="AE197" i="10" s="1"/>
  <c r="AF197" i="10" s="1"/>
  <c r="B197" i="10" s="1"/>
  <c r="D196" i="10"/>
  <c r="E196" i="10" s="1"/>
  <c r="F196" i="10" s="1"/>
  <c r="G196" i="10" s="1"/>
  <c r="H196" i="10" s="1"/>
  <c r="I196" i="10" s="1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B196" i="10" s="1"/>
  <c r="D195" i="10"/>
  <c r="E195" i="10" s="1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B195" i="10" s="1"/>
  <c r="D194" i="10"/>
  <c r="AG192" i="10"/>
  <c r="C192" i="10"/>
  <c r="H191" i="10"/>
  <c r="I191" i="10" s="1"/>
  <c r="J191" i="10" s="1"/>
  <c r="K191" i="10" s="1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X191" i="10" s="1"/>
  <c r="Y191" i="10" s="1"/>
  <c r="Z191" i="10" s="1"/>
  <c r="AA191" i="10" s="1"/>
  <c r="AB191" i="10" s="1"/>
  <c r="AC191" i="10" s="1"/>
  <c r="AD191" i="10" s="1"/>
  <c r="AE191" i="10" s="1"/>
  <c r="AF191" i="10" s="1"/>
  <c r="B191" i="10" s="1"/>
  <c r="G191" i="10"/>
  <c r="D191" i="10"/>
  <c r="E191" i="10" s="1"/>
  <c r="F191" i="10" s="1"/>
  <c r="AC190" i="10"/>
  <c r="AD190" i="10" s="1"/>
  <c r="AE190" i="10" s="1"/>
  <c r="AF190" i="10" s="1"/>
  <c r="B190" i="10" s="1"/>
  <c r="J190" i="10"/>
  <c r="K190" i="10" s="1"/>
  <c r="L190" i="10" s="1"/>
  <c r="M190" i="10" s="1"/>
  <c r="N190" i="10" s="1"/>
  <c r="O190" i="10" s="1"/>
  <c r="P190" i="10" s="1"/>
  <c r="Q190" i="10" s="1"/>
  <c r="R190" i="10" s="1"/>
  <c r="S190" i="10" s="1"/>
  <c r="T190" i="10" s="1"/>
  <c r="U190" i="10" s="1"/>
  <c r="V190" i="10" s="1"/>
  <c r="W190" i="10" s="1"/>
  <c r="X190" i="10" s="1"/>
  <c r="Y190" i="10" s="1"/>
  <c r="Z190" i="10" s="1"/>
  <c r="AA190" i="10" s="1"/>
  <c r="AB190" i="10" s="1"/>
  <c r="I190" i="10"/>
  <c r="E190" i="10"/>
  <c r="F190" i="10" s="1"/>
  <c r="G190" i="10" s="1"/>
  <c r="H190" i="10" s="1"/>
  <c r="D190" i="10"/>
  <c r="D189" i="10"/>
  <c r="E189" i="10" s="1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Q189" i="10" s="1"/>
  <c r="R189" i="10" s="1"/>
  <c r="S189" i="10" s="1"/>
  <c r="T189" i="10" s="1"/>
  <c r="U189" i="10" s="1"/>
  <c r="V189" i="10" s="1"/>
  <c r="W189" i="10" s="1"/>
  <c r="X189" i="10" s="1"/>
  <c r="Y189" i="10" s="1"/>
  <c r="Z189" i="10" s="1"/>
  <c r="AA189" i="10" s="1"/>
  <c r="AB189" i="10" s="1"/>
  <c r="AC189" i="10" s="1"/>
  <c r="AD189" i="10" s="1"/>
  <c r="AE189" i="10" s="1"/>
  <c r="AF189" i="10" s="1"/>
  <c r="B189" i="10" s="1"/>
  <c r="E188" i="10"/>
  <c r="F188" i="10" s="1"/>
  <c r="G188" i="10" s="1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B188" i="10" s="1"/>
  <c r="D188" i="10"/>
  <c r="F187" i="10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B187" i="10" s="1"/>
  <c r="D187" i="10"/>
  <c r="E187" i="10" s="1"/>
  <c r="D186" i="10"/>
  <c r="E186" i="10" s="1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B186" i="10" s="1"/>
  <c r="W185" i="10"/>
  <c r="X185" i="10" s="1"/>
  <c r="Y185" i="10" s="1"/>
  <c r="Z185" i="10" s="1"/>
  <c r="AA185" i="10" s="1"/>
  <c r="AB185" i="10" s="1"/>
  <c r="AC185" i="10" s="1"/>
  <c r="AD185" i="10" s="1"/>
  <c r="AE185" i="10" s="1"/>
  <c r="AF185" i="10" s="1"/>
  <c r="B185" i="10" s="1"/>
  <c r="E185" i="10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D185" i="10"/>
  <c r="F184" i="10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B184" i="10" s="1"/>
  <c r="D184" i="10"/>
  <c r="E184" i="10" s="1"/>
  <c r="V183" i="10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B183" i="10" s="1"/>
  <c r="I183" i="10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D183" i="10"/>
  <c r="E183" i="10" s="1"/>
  <c r="F183" i="10" s="1"/>
  <c r="G183" i="10" s="1"/>
  <c r="H183" i="10" s="1"/>
  <c r="G182" i="10"/>
  <c r="H182" i="10" s="1"/>
  <c r="I182" i="10" s="1"/>
  <c r="J182" i="10" s="1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B182" i="10" s="1"/>
  <c r="F182" i="10"/>
  <c r="E182" i="10"/>
  <c r="D182" i="10"/>
  <c r="H181" i="10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B181" i="10" s="1"/>
  <c r="G181" i="10"/>
  <c r="F181" i="10"/>
  <c r="E181" i="10"/>
  <c r="D181" i="10"/>
  <c r="E180" i="10"/>
  <c r="F180" i="10" s="1"/>
  <c r="G180" i="10" s="1"/>
  <c r="H180" i="10" s="1"/>
  <c r="I180" i="10" s="1"/>
  <c r="J180" i="10" s="1"/>
  <c r="K180" i="10" s="1"/>
  <c r="L180" i="10" s="1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B180" i="10" s="1"/>
  <c r="D180" i="10"/>
  <c r="E179" i="10"/>
  <c r="F179" i="10" s="1"/>
  <c r="G179" i="10" s="1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B179" i="10" s="1"/>
  <c r="D179" i="10"/>
  <c r="J177" i="10"/>
  <c r="K177" i="10" s="1"/>
  <c r="L177" i="10" s="1"/>
  <c r="M177" i="10" s="1"/>
  <c r="N177" i="10" s="1"/>
  <c r="O177" i="10" s="1"/>
  <c r="P177" i="10" s="1"/>
  <c r="Q177" i="10" s="1"/>
  <c r="R177" i="10" s="1"/>
  <c r="S177" i="10" s="1"/>
  <c r="T177" i="10" s="1"/>
  <c r="U177" i="10" s="1"/>
  <c r="V177" i="10" s="1"/>
  <c r="W177" i="10" s="1"/>
  <c r="X177" i="10" s="1"/>
  <c r="Y177" i="10" s="1"/>
  <c r="Z177" i="10" s="1"/>
  <c r="AA177" i="10" s="1"/>
  <c r="AB177" i="10" s="1"/>
  <c r="AC177" i="10" s="1"/>
  <c r="AD177" i="10" s="1"/>
  <c r="AE177" i="10" s="1"/>
  <c r="AF177" i="10" s="1"/>
  <c r="B177" i="10" s="1"/>
  <c r="F177" i="10"/>
  <c r="G177" i="10" s="1"/>
  <c r="H177" i="10" s="1"/>
  <c r="I177" i="10" s="1"/>
  <c r="E177" i="10"/>
  <c r="D177" i="10"/>
  <c r="P176" i="10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B176" i="10" s="1"/>
  <c r="L176" i="10"/>
  <c r="M176" i="10" s="1"/>
  <c r="N176" i="10" s="1"/>
  <c r="O176" i="10" s="1"/>
  <c r="H176" i="10"/>
  <c r="I176" i="10" s="1"/>
  <c r="J176" i="10" s="1"/>
  <c r="K176" i="10" s="1"/>
  <c r="D176" i="10"/>
  <c r="E176" i="10" s="1"/>
  <c r="F176" i="10" s="1"/>
  <c r="G176" i="10" s="1"/>
  <c r="F175" i="10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B175" i="10" s="1"/>
  <c r="D175" i="10"/>
  <c r="E175" i="10" s="1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B174" i="10" s="1"/>
  <c r="D174" i="10"/>
  <c r="AB173" i="10"/>
  <c r="AC173" i="10" s="1"/>
  <c r="AD173" i="10" s="1"/>
  <c r="AE173" i="10" s="1"/>
  <c r="AF173" i="10" s="1"/>
  <c r="B173" i="10" s="1"/>
  <c r="S173" i="10"/>
  <c r="T173" i="10" s="1"/>
  <c r="U173" i="10" s="1"/>
  <c r="V173" i="10" s="1"/>
  <c r="W173" i="10" s="1"/>
  <c r="X173" i="10" s="1"/>
  <c r="Y173" i="10" s="1"/>
  <c r="Z173" i="10" s="1"/>
  <c r="AA173" i="10" s="1"/>
  <c r="E173" i="10"/>
  <c r="F173" i="10" s="1"/>
  <c r="G173" i="10" s="1"/>
  <c r="H173" i="10" s="1"/>
  <c r="I173" i="10" s="1"/>
  <c r="J173" i="10" s="1"/>
  <c r="K173" i="10" s="1"/>
  <c r="L173" i="10" s="1"/>
  <c r="M173" i="10" s="1"/>
  <c r="N173" i="10" s="1"/>
  <c r="O173" i="10" s="1"/>
  <c r="P173" i="10" s="1"/>
  <c r="Q173" i="10" s="1"/>
  <c r="R173" i="10" s="1"/>
  <c r="D173" i="10"/>
  <c r="G172" i="10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B172" i="10" s="1"/>
  <c r="F172" i="10"/>
  <c r="E172" i="10"/>
  <c r="D172" i="10"/>
  <c r="E171" i="10"/>
  <c r="F171" i="10" s="1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B171" i="10" s="1"/>
  <c r="D171" i="10"/>
  <c r="E170" i="10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B170" i="10" s="1"/>
  <c r="D170" i="10"/>
  <c r="I168" i="10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B168" i="10" s="1"/>
  <c r="E168" i="10"/>
  <c r="F168" i="10" s="1"/>
  <c r="G168" i="10" s="1"/>
  <c r="H168" i="10" s="1"/>
  <c r="D168" i="10"/>
  <c r="O167" i="10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B167" i="10" s="1"/>
  <c r="N167" i="10"/>
  <c r="G167" i="10"/>
  <c r="H167" i="10" s="1"/>
  <c r="I167" i="10" s="1"/>
  <c r="J167" i="10" s="1"/>
  <c r="K167" i="10" s="1"/>
  <c r="L167" i="10" s="1"/>
  <c r="M167" i="10" s="1"/>
  <c r="F167" i="10"/>
  <c r="E167" i="10"/>
  <c r="D167" i="10"/>
  <c r="O166" i="10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B166" i="10" s="1"/>
  <c r="D166" i="10"/>
  <c r="E166" i="10" s="1"/>
  <c r="F166" i="10" s="1"/>
  <c r="G166" i="10" s="1"/>
  <c r="H166" i="10" s="1"/>
  <c r="I166" i="10" s="1"/>
  <c r="J166" i="10" s="1"/>
  <c r="K166" i="10" s="1"/>
  <c r="L166" i="10" s="1"/>
  <c r="M166" i="10" s="1"/>
  <c r="N166" i="10" s="1"/>
  <c r="E165" i="10"/>
  <c r="F165" i="10" s="1"/>
  <c r="G165" i="10" s="1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B165" i="10" s="1"/>
  <c r="D165" i="10"/>
  <c r="E164" i="10"/>
  <c r="F164" i="10" s="1"/>
  <c r="G164" i="10" s="1"/>
  <c r="H164" i="10" s="1"/>
  <c r="I164" i="10" s="1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B164" i="10" s="1"/>
  <c r="D164" i="10"/>
  <c r="F163" i="10"/>
  <c r="G163" i="10" s="1"/>
  <c r="H163" i="10" s="1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B163" i="10" s="1"/>
  <c r="E163" i="10"/>
  <c r="D163" i="10"/>
  <c r="D162" i="10"/>
  <c r="E162" i="10" s="1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B162" i="10" s="1"/>
  <c r="Q161" i="10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B161" i="10" s="1"/>
  <c r="O161" i="10"/>
  <c r="P161" i="10" s="1"/>
  <c r="M161" i="10"/>
  <c r="N161" i="10" s="1"/>
  <c r="D161" i="10"/>
  <c r="E161" i="10" s="1"/>
  <c r="F161" i="10" s="1"/>
  <c r="G161" i="10" s="1"/>
  <c r="H161" i="10" s="1"/>
  <c r="I161" i="10" s="1"/>
  <c r="J161" i="10" s="1"/>
  <c r="K161" i="10" s="1"/>
  <c r="L161" i="10" s="1"/>
  <c r="E160" i="10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B160" i="10" s="1"/>
  <c r="D160" i="10"/>
  <c r="H159" i="10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B159" i="10" s="1"/>
  <c r="F159" i="10"/>
  <c r="G159" i="10" s="1"/>
  <c r="E159" i="10"/>
  <c r="D159" i="10"/>
  <c r="E158" i="10"/>
  <c r="F158" i="10" s="1"/>
  <c r="G158" i="10" s="1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B158" i="10" s="1"/>
  <c r="D158" i="10"/>
  <c r="K157" i="10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B157" i="10" s="1"/>
  <c r="D157" i="10"/>
  <c r="E157" i="10" s="1"/>
  <c r="F157" i="10" s="1"/>
  <c r="G157" i="10" s="1"/>
  <c r="H157" i="10" s="1"/>
  <c r="I157" i="10" s="1"/>
  <c r="J157" i="10" s="1"/>
  <c r="R156" i="10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B156" i="10" s="1"/>
  <c r="E156" i="10"/>
  <c r="F156" i="10" s="1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Q156" i="10" s="1"/>
  <c r="D156" i="10"/>
  <c r="F154" i="10"/>
  <c r="G154" i="10" s="1"/>
  <c r="H154" i="10" s="1"/>
  <c r="I154" i="10" s="1"/>
  <c r="J154" i="10" s="1"/>
  <c r="K154" i="10" s="1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X154" i="10" s="1"/>
  <c r="Y154" i="10" s="1"/>
  <c r="Z154" i="10" s="1"/>
  <c r="AA154" i="10" s="1"/>
  <c r="AB154" i="10" s="1"/>
  <c r="AC154" i="10" s="1"/>
  <c r="AD154" i="10" s="1"/>
  <c r="AE154" i="10" s="1"/>
  <c r="AF154" i="10" s="1"/>
  <c r="B154" i="10" s="1"/>
  <c r="E154" i="10"/>
  <c r="D154" i="10"/>
  <c r="E153" i="10"/>
  <c r="F153" i="10" s="1"/>
  <c r="G153" i="10" s="1"/>
  <c r="H153" i="10" s="1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B153" i="10" s="1"/>
  <c r="D153" i="10"/>
  <c r="D152" i="10"/>
  <c r="E152" i="10" s="1"/>
  <c r="F152" i="10" s="1"/>
  <c r="G152" i="10" s="1"/>
  <c r="H152" i="10" s="1"/>
  <c r="I152" i="10" s="1"/>
  <c r="J152" i="10" s="1"/>
  <c r="K152" i="10" s="1"/>
  <c r="L152" i="10" s="1"/>
  <c r="M152" i="10" s="1"/>
  <c r="N152" i="10" s="1"/>
  <c r="O152" i="10" s="1"/>
  <c r="P152" i="10" s="1"/>
  <c r="Q152" i="10" s="1"/>
  <c r="R152" i="10" s="1"/>
  <c r="S152" i="10" s="1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B152" i="10" s="1"/>
  <c r="H151" i="10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B151" i="10" s="1"/>
  <c r="E151" i="10"/>
  <c r="F151" i="10" s="1"/>
  <c r="G151" i="10" s="1"/>
  <c r="D151" i="10"/>
  <c r="F149" i="10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49" i="10" s="1"/>
  <c r="Y149" i="10" s="1"/>
  <c r="Z149" i="10" s="1"/>
  <c r="AA149" i="10" s="1"/>
  <c r="AB149" i="10" s="1"/>
  <c r="AC149" i="10" s="1"/>
  <c r="AD149" i="10" s="1"/>
  <c r="AE149" i="10" s="1"/>
  <c r="AF149" i="10" s="1"/>
  <c r="B149" i="10" s="1"/>
  <c r="E149" i="10"/>
  <c r="D149" i="10"/>
  <c r="U148" i="10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B148" i="10" s="1"/>
  <c r="E148" i="10"/>
  <c r="F148" i="10" s="1"/>
  <c r="G148" i="10" s="1"/>
  <c r="H148" i="10" s="1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D148" i="10"/>
  <c r="I146" i="10"/>
  <c r="J146" i="10" s="1"/>
  <c r="K146" i="10" s="1"/>
  <c r="L146" i="10" s="1"/>
  <c r="M146" i="10" s="1"/>
  <c r="N146" i="10" s="1"/>
  <c r="O146" i="10" s="1"/>
  <c r="P146" i="10" s="1"/>
  <c r="Q146" i="10" s="1"/>
  <c r="R146" i="10" s="1"/>
  <c r="S146" i="10" s="1"/>
  <c r="T146" i="10" s="1"/>
  <c r="U146" i="10" s="1"/>
  <c r="V146" i="10" s="1"/>
  <c r="W146" i="10" s="1"/>
  <c r="X146" i="10" s="1"/>
  <c r="Y146" i="10" s="1"/>
  <c r="Z146" i="10" s="1"/>
  <c r="AA146" i="10" s="1"/>
  <c r="AB146" i="10" s="1"/>
  <c r="AC146" i="10" s="1"/>
  <c r="AD146" i="10" s="1"/>
  <c r="AE146" i="10" s="1"/>
  <c r="AF146" i="10" s="1"/>
  <c r="B146" i="10" s="1"/>
  <c r="G146" i="10"/>
  <c r="H146" i="10" s="1"/>
  <c r="D146" i="10"/>
  <c r="E146" i="10" s="1"/>
  <c r="F146" i="10" s="1"/>
  <c r="I145" i="10"/>
  <c r="J145" i="10" s="1"/>
  <c r="K145" i="10" s="1"/>
  <c r="L145" i="10" s="1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B145" i="10" s="1"/>
  <c r="E145" i="10"/>
  <c r="F145" i="10" s="1"/>
  <c r="G145" i="10" s="1"/>
  <c r="H145" i="10" s="1"/>
  <c r="D145" i="10"/>
  <c r="U144" i="10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B144" i="10" s="1"/>
  <c r="E144" i="10"/>
  <c r="F144" i="10" s="1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D144" i="10"/>
  <c r="L143" i="10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B143" i="10" s="1"/>
  <c r="K143" i="10"/>
  <c r="E143" i="10"/>
  <c r="F143" i="10" s="1"/>
  <c r="G143" i="10" s="1"/>
  <c r="H143" i="10" s="1"/>
  <c r="I143" i="10" s="1"/>
  <c r="J143" i="10" s="1"/>
  <c r="D143" i="10"/>
  <c r="I142" i="10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B142" i="10" s="1"/>
  <c r="D142" i="10"/>
  <c r="E142" i="10" s="1"/>
  <c r="F142" i="10" s="1"/>
  <c r="G142" i="10" s="1"/>
  <c r="H142" i="10" s="1"/>
  <c r="H141" i="10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B141" i="10" s="1"/>
  <c r="G141" i="10"/>
  <c r="D141" i="10"/>
  <c r="E141" i="10" s="1"/>
  <c r="F141" i="10" s="1"/>
  <c r="E140" i="10"/>
  <c r="F140" i="10" s="1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B140" i="10" s="1"/>
  <c r="D140" i="10"/>
  <c r="K138" i="10"/>
  <c r="L138" i="10" s="1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B138" i="10" s="1"/>
  <c r="E138" i="10"/>
  <c r="F138" i="10" s="1"/>
  <c r="G138" i="10" s="1"/>
  <c r="H138" i="10" s="1"/>
  <c r="I138" i="10" s="1"/>
  <c r="J138" i="10" s="1"/>
  <c r="D138" i="10"/>
  <c r="R137" i="10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B137" i="10" s="1"/>
  <c r="I137" i="10"/>
  <c r="J137" i="10" s="1"/>
  <c r="K137" i="10" s="1"/>
  <c r="L137" i="10" s="1"/>
  <c r="M137" i="10" s="1"/>
  <c r="N137" i="10" s="1"/>
  <c r="O137" i="10" s="1"/>
  <c r="P137" i="10" s="1"/>
  <c r="Q137" i="10" s="1"/>
  <c r="E137" i="10"/>
  <c r="F137" i="10" s="1"/>
  <c r="G137" i="10" s="1"/>
  <c r="H137" i="10" s="1"/>
  <c r="D137" i="10"/>
  <c r="D136" i="10"/>
  <c r="E136" i="10" s="1"/>
  <c r="F136" i="10" s="1"/>
  <c r="G136" i="10" s="1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B136" i="10" s="1"/>
  <c r="E135" i="10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B135" i="10" s="1"/>
  <c r="D135" i="10"/>
  <c r="D134" i="10"/>
  <c r="E134" i="10" s="1"/>
  <c r="F134" i="10" s="1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B134" i="10" s="1"/>
  <c r="Y133" i="10"/>
  <c r="Z133" i="10" s="1"/>
  <c r="AA133" i="10" s="1"/>
  <c r="AB133" i="10" s="1"/>
  <c r="AC133" i="10" s="1"/>
  <c r="AD133" i="10" s="1"/>
  <c r="AE133" i="10" s="1"/>
  <c r="AF133" i="10" s="1"/>
  <c r="B133" i="10" s="1"/>
  <c r="S133" i="10"/>
  <c r="T133" i="10" s="1"/>
  <c r="U133" i="10" s="1"/>
  <c r="V133" i="10" s="1"/>
  <c r="W133" i="10" s="1"/>
  <c r="X133" i="10" s="1"/>
  <c r="E133" i="10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D133" i="10"/>
  <c r="D132" i="10"/>
  <c r="E132" i="10" s="1"/>
  <c r="F132" i="10" s="1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B132" i="10" s="1"/>
  <c r="E131" i="10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B131" i="10" s="1"/>
  <c r="D131" i="10"/>
  <c r="E129" i="10"/>
  <c r="F129" i="10" s="1"/>
  <c r="G129" i="10" s="1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B129" i="10" s="1"/>
  <c r="D129" i="10"/>
  <c r="K128" i="10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B128" i="10" s="1"/>
  <c r="E128" i="10"/>
  <c r="F128" i="10" s="1"/>
  <c r="G128" i="10" s="1"/>
  <c r="H128" i="10" s="1"/>
  <c r="I128" i="10" s="1"/>
  <c r="J128" i="10" s="1"/>
  <c r="D128" i="10"/>
  <c r="G127" i="10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B127" i="10" s="1"/>
  <c r="F127" i="10"/>
  <c r="E127" i="10"/>
  <c r="D127" i="10"/>
  <c r="F126" i="10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B126" i="10" s="1"/>
  <c r="E126" i="10"/>
  <c r="D126" i="10"/>
  <c r="E125" i="10"/>
  <c r="F125" i="10" s="1"/>
  <c r="G125" i="10" s="1"/>
  <c r="H125" i="10" s="1"/>
  <c r="I125" i="10" s="1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B125" i="10" s="1"/>
  <c r="D125" i="10"/>
  <c r="E124" i="10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B124" i="10" s="1"/>
  <c r="D124" i="10"/>
  <c r="I123" i="10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B123" i="10" s="1"/>
  <c r="D123" i="10"/>
  <c r="E123" i="10" s="1"/>
  <c r="F123" i="10" s="1"/>
  <c r="G123" i="10" s="1"/>
  <c r="H123" i="10" s="1"/>
  <c r="D122" i="10"/>
  <c r="E122" i="10" s="1"/>
  <c r="F122" i="10" s="1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B122" i="10" s="1"/>
  <c r="F121" i="10"/>
  <c r="G121" i="10" s="1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B121" i="10" s="1"/>
  <c r="E121" i="10"/>
  <c r="D121" i="10"/>
  <c r="D120" i="10"/>
  <c r="E120" i="10" s="1"/>
  <c r="F120" i="10" s="1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B120" i="10" s="1"/>
  <c r="F119" i="10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B119" i="10" s="1"/>
  <c r="E119" i="10"/>
  <c r="D119" i="10"/>
  <c r="D118" i="10"/>
  <c r="E118" i="10" s="1"/>
  <c r="F118" i="10" s="1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B118" i="10" s="1"/>
  <c r="D117" i="10"/>
  <c r="E117" i="10" s="1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B117" i="10" s="1"/>
  <c r="D116" i="10"/>
  <c r="E116" i="10" s="1"/>
  <c r="F116" i="10" s="1"/>
  <c r="G116" i="10" s="1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B116" i="10" s="1"/>
  <c r="F115" i="10"/>
  <c r="G115" i="10" s="1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B115" i="10" s="1"/>
  <c r="E115" i="10"/>
  <c r="D115" i="10"/>
  <c r="L114" i="10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B114" i="10" s="1"/>
  <c r="K114" i="10"/>
  <c r="D114" i="10"/>
  <c r="E114" i="10" s="1"/>
  <c r="F114" i="10" s="1"/>
  <c r="G114" i="10" s="1"/>
  <c r="H114" i="10" s="1"/>
  <c r="I114" i="10" s="1"/>
  <c r="I113" i="10"/>
  <c r="J113" i="10" s="1"/>
  <c r="K113" i="10" s="1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B113" i="10" s="1"/>
  <c r="E113" i="10"/>
  <c r="F113" i="10" s="1"/>
  <c r="G113" i="10" s="1"/>
  <c r="H113" i="10" s="1"/>
  <c r="D113" i="10"/>
  <c r="D112" i="10"/>
  <c r="E112" i="10" s="1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B112" i="10" s="1"/>
  <c r="E110" i="10"/>
  <c r="F110" i="10" s="1"/>
  <c r="G110" i="10" s="1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B110" i="10" s="1"/>
  <c r="D110" i="10"/>
  <c r="D109" i="10"/>
  <c r="J107" i="10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B107" i="10" s="1"/>
  <c r="I107" i="10"/>
  <c r="E107" i="10"/>
  <c r="F107" i="10" s="1"/>
  <c r="G107" i="10" s="1"/>
  <c r="H107" i="10" s="1"/>
  <c r="D107" i="10"/>
  <c r="D106" i="10"/>
  <c r="E106" i="10" s="1"/>
  <c r="F106" i="10" s="1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B106" i="10" s="1"/>
  <c r="E105" i="10"/>
  <c r="F105" i="10" s="1"/>
  <c r="G105" i="10" s="1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B105" i="10" s="1"/>
  <c r="D105" i="10"/>
  <c r="D104" i="10"/>
  <c r="E104" i="10" s="1"/>
  <c r="F104" i="10" s="1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B104" i="10" s="1"/>
  <c r="E103" i="10"/>
  <c r="F103" i="10" s="1"/>
  <c r="G103" i="10" s="1"/>
  <c r="H103" i="10" s="1"/>
  <c r="D103" i="10"/>
  <c r="D102" i="10"/>
  <c r="AH100" i="10"/>
  <c r="AI100" i="10" s="1"/>
  <c r="AH99" i="10"/>
  <c r="AI99" i="10" s="1"/>
  <c r="AH98" i="10"/>
  <c r="AI98" i="10" s="1"/>
  <c r="AH97" i="10"/>
  <c r="AI97" i="10" s="1"/>
  <c r="AH96" i="10"/>
  <c r="AI96" i="10" s="1"/>
  <c r="AH95" i="10"/>
  <c r="AI95" i="10" s="1"/>
  <c r="AH94" i="10"/>
  <c r="AI94" i="10" s="1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G82" i="10"/>
  <c r="AI81" i="10"/>
  <c r="AH81" i="10"/>
  <c r="AI78" i="10"/>
  <c r="AI74" i="10"/>
  <c r="AH74" i="10"/>
  <c r="AG72" i="10"/>
  <c r="AG75" i="10" s="1"/>
  <c r="AI71" i="10"/>
  <c r="AH71" i="10"/>
  <c r="AI70" i="10"/>
  <c r="AH70" i="10"/>
  <c r="AI69" i="10"/>
  <c r="AH69" i="10"/>
  <c r="AG68" i="10"/>
  <c r="AE5" i="10"/>
  <c r="AD5" i="10"/>
  <c r="AB5" i="10"/>
  <c r="X5" i="10"/>
  <c r="W5" i="10"/>
  <c r="V5" i="10"/>
  <c r="T5" i="10"/>
  <c r="J5" i="10"/>
  <c r="H5" i="10"/>
  <c r="G5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7" i="10"/>
  <c r="AH57" i="10"/>
  <c r="AG56" i="10"/>
  <c r="AI55" i="10"/>
  <c r="AH55" i="10"/>
  <c r="AI54" i="10"/>
  <c r="AH54" i="10"/>
  <c r="AI53" i="10"/>
  <c r="AH53" i="10"/>
  <c r="AG51" i="10"/>
  <c r="AG52" i="10" s="1"/>
  <c r="AG3" i="10" s="1"/>
  <c r="AG6" i="10" s="1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G38" i="10"/>
  <c r="AL214" i="10"/>
  <c r="AD214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C5" i="10"/>
  <c r="Z5" i="10"/>
  <c r="U5" i="10"/>
  <c r="R5" i="10"/>
  <c r="P5" i="10"/>
  <c r="O5" i="10"/>
  <c r="N5" i="10"/>
  <c r="M5" i="10"/>
  <c r="L5" i="10"/>
  <c r="F5" i="10"/>
  <c r="B5" i="10"/>
  <c r="AG4" i="10"/>
  <c r="K4" i="10"/>
  <c r="B4" i="10"/>
  <c r="AG2" i="10"/>
  <c r="K37" i="9"/>
  <c r="J37" i="9"/>
  <c r="I37" i="9"/>
  <c r="H37" i="9"/>
  <c r="G37" i="9"/>
  <c r="F37" i="9"/>
  <c r="E37" i="9"/>
  <c r="AH100" i="9"/>
  <c r="AI100" i="9" s="1"/>
  <c r="AH99" i="9"/>
  <c r="AI99" i="9" s="1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B235" i="9"/>
  <c r="S210" i="9"/>
  <c r="AG200" i="9"/>
  <c r="C200" i="9"/>
  <c r="D199" i="9"/>
  <c r="E198" i="9"/>
  <c r="F198" i="9" s="1"/>
  <c r="G198" i="9" s="1"/>
  <c r="H198" i="9" s="1"/>
  <c r="I198" i="9" s="1"/>
  <c r="J198" i="9" s="1"/>
  <c r="K198" i="9" s="1"/>
  <c r="L198" i="9" s="1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X198" i="9" s="1"/>
  <c r="Y198" i="9" s="1"/>
  <c r="Z198" i="9" s="1"/>
  <c r="AA198" i="9" s="1"/>
  <c r="AB198" i="9" s="1"/>
  <c r="AC198" i="9" s="1"/>
  <c r="AD198" i="9" s="1"/>
  <c r="AE198" i="9" s="1"/>
  <c r="AF198" i="9" s="1"/>
  <c r="B198" i="9" s="1"/>
  <c r="D198" i="9"/>
  <c r="J197" i="9"/>
  <c r="K197" i="9" s="1"/>
  <c r="L197" i="9" s="1"/>
  <c r="M197" i="9" s="1"/>
  <c r="N197" i="9" s="1"/>
  <c r="O197" i="9" s="1"/>
  <c r="P197" i="9" s="1"/>
  <c r="Q197" i="9" s="1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B197" i="9" s="1"/>
  <c r="H197" i="9"/>
  <c r="I197" i="9" s="1"/>
  <c r="G197" i="9"/>
  <c r="F197" i="9"/>
  <c r="D197" i="9"/>
  <c r="E197" i="9" s="1"/>
  <c r="AC196" i="9"/>
  <c r="AD196" i="9" s="1"/>
  <c r="AE196" i="9" s="1"/>
  <c r="AF196" i="9" s="1"/>
  <c r="B196" i="9" s="1"/>
  <c r="J196" i="9"/>
  <c r="K196" i="9" s="1"/>
  <c r="L196" i="9" s="1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D196" i="9"/>
  <c r="E196" i="9" s="1"/>
  <c r="F196" i="9" s="1"/>
  <c r="G196" i="9" s="1"/>
  <c r="H196" i="9" s="1"/>
  <c r="I196" i="9" s="1"/>
  <c r="V195" i="9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B195" i="9" s="1"/>
  <c r="D195" i="9"/>
  <c r="E195" i="9" s="1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E194" i="9"/>
  <c r="D194" i="9"/>
  <c r="AG192" i="9"/>
  <c r="C192" i="9"/>
  <c r="D191" i="9"/>
  <c r="E191" i="9" s="1"/>
  <c r="F191" i="9" s="1"/>
  <c r="G191" i="9" s="1"/>
  <c r="H191" i="9" s="1"/>
  <c r="I191" i="9" s="1"/>
  <c r="J191" i="9" s="1"/>
  <c r="K191" i="9" s="1"/>
  <c r="L191" i="9" s="1"/>
  <c r="M191" i="9" s="1"/>
  <c r="N191" i="9" s="1"/>
  <c r="O191" i="9" s="1"/>
  <c r="P191" i="9" s="1"/>
  <c r="Q191" i="9" s="1"/>
  <c r="R191" i="9" s="1"/>
  <c r="S191" i="9" s="1"/>
  <c r="T191" i="9" s="1"/>
  <c r="U191" i="9" s="1"/>
  <c r="V191" i="9" s="1"/>
  <c r="W191" i="9" s="1"/>
  <c r="X191" i="9" s="1"/>
  <c r="Y191" i="9" s="1"/>
  <c r="Z191" i="9" s="1"/>
  <c r="AA191" i="9" s="1"/>
  <c r="AB191" i="9" s="1"/>
  <c r="AC191" i="9" s="1"/>
  <c r="AD191" i="9" s="1"/>
  <c r="AE191" i="9" s="1"/>
  <c r="AF191" i="9" s="1"/>
  <c r="B191" i="9" s="1"/>
  <c r="Z190" i="9"/>
  <c r="AA190" i="9" s="1"/>
  <c r="AB190" i="9" s="1"/>
  <c r="AC190" i="9" s="1"/>
  <c r="AD190" i="9" s="1"/>
  <c r="AE190" i="9" s="1"/>
  <c r="AF190" i="9" s="1"/>
  <c r="B190" i="9" s="1"/>
  <c r="F190" i="9"/>
  <c r="G190" i="9" s="1"/>
  <c r="H190" i="9" s="1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T190" i="9" s="1"/>
  <c r="U190" i="9" s="1"/>
  <c r="V190" i="9" s="1"/>
  <c r="W190" i="9" s="1"/>
  <c r="X190" i="9" s="1"/>
  <c r="Y190" i="9" s="1"/>
  <c r="E190" i="9"/>
  <c r="D190" i="9"/>
  <c r="E189" i="9"/>
  <c r="F189" i="9" s="1"/>
  <c r="G189" i="9" s="1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B189" i="9" s="1"/>
  <c r="D189" i="9"/>
  <c r="T188" i="9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B188" i="9" s="1"/>
  <c r="D188" i="9"/>
  <c r="E188" i="9" s="1"/>
  <c r="F188" i="9" s="1"/>
  <c r="G188" i="9" s="1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V187" i="9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B187" i="9" s="1"/>
  <c r="F187" i="9"/>
  <c r="G187" i="9" s="1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D187" i="9"/>
  <c r="E187" i="9" s="1"/>
  <c r="G186" i="9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B186" i="9" s="1"/>
  <c r="D186" i="9"/>
  <c r="E186" i="9" s="1"/>
  <c r="F186" i="9" s="1"/>
  <c r="D185" i="9"/>
  <c r="E185" i="9" s="1"/>
  <c r="F185" i="9" s="1"/>
  <c r="G185" i="9" s="1"/>
  <c r="H185" i="9" s="1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B185" i="9" s="1"/>
  <c r="E184" i="9"/>
  <c r="F184" i="9" s="1"/>
  <c r="G184" i="9" s="1"/>
  <c r="H184" i="9" s="1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B184" i="9" s="1"/>
  <c r="D184" i="9"/>
  <c r="I183" i="9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B183" i="9" s="1"/>
  <c r="D183" i="9"/>
  <c r="E183" i="9" s="1"/>
  <c r="F183" i="9" s="1"/>
  <c r="G183" i="9" s="1"/>
  <c r="H183" i="9" s="1"/>
  <c r="Z182" i="9"/>
  <c r="AA182" i="9" s="1"/>
  <c r="AB182" i="9" s="1"/>
  <c r="AC182" i="9" s="1"/>
  <c r="AD182" i="9" s="1"/>
  <c r="AE182" i="9" s="1"/>
  <c r="AF182" i="9" s="1"/>
  <c r="B182" i="9" s="1"/>
  <c r="J182" i="9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E182" i="9"/>
  <c r="F182" i="9" s="1"/>
  <c r="G182" i="9" s="1"/>
  <c r="H182" i="9" s="1"/>
  <c r="I182" i="9" s="1"/>
  <c r="D182" i="9"/>
  <c r="AD181" i="9"/>
  <c r="AE181" i="9" s="1"/>
  <c r="AF181" i="9" s="1"/>
  <c r="B181" i="9" s="1"/>
  <c r="D181" i="9"/>
  <c r="E181" i="9" s="1"/>
  <c r="F181" i="9" s="1"/>
  <c r="G181" i="9" s="1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P180" i="9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B180" i="9" s="1"/>
  <c r="D180" i="9"/>
  <c r="E180" i="9" s="1"/>
  <c r="F180" i="9" s="1"/>
  <c r="G180" i="9" s="1"/>
  <c r="H180" i="9" s="1"/>
  <c r="I180" i="9" s="1"/>
  <c r="J180" i="9" s="1"/>
  <c r="K180" i="9" s="1"/>
  <c r="L180" i="9" s="1"/>
  <c r="M180" i="9" s="1"/>
  <c r="N180" i="9" s="1"/>
  <c r="O180" i="9" s="1"/>
  <c r="D179" i="9"/>
  <c r="E179" i="9" s="1"/>
  <c r="F179" i="9" s="1"/>
  <c r="G179" i="9" s="1"/>
  <c r="H179" i="9" s="1"/>
  <c r="I179" i="9" s="1"/>
  <c r="J179" i="9" s="1"/>
  <c r="K179" i="9" s="1"/>
  <c r="L179" i="9" s="1"/>
  <c r="M179" i="9" s="1"/>
  <c r="N179" i="9" s="1"/>
  <c r="O179" i="9" s="1"/>
  <c r="P179" i="9" s="1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B179" i="9" s="1"/>
  <c r="N177" i="9"/>
  <c r="O177" i="9" s="1"/>
  <c r="P177" i="9" s="1"/>
  <c r="Q177" i="9" s="1"/>
  <c r="R177" i="9" s="1"/>
  <c r="S177" i="9" s="1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E177" i="9" s="1"/>
  <c r="AF177" i="9" s="1"/>
  <c r="B177" i="9" s="1"/>
  <c r="D177" i="9"/>
  <c r="E177" i="9" s="1"/>
  <c r="F177" i="9" s="1"/>
  <c r="G177" i="9" s="1"/>
  <c r="H177" i="9" s="1"/>
  <c r="I177" i="9" s="1"/>
  <c r="J177" i="9" s="1"/>
  <c r="K177" i="9" s="1"/>
  <c r="L177" i="9" s="1"/>
  <c r="M177" i="9" s="1"/>
  <c r="D176" i="9"/>
  <c r="E176" i="9" s="1"/>
  <c r="F176" i="9" s="1"/>
  <c r="G176" i="9" s="1"/>
  <c r="H176" i="9" s="1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B176" i="9" s="1"/>
  <c r="J175" i="9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B175" i="9" s="1"/>
  <c r="E175" i="9"/>
  <c r="F175" i="9" s="1"/>
  <c r="G175" i="9" s="1"/>
  <c r="H175" i="9" s="1"/>
  <c r="I175" i="9" s="1"/>
  <c r="D175" i="9"/>
  <c r="L174" i="9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B174" i="9" s="1"/>
  <c r="D174" i="9"/>
  <c r="E174" i="9" s="1"/>
  <c r="F174" i="9" s="1"/>
  <c r="G174" i="9" s="1"/>
  <c r="H174" i="9" s="1"/>
  <c r="I174" i="9" s="1"/>
  <c r="J174" i="9" s="1"/>
  <c r="K174" i="9" s="1"/>
  <c r="X173" i="9"/>
  <c r="Y173" i="9" s="1"/>
  <c r="Z173" i="9" s="1"/>
  <c r="AA173" i="9" s="1"/>
  <c r="AB173" i="9" s="1"/>
  <c r="AC173" i="9" s="1"/>
  <c r="AD173" i="9" s="1"/>
  <c r="AE173" i="9" s="1"/>
  <c r="AF173" i="9" s="1"/>
  <c r="B173" i="9" s="1"/>
  <c r="F173" i="9"/>
  <c r="G173" i="9" s="1"/>
  <c r="H173" i="9" s="1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D173" i="9"/>
  <c r="E173" i="9" s="1"/>
  <c r="D172" i="9"/>
  <c r="E172" i="9" s="1"/>
  <c r="F172" i="9" s="1"/>
  <c r="G172" i="9" s="1"/>
  <c r="H172" i="9" s="1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B172" i="9" s="1"/>
  <c r="K171" i="9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B171" i="9" s="1"/>
  <c r="D171" i="9"/>
  <c r="E171" i="9" s="1"/>
  <c r="F171" i="9" s="1"/>
  <c r="G171" i="9" s="1"/>
  <c r="H171" i="9" s="1"/>
  <c r="I171" i="9" s="1"/>
  <c r="J171" i="9" s="1"/>
  <c r="Z170" i="9"/>
  <c r="AA170" i="9" s="1"/>
  <c r="AB170" i="9" s="1"/>
  <c r="AC170" i="9" s="1"/>
  <c r="AD170" i="9" s="1"/>
  <c r="AE170" i="9" s="1"/>
  <c r="AF170" i="9" s="1"/>
  <c r="B170" i="9" s="1"/>
  <c r="H170" i="9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D170" i="9"/>
  <c r="E170" i="9" s="1"/>
  <c r="F170" i="9" s="1"/>
  <c r="G170" i="9" s="1"/>
  <c r="G168" i="9"/>
  <c r="H168" i="9" s="1"/>
  <c r="I168" i="9" s="1"/>
  <c r="J168" i="9" s="1"/>
  <c r="K168" i="9" s="1"/>
  <c r="L168" i="9" s="1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B168" i="9" s="1"/>
  <c r="D168" i="9"/>
  <c r="E168" i="9" s="1"/>
  <c r="F168" i="9" s="1"/>
  <c r="F167" i="9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B167" i="9" s="1"/>
  <c r="E167" i="9"/>
  <c r="D167" i="9"/>
  <c r="F166" i="9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B166" i="9" s="1"/>
  <c r="D166" i="9"/>
  <c r="E166" i="9" s="1"/>
  <c r="D165" i="9"/>
  <c r="E165" i="9" s="1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B165" i="9" s="1"/>
  <c r="G164" i="9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B164" i="9" s="1"/>
  <c r="D164" i="9"/>
  <c r="E164" i="9" s="1"/>
  <c r="F164" i="9" s="1"/>
  <c r="D163" i="9"/>
  <c r="E163" i="9" s="1"/>
  <c r="F163" i="9" s="1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B163" i="9" s="1"/>
  <c r="E162" i="9"/>
  <c r="F162" i="9" s="1"/>
  <c r="G162" i="9" s="1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B162" i="9" s="1"/>
  <c r="D162" i="9"/>
  <c r="D161" i="9"/>
  <c r="E161" i="9" s="1"/>
  <c r="F161" i="9" s="1"/>
  <c r="G161" i="9" s="1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B161" i="9" s="1"/>
  <c r="D160" i="9"/>
  <c r="E160" i="9" s="1"/>
  <c r="F160" i="9" s="1"/>
  <c r="G160" i="9" s="1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B160" i="9" s="1"/>
  <c r="J159" i="9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B159" i="9" s="1"/>
  <c r="F159" i="9"/>
  <c r="G159" i="9" s="1"/>
  <c r="H159" i="9" s="1"/>
  <c r="I159" i="9" s="1"/>
  <c r="E159" i="9"/>
  <c r="D159" i="9"/>
  <c r="D158" i="9"/>
  <c r="E158" i="9" s="1"/>
  <c r="F158" i="9" s="1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B158" i="9" s="1"/>
  <c r="F157" i="9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B157" i="9" s="1"/>
  <c r="D157" i="9"/>
  <c r="E157" i="9" s="1"/>
  <c r="L156" i="9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B156" i="9" s="1"/>
  <c r="D156" i="9"/>
  <c r="E156" i="9" s="1"/>
  <c r="F156" i="9" s="1"/>
  <c r="G156" i="9" s="1"/>
  <c r="H156" i="9" s="1"/>
  <c r="I156" i="9" s="1"/>
  <c r="J156" i="9" s="1"/>
  <c r="K156" i="9" s="1"/>
  <c r="F154" i="9"/>
  <c r="G154" i="9" s="1"/>
  <c r="H154" i="9" s="1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 s="1"/>
  <c r="B154" i="9" s="1"/>
  <c r="E154" i="9"/>
  <c r="D154" i="9"/>
  <c r="N153" i="9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B153" i="9" s="1"/>
  <c r="K153" i="9"/>
  <c r="L153" i="9" s="1"/>
  <c r="M153" i="9" s="1"/>
  <c r="F153" i="9"/>
  <c r="G153" i="9" s="1"/>
  <c r="H153" i="9" s="1"/>
  <c r="I153" i="9" s="1"/>
  <c r="J153" i="9" s="1"/>
  <c r="D153" i="9"/>
  <c r="E153" i="9" s="1"/>
  <c r="I152" i="9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B152" i="9" s="1"/>
  <c r="D152" i="9"/>
  <c r="E152" i="9" s="1"/>
  <c r="F152" i="9" s="1"/>
  <c r="G152" i="9" s="1"/>
  <c r="H152" i="9" s="1"/>
  <c r="J151" i="9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B151" i="9" s="1"/>
  <c r="G151" i="9"/>
  <c r="H151" i="9" s="1"/>
  <c r="I151" i="9" s="1"/>
  <c r="D151" i="9"/>
  <c r="E151" i="9" s="1"/>
  <c r="F151" i="9" s="1"/>
  <c r="I149" i="9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AF149" i="9" s="1"/>
  <c r="B149" i="9" s="1"/>
  <c r="F149" i="9"/>
  <c r="G149" i="9" s="1"/>
  <c r="H149" i="9" s="1"/>
  <c r="E149" i="9"/>
  <c r="D149" i="9"/>
  <c r="L148" i="9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B148" i="9" s="1"/>
  <c r="F148" i="9"/>
  <c r="G148" i="9" s="1"/>
  <c r="H148" i="9" s="1"/>
  <c r="I148" i="9" s="1"/>
  <c r="J148" i="9" s="1"/>
  <c r="K148" i="9" s="1"/>
  <c r="D148" i="9"/>
  <c r="E148" i="9" s="1"/>
  <c r="E146" i="9"/>
  <c r="F146" i="9" s="1"/>
  <c r="G146" i="9" s="1"/>
  <c r="H146" i="9" s="1"/>
  <c r="I146" i="9" s="1"/>
  <c r="J146" i="9" s="1"/>
  <c r="K146" i="9" s="1"/>
  <c r="L146" i="9" s="1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 s="1"/>
  <c r="B146" i="9" s="1"/>
  <c r="D146" i="9"/>
  <c r="E145" i="9"/>
  <c r="F145" i="9" s="1"/>
  <c r="G145" i="9" s="1"/>
  <c r="H145" i="9" s="1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B145" i="9" s="1"/>
  <c r="D145" i="9"/>
  <c r="F144" i="9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E144" i="9" s="1"/>
  <c r="AF144" i="9" s="1"/>
  <c r="B144" i="9" s="1"/>
  <c r="E144" i="9"/>
  <c r="D144" i="9"/>
  <c r="N143" i="9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B143" i="9" s="1"/>
  <c r="F143" i="9"/>
  <c r="G143" i="9" s="1"/>
  <c r="H143" i="9" s="1"/>
  <c r="I143" i="9" s="1"/>
  <c r="J143" i="9" s="1"/>
  <c r="K143" i="9" s="1"/>
  <c r="L143" i="9" s="1"/>
  <c r="M143" i="9" s="1"/>
  <c r="D143" i="9"/>
  <c r="E143" i="9" s="1"/>
  <c r="V142" i="9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B142" i="9" s="1"/>
  <c r="D142" i="9"/>
  <c r="E142" i="9" s="1"/>
  <c r="F142" i="9" s="1"/>
  <c r="G142" i="9" s="1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U142" i="9" s="1"/>
  <c r="M141" i="9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B141" i="9" s="1"/>
  <c r="K141" i="9"/>
  <c r="L141" i="9" s="1"/>
  <c r="D141" i="9"/>
  <c r="E141" i="9" s="1"/>
  <c r="F141" i="9" s="1"/>
  <c r="G141" i="9" s="1"/>
  <c r="H141" i="9" s="1"/>
  <c r="I141" i="9" s="1"/>
  <c r="J141" i="9" s="1"/>
  <c r="D140" i="9"/>
  <c r="E140" i="9" s="1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B140" i="9" s="1"/>
  <c r="D138" i="9"/>
  <c r="E138" i="9" s="1"/>
  <c r="F138" i="9" s="1"/>
  <c r="G138" i="9" s="1"/>
  <c r="H138" i="9" s="1"/>
  <c r="I138" i="9" s="1"/>
  <c r="J138" i="9" s="1"/>
  <c r="K138" i="9" s="1"/>
  <c r="L138" i="9" s="1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X138" i="9" s="1"/>
  <c r="Y138" i="9" s="1"/>
  <c r="Z138" i="9" s="1"/>
  <c r="AA138" i="9" s="1"/>
  <c r="AB138" i="9" s="1"/>
  <c r="AC138" i="9" s="1"/>
  <c r="AD138" i="9" s="1"/>
  <c r="AE138" i="9" s="1"/>
  <c r="AF138" i="9" s="1"/>
  <c r="B138" i="9" s="1"/>
  <c r="AD137" i="9"/>
  <c r="AE137" i="9" s="1"/>
  <c r="AF137" i="9" s="1"/>
  <c r="B137" i="9" s="1"/>
  <c r="I137" i="9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E137" i="9"/>
  <c r="F137" i="9" s="1"/>
  <c r="G137" i="9" s="1"/>
  <c r="H137" i="9" s="1"/>
  <c r="D137" i="9"/>
  <c r="I136" i="9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B136" i="9" s="1"/>
  <c r="E136" i="9"/>
  <c r="F136" i="9" s="1"/>
  <c r="G136" i="9" s="1"/>
  <c r="H136" i="9" s="1"/>
  <c r="D136" i="9"/>
  <c r="E135" i="9"/>
  <c r="F135" i="9" s="1"/>
  <c r="G135" i="9" s="1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B135" i="9" s="1"/>
  <c r="D135" i="9"/>
  <c r="E134" i="9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B134" i="9" s="1"/>
  <c r="D134" i="9"/>
  <c r="J133" i="9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B133" i="9" s="1"/>
  <c r="I133" i="9"/>
  <c r="G133" i="9"/>
  <c r="H133" i="9" s="1"/>
  <c r="E133" i="9"/>
  <c r="F133" i="9" s="1"/>
  <c r="D133" i="9"/>
  <c r="O132" i="9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B132" i="9" s="1"/>
  <c r="G132" i="9"/>
  <c r="H132" i="9" s="1"/>
  <c r="I132" i="9" s="1"/>
  <c r="J132" i="9" s="1"/>
  <c r="K132" i="9" s="1"/>
  <c r="L132" i="9" s="1"/>
  <c r="M132" i="9" s="1"/>
  <c r="N132" i="9" s="1"/>
  <c r="E132" i="9"/>
  <c r="F132" i="9" s="1"/>
  <c r="D132" i="9"/>
  <c r="I131" i="9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B131" i="9" s="1"/>
  <c r="G131" i="9"/>
  <c r="H131" i="9" s="1"/>
  <c r="F131" i="9"/>
  <c r="E131" i="9"/>
  <c r="D131" i="9"/>
  <c r="H129" i="9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B129" i="9" s="1"/>
  <c r="G129" i="9"/>
  <c r="E129" i="9"/>
  <c r="F129" i="9" s="1"/>
  <c r="D129" i="9"/>
  <c r="E128" i="9"/>
  <c r="F128" i="9" s="1"/>
  <c r="G128" i="9" s="1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B128" i="9" s="1"/>
  <c r="D128" i="9"/>
  <c r="Y127" i="9"/>
  <c r="Z127" i="9" s="1"/>
  <c r="AA127" i="9" s="1"/>
  <c r="AB127" i="9" s="1"/>
  <c r="AC127" i="9" s="1"/>
  <c r="AD127" i="9" s="1"/>
  <c r="AE127" i="9" s="1"/>
  <c r="AF127" i="9" s="1"/>
  <c r="B127" i="9" s="1"/>
  <c r="D127" i="9"/>
  <c r="E127" i="9" s="1"/>
  <c r="F127" i="9" s="1"/>
  <c r="G127" i="9" s="1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F126" i="9"/>
  <c r="G126" i="9" s="1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B126" i="9" s="1"/>
  <c r="E126" i="9"/>
  <c r="D126" i="9"/>
  <c r="G125" i="9"/>
  <c r="H125" i="9" s="1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B125" i="9" s="1"/>
  <c r="D125" i="9"/>
  <c r="E125" i="9" s="1"/>
  <c r="F125" i="9" s="1"/>
  <c r="T124" i="9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B124" i="9" s="1"/>
  <c r="D124" i="9"/>
  <c r="E124" i="9" s="1"/>
  <c r="F124" i="9" s="1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E123" i="9"/>
  <c r="F123" i="9" s="1"/>
  <c r="G123" i="9" s="1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B123" i="9" s="1"/>
  <c r="D123" i="9"/>
  <c r="Q122" i="9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B122" i="9" s="1"/>
  <c r="G122" i="9"/>
  <c r="H122" i="9" s="1"/>
  <c r="I122" i="9" s="1"/>
  <c r="J122" i="9" s="1"/>
  <c r="K122" i="9" s="1"/>
  <c r="L122" i="9" s="1"/>
  <c r="M122" i="9" s="1"/>
  <c r="N122" i="9" s="1"/>
  <c r="O122" i="9" s="1"/>
  <c r="P122" i="9" s="1"/>
  <c r="E122" i="9"/>
  <c r="F122" i="9" s="1"/>
  <c r="D122" i="9"/>
  <c r="E121" i="9"/>
  <c r="F121" i="9" s="1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B121" i="9" s="1"/>
  <c r="D121" i="9"/>
  <c r="D120" i="9"/>
  <c r="E120" i="9" s="1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B120" i="9" s="1"/>
  <c r="E119" i="9"/>
  <c r="F119" i="9" s="1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B119" i="9" s="1"/>
  <c r="D119" i="9"/>
  <c r="F118" i="9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B118" i="9" s="1"/>
  <c r="E118" i="9"/>
  <c r="D118" i="9"/>
  <c r="E117" i="9"/>
  <c r="F117" i="9" s="1"/>
  <c r="G117" i="9" s="1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B117" i="9" s="1"/>
  <c r="D117" i="9"/>
  <c r="E116" i="9"/>
  <c r="F116" i="9" s="1"/>
  <c r="G116" i="9" s="1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B116" i="9" s="1"/>
  <c r="D116" i="9"/>
  <c r="E115" i="9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B115" i="9" s="1"/>
  <c r="D115" i="9"/>
  <c r="V114" i="9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B114" i="9" s="1"/>
  <c r="M114" i="9"/>
  <c r="N114" i="9" s="1"/>
  <c r="O114" i="9" s="1"/>
  <c r="P114" i="9" s="1"/>
  <c r="Q114" i="9" s="1"/>
  <c r="R114" i="9" s="1"/>
  <c r="S114" i="9" s="1"/>
  <c r="T114" i="9" s="1"/>
  <c r="U114" i="9" s="1"/>
  <c r="K114" i="9"/>
  <c r="L114" i="9" s="1"/>
  <c r="E114" i="9"/>
  <c r="F114" i="9" s="1"/>
  <c r="G114" i="9" s="1"/>
  <c r="H114" i="9" s="1"/>
  <c r="I114" i="9" s="1"/>
  <c r="D114" i="9"/>
  <c r="E113" i="9"/>
  <c r="F113" i="9" s="1"/>
  <c r="G113" i="9" s="1"/>
  <c r="H113" i="9" s="1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B113" i="9" s="1"/>
  <c r="D113" i="9"/>
  <c r="H112" i="9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B112" i="9" s="1"/>
  <c r="F112" i="9"/>
  <c r="G112" i="9" s="1"/>
  <c r="E112" i="9"/>
  <c r="D112" i="9"/>
  <c r="F110" i="9"/>
  <c r="G110" i="9" s="1"/>
  <c r="H110" i="9" s="1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 s="1"/>
  <c r="B110" i="9" s="1"/>
  <c r="D110" i="9"/>
  <c r="E110" i="9" s="1"/>
  <c r="G109" i="9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B109" i="9" s="1"/>
  <c r="F109" i="9"/>
  <c r="E109" i="9"/>
  <c r="D109" i="9"/>
  <c r="E107" i="9"/>
  <c r="F107" i="9" s="1"/>
  <c r="G107" i="9" s="1"/>
  <c r="H107" i="9" s="1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B107" i="9" s="1"/>
  <c r="D107" i="9"/>
  <c r="E106" i="9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B106" i="9" s="1"/>
  <c r="D106" i="9"/>
  <c r="Q105" i="9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B105" i="9" s="1"/>
  <c r="I105" i="9"/>
  <c r="J105" i="9" s="1"/>
  <c r="K105" i="9" s="1"/>
  <c r="L105" i="9" s="1"/>
  <c r="M105" i="9" s="1"/>
  <c r="N105" i="9" s="1"/>
  <c r="O105" i="9" s="1"/>
  <c r="P105" i="9" s="1"/>
  <c r="E105" i="9"/>
  <c r="F105" i="9" s="1"/>
  <c r="G105" i="9" s="1"/>
  <c r="H105" i="9" s="1"/>
  <c r="D105" i="9"/>
  <c r="G104" i="9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B104" i="9" s="1"/>
  <c r="F104" i="9"/>
  <c r="E104" i="9"/>
  <c r="D104" i="9"/>
  <c r="E103" i="9"/>
  <c r="F103" i="9" s="1"/>
  <c r="D103" i="9"/>
  <c r="E102" i="9"/>
  <c r="D102" i="9"/>
  <c r="AH98" i="9"/>
  <c r="AI98" i="9" s="1"/>
  <c r="AH97" i="9"/>
  <c r="AI97" i="9" s="1"/>
  <c r="AH96" i="9"/>
  <c r="AI96" i="9" s="1"/>
  <c r="AH95" i="9"/>
  <c r="AI95" i="9" s="1"/>
  <c r="AH94" i="9"/>
  <c r="AI94" i="9" s="1"/>
  <c r="D93" i="9"/>
  <c r="C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G82" i="9"/>
  <c r="AI81" i="9"/>
  <c r="AH81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F77" i="9"/>
  <c r="AE77" i="9"/>
  <c r="AD77" i="9"/>
  <c r="AC77" i="9"/>
  <c r="AB77" i="9"/>
  <c r="AA77" i="9"/>
  <c r="Z77" i="9"/>
  <c r="Y77" i="9"/>
  <c r="Y82" i="9" s="1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F76" i="9"/>
  <c r="AF82" i="9" s="1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I74" i="9"/>
  <c r="AH74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I71" i="9"/>
  <c r="AH71" i="9"/>
  <c r="AI70" i="9"/>
  <c r="AH70" i="9"/>
  <c r="AI69" i="9"/>
  <c r="AH69" i="9"/>
  <c r="AG68" i="9"/>
  <c r="AF68" i="9"/>
  <c r="AE68" i="9"/>
  <c r="AD68" i="9"/>
  <c r="AC68" i="9"/>
  <c r="AB5" i="9" s="1"/>
  <c r="AB68" i="9"/>
  <c r="AA5" i="9" s="1"/>
  <c r="AA68" i="9"/>
  <c r="Z5" i="9" s="1"/>
  <c r="Z68" i="9"/>
  <c r="Y68" i="9"/>
  <c r="X5" i="9" s="1"/>
  <c r="X68" i="9"/>
  <c r="W68" i="9"/>
  <c r="V68" i="9"/>
  <c r="U5" i="9" s="1"/>
  <c r="U68" i="9"/>
  <c r="T5" i="9" s="1"/>
  <c r="T68" i="9"/>
  <c r="S5" i="9" s="1"/>
  <c r="S68" i="9"/>
  <c r="R68" i="9"/>
  <c r="Q68" i="9"/>
  <c r="P5" i="9" s="1"/>
  <c r="P68" i="9"/>
  <c r="O5" i="9" s="1"/>
  <c r="O68" i="9"/>
  <c r="N5" i="9" s="1"/>
  <c r="N68" i="9"/>
  <c r="M5" i="9" s="1"/>
  <c r="M68" i="9"/>
  <c r="L5" i="9" s="1"/>
  <c r="L68" i="9"/>
  <c r="K5" i="9" s="1"/>
  <c r="K68" i="9"/>
  <c r="J5" i="9" s="1"/>
  <c r="J68" i="9"/>
  <c r="I68" i="9"/>
  <c r="H5" i="9" s="1"/>
  <c r="H68" i="9"/>
  <c r="G5" i="9" s="1"/>
  <c r="G68" i="9"/>
  <c r="F5" i="9" s="1"/>
  <c r="F68" i="9"/>
  <c r="E68" i="9"/>
  <c r="D68" i="9"/>
  <c r="C5" i="9" s="1"/>
  <c r="C68" i="9"/>
  <c r="B68" i="9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I55" i="9"/>
  <c r="AH55" i="9"/>
  <c r="AI54" i="9"/>
  <c r="AH54" i="9"/>
  <c r="AI53" i="9"/>
  <c r="AH53" i="9"/>
  <c r="Z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G51" i="9"/>
  <c r="AG52" i="9" s="1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F38" i="9"/>
  <c r="AE38" i="9"/>
  <c r="AD38" i="9"/>
  <c r="AC38" i="9"/>
  <c r="AB38" i="9"/>
  <c r="AA38" i="9"/>
  <c r="Z38" i="9"/>
  <c r="Z73" i="9" s="1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F75" i="9" s="1"/>
  <c r="X214" i="9" s="1"/>
  <c r="E38" i="9"/>
  <c r="D38" i="9"/>
  <c r="C38" i="9"/>
  <c r="C73" i="9" s="1"/>
  <c r="C75" i="9" s="1"/>
  <c r="B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F5" i="9"/>
  <c r="AE5" i="9"/>
  <c r="AD5" i="9"/>
  <c r="AC5" i="9"/>
  <c r="Y5" i="9"/>
  <c r="W5" i="9"/>
  <c r="V5" i="9"/>
  <c r="R5" i="9"/>
  <c r="Q5" i="9"/>
  <c r="I5" i="9"/>
  <c r="E5" i="9"/>
  <c r="D5" i="9"/>
  <c r="B5" i="9"/>
  <c r="AG4" i="9"/>
  <c r="K4" i="9"/>
  <c r="B4" i="9"/>
  <c r="AG2" i="9"/>
  <c r="AA95" i="8"/>
  <c r="Y95" i="8"/>
  <c r="X95" i="8"/>
  <c r="W95" i="8"/>
  <c r="T95" i="8"/>
  <c r="T37" i="8"/>
  <c r="S95" i="8"/>
  <c r="S37" i="8"/>
  <c r="E4" i="9"/>
  <c r="E4" i="10"/>
  <c r="AE82" i="9" l="1"/>
  <c r="AC82" i="9"/>
  <c r="Z82" i="9"/>
  <c r="Z75" i="9"/>
  <c r="X82" i="9"/>
  <c r="W82" i="9"/>
  <c r="U82" i="9"/>
  <c r="T75" i="9"/>
  <c r="S73" i="9"/>
  <c r="S75" i="9"/>
  <c r="R82" i="9"/>
  <c r="R73" i="9"/>
  <c r="R75" i="9"/>
  <c r="Q82" i="9"/>
  <c r="Q75" i="9"/>
  <c r="Q73" i="9"/>
  <c r="P82" i="9"/>
  <c r="P75" i="9"/>
  <c r="O82" i="9"/>
  <c r="O75" i="9"/>
  <c r="AG214" i="9" s="1"/>
  <c r="P73" i="9"/>
  <c r="O73" i="9"/>
  <c r="AJ214" i="10"/>
  <c r="V214" i="10"/>
  <c r="D7" i="10"/>
  <c r="AI38" i="10"/>
  <c r="AA214" i="10"/>
  <c r="AI214" i="10"/>
  <c r="H4" i="10"/>
  <c r="U214" i="10"/>
  <c r="C7" i="10"/>
  <c r="AI76" i="10"/>
  <c r="AH79" i="10"/>
  <c r="E109" i="10"/>
  <c r="AK214" i="10"/>
  <c r="S7" i="10"/>
  <c r="T7" i="10"/>
  <c r="AI72" i="10"/>
  <c r="AC214" i="10"/>
  <c r="K7" i="10"/>
  <c r="AG73" i="10"/>
  <c r="AG83" i="10" s="1"/>
  <c r="AH72" i="10"/>
  <c r="AF5" i="10"/>
  <c r="I5" i="10"/>
  <c r="Q5" i="10"/>
  <c r="Y5" i="10"/>
  <c r="AI80" i="10"/>
  <c r="I103" i="10"/>
  <c r="AI58" i="10"/>
  <c r="AI77" i="10"/>
  <c r="AH58" i="10"/>
  <c r="AI68" i="10"/>
  <c r="AH76" i="10"/>
  <c r="L7" i="10"/>
  <c r="AI37" i="10"/>
  <c r="AI56" i="10"/>
  <c r="AI79" i="10"/>
  <c r="AH78" i="10"/>
  <c r="E194" i="10"/>
  <c r="D200" i="10"/>
  <c r="AH38" i="10"/>
  <c r="AH56" i="10"/>
  <c r="C5" i="10"/>
  <c r="K5" i="10"/>
  <c r="S5" i="10"/>
  <c r="AA5" i="10"/>
  <c r="AH80" i="10"/>
  <c r="D192" i="10"/>
  <c r="E102" i="10"/>
  <c r="D211" i="10"/>
  <c r="S211" i="10"/>
  <c r="F199" i="10"/>
  <c r="N75" i="9"/>
  <c r="AF214" i="9" s="1"/>
  <c r="N73" i="9"/>
  <c r="M82" i="9"/>
  <c r="M73" i="9"/>
  <c r="L82" i="9"/>
  <c r="K73" i="9"/>
  <c r="K75" i="9"/>
  <c r="J82" i="9"/>
  <c r="J73" i="9"/>
  <c r="J75" i="9"/>
  <c r="J7" i="9" s="1"/>
  <c r="I82" i="9"/>
  <c r="I75" i="9"/>
  <c r="I73" i="9"/>
  <c r="H82" i="9"/>
  <c r="H75" i="9"/>
  <c r="H73" i="9"/>
  <c r="G82" i="9"/>
  <c r="G75" i="9"/>
  <c r="G7" i="9" s="1"/>
  <c r="G73" i="9"/>
  <c r="G83" i="9" s="1"/>
  <c r="F73" i="9"/>
  <c r="E82" i="9"/>
  <c r="AH38" i="9"/>
  <c r="E73" i="9"/>
  <c r="AH77" i="9"/>
  <c r="D82" i="9"/>
  <c r="AI68" i="9"/>
  <c r="AI56" i="9"/>
  <c r="B82" i="9"/>
  <c r="AI38" i="9"/>
  <c r="H4" i="9"/>
  <c r="AJ214" i="9"/>
  <c r="R7" i="9"/>
  <c r="AA214" i="9"/>
  <c r="I7" i="9"/>
  <c r="AI214" i="9"/>
  <c r="Q7" i="9"/>
  <c r="AG73" i="9"/>
  <c r="AC214" i="9"/>
  <c r="K7" i="9"/>
  <c r="AK214" i="9"/>
  <c r="S7" i="9"/>
  <c r="AB214" i="9"/>
  <c r="AG3" i="9"/>
  <c r="AG6" i="9" s="1"/>
  <c r="AG75" i="9"/>
  <c r="AL214" i="9"/>
  <c r="T7" i="9"/>
  <c r="Z214" i="9"/>
  <c r="H7" i="9"/>
  <c r="AR214" i="9"/>
  <c r="Z7" i="9"/>
  <c r="U214" i="9"/>
  <c r="C7" i="9"/>
  <c r="AH214" i="9"/>
  <c r="P7" i="9"/>
  <c r="O83" i="9"/>
  <c r="S211" i="9"/>
  <c r="D211" i="9"/>
  <c r="D73" i="9"/>
  <c r="L73" i="9"/>
  <c r="T73" i="9"/>
  <c r="F82" i="9"/>
  <c r="F83" i="9" s="1"/>
  <c r="N82" i="9"/>
  <c r="V82" i="9"/>
  <c r="AD82" i="9"/>
  <c r="G103" i="9"/>
  <c r="F7" i="9"/>
  <c r="O7" i="9"/>
  <c r="I83" i="9"/>
  <c r="Q83" i="9"/>
  <c r="AG83" i="9"/>
  <c r="AH76" i="9"/>
  <c r="AI80" i="9"/>
  <c r="AH56" i="9"/>
  <c r="AH68" i="9"/>
  <c r="R83" i="9"/>
  <c r="Z83" i="9"/>
  <c r="AH72" i="9"/>
  <c r="D75" i="9"/>
  <c r="L75" i="9"/>
  <c r="L83" i="9" s="1"/>
  <c r="AI76" i="9"/>
  <c r="AI79" i="9"/>
  <c r="AI72" i="9"/>
  <c r="E75" i="9"/>
  <c r="M75" i="9"/>
  <c r="C82" i="9"/>
  <c r="K82" i="9"/>
  <c r="K83" i="9" s="1"/>
  <c r="S82" i="9"/>
  <c r="S83" i="9" s="1"/>
  <c r="AA82" i="9"/>
  <c r="AI77" i="9"/>
  <c r="AI78" i="9"/>
  <c r="AH78" i="9"/>
  <c r="T82" i="9"/>
  <c r="AB82" i="9"/>
  <c r="D192" i="9"/>
  <c r="E192" i="9"/>
  <c r="F102" i="9"/>
  <c r="AH79" i="9"/>
  <c r="AH80" i="9"/>
  <c r="E199" i="9"/>
  <c r="C235" i="9"/>
  <c r="D200" i="9"/>
  <c r="E200" i="9"/>
  <c r="F194" i="9"/>
  <c r="T83" i="9" l="1"/>
  <c r="P83" i="9"/>
  <c r="I7" i="10"/>
  <c r="AH68" i="10"/>
  <c r="R7" i="10"/>
  <c r="Q7" i="10"/>
  <c r="E235" i="10"/>
  <c r="G199" i="10"/>
  <c r="AG214" i="10"/>
  <c r="O7" i="10"/>
  <c r="J103" i="10"/>
  <c r="T214" i="10"/>
  <c r="B7" i="10"/>
  <c r="AF214" i="10"/>
  <c r="N7" i="10"/>
  <c r="E5" i="10"/>
  <c r="AR214" i="10"/>
  <c r="Z7" i="10"/>
  <c r="F109" i="10"/>
  <c r="AE214" i="10"/>
  <c r="M7" i="10"/>
  <c r="D5" i="10"/>
  <c r="E192" i="10"/>
  <c r="F102" i="10"/>
  <c r="W214" i="10"/>
  <c r="E7" i="10"/>
  <c r="AB214" i="10"/>
  <c r="J7" i="10"/>
  <c r="AH214" i="10"/>
  <c r="P7" i="10"/>
  <c r="AI82" i="10"/>
  <c r="AH77" i="10"/>
  <c r="Z214" i="10"/>
  <c r="H7" i="10"/>
  <c r="Y214" i="10"/>
  <c r="C209" i="10"/>
  <c r="B209" i="10"/>
  <c r="G7" i="10"/>
  <c r="E200" i="10"/>
  <c r="F194" i="10"/>
  <c r="N7" i="9"/>
  <c r="H83" i="9"/>
  <c r="Y214" i="9"/>
  <c r="J83" i="9"/>
  <c r="C209" i="9"/>
  <c r="D83" i="9"/>
  <c r="AH82" i="9"/>
  <c r="AI82" i="9"/>
  <c r="AE214" i="9"/>
  <c r="M7" i="9"/>
  <c r="M83" i="9"/>
  <c r="W214" i="9"/>
  <c r="E7" i="9"/>
  <c r="H103" i="9"/>
  <c r="AD214" i="9"/>
  <c r="L7" i="9"/>
  <c r="F192" i="9"/>
  <c r="G102" i="9"/>
  <c r="V214" i="9"/>
  <c r="D7" i="9"/>
  <c r="B209" i="9"/>
  <c r="K6" i="9" s="1"/>
  <c r="N83" i="9"/>
  <c r="F199" i="9"/>
  <c r="F200" i="9" s="1"/>
  <c r="D235" i="9"/>
  <c r="E93" i="9"/>
  <c r="C83" i="9"/>
  <c r="G194" i="9"/>
  <c r="E83" i="9"/>
  <c r="K6" i="10" l="1"/>
  <c r="F235" i="10"/>
  <c r="H199" i="10"/>
  <c r="G109" i="10"/>
  <c r="AH82" i="10"/>
  <c r="G194" i="10"/>
  <c r="F200" i="10"/>
  <c r="X214" i="10"/>
  <c r="F7" i="10"/>
  <c r="K103" i="10"/>
  <c r="F192" i="10"/>
  <c r="G102" i="10"/>
  <c r="G199" i="9"/>
  <c r="E235" i="9"/>
  <c r="F93" i="9"/>
  <c r="I103" i="9"/>
  <c r="G200" i="9"/>
  <c r="H194" i="9"/>
  <c r="G192" i="9"/>
  <c r="H102" i="9"/>
  <c r="L103" i="10" l="1"/>
  <c r="H109" i="10"/>
  <c r="H194" i="10"/>
  <c r="G200" i="10"/>
  <c r="G235" i="10"/>
  <c r="I199" i="10"/>
  <c r="G192" i="10"/>
  <c r="H102" i="10"/>
  <c r="J103" i="9"/>
  <c r="H200" i="9"/>
  <c r="I194" i="9"/>
  <c r="H192" i="9"/>
  <c r="I102" i="9"/>
  <c r="F235" i="9"/>
  <c r="H199" i="9"/>
  <c r="G93" i="9"/>
  <c r="H235" i="10" l="1"/>
  <c r="J199" i="10"/>
  <c r="I109" i="10"/>
  <c r="M103" i="10"/>
  <c r="H200" i="10"/>
  <c r="I194" i="10"/>
  <c r="H192" i="10"/>
  <c r="I102" i="10"/>
  <c r="I192" i="9"/>
  <c r="J102" i="9"/>
  <c r="J194" i="9"/>
  <c r="I199" i="9"/>
  <c r="I200" i="9" s="1"/>
  <c r="G235" i="9"/>
  <c r="H93" i="9"/>
  <c r="K103" i="9"/>
  <c r="M58" i="8"/>
  <c r="L37" i="8"/>
  <c r="K58" i="8"/>
  <c r="K37" i="8"/>
  <c r="J37" i="8"/>
  <c r="I37" i="8"/>
  <c r="H37" i="8"/>
  <c r="G37" i="8"/>
  <c r="F37" i="8"/>
  <c r="E58" i="8"/>
  <c r="E37" i="8"/>
  <c r="D58" i="8"/>
  <c r="D95" i="8"/>
  <c r="D37" i="8"/>
  <c r="AH100" i="8"/>
  <c r="AI100" i="8" s="1"/>
  <c r="AH99" i="8"/>
  <c r="AI99" i="8" s="1"/>
  <c r="C95" i="8"/>
  <c r="C58" i="8"/>
  <c r="C37" i="8"/>
  <c r="B95" i="8"/>
  <c r="B58" i="8"/>
  <c r="B37" i="8"/>
  <c r="B93" i="8"/>
  <c r="B80" i="8"/>
  <c r="B79" i="8"/>
  <c r="B78" i="8"/>
  <c r="B77" i="8"/>
  <c r="B76" i="8"/>
  <c r="B72" i="8"/>
  <c r="B68" i="8"/>
  <c r="B56" i="8"/>
  <c r="B51" i="8"/>
  <c r="B52" i="8" s="1"/>
  <c r="B38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B239" i="8"/>
  <c r="A239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C235" i="8"/>
  <c r="B235" i="8"/>
  <c r="S210" i="8"/>
  <c r="AG200" i="8"/>
  <c r="C200" i="8"/>
  <c r="G199" i="8"/>
  <c r="F199" i="8"/>
  <c r="E235" i="8" s="1"/>
  <c r="E199" i="8"/>
  <c r="D235" i="8" s="1"/>
  <c r="D199" i="8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B198" i="8" s="1"/>
  <c r="D197" i="8"/>
  <c r="H196" i="8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B196" i="8" s="1"/>
  <c r="G196" i="8"/>
  <c r="E196" i="8"/>
  <c r="F196" i="8" s="1"/>
  <c r="D196" i="8"/>
  <c r="F195" i="8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B195" i="8" s="1"/>
  <c r="E195" i="8"/>
  <c r="D195" i="8"/>
  <c r="F194" i="8"/>
  <c r="E194" i="8"/>
  <c r="D194" i="8"/>
  <c r="AG192" i="8"/>
  <c r="C192" i="8"/>
  <c r="G191" i="8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B191" i="8" s="1"/>
  <c r="D191" i="8"/>
  <c r="E191" i="8" s="1"/>
  <c r="F191" i="8" s="1"/>
  <c r="E190" i="8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B190" i="8" s="1"/>
  <c r="D190" i="8"/>
  <c r="E189" i="8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B189" i="8" s="1"/>
  <c r="D189" i="8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B188" i="8" s="1"/>
  <c r="I187" i="8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B187" i="8" s="1"/>
  <c r="G187" i="8"/>
  <c r="H187" i="8" s="1"/>
  <c r="D187" i="8"/>
  <c r="E187" i="8" s="1"/>
  <c r="F187" i="8" s="1"/>
  <c r="M186" i="8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B186" i="8" s="1"/>
  <c r="E186" i="8"/>
  <c r="F186" i="8" s="1"/>
  <c r="G186" i="8" s="1"/>
  <c r="H186" i="8" s="1"/>
  <c r="I186" i="8" s="1"/>
  <c r="J186" i="8" s="1"/>
  <c r="K186" i="8" s="1"/>
  <c r="L186" i="8" s="1"/>
  <c r="D186" i="8"/>
  <c r="F185" i="8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B185" i="8" s="1"/>
  <c r="E185" i="8"/>
  <c r="D185" i="8"/>
  <c r="AC184" i="8"/>
  <c r="AD184" i="8" s="1"/>
  <c r="AE184" i="8" s="1"/>
  <c r="AF184" i="8" s="1"/>
  <c r="B184" i="8" s="1"/>
  <c r="E184" i="8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D184" i="8"/>
  <c r="I183" i="8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B183" i="8" s="1"/>
  <c r="D183" i="8"/>
  <c r="E183" i="8" s="1"/>
  <c r="F183" i="8" s="1"/>
  <c r="G183" i="8" s="1"/>
  <c r="H183" i="8" s="1"/>
  <c r="E182" i="8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B182" i="8" s="1"/>
  <c r="D182" i="8"/>
  <c r="U181" i="8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B181" i="8" s="1"/>
  <c r="F181" i="8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E181" i="8"/>
  <c r="D181" i="8"/>
  <c r="T180" i="8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B180" i="8" s="1"/>
  <c r="E180" i="8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D180" i="8"/>
  <c r="T179" i="8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B179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G177" i="8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B177" i="8" s="1"/>
  <c r="D177" i="8"/>
  <c r="E177" i="8" s="1"/>
  <c r="F177" i="8" s="1"/>
  <c r="I176" i="8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B176" i="8" s="1"/>
  <c r="E176" i="8"/>
  <c r="F176" i="8" s="1"/>
  <c r="G176" i="8" s="1"/>
  <c r="H176" i="8" s="1"/>
  <c r="D176" i="8"/>
  <c r="M175" i="8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B175" i="8" s="1"/>
  <c r="H175" i="8"/>
  <c r="I175" i="8" s="1"/>
  <c r="J175" i="8" s="1"/>
  <c r="K175" i="8" s="1"/>
  <c r="L175" i="8" s="1"/>
  <c r="D175" i="8"/>
  <c r="E175" i="8" s="1"/>
  <c r="F175" i="8" s="1"/>
  <c r="G175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B174" i="8" s="1"/>
  <c r="U173" i="8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B173" i="8" s="1"/>
  <c r="E173" i="8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D173" i="8"/>
  <c r="H172" i="8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B172" i="8" s="1"/>
  <c r="F172" i="8"/>
  <c r="G172" i="8" s="1"/>
  <c r="E172" i="8"/>
  <c r="D172" i="8"/>
  <c r="E171" i="8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B171" i="8" s="1"/>
  <c r="D171" i="8"/>
  <c r="N170" i="8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B170" i="8" s="1"/>
  <c r="L170" i="8"/>
  <c r="M170" i="8" s="1"/>
  <c r="E170" i="8"/>
  <c r="F170" i="8" s="1"/>
  <c r="G170" i="8" s="1"/>
  <c r="H170" i="8" s="1"/>
  <c r="I170" i="8" s="1"/>
  <c r="J170" i="8" s="1"/>
  <c r="K170" i="8" s="1"/>
  <c r="D170" i="8"/>
  <c r="H168" i="8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B168" i="8" s="1"/>
  <c r="E168" i="8"/>
  <c r="F168" i="8" s="1"/>
  <c r="G168" i="8" s="1"/>
  <c r="D168" i="8"/>
  <c r="P167" i="8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B167" i="8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B166" i="8" s="1"/>
  <c r="R165" i="8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B165" i="8" s="1"/>
  <c r="Q165" i="8"/>
  <c r="H165" i="8"/>
  <c r="I165" i="8" s="1"/>
  <c r="J165" i="8" s="1"/>
  <c r="K165" i="8" s="1"/>
  <c r="L165" i="8" s="1"/>
  <c r="M165" i="8" s="1"/>
  <c r="N165" i="8" s="1"/>
  <c r="O165" i="8" s="1"/>
  <c r="P165" i="8" s="1"/>
  <c r="G165" i="8"/>
  <c r="E165" i="8"/>
  <c r="F165" i="8" s="1"/>
  <c r="D165" i="8"/>
  <c r="E164" i="8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B164" i="8" s="1"/>
  <c r="D164" i="8"/>
  <c r="E163" i="8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B163" i="8" s="1"/>
  <c r="D163" i="8"/>
  <c r="G162" i="8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B162" i="8" s="1"/>
  <c r="F162" i="8"/>
  <c r="E162" i="8"/>
  <c r="D162" i="8"/>
  <c r="S161" i="8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B161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K160" i="8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B160" i="8" s="1"/>
  <c r="G160" i="8"/>
  <c r="H160" i="8" s="1"/>
  <c r="I160" i="8" s="1"/>
  <c r="J160" i="8" s="1"/>
  <c r="F160" i="8"/>
  <c r="E160" i="8"/>
  <c r="D160" i="8"/>
  <c r="F159" i="8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B159" i="8" s="1"/>
  <c r="E159" i="8"/>
  <c r="D159" i="8"/>
  <c r="F158" i="8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B158" i="8" s="1"/>
  <c r="E158" i="8"/>
  <c r="D158" i="8"/>
  <c r="Q157" i="8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B1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G156" i="8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B156" i="8" s="1"/>
  <c r="F156" i="8"/>
  <c r="E156" i="8"/>
  <c r="D156" i="8"/>
  <c r="X154" i="8"/>
  <c r="Y154" i="8" s="1"/>
  <c r="Z154" i="8" s="1"/>
  <c r="AA154" i="8" s="1"/>
  <c r="AB154" i="8" s="1"/>
  <c r="AC154" i="8" s="1"/>
  <c r="AD154" i="8" s="1"/>
  <c r="AE154" i="8" s="1"/>
  <c r="AF154" i="8" s="1"/>
  <c r="B154" i="8" s="1"/>
  <c r="H154" i="8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G154" i="8"/>
  <c r="E154" i="8"/>
  <c r="F154" i="8" s="1"/>
  <c r="D154" i="8"/>
  <c r="F153" i="8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B153" i="8" s="1"/>
  <c r="E153" i="8"/>
  <c r="D153" i="8"/>
  <c r="T152" i="8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B152" i="8" s="1"/>
  <c r="H152" i="8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D152" i="8"/>
  <c r="E152" i="8" s="1"/>
  <c r="F152" i="8" s="1"/>
  <c r="G152" i="8" s="1"/>
  <c r="R151" i="8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B151" i="8" s="1"/>
  <c r="F151" i="8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E151" i="8"/>
  <c r="D151" i="8"/>
  <c r="D149" i="8"/>
  <c r="E149" i="8" s="1"/>
  <c r="N148" i="8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B148" i="8" s="1"/>
  <c r="F148" i="8"/>
  <c r="G148" i="8" s="1"/>
  <c r="H148" i="8" s="1"/>
  <c r="I148" i="8" s="1"/>
  <c r="J148" i="8" s="1"/>
  <c r="K148" i="8" s="1"/>
  <c r="L148" i="8" s="1"/>
  <c r="M148" i="8" s="1"/>
  <c r="E148" i="8"/>
  <c r="D148" i="8"/>
  <c r="H146" i="8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B146" i="8" s="1"/>
  <c r="E146" i="8"/>
  <c r="F146" i="8" s="1"/>
  <c r="G146" i="8" s="1"/>
  <c r="D146" i="8"/>
  <c r="Y145" i="8"/>
  <c r="Z145" i="8" s="1"/>
  <c r="AA145" i="8" s="1"/>
  <c r="AB145" i="8" s="1"/>
  <c r="AC145" i="8" s="1"/>
  <c r="AD145" i="8" s="1"/>
  <c r="AE145" i="8" s="1"/>
  <c r="AF145" i="8" s="1"/>
  <c r="B145" i="8" s="1"/>
  <c r="K145" i="8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F145" i="8"/>
  <c r="G145" i="8" s="1"/>
  <c r="H145" i="8" s="1"/>
  <c r="I145" i="8" s="1"/>
  <c r="J145" i="8" s="1"/>
  <c r="E145" i="8"/>
  <c r="D145" i="8"/>
  <c r="U144" i="8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B144" i="8" s="1"/>
  <c r="H144" i="8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G144" i="8"/>
  <c r="E144" i="8"/>
  <c r="F144" i="8" s="1"/>
  <c r="D144" i="8"/>
  <c r="M143" i="8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B143" i="8" s="1"/>
  <c r="E143" i="8"/>
  <c r="F143" i="8" s="1"/>
  <c r="G143" i="8" s="1"/>
  <c r="H143" i="8" s="1"/>
  <c r="I143" i="8" s="1"/>
  <c r="J143" i="8" s="1"/>
  <c r="K143" i="8" s="1"/>
  <c r="L143" i="8" s="1"/>
  <c r="D143" i="8"/>
  <c r="M142" i="8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B142" i="8" s="1"/>
  <c r="D142" i="8"/>
  <c r="E142" i="8" s="1"/>
  <c r="F142" i="8" s="1"/>
  <c r="G142" i="8" s="1"/>
  <c r="H142" i="8" s="1"/>
  <c r="I142" i="8" s="1"/>
  <c r="J142" i="8" s="1"/>
  <c r="K142" i="8" s="1"/>
  <c r="L142" i="8" s="1"/>
  <c r="F141" i="8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B141" i="8" s="1"/>
  <c r="E141" i="8"/>
  <c r="D141" i="8"/>
  <c r="H140" i="8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B140" i="8" s="1"/>
  <c r="D140" i="8"/>
  <c r="E140" i="8" s="1"/>
  <c r="F140" i="8" s="1"/>
  <c r="G140" i="8" s="1"/>
  <c r="F138" i="8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B138" i="8" s="1"/>
  <c r="E138" i="8"/>
  <c r="D138" i="8"/>
  <c r="E137" i="8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B137" i="8" s="1"/>
  <c r="D137" i="8"/>
  <c r="I136" i="8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B136" i="8" s="1"/>
  <c r="D136" i="8"/>
  <c r="E136" i="8" s="1"/>
  <c r="F136" i="8" s="1"/>
  <c r="G136" i="8" s="1"/>
  <c r="H136" i="8" s="1"/>
  <c r="J135" i="8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B135" i="8" s="1"/>
  <c r="E135" i="8"/>
  <c r="F135" i="8" s="1"/>
  <c r="G135" i="8" s="1"/>
  <c r="H135" i="8" s="1"/>
  <c r="I135" i="8" s="1"/>
  <c r="D135" i="8"/>
  <c r="G134" i="8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B134" i="8" s="1"/>
  <c r="F134" i="8"/>
  <c r="D134" i="8"/>
  <c r="E134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B133" i="8" s="1"/>
  <c r="J132" i="8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B132" i="8" s="1"/>
  <c r="F132" i="8"/>
  <c r="G132" i="8" s="1"/>
  <c r="H132" i="8" s="1"/>
  <c r="I132" i="8" s="1"/>
  <c r="E132" i="8"/>
  <c r="D132" i="8"/>
  <c r="Q131" i="8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B131" i="8" s="1"/>
  <c r="I131" i="8"/>
  <c r="J131" i="8" s="1"/>
  <c r="K131" i="8" s="1"/>
  <c r="L131" i="8" s="1"/>
  <c r="M131" i="8" s="1"/>
  <c r="N131" i="8" s="1"/>
  <c r="O131" i="8" s="1"/>
  <c r="P131" i="8" s="1"/>
  <c r="H131" i="8"/>
  <c r="D131" i="8"/>
  <c r="E131" i="8" s="1"/>
  <c r="F131" i="8" s="1"/>
  <c r="G131" i="8" s="1"/>
  <c r="G129" i="8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B129" i="8" s="1"/>
  <c r="F129" i="8"/>
  <c r="E129" i="8"/>
  <c r="D129" i="8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B128" i="8" s="1"/>
  <c r="F127" i="8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B127" i="8" s="1"/>
  <c r="E127" i="8"/>
  <c r="D127" i="8"/>
  <c r="P126" i="8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B126" i="8" s="1"/>
  <c r="H126" i="8"/>
  <c r="I126" i="8" s="1"/>
  <c r="J126" i="8" s="1"/>
  <c r="K126" i="8" s="1"/>
  <c r="L126" i="8" s="1"/>
  <c r="M126" i="8" s="1"/>
  <c r="N126" i="8" s="1"/>
  <c r="O126" i="8" s="1"/>
  <c r="D126" i="8"/>
  <c r="E126" i="8" s="1"/>
  <c r="F126" i="8" s="1"/>
  <c r="G126" i="8" s="1"/>
  <c r="N125" i="8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B125" i="8" s="1"/>
  <c r="F125" i="8"/>
  <c r="G125" i="8" s="1"/>
  <c r="H125" i="8" s="1"/>
  <c r="I125" i="8" s="1"/>
  <c r="J125" i="8" s="1"/>
  <c r="K125" i="8" s="1"/>
  <c r="L125" i="8" s="1"/>
  <c r="M125" i="8" s="1"/>
  <c r="E125" i="8"/>
  <c r="D125" i="8"/>
  <c r="O124" i="8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B124" i="8" s="1"/>
  <c r="G124" i="8"/>
  <c r="H124" i="8" s="1"/>
  <c r="I124" i="8" s="1"/>
  <c r="J124" i="8" s="1"/>
  <c r="K124" i="8" s="1"/>
  <c r="L124" i="8" s="1"/>
  <c r="M124" i="8" s="1"/>
  <c r="N124" i="8" s="1"/>
  <c r="E124" i="8"/>
  <c r="F124" i="8" s="1"/>
  <c r="D124" i="8"/>
  <c r="E123" i="8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B123" i="8" s="1"/>
  <c r="D123" i="8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B122" i="8" s="1"/>
  <c r="G121" i="8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B121" i="8" s="1"/>
  <c r="F121" i="8"/>
  <c r="E121" i="8"/>
  <c r="D121" i="8"/>
  <c r="E120" i="8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B120" i="8" s="1"/>
  <c r="D120" i="8"/>
  <c r="F119" i="8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B119" i="8" s="1"/>
  <c r="E119" i="8"/>
  <c r="D119" i="8"/>
  <c r="H118" i="8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B118" i="8" s="1"/>
  <c r="D118" i="8"/>
  <c r="E118" i="8" s="1"/>
  <c r="F118" i="8" s="1"/>
  <c r="G118" i="8" s="1"/>
  <c r="F117" i="8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B117" i="8" s="1"/>
  <c r="D117" i="8"/>
  <c r="E117" i="8" s="1"/>
  <c r="L116" i="8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B116" i="8" s="1"/>
  <c r="E116" i="8"/>
  <c r="F116" i="8" s="1"/>
  <c r="G116" i="8" s="1"/>
  <c r="H116" i="8" s="1"/>
  <c r="I116" i="8" s="1"/>
  <c r="J116" i="8" s="1"/>
  <c r="K116" i="8" s="1"/>
  <c r="D116" i="8"/>
  <c r="E115" i="8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B115" i="8" s="1"/>
  <c r="D115" i="8"/>
  <c r="P114" i="8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B114" i="8" s="1"/>
  <c r="K114" i="8"/>
  <c r="L114" i="8" s="1"/>
  <c r="M114" i="8" s="1"/>
  <c r="N114" i="8" s="1"/>
  <c r="O114" i="8" s="1"/>
  <c r="H114" i="8"/>
  <c r="I114" i="8" s="1"/>
  <c r="D114" i="8"/>
  <c r="E114" i="8" s="1"/>
  <c r="F114" i="8" s="1"/>
  <c r="G114" i="8" s="1"/>
  <c r="F113" i="8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B113" i="8" s="1"/>
  <c r="E113" i="8"/>
  <c r="D113" i="8"/>
  <c r="F112" i="8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B112" i="8" s="1"/>
  <c r="D112" i="8"/>
  <c r="E112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B110" i="8" s="1"/>
  <c r="O109" i="8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B109" i="8" s="1"/>
  <c r="H109" i="8"/>
  <c r="I109" i="8" s="1"/>
  <c r="J109" i="8" s="1"/>
  <c r="K109" i="8" s="1"/>
  <c r="L109" i="8" s="1"/>
  <c r="M109" i="8" s="1"/>
  <c r="N109" i="8" s="1"/>
  <c r="G109" i="8"/>
  <c r="D109" i="8"/>
  <c r="E109" i="8" s="1"/>
  <c r="F109" i="8" s="1"/>
  <c r="F107" i="8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B107" i="8" s="1"/>
  <c r="E107" i="8"/>
  <c r="D107" i="8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B106" i="8" s="1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B105" i="8" s="1"/>
  <c r="D105" i="8"/>
  <c r="E104" i="8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B104" i="8" s="1"/>
  <c r="D104" i="8"/>
  <c r="H103" i="8"/>
  <c r="I103" i="8" s="1"/>
  <c r="F103" i="8"/>
  <c r="G103" i="8" s="1"/>
  <c r="E103" i="8"/>
  <c r="D103" i="8"/>
  <c r="D102" i="8"/>
  <c r="AH98" i="8"/>
  <c r="AI98" i="8" s="1"/>
  <c r="AH97" i="8"/>
  <c r="AI97" i="8" s="1"/>
  <c r="AH96" i="8"/>
  <c r="AI96" i="8" s="1"/>
  <c r="AH95" i="8"/>
  <c r="AI95" i="8" s="1"/>
  <c r="AH94" i="8"/>
  <c r="AI94" i="8" s="1"/>
  <c r="D93" i="8"/>
  <c r="C93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G82" i="8"/>
  <c r="AI81" i="8"/>
  <c r="AH81" i="8"/>
  <c r="AF80" i="8"/>
  <c r="AE80" i="8"/>
  <c r="AD80" i="8"/>
  <c r="AC80" i="8"/>
  <c r="AB80" i="8"/>
  <c r="AA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F79" i="8"/>
  <c r="AE79" i="8"/>
  <c r="AD79" i="8"/>
  <c r="AC79" i="8"/>
  <c r="AB79" i="8"/>
  <c r="AA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I82" i="8" s="1"/>
  <c r="H79" i="8"/>
  <c r="G79" i="8"/>
  <c r="F79" i="8"/>
  <c r="E79" i="8"/>
  <c r="D79" i="8"/>
  <c r="C79" i="8"/>
  <c r="AF78" i="8"/>
  <c r="AE78" i="8"/>
  <c r="AD78" i="8"/>
  <c r="AC78" i="8"/>
  <c r="AB78" i="8"/>
  <c r="AA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F77" i="8"/>
  <c r="AE77" i="8"/>
  <c r="AD77" i="8"/>
  <c r="AC77" i="8"/>
  <c r="AB77" i="8"/>
  <c r="AA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F76" i="8"/>
  <c r="AE76" i="8"/>
  <c r="AE82" i="8" s="1"/>
  <c r="AD76" i="8"/>
  <c r="AD82" i="8" s="1"/>
  <c r="AC76" i="8"/>
  <c r="AB76" i="8"/>
  <c r="AA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I74" i="8"/>
  <c r="AH74" i="8"/>
  <c r="AG72" i="8"/>
  <c r="AF72" i="8"/>
  <c r="AE72" i="8"/>
  <c r="AD72" i="8"/>
  <c r="AC72" i="8"/>
  <c r="AB72" i="8"/>
  <c r="AA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I72" i="8"/>
  <c r="AI71" i="8"/>
  <c r="AH71" i="8"/>
  <c r="AI70" i="8"/>
  <c r="AH70" i="8"/>
  <c r="AI69" i="8"/>
  <c r="AH69" i="8"/>
  <c r="AG68" i="8"/>
  <c r="AF68" i="8"/>
  <c r="AE5" i="8" s="1"/>
  <c r="AE68" i="8"/>
  <c r="AD5" i="8" s="1"/>
  <c r="AD68" i="8"/>
  <c r="AC68" i="8"/>
  <c r="AB68" i="8"/>
  <c r="AA5" i="8" s="1"/>
  <c r="AA68" i="8"/>
  <c r="Z5" i="8" s="1"/>
  <c r="Y68" i="8"/>
  <c r="X5" i="8" s="1"/>
  <c r="X68" i="8"/>
  <c r="W5" i="8" s="1"/>
  <c r="W68" i="8"/>
  <c r="V5" i="8" s="1"/>
  <c r="V68" i="8"/>
  <c r="U68" i="8"/>
  <c r="T68" i="8"/>
  <c r="S5" i="8" s="1"/>
  <c r="S68" i="8"/>
  <c r="R5" i="8" s="1"/>
  <c r="R68" i="8"/>
  <c r="Q5" i="8" s="1"/>
  <c r="Q68" i="8"/>
  <c r="P68" i="8"/>
  <c r="O5" i="8" s="1"/>
  <c r="O68" i="8"/>
  <c r="N5" i="8" s="1"/>
  <c r="N68" i="8"/>
  <c r="M68" i="8"/>
  <c r="L68" i="8"/>
  <c r="K5" i="8" s="1"/>
  <c r="K68" i="8"/>
  <c r="J68" i="8"/>
  <c r="I68" i="8"/>
  <c r="H5" i="8" s="1"/>
  <c r="H68" i="8"/>
  <c r="G5" i="8" s="1"/>
  <c r="G68" i="8"/>
  <c r="F5" i="8" s="1"/>
  <c r="F68" i="8"/>
  <c r="E68" i="8"/>
  <c r="D5" i="8" s="1"/>
  <c r="D68" i="8"/>
  <c r="C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G56" i="8"/>
  <c r="AF56" i="8"/>
  <c r="AE56" i="8"/>
  <c r="AD56" i="8"/>
  <c r="AC56" i="8"/>
  <c r="AB56" i="8"/>
  <c r="AA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I55" i="8"/>
  <c r="AH55" i="8"/>
  <c r="AI54" i="8"/>
  <c r="AH54" i="8"/>
  <c r="AI53" i="8"/>
  <c r="AH53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G51" i="8"/>
  <c r="AG52" i="8" s="1"/>
  <c r="AG3" i="8" s="1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F38" i="8"/>
  <c r="AE38" i="8"/>
  <c r="AD38" i="8"/>
  <c r="AC38" i="8"/>
  <c r="AB38" i="8"/>
  <c r="AA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F5" i="8"/>
  <c r="AB5" i="8"/>
  <c r="Y5" i="8"/>
  <c r="T5" i="8"/>
  <c r="P5" i="8"/>
  <c r="L5" i="8"/>
  <c r="J5" i="8"/>
  <c r="I5" i="8"/>
  <c r="C5" i="8"/>
  <c r="AG4" i="8"/>
  <c r="K4" i="8"/>
  <c r="B4" i="8"/>
  <c r="AG2" i="8"/>
  <c r="AF95" i="7"/>
  <c r="AF37" i="7"/>
  <c r="AE37" i="7"/>
  <c r="AD37" i="7"/>
  <c r="AC37" i="7"/>
  <c r="AB58" i="7"/>
  <c r="AB37" i="7"/>
  <c r="AA58" i="7"/>
  <c r="Y58" i="7"/>
  <c r="X58" i="7"/>
  <c r="W58" i="7"/>
  <c r="W37" i="7"/>
  <c r="S58" i="7"/>
  <c r="S37" i="7"/>
  <c r="R95" i="7"/>
  <c r="R37" i="7"/>
  <c r="Q95" i="7"/>
  <c r="Q58" i="7"/>
  <c r="Q37" i="7"/>
  <c r="P95" i="7"/>
  <c r="P37" i="7"/>
  <c r="E4" i="8"/>
  <c r="N103" i="10" l="1"/>
  <c r="J109" i="10"/>
  <c r="I192" i="10"/>
  <c r="J102" i="10"/>
  <c r="I235" i="10"/>
  <c r="K199" i="10"/>
  <c r="I200" i="10"/>
  <c r="J194" i="10"/>
  <c r="I93" i="9"/>
  <c r="K194" i="9"/>
  <c r="L103" i="9"/>
  <c r="J192" i="9"/>
  <c r="K102" i="9"/>
  <c r="H235" i="9"/>
  <c r="J199" i="9"/>
  <c r="J200" i="9" s="1"/>
  <c r="AF82" i="8"/>
  <c r="AB82" i="8"/>
  <c r="AA82" i="8"/>
  <c r="Y82" i="8"/>
  <c r="X82" i="8"/>
  <c r="W82" i="8"/>
  <c r="V82" i="8"/>
  <c r="T82" i="8"/>
  <c r="T73" i="8"/>
  <c r="S82" i="8"/>
  <c r="S75" i="8"/>
  <c r="R73" i="8"/>
  <c r="Q82" i="8"/>
  <c r="R75" i="8"/>
  <c r="Q75" i="8"/>
  <c r="Q73" i="8"/>
  <c r="P82" i="8"/>
  <c r="P75" i="8"/>
  <c r="AH214" i="8" s="1"/>
  <c r="P73" i="8"/>
  <c r="O82" i="8"/>
  <c r="O75" i="8"/>
  <c r="AG214" i="8" s="1"/>
  <c r="O73" i="8"/>
  <c r="O83" i="8" s="1"/>
  <c r="N82" i="8"/>
  <c r="N75" i="8"/>
  <c r="AF214" i="8" s="1"/>
  <c r="N73" i="8"/>
  <c r="AH78" i="8"/>
  <c r="M73" i="8"/>
  <c r="M75" i="8"/>
  <c r="L82" i="8"/>
  <c r="L73" i="8"/>
  <c r="K82" i="8"/>
  <c r="AI80" i="8"/>
  <c r="K75" i="8"/>
  <c r="AC214" i="8" s="1"/>
  <c r="J73" i="8"/>
  <c r="J75" i="8"/>
  <c r="H75" i="8"/>
  <c r="Z214" i="8" s="1"/>
  <c r="H82" i="8"/>
  <c r="G82" i="8"/>
  <c r="AI79" i="8"/>
  <c r="AI56" i="8"/>
  <c r="G75" i="8"/>
  <c r="G7" i="8" s="1"/>
  <c r="I73" i="8"/>
  <c r="I75" i="8"/>
  <c r="I7" i="8" s="1"/>
  <c r="G73" i="8"/>
  <c r="H73" i="8"/>
  <c r="H83" i="8" s="1"/>
  <c r="F75" i="8"/>
  <c r="X214" i="8" s="1"/>
  <c r="F82" i="8"/>
  <c r="F73" i="8"/>
  <c r="AI68" i="8"/>
  <c r="E73" i="8"/>
  <c r="E75" i="8"/>
  <c r="W214" i="8" s="1"/>
  <c r="D82" i="8"/>
  <c r="AI38" i="8"/>
  <c r="D73" i="8"/>
  <c r="C82" i="8"/>
  <c r="B5" i="8"/>
  <c r="C73" i="8"/>
  <c r="C75" i="8" s="1"/>
  <c r="U214" i="8" s="1"/>
  <c r="B82" i="8"/>
  <c r="B75" i="8"/>
  <c r="B73" i="8"/>
  <c r="B83" i="8" s="1"/>
  <c r="AI77" i="8"/>
  <c r="H4" i="8"/>
  <c r="AI214" i="8"/>
  <c r="Q7" i="8"/>
  <c r="AG75" i="8"/>
  <c r="AK214" i="8"/>
  <c r="S7" i="8"/>
  <c r="AJ214" i="8"/>
  <c r="R7" i="8"/>
  <c r="AR214" i="8"/>
  <c r="Z7" i="8"/>
  <c r="F83" i="8"/>
  <c r="AG6" i="8"/>
  <c r="Y214" i="8"/>
  <c r="O7" i="8"/>
  <c r="AE214" i="8"/>
  <c r="M7" i="8"/>
  <c r="Q83" i="8"/>
  <c r="AG83" i="8"/>
  <c r="AG73" i="8"/>
  <c r="AI78" i="8"/>
  <c r="AH79" i="8"/>
  <c r="D211" i="8"/>
  <c r="S211" i="8"/>
  <c r="E5" i="8"/>
  <c r="M5" i="8"/>
  <c r="U5" i="8"/>
  <c r="AC5" i="8"/>
  <c r="K73" i="8"/>
  <c r="S73" i="8"/>
  <c r="S83" i="8" s="1"/>
  <c r="E82" i="8"/>
  <c r="M82" i="8"/>
  <c r="M83" i="8" s="1"/>
  <c r="U82" i="8"/>
  <c r="AC82" i="8"/>
  <c r="AH80" i="8"/>
  <c r="F149" i="8"/>
  <c r="G149" i="8" s="1"/>
  <c r="E93" i="8"/>
  <c r="P83" i="8"/>
  <c r="J103" i="8"/>
  <c r="AH38" i="8"/>
  <c r="AH76" i="8"/>
  <c r="F7" i="8"/>
  <c r="N7" i="8"/>
  <c r="H7" i="8"/>
  <c r="P7" i="8"/>
  <c r="AH56" i="8"/>
  <c r="AH68" i="8"/>
  <c r="AH72" i="8"/>
  <c r="D75" i="8"/>
  <c r="L75" i="8"/>
  <c r="L83" i="8" s="1"/>
  <c r="T75" i="8"/>
  <c r="T83" i="8" s="1"/>
  <c r="J82" i="8"/>
  <c r="R82" i="8"/>
  <c r="R83" i="8" s="1"/>
  <c r="AI76" i="8"/>
  <c r="AH77" i="8"/>
  <c r="F93" i="8"/>
  <c r="D192" i="8"/>
  <c r="E102" i="8"/>
  <c r="F235" i="8"/>
  <c r="H199" i="8"/>
  <c r="E197" i="8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B197" i="8" s="1"/>
  <c r="D200" i="8"/>
  <c r="G194" i="8"/>
  <c r="F200" i="8"/>
  <c r="E200" i="8"/>
  <c r="O95" i="7"/>
  <c r="O37" i="7"/>
  <c r="N95" i="7"/>
  <c r="M95" i="7"/>
  <c r="L199" i="10" l="1"/>
  <c r="J235" i="10"/>
  <c r="J192" i="10"/>
  <c r="K102" i="10"/>
  <c r="K109" i="10"/>
  <c r="J200" i="10"/>
  <c r="K194" i="10"/>
  <c r="O103" i="10"/>
  <c r="K192" i="9"/>
  <c r="L102" i="9"/>
  <c r="M103" i="9"/>
  <c r="L194" i="9"/>
  <c r="I235" i="9"/>
  <c r="K199" i="9"/>
  <c r="J93" i="9"/>
  <c r="N83" i="8"/>
  <c r="K83" i="8"/>
  <c r="K7" i="8"/>
  <c r="J83" i="8"/>
  <c r="J7" i="8"/>
  <c r="AB214" i="8"/>
  <c r="I83" i="8"/>
  <c r="G83" i="8"/>
  <c r="AA214" i="8"/>
  <c r="E83" i="8"/>
  <c r="E7" i="8"/>
  <c r="C83" i="8"/>
  <c r="C7" i="8"/>
  <c r="E192" i="8"/>
  <c r="F102" i="8"/>
  <c r="V214" i="8"/>
  <c r="D7" i="8"/>
  <c r="C209" i="8"/>
  <c r="AH82" i="8"/>
  <c r="AI82" i="8"/>
  <c r="H149" i="8"/>
  <c r="G93" i="8"/>
  <c r="H194" i="8"/>
  <c r="G200" i="8"/>
  <c r="K103" i="8"/>
  <c r="G235" i="8"/>
  <c r="I199" i="8"/>
  <c r="AL214" i="8"/>
  <c r="T7" i="8"/>
  <c r="AD214" i="8"/>
  <c r="L7" i="8"/>
  <c r="D83" i="8"/>
  <c r="B209" i="8"/>
  <c r="AH100" i="7"/>
  <c r="AI100" i="7" s="1"/>
  <c r="AH99" i="7"/>
  <c r="AI99" i="7" s="1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A239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C235" i="7"/>
  <c r="B235" i="7"/>
  <c r="S210" i="7"/>
  <c r="AG200" i="7"/>
  <c r="D200" i="7"/>
  <c r="C200" i="7"/>
  <c r="G199" i="7"/>
  <c r="D199" i="7"/>
  <c r="E199" i="7" s="1"/>
  <c r="F199" i="7" s="1"/>
  <c r="E235" i="7" s="1"/>
  <c r="I198" i="7"/>
  <c r="J198" i="7" s="1"/>
  <c r="K198" i="7" s="1"/>
  <c r="L198" i="7" s="1"/>
  <c r="M198" i="7" s="1"/>
  <c r="N198" i="7" s="1"/>
  <c r="O198" i="7" s="1"/>
  <c r="P198" i="7" s="1"/>
  <c r="Q198" i="7" s="1"/>
  <c r="R198" i="7" s="1"/>
  <c r="S198" i="7" s="1"/>
  <c r="T198" i="7" s="1"/>
  <c r="U198" i="7" s="1"/>
  <c r="V198" i="7" s="1"/>
  <c r="W198" i="7" s="1"/>
  <c r="X198" i="7" s="1"/>
  <c r="Y198" i="7" s="1"/>
  <c r="Z198" i="7" s="1"/>
  <c r="AA198" i="7" s="1"/>
  <c r="AB198" i="7" s="1"/>
  <c r="AC198" i="7" s="1"/>
  <c r="AD198" i="7" s="1"/>
  <c r="AE198" i="7" s="1"/>
  <c r="AF198" i="7" s="1"/>
  <c r="B198" i="7" s="1"/>
  <c r="E198" i="7"/>
  <c r="F198" i="7" s="1"/>
  <c r="G198" i="7" s="1"/>
  <c r="H198" i="7" s="1"/>
  <c r="D198" i="7"/>
  <c r="D197" i="7"/>
  <c r="E197" i="7" s="1"/>
  <c r="F197" i="7" s="1"/>
  <c r="G197" i="7" s="1"/>
  <c r="H197" i="7" s="1"/>
  <c r="I197" i="7" s="1"/>
  <c r="J197" i="7" s="1"/>
  <c r="K197" i="7" s="1"/>
  <c r="L197" i="7" s="1"/>
  <c r="M197" i="7" s="1"/>
  <c r="N197" i="7" s="1"/>
  <c r="O197" i="7" s="1"/>
  <c r="P197" i="7" s="1"/>
  <c r="Q197" i="7" s="1"/>
  <c r="R197" i="7" s="1"/>
  <c r="S197" i="7" s="1"/>
  <c r="T197" i="7" s="1"/>
  <c r="U197" i="7" s="1"/>
  <c r="V197" i="7" s="1"/>
  <c r="W197" i="7" s="1"/>
  <c r="X197" i="7" s="1"/>
  <c r="Y197" i="7" s="1"/>
  <c r="Z197" i="7" s="1"/>
  <c r="AA197" i="7" s="1"/>
  <c r="AB197" i="7" s="1"/>
  <c r="AC197" i="7" s="1"/>
  <c r="AD197" i="7" s="1"/>
  <c r="AE197" i="7" s="1"/>
  <c r="AF197" i="7" s="1"/>
  <c r="B197" i="7" s="1"/>
  <c r="E196" i="7"/>
  <c r="F196" i="7" s="1"/>
  <c r="G196" i="7" s="1"/>
  <c r="H196" i="7" s="1"/>
  <c r="I196" i="7" s="1"/>
  <c r="J196" i="7" s="1"/>
  <c r="K196" i="7" s="1"/>
  <c r="L196" i="7" s="1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X196" i="7" s="1"/>
  <c r="Y196" i="7" s="1"/>
  <c r="Z196" i="7" s="1"/>
  <c r="AA196" i="7" s="1"/>
  <c r="AB196" i="7" s="1"/>
  <c r="AC196" i="7" s="1"/>
  <c r="AD196" i="7" s="1"/>
  <c r="AE196" i="7" s="1"/>
  <c r="AF196" i="7" s="1"/>
  <c r="B196" i="7" s="1"/>
  <c r="D196" i="7"/>
  <c r="O195" i="7"/>
  <c r="P195" i="7" s="1"/>
  <c r="Q195" i="7" s="1"/>
  <c r="R195" i="7" s="1"/>
  <c r="S195" i="7" s="1"/>
  <c r="T195" i="7" s="1"/>
  <c r="U195" i="7" s="1"/>
  <c r="V195" i="7" s="1"/>
  <c r="W195" i="7" s="1"/>
  <c r="X195" i="7" s="1"/>
  <c r="Y195" i="7" s="1"/>
  <c r="Z195" i="7" s="1"/>
  <c r="AA195" i="7" s="1"/>
  <c r="AB195" i="7" s="1"/>
  <c r="AC195" i="7" s="1"/>
  <c r="AD195" i="7" s="1"/>
  <c r="AE195" i="7" s="1"/>
  <c r="AF195" i="7" s="1"/>
  <c r="B195" i="7" s="1"/>
  <c r="G195" i="7"/>
  <c r="H195" i="7" s="1"/>
  <c r="I195" i="7" s="1"/>
  <c r="J195" i="7" s="1"/>
  <c r="K195" i="7" s="1"/>
  <c r="L195" i="7" s="1"/>
  <c r="M195" i="7" s="1"/>
  <c r="N195" i="7" s="1"/>
  <c r="F195" i="7"/>
  <c r="E195" i="7"/>
  <c r="D195" i="7"/>
  <c r="E194" i="7"/>
  <c r="D194" i="7"/>
  <c r="AG192" i="7"/>
  <c r="C192" i="7"/>
  <c r="D191" i="7"/>
  <c r="E191" i="7" s="1"/>
  <c r="F191" i="7" s="1"/>
  <c r="G191" i="7" s="1"/>
  <c r="H191" i="7" s="1"/>
  <c r="I191" i="7" s="1"/>
  <c r="J191" i="7" s="1"/>
  <c r="K191" i="7" s="1"/>
  <c r="L191" i="7" s="1"/>
  <c r="M191" i="7" s="1"/>
  <c r="N191" i="7" s="1"/>
  <c r="O191" i="7" s="1"/>
  <c r="P191" i="7" s="1"/>
  <c r="Q191" i="7" s="1"/>
  <c r="R191" i="7" s="1"/>
  <c r="S191" i="7" s="1"/>
  <c r="T191" i="7" s="1"/>
  <c r="U191" i="7" s="1"/>
  <c r="V191" i="7" s="1"/>
  <c r="W191" i="7" s="1"/>
  <c r="X191" i="7" s="1"/>
  <c r="Y191" i="7" s="1"/>
  <c r="Z191" i="7" s="1"/>
  <c r="AA191" i="7" s="1"/>
  <c r="AB191" i="7" s="1"/>
  <c r="AC191" i="7" s="1"/>
  <c r="AD191" i="7" s="1"/>
  <c r="AE191" i="7" s="1"/>
  <c r="AF191" i="7" s="1"/>
  <c r="B191" i="7" s="1"/>
  <c r="Z190" i="7"/>
  <c r="AA190" i="7" s="1"/>
  <c r="AB190" i="7" s="1"/>
  <c r="AC190" i="7" s="1"/>
  <c r="AD190" i="7" s="1"/>
  <c r="AE190" i="7" s="1"/>
  <c r="AF190" i="7" s="1"/>
  <c r="B190" i="7" s="1"/>
  <c r="M190" i="7"/>
  <c r="N190" i="7" s="1"/>
  <c r="O190" i="7" s="1"/>
  <c r="P190" i="7" s="1"/>
  <c r="Q190" i="7" s="1"/>
  <c r="R190" i="7" s="1"/>
  <c r="S190" i="7" s="1"/>
  <c r="T190" i="7" s="1"/>
  <c r="U190" i="7" s="1"/>
  <c r="V190" i="7" s="1"/>
  <c r="W190" i="7" s="1"/>
  <c r="X190" i="7" s="1"/>
  <c r="Y190" i="7" s="1"/>
  <c r="E190" i="7"/>
  <c r="F190" i="7" s="1"/>
  <c r="G190" i="7" s="1"/>
  <c r="H190" i="7" s="1"/>
  <c r="I190" i="7" s="1"/>
  <c r="J190" i="7" s="1"/>
  <c r="K190" i="7" s="1"/>
  <c r="L190" i="7" s="1"/>
  <c r="D190" i="7"/>
  <c r="H189" i="7"/>
  <c r="I189" i="7" s="1"/>
  <c r="J189" i="7" s="1"/>
  <c r="K189" i="7" s="1"/>
  <c r="L189" i="7" s="1"/>
  <c r="M189" i="7" s="1"/>
  <c r="N189" i="7" s="1"/>
  <c r="O189" i="7" s="1"/>
  <c r="P189" i="7" s="1"/>
  <c r="Q189" i="7" s="1"/>
  <c r="R189" i="7" s="1"/>
  <c r="S189" i="7" s="1"/>
  <c r="T189" i="7" s="1"/>
  <c r="U189" i="7" s="1"/>
  <c r="V189" i="7" s="1"/>
  <c r="W189" i="7" s="1"/>
  <c r="X189" i="7" s="1"/>
  <c r="Y189" i="7" s="1"/>
  <c r="Z189" i="7" s="1"/>
  <c r="AA189" i="7" s="1"/>
  <c r="AB189" i="7" s="1"/>
  <c r="AC189" i="7" s="1"/>
  <c r="AD189" i="7" s="1"/>
  <c r="AE189" i="7" s="1"/>
  <c r="AF189" i="7" s="1"/>
  <c r="B189" i="7" s="1"/>
  <c r="F189" i="7"/>
  <c r="G189" i="7" s="1"/>
  <c r="E189" i="7"/>
  <c r="D189" i="7"/>
  <c r="I188" i="7"/>
  <c r="J188" i="7" s="1"/>
  <c r="K188" i="7" s="1"/>
  <c r="L188" i="7" s="1"/>
  <c r="M188" i="7" s="1"/>
  <c r="N188" i="7" s="1"/>
  <c r="O188" i="7" s="1"/>
  <c r="P188" i="7" s="1"/>
  <c r="Q188" i="7" s="1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B188" i="7" s="1"/>
  <c r="D188" i="7"/>
  <c r="E188" i="7" s="1"/>
  <c r="F188" i="7" s="1"/>
  <c r="G188" i="7" s="1"/>
  <c r="H188" i="7" s="1"/>
  <c r="D187" i="7"/>
  <c r="E187" i="7" s="1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P187" i="7" s="1"/>
  <c r="Q187" i="7" s="1"/>
  <c r="R187" i="7" s="1"/>
  <c r="S187" i="7" s="1"/>
  <c r="T187" i="7" s="1"/>
  <c r="U187" i="7" s="1"/>
  <c r="V187" i="7" s="1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B187" i="7" s="1"/>
  <c r="E186" i="7"/>
  <c r="F186" i="7" s="1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B186" i="7" s="1"/>
  <c r="D186" i="7"/>
  <c r="M185" i="7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B185" i="7" s="1"/>
  <c r="D185" i="7"/>
  <c r="E185" i="7" s="1"/>
  <c r="F185" i="7" s="1"/>
  <c r="G185" i="7" s="1"/>
  <c r="H185" i="7" s="1"/>
  <c r="I185" i="7" s="1"/>
  <c r="J185" i="7" s="1"/>
  <c r="K185" i="7" s="1"/>
  <c r="L185" i="7" s="1"/>
  <c r="K184" i="7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B184" i="7" s="1"/>
  <c r="D184" i="7"/>
  <c r="E184" i="7" s="1"/>
  <c r="F184" i="7" s="1"/>
  <c r="G184" i="7" s="1"/>
  <c r="H184" i="7" s="1"/>
  <c r="I184" i="7" s="1"/>
  <c r="J184" i="7" s="1"/>
  <c r="G183" i="7"/>
  <c r="H183" i="7" s="1"/>
  <c r="I183" i="7" s="1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B183" i="7" s="1"/>
  <c r="D183" i="7"/>
  <c r="E183" i="7" s="1"/>
  <c r="F183" i="7" s="1"/>
  <c r="E182" i="7"/>
  <c r="F182" i="7" s="1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B182" i="7" s="1"/>
  <c r="D182" i="7"/>
  <c r="P181" i="7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AE181" i="7" s="1"/>
  <c r="AF181" i="7" s="1"/>
  <c r="B181" i="7" s="1"/>
  <c r="D181" i="7"/>
  <c r="E181" i="7" s="1"/>
  <c r="F181" i="7" s="1"/>
  <c r="G181" i="7" s="1"/>
  <c r="H181" i="7" s="1"/>
  <c r="I181" i="7" s="1"/>
  <c r="J181" i="7" s="1"/>
  <c r="K181" i="7" s="1"/>
  <c r="L181" i="7" s="1"/>
  <c r="M181" i="7" s="1"/>
  <c r="N181" i="7" s="1"/>
  <c r="O181" i="7" s="1"/>
  <c r="Z180" i="7"/>
  <c r="AA180" i="7" s="1"/>
  <c r="AB180" i="7" s="1"/>
  <c r="AC180" i="7" s="1"/>
  <c r="AD180" i="7" s="1"/>
  <c r="AE180" i="7" s="1"/>
  <c r="AF180" i="7" s="1"/>
  <c r="B180" i="7" s="1"/>
  <c r="E180" i="7"/>
  <c r="F180" i="7" s="1"/>
  <c r="G180" i="7" s="1"/>
  <c r="H180" i="7" s="1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D180" i="7"/>
  <c r="O179" i="7"/>
  <c r="P179" i="7" s="1"/>
  <c r="Q179" i="7" s="1"/>
  <c r="R179" i="7" s="1"/>
  <c r="S179" i="7" s="1"/>
  <c r="T179" i="7" s="1"/>
  <c r="U179" i="7" s="1"/>
  <c r="V179" i="7" s="1"/>
  <c r="W179" i="7" s="1"/>
  <c r="X179" i="7" s="1"/>
  <c r="Y179" i="7" s="1"/>
  <c r="Z179" i="7" s="1"/>
  <c r="AA179" i="7" s="1"/>
  <c r="AB179" i="7" s="1"/>
  <c r="AC179" i="7" s="1"/>
  <c r="AD179" i="7" s="1"/>
  <c r="AE179" i="7" s="1"/>
  <c r="AF179" i="7" s="1"/>
  <c r="B179" i="7" s="1"/>
  <c r="D179" i="7"/>
  <c r="E179" i="7" s="1"/>
  <c r="F179" i="7" s="1"/>
  <c r="G179" i="7" s="1"/>
  <c r="H179" i="7" s="1"/>
  <c r="I179" i="7" s="1"/>
  <c r="J179" i="7" s="1"/>
  <c r="K179" i="7" s="1"/>
  <c r="L179" i="7" s="1"/>
  <c r="M179" i="7" s="1"/>
  <c r="N179" i="7" s="1"/>
  <c r="D177" i="7"/>
  <c r="E177" i="7" s="1"/>
  <c r="F177" i="7" s="1"/>
  <c r="G177" i="7" s="1"/>
  <c r="H177" i="7" s="1"/>
  <c r="I177" i="7" s="1"/>
  <c r="J177" i="7" s="1"/>
  <c r="K177" i="7" s="1"/>
  <c r="L177" i="7" s="1"/>
  <c r="M177" i="7" s="1"/>
  <c r="N177" i="7" s="1"/>
  <c r="O177" i="7" s="1"/>
  <c r="P177" i="7" s="1"/>
  <c r="Q177" i="7" s="1"/>
  <c r="R177" i="7" s="1"/>
  <c r="S177" i="7" s="1"/>
  <c r="T177" i="7" s="1"/>
  <c r="U177" i="7" s="1"/>
  <c r="V177" i="7" s="1"/>
  <c r="W177" i="7" s="1"/>
  <c r="X177" i="7" s="1"/>
  <c r="Y177" i="7" s="1"/>
  <c r="Z177" i="7" s="1"/>
  <c r="AA177" i="7" s="1"/>
  <c r="AB177" i="7" s="1"/>
  <c r="AC177" i="7" s="1"/>
  <c r="AD177" i="7" s="1"/>
  <c r="AE177" i="7" s="1"/>
  <c r="AF177" i="7" s="1"/>
  <c r="B177" i="7" s="1"/>
  <c r="Z176" i="7"/>
  <c r="AA176" i="7" s="1"/>
  <c r="AB176" i="7" s="1"/>
  <c r="AC176" i="7" s="1"/>
  <c r="AD176" i="7" s="1"/>
  <c r="AE176" i="7" s="1"/>
  <c r="AF176" i="7" s="1"/>
  <c r="B176" i="7" s="1"/>
  <c r="K176" i="7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D176" i="7"/>
  <c r="E176" i="7" s="1"/>
  <c r="F176" i="7" s="1"/>
  <c r="G176" i="7" s="1"/>
  <c r="H176" i="7" s="1"/>
  <c r="I176" i="7" s="1"/>
  <c r="J176" i="7" s="1"/>
  <c r="D175" i="7"/>
  <c r="E175" i="7" s="1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AB175" i="7" s="1"/>
  <c r="AC175" i="7" s="1"/>
  <c r="AD175" i="7" s="1"/>
  <c r="AE175" i="7" s="1"/>
  <c r="AF175" i="7" s="1"/>
  <c r="B175" i="7" s="1"/>
  <c r="F174" i="7"/>
  <c r="G174" i="7" s="1"/>
  <c r="H174" i="7" s="1"/>
  <c r="I174" i="7" s="1"/>
  <c r="J174" i="7" s="1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B174" i="7" s="1"/>
  <c r="D174" i="7"/>
  <c r="E174" i="7" s="1"/>
  <c r="T173" i="7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AE173" i="7" s="1"/>
  <c r="AF173" i="7" s="1"/>
  <c r="B173" i="7" s="1"/>
  <c r="E173" i="7"/>
  <c r="F173" i="7" s="1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R173" i="7" s="1"/>
  <c r="S173" i="7" s="1"/>
  <c r="D173" i="7"/>
  <c r="D172" i="7"/>
  <c r="E172" i="7" s="1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B172" i="7" s="1"/>
  <c r="H171" i="7"/>
  <c r="I171" i="7" s="1"/>
  <c r="J171" i="7" s="1"/>
  <c r="K171" i="7" s="1"/>
  <c r="L171" i="7" s="1"/>
  <c r="M171" i="7" s="1"/>
  <c r="N171" i="7" s="1"/>
  <c r="O171" i="7" s="1"/>
  <c r="P171" i="7" s="1"/>
  <c r="Q171" i="7" s="1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B171" i="7" s="1"/>
  <c r="F171" i="7"/>
  <c r="G171" i="7" s="1"/>
  <c r="E171" i="7"/>
  <c r="D171" i="7"/>
  <c r="G170" i="7"/>
  <c r="H170" i="7" s="1"/>
  <c r="I170" i="7" s="1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B170" i="7" s="1"/>
  <c r="F170" i="7"/>
  <c r="D170" i="7"/>
  <c r="E170" i="7" s="1"/>
  <c r="E168" i="7"/>
  <c r="F168" i="7" s="1"/>
  <c r="G168" i="7" s="1"/>
  <c r="H168" i="7" s="1"/>
  <c r="I168" i="7" s="1"/>
  <c r="J168" i="7" s="1"/>
  <c r="K168" i="7" s="1"/>
  <c r="L168" i="7" s="1"/>
  <c r="M168" i="7" s="1"/>
  <c r="N168" i="7" s="1"/>
  <c r="O168" i="7" s="1"/>
  <c r="P168" i="7" s="1"/>
  <c r="Q168" i="7" s="1"/>
  <c r="R168" i="7" s="1"/>
  <c r="S168" i="7" s="1"/>
  <c r="T168" i="7" s="1"/>
  <c r="U168" i="7" s="1"/>
  <c r="V168" i="7" s="1"/>
  <c r="W168" i="7" s="1"/>
  <c r="X168" i="7" s="1"/>
  <c r="Y168" i="7" s="1"/>
  <c r="Z168" i="7" s="1"/>
  <c r="AA168" i="7" s="1"/>
  <c r="AB168" i="7" s="1"/>
  <c r="AC168" i="7" s="1"/>
  <c r="AD168" i="7" s="1"/>
  <c r="AE168" i="7" s="1"/>
  <c r="AF168" i="7" s="1"/>
  <c r="B168" i="7" s="1"/>
  <c r="D168" i="7"/>
  <c r="H167" i="7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B167" i="7" s="1"/>
  <c r="D167" i="7"/>
  <c r="E167" i="7" s="1"/>
  <c r="F167" i="7" s="1"/>
  <c r="G167" i="7" s="1"/>
  <c r="G166" i="7"/>
  <c r="H166" i="7" s="1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B166" i="7" s="1"/>
  <c r="F166" i="7"/>
  <c r="E166" i="7"/>
  <c r="D166" i="7"/>
  <c r="AD165" i="7"/>
  <c r="AE165" i="7" s="1"/>
  <c r="AF165" i="7" s="1"/>
  <c r="B165" i="7" s="1"/>
  <c r="W165" i="7"/>
  <c r="X165" i="7" s="1"/>
  <c r="Y165" i="7" s="1"/>
  <c r="Z165" i="7" s="1"/>
  <c r="AA165" i="7" s="1"/>
  <c r="AB165" i="7" s="1"/>
  <c r="AC165" i="7" s="1"/>
  <c r="D165" i="7"/>
  <c r="E165" i="7" s="1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P165" i="7" s="1"/>
  <c r="Q165" i="7" s="1"/>
  <c r="R165" i="7" s="1"/>
  <c r="S165" i="7" s="1"/>
  <c r="T165" i="7" s="1"/>
  <c r="U165" i="7" s="1"/>
  <c r="V165" i="7" s="1"/>
  <c r="D164" i="7"/>
  <c r="E164" i="7" s="1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B164" i="7" s="1"/>
  <c r="AB163" i="7"/>
  <c r="AC163" i="7" s="1"/>
  <c r="AD163" i="7" s="1"/>
  <c r="AE163" i="7" s="1"/>
  <c r="AF163" i="7" s="1"/>
  <c r="B163" i="7" s="1"/>
  <c r="O163" i="7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L163" i="7"/>
  <c r="M163" i="7" s="1"/>
  <c r="N163" i="7" s="1"/>
  <c r="D163" i="7"/>
  <c r="E163" i="7" s="1"/>
  <c r="F163" i="7" s="1"/>
  <c r="G163" i="7" s="1"/>
  <c r="H163" i="7" s="1"/>
  <c r="I163" i="7" s="1"/>
  <c r="J163" i="7" s="1"/>
  <c r="K163" i="7" s="1"/>
  <c r="M162" i="7"/>
  <c r="N162" i="7" s="1"/>
  <c r="O162" i="7" s="1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B162" i="7" s="1"/>
  <c r="J162" i="7"/>
  <c r="K162" i="7" s="1"/>
  <c r="L162" i="7" s="1"/>
  <c r="H162" i="7"/>
  <c r="I162" i="7" s="1"/>
  <c r="E162" i="7"/>
  <c r="F162" i="7" s="1"/>
  <c r="G162" i="7" s="1"/>
  <c r="D162" i="7"/>
  <c r="I161" i="7"/>
  <c r="J161" i="7" s="1"/>
  <c r="K161" i="7" s="1"/>
  <c r="L161" i="7" s="1"/>
  <c r="M161" i="7" s="1"/>
  <c r="N161" i="7" s="1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AD161" i="7" s="1"/>
  <c r="AE161" i="7" s="1"/>
  <c r="AF161" i="7" s="1"/>
  <c r="B161" i="7" s="1"/>
  <c r="F161" i="7"/>
  <c r="G161" i="7" s="1"/>
  <c r="H161" i="7" s="1"/>
  <c r="E161" i="7"/>
  <c r="D161" i="7"/>
  <c r="D160" i="7"/>
  <c r="E160" i="7" s="1"/>
  <c r="F160" i="7" s="1"/>
  <c r="G160" i="7" s="1"/>
  <c r="H160" i="7" s="1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B160" i="7" s="1"/>
  <c r="Z159" i="7"/>
  <c r="AA159" i="7" s="1"/>
  <c r="AB159" i="7" s="1"/>
  <c r="AC159" i="7" s="1"/>
  <c r="AD159" i="7" s="1"/>
  <c r="AE159" i="7" s="1"/>
  <c r="AF159" i="7" s="1"/>
  <c r="B159" i="7" s="1"/>
  <c r="M159" i="7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J159" i="7"/>
  <c r="K159" i="7" s="1"/>
  <c r="L159" i="7" s="1"/>
  <c r="D159" i="7"/>
  <c r="E159" i="7" s="1"/>
  <c r="F159" i="7" s="1"/>
  <c r="G159" i="7" s="1"/>
  <c r="H159" i="7" s="1"/>
  <c r="I159" i="7" s="1"/>
  <c r="K158" i="7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B158" i="7" s="1"/>
  <c r="H158" i="7"/>
  <c r="I158" i="7" s="1"/>
  <c r="J158" i="7" s="1"/>
  <c r="E158" i="7"/>
  <c r="F158" i="7" s="1"/>
  <c r="G158" i="7" s="1"/>
  <c r="D158" i="7"/>
  <c r="H157" i="7"/>
  <c r="I157" i="7" s="1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B157" i="7" s="1"/>
  <c r="F157" i="7"/>
  <c r="G157" i="7" s="1"/>
  <c r="E157" i="7"/>
  <c r="D157" i="7"/>
  <c r="D156" i="7"/>
  <c r="E156" i="7" s="1"/>
  <c r="F156" i="7" s="1"/>
  <c r="G156" i="7" s="1"/>
  <c r="H156" i="7" s="1"/>
  <c r="I156" i="7" s="1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B156" i="7" s="1"/>
  <c r="L154" i="7"/>
  <c r="M154" i="7" s="1"/>
  <c r="N154" i="7" s="1"/>
  <c r="O154" i="7" s="1"/>
  <c r="P154" i="7" s="1"/>
  <c r="Q154" i="7" s="1"/>
  <c r="R154" i="7" s="1"/>
  <c r="S154" i="7" s="1"/>
  <c r="T154" i="7" s="1"/>
  <c r="U154" i="7" s="1"/>
  <c r="V154" i="7" s="1"/>
  <c r="W154" i="7" s="1"/>
  <c r="X154" i="7" s="1"/>
  <c r="Y154" i="7" s="1"/>
  <c r="Z154" i="7" s="1"/>
  <c r="AA154" i="7" s="1"/>
  <c r="AB154" i="7" s="1"/>
  <c r="AC154" i="7" s="1"/>
  <c r="AD154" i="7" s="1"/>
  <c r="AE154" i="7" s="1"/>
  <c r="AF154" i="7" s="1"/>
  <c r="B154" i="7" s="1"/>
  <c r="G154" i="7"/>
  <c r="H154" i="7" s="1"/>
  <c r="I154" i="7" s="1"/>
  <c r="J154" i="7" s="1"/>
  <c r="K154" i="7" s="1"/>
  <c r="D154" i="7"/>
  <c r="E154" i="7" s="1"/>
  <c r="F154" i="7" s="1"/>
  <c r="E153" i="7"/>
  <c r="F153" i="7" s="1"/>
  <c r="G153" i="7" s="1"/>
  <c r="H153" i="7" s="1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B153" i="7" s="1"/>
  <c r="D153" i="7"/>
  <c r="Y152" i="7"/>
  <c r="Z152" i="7" s="1"/>
  <c r="AA152" i="7" s="1"/>
  <c r="AB152" i="7" s="1"/>
  <c r="AC152" i="7" s="1"/>
  <c r="AD152" i="7" s="1"/>
  <c r="AE152" i="7" s="1"/>
  <c r="AF152" i="7" s="1"/>
  <c r="B152" i="7" s="1"/>
  <c r="V152" i="7"/>
  <c r="W152" i="7" s="1"/>
  <c r="X152" i="7" s="1"/>
  <c r="I152" i="7"/>
  <c r="J152" i="7" s="1"/>
  <c r="K152" i="7" s="1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F152" i="7"/>
  <c r="G152" i="7" s="1"/>
  <c r="H152" i="7" s="1"/>
  <c r="E152" i="7"/>
  <c r="D152" i="7"/>
  <c r="L151" i="7"/>
  <c r="M151" i="7" s="1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B151" i="7" s="1"/>
  <c r="I151" i="7"/>
  <c r="J151" i="7" s="1"/>
  <c r="K151" i="7" s="1"/>
  <c r="D151" i="7"/>
  <c r="E151" i="7" s="1"/>
  <c r="F151" i="7" s="1"/>
  <c r="G151" i="7" s="1"/>
  <c r="H151" i="7" s="1"/>
  <c r="E149" i="7"/>
  <c r="F149" i="7" s="1"/>
  <c r="G149" i="7" s="1"/>
  <c r="H149" i="7" s="1"/>
  <c r="I149" i="7" s="1"/>
  <c r="J149" i="7" s="1"/>
  <c r="K149" i="7" s="1"/>
  <c r="L149" i="7" s="1"/>
  <c r="M149" i="7" s="1"/>
  <c r="N149" i="7" s="1"/>
  <c r="O149" i="7" s="1"/>
  <c r="P149" i="7" s="1"/>
  <c r="Q149" i="7" s="1"/>
  <c r="R149" i="7" s="1"/>
  <c r="S149" i="7" s="1"/>
  <c r="T149" i="7" s="1"/>
  <c r="U149" i="7" s="1"/>
  <c r="V149" i="7" s="1"/>
  <c r="W149" i="7" s="1"/>
  <c r="X149" i="7" s="1"/>
  <c r="Y149" i="7" s="1"/>
  <c r="Z149" i="7" s="1"/>
  <c r="AA149" i="7" s="1"/>
  <c r="AB149" i="7" s="1"/>
  <c r="AC149" i="7" s="1"/>
  <c r="AD149" i="7" s="1"/>
  <c r="AE149" i="7" s="1"/>
  <c r="AF149" i="7" s="1"/>
  <c r="B149" i="7" s="1"/>
  <c r="D149" i="7"/>
  <c r="F148" i="7"/>
  <c r="G148" i="7" s="1"/>
  <c r="H148" i="7" s="1"/>
  <c r="I148" i="7" s="1"/>
  <c r="J148" i="7" s="1"/>
  <c r="K148" i="7" s="1"/>
  <c r="L148" i="7" s="1"/>
  <c r="M148" i="7" s="1"/>
  <c r="N148" i="7" s="1"/>
  <c r="O148" i="7" s="1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B148" i="7" s="1"/>
  <c r="E148" i="7"/>
  <c r="D148" i="7"/>
  <c r="E146" i="7"/>
  <c r="F146" i="7" s="1"/>
  <c r="G146" i="7" s="1"/>
  <c r="H146" i="7" s="1"/>
  <c r="I146" i="7" s="1"/>
  <c r="J146" i="7" s="1"/>
  <c r="K146" i="7" s="1"/>
  <c r="L146" i="7" s="1"/>
  <c r="M146" i="7" s="1"/>
  <c r="N146" i="7" s="1"/>
  <c r="O146" i="7" s="1"/>
  <c r="P146" i="7" s="1"/>
  <c r="Q146" i="7" s="1"/>
  <c r="R146" i="7" s="1"/>
  <c r="S146" i="7" s="1"/>
  <c r="T146" i="7" s="1"/>
  <c r="U146" i="7" s="1"/>
  <c r="V146" i="7" s="1"/>
  <c r="W146" i="7" s="1"/>
  <c r="X146" i="7" s="1"/>
  <c r="Y146" i="7" s="1"/>
  <c r="Z146" i="7" s="1"/>
  <c r="AA146" i="7" s="1"/>
  <c r="AB146" i="7" s="1"/>
  <c r="AC146" i="7" s="1"/>
  <c r="AD146" i="7" s="1"/>
  <c r="AE146" i="7" s="1"/>
  <c r="AF146" i="7" s="1"/>
  <c r="B146" i="7" s="1"/>
  <c r="D146" i="7"/>
  <c r="D145" i="7"/>
  <c r="E145" i="7" s="1"/>
  <c r="F145" i="7" s="1"/>
  <c r="G145" i="7" s="1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B145" i="7" s="1"/>
  <c r="P144" i="7"/>
  <c r="Q144" i="7" s="1"/>
  <c r="R144" i="7" s="1"/>
  <c r="S144" i="7" s="1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B144" i="7" s="1"/>
  <c r="D144" i="7"/>
  <c r="E144" i="7" s="1"/>
  <c r="F144" i="7" s="1"/>
  <c r="G144" i="7" s="1"/>
  <c r="H144" i="7" s="1"/>
  <c r="I144" i="7" s="1"/>
  <c r="J144" i="7" s="1"/>
  <c r="K144" i="7" s="1"/>
  <c r="L144" i="7" s="1"/>
  <c r="M144" i="7" s="1"/>
  <c r="N144" i="7" s="1"/>
  <c r="O144" i="7" s="1"/>
  <c r="D143" i="7"/>
  <c r="E143" i="7" s="1"/>
  <c r="F143" i="7" s="1"/>
  <c r="G143" i="7" s="1"/>
  <c r="H143" i="7" s="1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B143" i="7" s="1"/>
  <c r="R142" i="7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B142" i="7" s="1"/>
  <c r="D142" i="7"/>
  <c r="E142" i="7" s="1"/>
  <c r="F142" i="7" s="1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H141" i="7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B141" i="7" s="1"/>
  <c r="D141" i="7"/>
  <c r="E141" i="7" s="1"/>
  <c r="F141" i="7" s="1"/>
  <c r="G141" i="7" s="1"/>
  <c r="F140" i="7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R140" i="7" s="1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B140" i="7" s="1"/>
  <c r="E140" i="7"/>
  <c r="D140" i="7"/>
  <c r="G138" i="7"/>
  <c r="H138" i="7" s="1"/>
  <c r="I138" i="7" s="1"/>
  <c r="J138" i="7" s="1"/>
  <c r="K138" i="7" s="1"/>
  <c r="L138" i="7" s="1"/>
  <c r="M138" i="7" s="1"/>
  <c r="N138" i="7" s="1"/>
  <c r="O138" i="7" s="1"/>
  <c r="P138" i="7" s="1"/>
  <c r="Q138" i="7" s="1"/>
  <c r="R138" i="7" s="1"/>
  <c r="S138" i="7" s="1"/>
  <c r="T138" i="7" s="1"/>
  <c r="U138" i="7" s="1"/>
  <c r="V138" i="7" s="1"/>
  <c r="W138" i="7" s="1"/>
  <c r="X138" i="7" s="1"/>
  <c r="Y138" i="7" s="1"/>
  <c r="Z138" i="7" s="1"/>
  <c r="AA138" i="7" s="1"/>
  <c r="AB138" i="7" s="1"/>
  <c r="AC138" i="7" s="1"/>
  <c r="AD138" i="7" s="1"/>
  <c r="AE138" i="7" s="1"/>
  <c r="AF138" i="7" s="1"/>
  <c r="B138" i="7" s="1"/>
  <c r="F138" i="7"/>
  <c r="D138" i="7"/>
  <c r="E138" i="7" s="1"/>
  <c r="E137" i="7"/>
  <c r="F137" i="7" s="1"/>
  <c r="G137" i="7" s="1"/>
  <c r="H137" i="7" s="1"/>
  <c r="I137" i="7" s="1"/>
  <c r="J137" i="7" s="1"/>
  <c r="K137" i="7" s="1"/>
  <c r="L137" i="7" s="1"/>
  <c r="M137" i="7" s="1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B137" i="7" s="1"/>
  <c r="D137" i="7"/>
  <c r="H136" i="7"/>
  <c r="I136" i="7" s="1"/>
  <c r="J136" i="7" s="1"/>
  <c r="K136" i="7" s="1"/>
  <c r="L136" i="7" s="1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B136" i="7" s="1"/>
  <c r="D136" i="7"/>
  <c r="E136" i="7" s="1"/>
  <c r="F136" i="7" s="1"/>
  <c r="G136" i="7" s="1"/>
  <c r="Q135" i="7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B135" i="7" s="1"/>
  <c r="F135" i="7"/>
  <c r="G135" i="7" s="1"/>
  <c r="H135" i="7" s="1"/>
  <c r="I135" i="7" s="1"/>
  <c r="J135" i="7" s="1"/>
  <c r="K135" i="7" s="1"/>
  <c r="L135" i="7" s="1"/>
  <c r="M135" i="7" s="1"/>
  <c r="N135" i="7" s="1"/>
  <c r="O135" i="7" s="1"/>
  <c r="P135" i="7" s="1"/>
  <c r="D135" i="7"/>
  <c r="E135" i="7" s="1"/>
  <c r="F134" i="7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B134" i="7" s="1"/>
  <c r="D134" i="7"/>
  <c r="E134" i="7" s="1"/>
  <c r="N133" i="7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B133" i="7" s="1"/>
  <c r="E133" i="7"/>
  <c r="F133" i="7" s="1"/>
  <c r="G133" i="7" s="1"/>
  <c r="H133" i="7" s="1"/>
  <c r="I133" i="7" s="1"/>
  <c r="J133" i="7" s="1"/>
  <c r="K133" i="7" s="1"/>
  <c r="L133" i="7" s="1"/>
  <c r="M133" i="7" s="1"/>
  <c r="D133" i="7"/>
  <c r="J132" i="7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B132" i="7" s="1"/>
  <c r="E132" i="7"/>
  <c r="F132" i="7" s="1"/>
  <c r="G132" i="7" s="1"/>
  <c r="H132" i="7" s="1"/>
  <c r="I132" i="7" s="1"/>
  <c r="D132" i="7"/>
  <c r="E131" i="7"/>
  <c r="F131" i="7" s="1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B131" i="7" s="1"/>
  <c r="D131" i="7"/>
  <c r="F129" i="7"/>
  <c r="G129" i="7" s="1"/>
  <c r="H129" i="7" s="1"/>
  <c r="I129" i="7" s="1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B129" i="7" s="1"/>
  <c r="D129" i="7"/>
  <c r="E129" i="7" s="1"/>
  <c r="F128" i="7"/>
  <c r="G128" i="7" s="1"/>
  <c r="H128" i="7" s="1"/>
  <c r="I128" i="7" s="1"/>
  <c r="J128" i="7" s="1"/>
  <c r="K128" i="7" s="1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B128" i="7" s="1"/>
  <c r="E128" i="7"/>
  <c r="D128" i="7"/>
  <c r="AC127" i="7"/>
  <c r="AD127" i="7" s="1"/>
  <c r="AE127" i="7" s="1"/>
  <c r="AF127" i="7" s="1"/>
  <c r="B127" i="7" s="1"/>
  <c r="D127" i="7"/>
  <c r="E127" i="7" s="1"/>
  <c r="F127" i="7" s="1"/>
  <c r="G127" i="7" s="1"/>
  <c r="H127" i="7" s="1"/>
  <c r="I127" i="7" s="1"/>
  <c r="J127" i="7" s="1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6" i="7"/>
  <c r="AD126" i="7" s="1"/>
  <c r="AE126" i="7" s="1"/>
  <c r="AF126" i="7" s="1"/>
  <c r="B126" i="7" s="1"/>
  <c r="D126" i="7"/>
  <c r="E126" i="7" s="1"/>
  <c r="F126" i="7" s="1"/>
  <c r="G126" i="7" s="1"/>
  <c r="H126" i="7" s="1"/>
  <c r="I126" i="7" s="1"/>
  <c r="J126" i="7" s="1"/>
  <c r="K126" i="7" s="1"/>
  <c r="L126" i="7" s="1"/>
  <c r="M126" i="7" s="1"/>
  <c r="N126" i="7" s="1"/>
  <c r="O126" i="7" s="1"/>
  <c r="P126" i="7" s="1"/>
  <c r="Q126" i="7" s="1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D125" i="7"/>
  <c r="E125" i="7" s="1"/>
  <c r="F125" i="7" s="1"/>
  <c r="G125" i="7" s="1"/>
  <c r="H125" i="7" s="1"/>
  <c r="I125" i="7" s="1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B125" i="7" s="1"/>
  <c r="G124" i="7"/>
  <c r="H124" i="7" s="1"/>
  <c r="I124" i="7" s="1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B124" i="7" s="1"/>
  <c r="F124" i="7"/>
  <c r="E124" i="7"/>
  <c r="D124" i="7"/>
  <c r="U123" i="7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B123" i="7" s="1"/>
  <c r="E123" i="7"/>
  <c r="F123" i="7" s="1"/>
  <c r="G123" i="7" s="1"/>
  <c r="H123" i="7" s="1"/>
  <c r="I123" i="7" s="1"/>
  <c r="J123" i="7" s="1"/>
  <c r="K123" i="7" s="1"/>
  <c r="L123" i="7" s="1"/>
  <c r="M123" i="7" s="1"/>
  <c r="N123" i="7" s="1"/>
  <c r="O123" i="7" s="1"/>
  <c r="P123" i="7" s="1"/>
  <c r="Q123" i="7" s="1"/>
  <c r="R123" i="7" s="1"/>
  <c r="S123" i="7" s="1"/>
  <c r="T123" i="7" s="1"/>
  <c r="D123" i="7"/>
  <c r="D122" i="7"/>
  <c r="E122" i="7" s="1"/>
  <c r="F122" i="7" s="1"/>
  <c r="G122" i="7" s="1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B122" i="7" s="1"/>
  <c r="Y121" i="7"/>
  <c r="Z121" i="7" s="1"/>
  <c r="AA121" i="7" s="1"/>
  <c r="AB121" i="7" s="1"/>
  <c r="AC121" i="7" s="1"/>
  <c r="AD121" i="7" s="1"/>
  <c r="AE121" i="7" s="1"/>
  <c r="AF121" i="7" s="1"/>
  <c r="B121" i="7" s="1"/>
  <c r="G121" i="7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F121" i="7"/>
  <c r="E121" i="7"/>
  <c r="D121" i="7"/>
  <c r="E120" i="7"/>
  <c r="F120" i="7" s="1"/>
  <c r="G120" i="7" s="1"/>
  <c r="H120" i="7" s="1"/>
  <c r="I120" i="7" s="1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B120" i="7" s="1"/>
  <c r="D120" i="7"/>
  <c r="S119" i="7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B119" i="7" s="1"/>
  <c r="F119" i="7"/>
  <c r="G119" i="7" s="1"/>
  <c r="H119" i="7" s="1"/>
  <c r="I119" i="7" s="1"/>
  <c r="J119" i="7" s="1"/>
  <c r="K119" i="7" s="1"/>
  <c r="L119" i="7" s="1"/>
  <c r="M119" i="7" s="1"/>
  <c r="N119" i="7" s="1"/>
  <c r="O119" i="7" s="1"/>
  <c r="P119" i="7" s="1"/>
  <c r="Q119" i="7" s="1"/>
  <c r="R119" i="7" s="1"/>
  <c r="E119" i="7"/>
  <c r="D119" i="7"/>
  <c r="H118" i="7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B118" i="7" s="1"/>
  <c r="D118" i="7"/>
  <c r="E118" i="7" s="1"/>
  <c r="F118" i="7" s="1"/>
  <c r="G118" i="7" s="1"/>
  <c r="F117" i="7"/>
  <c r="G117" i="7" s="1"/>
  <c r="H117" i="7" s="1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B117" i="7" s="1"/>
  <c r="E117" i="7"/>
  <c r="D117" i="7"/>
  <c r="D116" i="7"/>
  <c r="E116" i="7" s="1"/>
  <c r="F116" i="7" s="1"/>
  <c r="G116" i="7" s="1"/>
  <c r="H116" i="7" s="1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B116" i="7" s="1"/>
  <c r="R115" i="7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B115" i="7" s="1"/>
  <c r="E115" i="7"/>
  <c r="F115" i="7" s="1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D115" i="7"/>
  <c r="K114" i="7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B114" i="7" s="1"/>
  <c r="G114" i="7"/>
  <c r="H114" i="7" s="1"/>
  <c r="I114" i="7" s="1"/>
  <c r="D114" i="7"/>
  <c r="E114" i="7" s="1"/>
  <c r="F114" i="7" s="1"/>
  <c r="E113" i="7"/>
  <c r="F113" i="7" s="1"/>
  <c r="G113" i="7" s="1"/>
  <c r="H113" i="7" s="1"/>
  <c r="I113" i="7" s="1"/>
  <c r="J113" i="7" s="1"/>
  <c r="K113" i="7" s="1"/>
  <c r="L113" i="7" s="1"/>
  <c r="M113" i="7" s="1"/>
  <c r="N113" i="7" s="1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B113" i="7" s="1"/>
  <c r="D113" i="7"/>
  <c r="G112" i="7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B112" i="7" s="1"/>
  <c r="D112" i="7"/>
  <c r="E112" i="7" s="1"/>
  <c r="F112" i="7" s="1"/>
  <c r="I110" i="7"/>
  <c r="J110" i="7" s="1"/>
  <c r="K110" i="7" s="1"/>
  <c r="L110" i="7" s="1"/>
  <c r="M110" i="7" s="1"/>
  <c r="N110" i="7" s="1"/>
  <c r="O110" i="7" s="1"/>
  <c r="P110" i="7" s="1"/>
  <c r="Q110" i="7" s="1"/>
  <c r="R110" i="7" s="1"/>
  <c r="S110" i="7" s="1"/>
  <c r="T110" i="7" s="1"/>
  <c r="U110" i="7" s="1"/>
  <c r="V110" i="7" s="1"/>
  <c r="W110" i="7" s="1"/>
  <c r="X110" i="7" s="1"/>
  <c r="Y110" i="7" s="1"/>
  <c r="Z110" i="7" s="1"/>
  <c r="AA110" i="7" s="1"/>
  <c r="AB110" i="7" s="1"/>
  <c r="AC110" i="7" s="1"/>
  <c r="AD110" i="7" s="1"/>
  <c r="AE110" i="7" s="1"/>
  <c r="AF110" i="7" s="1"/>
  <c r="B110" i="7" s="1"/>
  <c r="E110" i="7"/>
  <c r="F110" i="7" s="1"/>
  <c r="G110" i="7" s="1"/>
  <c r="H110" i="7" s="1"/>
  <c r="D110" i="7"/>
  <c r="L109" i="7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B109" i="7" s="1"/>
  <c r="D109" i="7"/>
  <c r="E109" i="7" s="1"/>
  <c r="F109" i="7" s="1"/>
  <c r="G109" i="7" s="1"/>
  <c r="H109" i="7" s="1"/>
  <c r="I109" i="7" s="1"/>
  <c r="J109" i="7" s="1"/>
  <c r="K109" i="7" s="1"/>
  <c r="E107" i="7"/>
  <c r="F107" i="7" s="1"/>
  <c r="G107" i="7" s="1"/>
  <c r="H107" i="7" s="1"/>
  <c r="I107" i="7" s="1"/>
  <c r="J107" i="7" s="1"/>
  <c r="K107" i="7" s="1"/>
  <c r="L107" i="7" s="1"/>
  <c r="M107" i="7" s="1"/>
  <c r="N107" i="7" s="1"/>
  <c r="O107" i="7" s="1"/>
  <c r="P107" i="7" s="1"/>
  <c r="Q107" i="7" s="1"/>
  <c r="R107" i="7" s="1"/>
  <c r="S107" i="7" s="1"/>
  <c r="T107" i="7" s="1"/>
  <c r="U107" i="7" s="1"/>
  <c r="V107" i="7" s="1"/>
  <c r="W107" i="7" s="1"/>
  <c r="X107" i="7" s="1"/>
  <c r="Y107" i="7" s="1"/>
  <c r="Z107" i="7" s="1"/>
  <c r="AA107" i="7" s="1"/>
  <c r="AB107" i="7" s="1"/>
  <c r="AC107" i="7" s="1"/>
  <c r="AD107" i="7" s="1"/>
  <c r="AE107" i="7" s="1"/>
  <c r="AF107" i="7" s="1"/>
  <c r="B107" i="7" s="1"/>
  <c r="D107" i="7"/>
  <c r="D106" i="7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B106" i="7" s="1"/>
  <c r="J105" i="7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B105" i="7" s="1"/>
  <c r="D105" i="7"/>
  <c r="E105" i="7" s="1"/>
  <c r="F105" i="7" s="1"/>
  <c r="G105" i="7" s="1"/>
  <c r="H105" i="7" s="1"/>
  <c r="I105" i="7" s="1"/>
  <c r="F104" i="7"/>
  <c r="G104" i="7" s="1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B104" i="7" s="1"/>
  <c r="D104" i="7"/>
  <c r="E104" i="7" s="1"/>
  <c r="D103" i="7"/>
  <c r="E103" i="7" s="1"/>
  <c r="F103" i="7" s="1"/>
  <c r="D102" i="7"/>
  <c r="AH98" i="7"/>
  <c r="AI98" i="7" s="1"/>
  <c r="AH97" i="7"/>
  <c r="AI97" i="7" s="1"/>
  <c r="AH96" i="7"/>
  <c r="AI96" i="7" s="1"/>
  <c r="AH95" i="7"/>
  <c r="AI95" i="7" s="1"/>
  <c r="AH94" i="7"/>
  <c r="AI94" i="7" s="1"/>
  <c r="C93" i="7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G82" i="7"/>
  <c r="AI81" i="7"/>
  <c r="AH81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Q82" i="7" s="1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F76" i="7"/>
  <c r="AF82" i="7" s="1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O82" i="7" s="1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I74" i="7"/>
  <c r="AH74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I71" i="7"/>
  <c r="AH71" i="7"/>
  <c r="AI70" i="7"/>
  <c r="AH70" i="7"/>
  <c r="AI69" i="7"/>
  <c r="AH69" i="7"/>
  <c r="AG68" i="7"/>
  <c r="AF68" i="7"/>
  <c r="AE68" i="7"/>
  <c r="AD68" i="7"/>
  <c r="AC5" i="7" s="1"/>
  <c r="AC68" i="7"/>
  <c r="AB5" i="7" s="1"/>
  <c r="AB68" i="7"/>
  <c r="AA5" i="7" s="1"/>
  <c r="AA68" i="7"/>
  <c r="Z5" i="7" s="1"/>
  <c r="Z68" i="7"/>
  <c r="Y68" i="7"/>
  <c r="X68" i="7"/>
  <c r="W5" i="7" s="1"/>
  <c r="W68" i="7"/>
  <c r="V68" i="7"/>
  <c r="U5" i="7" s="1"/>
  <c r="U68" i="7"/>
  <c r="T5" i="7" s="1"/>
  <c r="T68" i="7"/>
  <c r="S5" i="7" s="1"/>
  <c r="S68" i="7"/>
  <c r="R5" i="7" s="1"/>
  <c r="R68" i="7"/>
  <c r="Q68" i="7"/>
  <c r="P5" i="7" s="1"/>
  <c r="P68" i="7"/>
  <c r="O5" i="7" s="1"/>
  <c r="O68" i="7"/>
  <c r="N68" i="7"/>
  <c r="M5" i="7" s="1"/>
  <c r="M68" i="7"/>
  <c r="L5" i="7" s="1"/>
  <c r="L68" i="7"/>
  <c r="K5" i="7" s="1"/>
  <c r="K68" i="7"/>
  <c r="J5" i="7" s="1"/>
  <c r="J68" i="7"/>
  <c r="I68" i="7"/>
  <c r="H68" i="7"/>
  <c r="G68" i="7"/>
  <c r="F68" i="7"/>
  <c r="E5" i="7" s="1"/>
  <c r="E68" i="7"/>
  <c r="D68" i="7"/>
  <c r="C5" i="7" s="1"/>
  <c r="C68" i="7"/>
  <c r="B68" i="7"/>
  <c r="AF5" i="7" s="1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I55" i="7"/>
  <c r="AH55" i="7"/>
  <c r="AI54" i="7"/>
  <c r="AH54" i="7"/>
  <c r="AI53" i="7"/>
  <c r="AH53" i="7"/>
  <c r="Z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G51" i="7"/>
  <c r="AG52" i="7" s="1"/>
  <c r="AG75" i="7" s="1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G38" i="7"/>
  <c r="AG2" i="7" s="1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E75" i="7" s="1"/>
  <c r="W214" i="7" s="1"/>
  <c r="D38" i="7"/>
  <c r="C38" i="7"/>
  <c r="B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X5" i="7"/>
  <c r="H5" i="7"/>
  <c r="G5" i="7"/>
  <c r="D5" i="7"/>
  <c r="B5" i="7"/>
  <c r="AG4" i="7"/>
  <c r="K4" i="7"/>
  <c r="B4" i="7"/>
  <c r="AA68" i="6"/>
  <c r="AA72" i="6"/>
  <c r="AA73" i="6"/>
  <c r="AA68" i="5"/>
  <c r="AA72" i="5"/>
  <c r="AA73" i="5"/>
  <c r="AA68" i="4"/>
  <c r="AA73" i="4" s="1"/>
  <c r="AA72" i="4"/>
  <c r="AA68" i="3"/>
  <c r="AA72" i="3"/>
  <c r="AA73" i="3"/>
  <c r="AA68" i="1"/>
  <c r="AA72" i="1"/>
  <c r="AA73" i="1"/>
  <c r="V37" i="1"/>
  <c r="V37" i="3"/>
  <c r="V37" i="4"/>
  <c r="V37" i="5"/>
  <c r="V37" i="6"/>
  <c r="E4" i="7"/>
  <c r="K200" i="10" l="1"/>
  <c r="L194" i="10"/>
  <c r="L109" i="10"/>
  <c r="K192" i="10"/>
  <c r="L102" i="10"/>
  <c r="P103" i="10"/>
  <c r="K235" i="10"/>
  <c r="M199" i="10"/>
  <c r="J235" i="9"/>
  <c r="L199" i="9"/>
  <c r="K93" i="9"/>
  <c r="K200" i="9"/>
  <c r="L200" i="9"/>
  <c r="M194" i="9"/>
  <c r="N103" i="9"/>
  <c r="L192" i="9"/>
  <c r="M102" i="9"/>
  <c r="K6" i="8"/>
  <c r="L103" i="8"/>
  <c r="H200" i="8"/>
  <c r="I194" i="8"/>
  <c r="F192" i="8"/>
  <c r="G102" i="8"/>
  <c r="I149" i="8"/>
  <c r="H93" i="8"/>
  <c r="J199" i="8"/>
  <c r="H235" i="8"/>
  <c r="AE82" i="7"/>
  <c r="AB82" i="7"/>
  <c r="AA82" i="7"/>
  <c r="Z82" i="7"/>
  <c r="Y82" i="7"/>
  <c r="X82" i="7"/>
  <c r="W82" i="7"/>
  <c r="T82" i="7"/>
  <c r="T73" i="7"/>
  <c r="T75" i="7"/>
  <c r="AL214" i="7" s="1"/>
  <c r="S82" i="7"/>
  <c r="R82" i="7"/>
  <c r="Q73" i="7"/>
  <c r="P82" i="7"/>
  <c r="P73" i="7"/>
  <c r="N73" i="7"/>
  <c r="M75" i="7"/>
  <c r="AE214" i="7" s="1"/>
  <c r="M73" i="7"/>
  <c r="L82" i="7"/>
  <c r="L73" i="7"/>
  <c r="L75" i="7"/>
  <c r="L7" i="7" s="1"/>
  <c r="K82" i="7"/>
  <c r="J82" i="7"/>
  <c r="I82" i="7"/>
  <c r="I73" i="7"/>
  <c r="I75" i="7"/>
  <c r="I7" i="7" s="1"/>
  <c r="H82" i="7"/>
  <c r="H73" i="7"/>
  <c r="G82" i="7"/>
  <c r="AH78" i="7"/>
  <c r="E73" i="7"/>
  <c r="D82" i="7"/>
  <c r="D73" i="7"/>
  <c r="D75" i="7"/>
  <c r="V214" i="7" s="1"/>
  <c r="AI76" i="7"/>
  <c r="C82" i="7"/>
  <c r="F73" i="7"/>
  <c r="E7" i="7"/>
  <c r="AH77" i="7"/>
  <c r="AI38" i="7"/>
  <c r="H4" i="7"/>
  <c r="G103" i="7"/>
  <c r="F93" i="7"/>
  <c r="D192" i="7"/>
  <c r="E102" i="7"/>
  <c r="F5" i="7"/>
  <c r="G73" i="7"/>
  <c r="V5" i="7"/>
  <c r="H75" i="7"/>
  <c r="E82" i="7"/>
  <c r="M82" i="7"/>
  <c r="U82" i="7"/>
  <c r="AC82" i="7"/>
  <c r="AE5" i="7"/>
  <c r="AI72" i="7"/>
  <c r="AH72" i="7"/>
  <c r="Z75" i="7"/>
  <c r="F82" i="7"/>
  <c r="N82" i="7"/>
  <c r="V82" i="7"/>
  <c r="AD82" i="7"/>
  <c r="J73" i="7"/>
  <c r="I5" i="7"/>
  <c r="Z73" i="7"/>
  <c r="Y5" i="7"/>
  <c r="AI56" i="7"/>
  <c r="AH56" i="7"/>
  <c r="C73" i="7"/>
  <c r="C75" i="7" s="1"/>
  <c r="K73" i="7"/>
  <c r="S73" i="7"/>
  <c r="J75" i="7"/>
  <c r="AI80" i="7"/>
  <c r="N5" i="7"/>
  <c r="O73" i="7"/>
  <c r="P75" i="7"/>
  <c r="AG3" i="7"/>
  <c r="AG6" i="7" s="1"/>
  <c r="AG73" i="7"/>
  <c r="AG83" i="7" s="1"/>
  <c r="AI68" i="7"/>
  <c r="R73" i="7"/>
  <c r="Q5" i="7"/>
  <c r="AH68" i="7"/>
  <c r="AI79" i="7"/>
  <c r="AD5" i="7"/>
  <c r="Q75" i="7"/>
  <c r="Q83" i="7" s="1"/>
  <c r="B82" i="7"/>
  <c r="AH76" i="7"/>
  <c r="AI77" i="7"/>
  <c r="AI78" i="7"/>
  <c r="AH38" i="7"/>
  <c r="G75" i="7"/>
  <c r="O75" i="7"/>
  <c r="R75" i="7"/>
  <c r="E93" i="7"/>
  <c r="K75" i="7"/>
  <c r="S75" i="7"/>
  <c r="F75" i="7"/>
  <c r="N75" i="7"/>
  <c r="AH79" i="7"/>
  <c r="S211" i="7"/>
  <c r="D211" i="7"/>
  <c r="AH80" i="7"/>
  <c r="D93" i="7"/>
  <c r="F235" i="7"/>
  <c r="H199" i="7"/>
  <c r="D235" i="7"/>
  <c r="F194" i="7"/>
  <c r="E200" i="7"/>
  <c r="R95" i="6"/>
  <c r="R37" i="6"/>
  <c r="Q95" i="6"/>
  <c r="Q37" i="6"/>
  <c r="P95" i="6"/>
  <c r="P37" i="6"/>
  <c r="Q103" i="10" l="1"/>
  <c r="L192" i="10"/>
  <c r="M102" i="10"/>
  <c r="M109" i="10"/>
  <c r="N199" i="10"/>
  <c r="L235" i="10"/>
  <c r="L200" i="10"/>
  <c r="M194" i="10"/>
  <c r="O103" i="9"/>
  <c r="N194" i="9"/>
  <c r="M192" i="9"/>
  <c r="N102" i="9"/>
  <c r="K235" i="9"/>
  <c r="M199" i="9"/>
  <c r="L93" i="9"/>
  <c r="J149" i="8"/>
  <c r="I93" i="8"/>
  <c r="J194" i="8"/>
  <c r="I200" i="8"/>
  <c r="I235" i="8"/>
  <c r="K199" i="8"/>
  <c r="M103" i="8"/>
  <c r="G192" i="8"/>
  <c r="H102" i="8"/>
  <c r="Z83" i="7"/>
  <c r="T7" i="7"/>
  <c r="T83" i="7"/>
  <c r="S83" i="7"/>
  <c r="R83" i="7"/>
  <c r="P83" i="7"/>
  <c r="H83" i="7"/>
  <c r="N83" i="7"/>
  <c r="M7" i="7"/>
  <c r="M83" i="7"/>
  <c r="L83" i="7"/>
  <c r="AD214" i="7"/>
  <c r="J83" i="7"/>
  <c r="AA214" i="7"/>
  <c r="I83" i="7"/>
  <c r="D83" i="7"/>
  <c r="E83" i="7"/>
  <c r="D7" i="7"/>
  <c r="G83" i="7"/>
  <c r="K83" i="7"/>
  <c r="C83" i="7"/>
  <c r="X214" i="7"/>
  <c r="F7" i="7"/>
  <c r="AH82" i="7"/>
  <c r="AI82" i="7"/>
  <c r="Y214" i="7"/>
  <c r="C209" i="7"/>
  <c r="B209" i="7"/>
  <c r="G7" i="7"/>
  <c r="O83" i="7"/>
  <c r="E192" i="7"/>
  <c r="F102" i="7"/>
  <c r="AG214" i="7"/>
  <c r="O7" i="7"/>
  <c r="AK214" i="7"/>
  <c r="S7" i="7"/>
  <c r="G194" i="7"/>
  <c r="F200" i="7"/>
  <c r="AC214" i="7"/>
  <c r="K7" i="7"/>
  <c r="AR214" i="7"/>
  <c r="Z7" i="7"/>
  <c r="AI214" i="7"/>
  <c r="Q7" i="7"/>
  <c r="AH214" i="7"/>
  <c r="P7" i="7"/>
  <c r="AB214" i="7"/>
  <c r="J7" i="7"/>
  <c r="U214" i="7"/>
  <c r="C7" i="7"/>
  <c r="Z214" i="7"/>
  <c r="H7" i="7"/>
  <c r="AF214" i="7"/>
  <c r="N7" i="7"/>
  <c r="H103" i="7"/>
  <c r="G93" i="7"/>
  <c r="G235" i="7"/>
  <c r="I199" i="7"/>
  <c r="AJ214" i="7"/>
  <c r="R7" i="7"/>
  <c r="F83" i="7"/>
  <c r="AK88" i="6"/>
  <c r="AH100" i="6"/>
  <c r="AI100" i="6" s="1"/>
  <c r="AH99" i="6"/>
  <c r="AI99" i="6" s="1"/>
  <c r="AF239" i="6"/>
  <c r="AE239" i="6"/>
  <c r="AD239" i="6"/>
  <c r="AC239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F239" i="6"/>
  <c r="E239" i="6"/>
  <c r="D239" i="6"/>
  <c r="C239" i="6"/>
  <c r="B239" i="6"/>
  <c r="A239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C235" i="6"/>
  <c r="B235" i="6"/>
  <c r="S210" i="6"/>
  <c r="AG200" i="6"/>
  <c r="C200" i="6"/>
  <c r="D199" i="6"/>
  <c r="E199" i="6" s="1"/>
  <c r="D198" i="6"/>
  <c r="E198" i="6" s="1"/>
  <c r="F198" i="6" s="1"/>
  <c r="G198" i="6" s="1"/>
  <c r="H198" i="6" s="1"/>
  <c r="I198" i="6" s="1"/>
  <c r="J198" i="6" s="1"/>
  <c r="K198" i="6" s="1"/>
  <c r="L198" i="6" s="1"/>
  <c r="M198" i="6" s="1"/>
  <c r="N198" i="6" s="1"/>
  <c r="O198" i="6" s="1"/>
  <c r="P198" i="6" s="1"/>
  <c r="Q198" i="6" s="1"/>
  <c r="R198" i="6" s="1"/>
  <c r="S198" i="6" s="1"/>
  <c r="T198" i="6" s="1"/>
  <c r="U198" i="6" s="1"/>
  <c r="V198" i="6" s="1"/>
  <c r="W198" i="6" s="1"/>
  <c r="X198" i="6" s="1"/>
  <c r="Y198" i="6" s="1"/>
  <c r="Z198" i="6" s="1"/>
  <c r="AA198" i="6" s="1"/>
  <c r="AB198" i="6" s="1"/>
  <c r="AC198" i="6" s="1"/>
  <c r="AD198" i="6" s="1"/>
  <c r="AE198" i="6" s="1"/>
  <c r="AF198" i="6" s="1"/>
  <c r="B198" i="6" s="1"/>
  <c r="E197" i="6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B197" i="6" s="1"/>
  <c r="D197" i="6"/>
  <c r="H196" i="6"/>
  <c r="I196" i="6" s="1"/>
  <c r="J196" i="6" s="1"/>
  <c r="K196" i="6" s="1"/>
  <c r="L196" i="6" s="1"/>
  <c r="M196" i="6" s="1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B196" i="6" s="1"/>
  <c r="E196" i="6"/>
  <c r="F196" i="6" s="1"/>
  <c r="G196" i="6" s="1"/>
  <c r="D196" i="6"/>
  <c r="H195" i="6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B195" i="6" s="1"/>
  <c r="D195" i="6"/>
  <c r="E195" i="6" s="1"/>
  <c r="F195" i="6" s="1"/>
  <c r="G195" i="6" s="1"/>
  <c r="D194" i="6"/>
  <c r="AG192" i="6"/>
  <c r="C192" i="6"/>
  <c r="D191" i="6"/>
  <c r="E191" i="6" s="1"/>
  <c r="F191" i="6" s="1"/>
  <c r="G191" i="6" s="1"/>
  <c r="H191" i="6" s="1"/>
  <c r="I191" i="6" s="1"/>
  <c r="J191" i="6" s="1"/>
  <c r="K191" i="6" s="1"/>
  <c r="L191" i="6" s="1"/>
  <c r="M191" i="6" s="1"/>
  <c r="N191" i="6" s="1"/>
  <c r="O191" i="6" s="1"/>
  <c r="P191" i="6" s="1"/>
  <c r="Q191" i="6" s="1"/>
  <c r="R191" i="6" s="1"/>
  <c r="S191" i="6" s="1"/>
  <c r="T191" i="6" s="1"/>
  <c r="U191" i="6" s="1"/>
  <c r="V191" i="6" s="1"/>
  <c r="W191" i="6" s="1"/>
  <c r="X191" i="6" s="1"/>
  <c r="Y191" i="6" s="1"/>
  <c r="Z191" i="6" s="1"/>
  <c r="AA191" i="6" s="1"/>
  <c r="AB191" i="6" s="1"/>
  <c r="AC191" i="6" s="1"/>
  <c r="AD191" i="6" s="1"/>
  <c r="AE191" i="6" s="1"/>
  <c r="AF191" i="6" s="1"/>
  <c r="B191" i="6" s="1"/>
  <c r="I190" i="6"/>
  <c r="J190" i="6" s="1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Z190" i="6" s="1"/>
  <c r="AA190" i="6" s="1"/>
  <c r="AB190" i="6" s="1"/>
  <c r="AC190" i="6" s="1"/>
  <c r="AD190" i="6" s="1"/>
  <c r="AE190" i="6" s="1"/>
  <c r="AF190" i="6" s="1"/>
  <c r="B190" i="6" s="1"/>
  <c r="H190" i="6"/>
  <c r="E190" i="6"/>
  <c r="F190" i="6" s="1"/>
  <c r="G190" i="6" s="1"/>
  <c r="D190" i="6"/>
  <c r="G189" i="6"/>
  <c r="H189" i="6" s="1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B189" i="6" s="1"/>
  <c r="F189" i="6"/>
  <c r="D189" i="6"/>
  <c r="E189" i="6" s="1"/>
  <c r="AC188" i="6"/>
  <c r="AD188" i="6" s="1"/>
  <c r="AE188" i="6" s="1"/>
  <c r="AF188" i="6" s="1"/>
  <c r="B188" i="6" s="1"/>
  <c r="E188" i="6"/>
  <c r="F188" i="6" s="1"/>
  <c r="G188" i="6" s="1"/>
  <c r="H188" i="6" s="1"/>
  <c r="I188" i="6" s="1"/>
  <c r="J188" i="6" s="1"/>
  <c r="K188" i="6" s="1"/>
  <c r="L188" i="6" s="1"/>
  <c r="M188" i="6" s="1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D188" i="6"/>
  <c r="G187" i="6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E187" i="6"/>
  <c r="F187" i="6" s="1"/>
  <c r="D187" i="6"/>
  <c r="B187" i="6"/>
  <c r="V186" i="6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B186" i="6" s="1"/>
  <c r="E186" i="6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D186" i="6"/>
  <c r="D185" i="6"/>
  <c r="E185" i="6" s="1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B185" i="6" s="1"/>
  <c r="Q184" i="6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B184" i="6" s="1"/>
  <c r="F184" i="6"/>
  <c r="G184" i="6" s="1"/>
  <c r="H184" i="6" s="1"/>
  <c r="I184" i="6" s="1"/>
  <c r="J184" i="6" s="1"/>
  <c r="K184" i="6" s="1"/>
  <c r="L184" i="6" s="1"/>
  <c r="M184" i="6" s="1"/>
  <c r="N184" i="6" s="1"/>
  <c r="O184" i="6" s="1"/>
  <c r="P184" i="6" s="1"/>
  <c r="E184" i="6"/>
  <c r="D184" i="6"/>
  <c r="D183" i="6"/>
  <c r="E183" i="6" s="1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B183" i="6" s="1"/>
  <c r="M182" i="6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B182" i="6" s="1"/>
  <c r="E182" i="6"/>
  <c r="F182" i="6" s="1"/>
  <c r="G182" i="6" s="1"/>
  <c r="H182" i="6" s="1"/>
  <c r="I182" i="6" s="1"/>
  <c r="J182" i="6" s="1"/>
  <c r="K182" i="6" s="1"/>
  <c r="L182" i="6" s="1"/>
  <c r="D182" i="6"/>
  <c r="D181" i="6"/>
  <c r="E181" i="6" s="1"/>
  <c r="F181" i="6" s="1"/>
  <c r="G181" i="6" s="1"/>
  <c r="H181" i="6" s="1"/>
  <c r="I181" i="6" s="1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B181" i="6" s="1"/>
  <c r="F180" i="6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B180" i="6" s="1"/>
  <c r="E180" i="6"/>
  <c r="D180" i="6"/>
  <c r="U179" i="6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B179" i="6" s="1"/>
  <c r="O179" i="6"/>
  <c r="P179" i="6" s="1"/>
  <c r="Q179" i="6" s="1"/>
  <c r="R179" i="6" s="1"/>
  <c r="S179" i="6" s="1"/>
  <c r="T179" i="6" s="1"/>
  <c r="E179" i="6"/>
  <c r="F179" i="6" s="1"/>
  <c r="G179" i="6" s="1"/>
  <c r="H179" i="6" s="1"/>
  <c r="I179" i="6" s="1"/>
  <c r="J179" i="6" s="1"/>
  <c r="K179" i="6" s="1"/>
  <c r="L179" i="6" s="1"/>
  <c r="M179" i="6" s="1"/>
  <c r="N179" i="6" s="1"/>
  <c r="D179" i="6"/>
  <c r="H177" i="6"/>
  <c r="I177" i="6" s="1"/>
  <c r="J177" i="6" s="1"/>
  <c r="K177" i="6" s="1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A177" i="6" s="1"/>
  <c r="AB177" i="6" s="1"/>
  <c r="AC177" i="6" s="1"/>
  <c r="AD177" i="6" s="1"/>
  <c r="AE177" i="6" s="1"/>
  <c r="AF177" i="6" s="1"/>
  <c r="B177" i="6" s="1"/>
  <c r="F177" i="6"/>
  <c r="G177" i="6" s="1"/>
  <c r="E177" i="6"/>
  <c r="D177" i="6"/>
  <c r="F176" i="6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B176" i="6" s="1"/>
  <c r="D176" i="6"/>
  <c r="E176" i="6" s="1"/>
  <c r="O175" i="6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B175" i="6" s="1"/>
  <c r="D175" i="6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E174" i="6"/>
  <c r="F174" i="6" s="1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B174" i="6" s="1"/>
  <c r="D174" i="6"/>
  <c r="AA173" i="6"/>
  <c r="AB173" i="6" s="1"/>
  <c r="AC173" i="6" s="1"/>
  <c r="AD173" i="6" s="1"/>
  <c r="AE173" i="6" s="1"/>
  <c r="AF173" i="6" s="1"/>
  <c r="B173" i="6" s="1"/>
  <c r="P173" i="6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K173" i="6"/>
  <c r="L173" i="6" s="1"/>
  <c r="M173" i="6" s="1"/>
  <c r="N173" i="6" s="1"/>
  <c r="O173" i="6" s="1"/>
  <c r="F173" i="6"/>
  <c r="G173" i="6" s="1"/>
  <c r="H173" i="6" s="1"/>
  <c r="I173" i="6" s="1"/>
  <c r="J173" i="6" s="1"/>
  <c r="E173" i="6"/>
  <c r="D173" i="6"/>
  <c r="Q172" i="6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B172" i="6" s="1"/>
  <c r="N172" i="6"/>
  <c r="O172" i="6" s="1"/>
  <c r="P172" i="6" s="1"/>
  <c r="F172" i="6"/>
  <c r="G172" i="6" s="1"/>
  <c r="H172" i="6" s="1"/>
  <c r="I172" i="6" s="1"/>
  <c r="J172" i="6" s="1"/>
  <c r="K172" i="6" s="1"/>
  <c r="L172" i="6" s="1"/>
  <c r="M172" i="6" s="1"/>
  <c r="D172" i="6"/>
  <c r="E172" i="6" s="1"/>
  <c r="D171" i="6"/>
  <c r="E171" i="6" s="1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B171" i="6" s="1"/>
  <c r="D170" i="6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B170" i="6" s="1"/>
  <c r="AA168" i="6"/>
  <c r="AB168" i="6" s="1"/>
  <c r="AC168" i="6" s="1"/>
  <c r="AD168" i="6" s="1"/>
  <c r="AE168" i="6" s="1"/>
  <c r="AF168" i="6" s="1"/>
  <c r="B168" i="6" s="1"/>
  <c r="K168" i="6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H168" i="6"/>
  <c r="I168" i="6" s="1"/>
  <c r="J168" i="6" s="1"/>
  <c r="F168" i="6"/>
  <c r="G168" i="6" s="1"/>
  <c r="E168" i="6"/>
  <c r="D168" i="6"/>
  <c r="I167" i="6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B167" i="6" s="1"/>
  <c r="D167" i="6"/>
  <c r="E167" i="6" s="1"/>
  <c r="F167" i="6" s="1"/>
  <c r="G167" i="6" s="1"/>
  <c r="H167" i="6" s="1"/>
  <c r="D166" i="6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B166" i="6" s="1"/>
  <c r="Z165" i="6"/>
  <c r="AA165" i="6" s="1"/>
  <c r="AB165" i="6" s="1"/>
  <c r="AC165" i="6" s="1"/>
  <c r="AD165" i="6" s="1"/>
  <c r="AE165" i="6" s="1"/>
  <c r="AF165" i="6" s="1"/>
  <c r="B165" i="6" s="1"/>
  <c r="P165" i="6"/>
  <c r="Q165" i="6" s="1"/>
  <c r="R165" i="6" s="1"/>
  <c r="S165" i="6" s="1"/>
  <c r="T165" i="6" s="1"/>
  <c r="U165" i="6" s="1"/>
  <c r="V165" i="6" s="1"/>
  <c r="W165" i="6" s="1"/>
  <c r="X165" i="6" s="1"/>
  <c r="Y165" i="6" s="1"/>
  <c r="M165" i="6"/>
  <c r="N165" i="6" s="1"/>
  <c r="O165" i="6" s="1"/>
  <c r="D165" i="6"/>
  <c r="E165" i="6" s="1"/>
  <c r="F165" i="6" s="1"/>
  <c r="G165" i="6" s="1"/>
  <c r="H165" i="6" s="1"/>
  <c r="I165" i="6" s="1"/>
  <c r="J165" i="6" s="1"/>
  <c r="K165" i="6" s="1"/>
  <c r="L165" i="6" s="1"/>
  <c r="M164" i="6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B164" i="6" s="1"/>
  <c r="F164" i="6"/>
  <c r="G164" i="6" s="1"/>
  <c r="H164" i="6" s="1"/>
  <c r="I164" i="6" s="1"/>
  <c r="J164" i="6" s="1"/>
  <c r="K164" i="6" s="1"/>
  <c r="L164" i="6" s="1"/>
  <c r="D164" i="6"/>
  <c r="E164" i="6" s="1"/>
  <c r="P163" i="6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B163" i="6" s="1"/>
  <c r="I163" i="6"/>
  <c r="J163" i="6" s="1"/>
  <c r="K163" i="6" s="1"/>
  <c r="L163" i="6" s="1"/>
  <c r="M163" i="6" s="1"/>
  <c r="N163" i="6" s="1"/>
  <c r="O163" i="6" s="1"/>
  <c r="G163" i="6"/>
  <c r="H163" i="6" s="1"/>
  <c r="D163" i="6"/>
  <c r="E163" i="6" s="1"/>
  <c r="F163" i="6" s="1"/>
  <c r="E162" i="6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B162" i="6" s="1"/>
  <c r="D162" i="6"/>
  <c r="AF161" i="6"/>
  <c r="B161" i="6" s="1"/>
  <c r="G161" i="6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E161" i="6"/>
  <c r="F161" i="6" s="1"/>
  <c r="D161" i="6"/>
  <c r="L160" i="6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B160" i="6" s="1"/>
  <c r="J160" i="6"/>
  <c r="K160" i="6" s="1"/>
  <c r="H160" i="6"/>
  <c r="I160" i="6" s="1"/>
  <c r="D160" i="6"/>
  <c r="E160" i="6" s="1"/>
  <c r="F160" i="6" s="1"/>
  <c r="G160" i="6" s="1"/>
  <c r="F159" i="6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B159" i="6" s="1"/>
  <c r="E159" i="6"/>
  <c r="D159" i="6"/>
  <c r="N158" i="6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B158" i="6" s="1"/>
  <c r="D158" i="6"/>
  <c r="E158" i="6" s="1"/>
  <c r="F158" i="6" s="1"/>
  <c r="G158" i="6" s="1"/>
  <c r="H158" i="6" s="1"/>
  <c r="I158" i="6" s="1"/>
  <c r="J158" i="6" s="1"/>
  <c r="K158" i="6" s="1"/>
  <c r="L158" i="6" s="1"/>
  <c r="M158" i="6" s="1"/>
  <c r="F157" i="6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B157" i="6" s="1"/>
  <c r="D157" i="6"/>
  <c r="E157" i="6" s="1"/>
  <c r="J156" i="6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B156" i="6" s="1"/>
  <c r="H156" i="6"/>
  <c r="I156" i="6" s="1"/>
  <c r="D156" i="6"/>
  <c r="E156" i="6" s="1"/>
  <c r="F156" i="6" s="1"/>
  <c r="G156" i="6" s="1"/>
  <c r="F154" i="6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B154" i="6" s="1"/>
  <c r="E154" i="6"/>
  <c r="D154" i="6"/>
  <c r="AF153" i="6"/>
  <c r="B153" i="6" s="1"/>
  <c r="L153" i="6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H153" i="6"/>
  <c r="I153" i="6" s="1"/>
  <c r="J153" i="6" s="1"/>
  <c r="K153" i="6" s="1"/>
  <c r="F153" i="6"/>
  <c r="G153" i="6" s="1"/>
  <c r="D153" i="6"/>
  <c r="E153" i="6" s="1"/>
  <c r="D152" i="6"/>
  <c r="E152" i="6" s="1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B152" i="6" s="1"/>
  <c r="L151" i="6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B151" i="6" s="1"/>
  <c r="H151" i="6"/>
  <c r="I151" i="6" s="1"/>
  <c r="J151" i="6" s="1"/>
  <c r="K151" i="6" s="1"/>
  <c r="E151" i="6"/>
  <c r="F151" i="6" s="1"/>
  <c r="G151" i="6" s="1"/>
  <c r="D151" i="6"/>
  <c r="N149" i="6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B149" i="6" s="1"/>
  <c r="J149" i="6"/>
  <c r="K149" i="6" s="1"/>
  <c r="L149" i="6" s="1"/>
  <c r="M149" i="6" s="1"/>
  <c r="I149" i="6"/>
  <c r="H149" i="6"/>
  <c r="F149" i="6"/>
  <c r="G149" i="6" s="1"/>
  <c r="E149" i="6"/>
  <c r="D149" i="6"/>
  <c r="D148" i="6"/>
  <c r="E148" i="6" s="1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B148" i="6" s="1"/>
  <c r="D146" i="6"/>
  <c r="E146" i="6" s="1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B146" i="6" s="1"/>
  <c r="X145" i="6"/>
  <c r="Y145" i="6" s="1"/>
  <c r="Z145" i="6" s="1"/>
  <c r="AA145" i="6" s="1"/>
  <c r="AB145" i="6" s="1"/>
  <c r="AC145" i="6" s="1"/>
  <c r="AD145" i="6" s="1"/>
  <c r="AE145" i="6" s="1"/>
  <c r="AF145" i="6" s="1"/>
  <c r="B145" i="6" s="1"/>
  <c r="F145" i="6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D145" i="6"/>
  <c r="E145" i="6" s="1"/>
  <c r="R144" i="6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B144" i="6" s="1"/>
  <c r="I144" i="6"/>
  <c r="J144" i="6" s="1"/>
  <c r="K144" i="6" s="1"/>
  <c r="L144" i="6" s="1"/>
  <c r="M144" i="6" s="1"/>
  <c r="N144" i="6" s="1"/>
  <c r="O144" i="6" s="1"/>
  <c r="P144" i="6" s="1"/>
  <c r="Q144" i="6" s="1"/>
  <c r="F144" i="6"/>
  <c r="G144" i="6" s="1"/>
  <c r="H144" i="6" s="1"/>
  <c r="E144" i="6"/>
  <c r="D144" i="6"/>
  <c r="K143" i="6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B143" i="6" s="1"/>
  <c r="D143" i="6"/>
  <c r="E143" i="6" s="1"/>
  <c r="F143" i="6" s="1"/>
  <c r="G143" i="6" s="1"/>
  <c r="H143" i="6" s="1"/>
  <c r="I143" i="6" s="1"/>
  <c r="J143" i="6" s="1"/>
  <c r="U142" i="6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B142" i="6" s="1"/>
  <c r="L142" i="6"/>
  <c r="M142" i="6" s="1"/>
  <c r="N142" i="6" s="1"/>
  <c r="O142" i="6" s="1"/>
  <c r="P142" i="6" s="1"/>
  <c r="Q142" i="6" s="1"/>
  <c r="R142" i="6" s="1"/>
  <c r="S142" i="6" s="1"/>
  <c r="T142" i="6" s="1"/>
  <c r="E142" i="6"/>
  <c r="F142" i="6" s="1"/>
  <c r="G142" i="6" s="1"/>
  <c r="H142" i="6" s="1"/>
  <c r="I142" i="6" s="1"/>
  <c r="J142" i="6" s="1"/>
  <c r="K142" i="6" s="1"/>
  <c r="D142" i="6"/>
  <c r="P141" i="6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B141" i="6" s="1"/>
  <c r="G141" i="6"/>
  <c r="H141" i="6" s="1"/>
  <c r="I141" i="6" s="1"/>
  <c r="J141" i="6" s="1"/>
  <c r="K141" i="6" s="1"/>
  <c r="L141" i="6" s="1"/>
  <c r="M141" i="6" s="1"/>
  <c r="N141" i="6" s="1"/>
  <c r="O141" i="6" s="1"/>
  <c r="E141" i="6"/>
  <c r="F141" i="6" s="1"/>
  <c r="D141" i="6"/>
  <c r="Q140" i="6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B140" i="6" s="1"/>
  <c r="H140" i="6"/>
  <c r="I140" i="6" s="1"/>
  <c r="J140" i="6" s="1"/>
  <c r="K140" i="6" s="1"/>
  <c r="L140" i="6" s="1"/>
  <c r="M140" i="6" s="1"/>
  <c r="N140" i="6" s="1"/>
  <c r="O140" i="6" s="1"/>
  <c r="P140" i="6" s="1"/>
  <c r="D140" i="6"/>
  <c r="E140" i="6" s="1"/>
  <c r="F140" i="6" s="1"/>
  <c r="G140" i="6" s="1"/>
  <c r="F138" i="6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B138" i="6" s="1"/>
  <c r="D138" i="6"/>
  <c r="E138" i="6" s="1"/>
  <c r="O137" i="6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B137" i="6" s="1"/>
  <c r="F137" i="6"/>
  <c r="G137" i="6" s="1"/>
  <c r="H137" i="6" s="1"/>
  <c r="I137" i="6" s="1"/>
  <c r="J137" i="6" s="1"/>
  <c r="K137" i="6" s="1"/>
  <c r="L137" i="6" s="1"/>
  <c r="M137" i="6" s="1"/>
  <c r="N137" i="6" s="1"/>
  <c r="D137" i="6"/>
  <c r="E137" i="6" s="1"/>
  <c r="D136" i="6"/>
  <c r="E136" i="6" s="1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B136" i="6" s="1"/>
  <c r="M135" i="6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B135" i="6" s="1"/>
  <c r="E135" i="6"/>
  <c r="F135" i="6" s="1"/>
  <c r="G135" i="6" s="1"/>
  <c r="H135" i="6" s="1"/>
  <c r="I135" i="6" s="1"/>
  <c r="J135" i="6" s="1"/>
  <c r="K135" i="6" s="1"/>
  <c r="L135" i="6" s="1"/>
  <c r="D135" i="6"/>
  <c r="D134" i="6"/>
  <c r="E134" i="6" s="1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B134" i="6" s="1"/>
  <c r="AD133" i="6"/>
  <c r="AE133" i="6" s="1"/>
  <c r="AF133" i="6" s="1"/>
  <c r="B133" i="6" s="1"/>
  <c r="F133" i="6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D133" i="6"/>
  <c r="E133" i="6" s="1"/>
  <c r="W132" i="6"/>
  <c r="X132" i="6" s="1"/>
  <c r="Y132" i="6" s="1"/>
  <c r="Z132" i="6" s="1"/>
  <c r="AA132" i="6" s="1"/>
  <c r="AB132" i="6" s="1"/>
  <c r="AC132" i="6" s="1"/>
  <c r="AD132" i="6" s="1"/>
  <c r="AE132" i="6" s="1"/>
  <c r="AF132" i="6" s="1"/>
  <c r="B132" i="6" s="1"/>
  <c r="J132" i="6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H132" i="6"/>
  <c r="I132" i="6" s="1"/>
  <c r="G132" i="6"/>
  <c r="D132" i="6"/>
  <c r="E132" i="6" s="1"/>
  <c r="F132" i="6" s="1"/>
  <c r="Y131" i="6"/>
  <c r="Z131" i="6" s="1"/>
  <c r="AA131" i="6" s="1"/>
  <c r="AB131" i="6" s="1"/>
  <c r="AC131" i="6" s="1"/>
  <c r="AD131" i="6" s="1"/>
  <c r="AE131" i="6" s="1"/>
  <c r="AF131" i="6" s="1"/>
  <c r="B131" i="6" s="1"/>
  <c r="E131" i="6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D131" i="6"/>
  <c r="W129" i="6"/>
  <c r="X129" i="6" s="1"/>
  <c r="Y129" i="6" s="1"/>
  <c r="Z129" i="6" s="1"/>
  <c r="AA129" i="6" s="1"/>
  <c r="AB129" i="6" s="1"/>
  <c r="AC129" i="6" s="1"/>
  <c r="AD129" i="6" s="1"/>
  <c r="AE129" i="6" s="1"/>
  <c r="AF129" i="6" s="1"/>
  <c r="B129" i="6" s="1"/>
  <c r="G129" i="6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F129" i="6"/>
  <c r="D129" i="6"/>
  <c r="E129" i="6" s="1"/>
  <c r="J128" i="6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B128" i="6" s="1"/>
  <c r="D128" i="6"/>
  <c r="E128" i="6" s="1"/>
  <c r="F128" i="6" s="1"/>
  <c r="G128" i="6" s="1"/>
  <c r="H128" i="6" s="1"/>
  <c r="I128" i="6" s="1"/>
  <c r="F127" i="6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B127" i="6" s="1"/>
  <c r="E127" i="6"/>
  <c r="D127" i="6"/>
  <c r="D126" i="6"/>
  <c r="E126" i="6" s="1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B126" i="6" s="1"/>
  <c r="F125" i="6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B125" i="6" s="1"/>
  <c r="D125" i="6"/>
  <c r="E125" i="6" s="1"/>
  <c r="E124" i="6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B124" i="6" s="1"/>
  <c r="D124" i="6"/>
  <c r="K123" i="6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B123" i="6" s="1"/>
  <c r="G123" i="6"/>
  <c r="H123" i="6" s="1"/>
  <c r="I123" i="6" s="1"/>
  <c r="J123" i="6" s="1"/>
  <c r="D123" i="6"/>
  <c r="E123" i="6" s="1"/>
  <c r="F123" i="6" s="1"/>
  <c r="J122" i="6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B122" i="6" s="1"/>
  <c r="D122" i="6"/>
  <c r="E122" i="6" s="1"/>
  <c r="F122" i="6" s="1"/>
  <c r="G122" i="6" s="1"/>
  <c r="H122" i="6" s="1"/>
  <c r="I122" i="6" s="1"/>
  <c r="Y121" i="6"/>
  <c r="Z121" i="6" s="1"/>
  <c r="AA121" i="6" s="1"/>
  <c r="AB121" i="6" s="1"/>
  <c r="AC121" i="6" s="1"/>
  <c r="AD121" i="6" s="1"/>
  <c r="AE121" i="6" s="1"/>
  <c r="AF121" i="6" s="1"/>
  <c r="B121" i="6" s="1"/>
  <c r="D121" i="6"/>
  <c r="E121" i="6" s="1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G120" i="6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B120" i="6" s="1"/>
  <c r="F120" i="6"/>
  <c r="E120" i="6"/>
  <c r="D120" i="6"/>
  <c r="U119" i="6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B119" i="6" s="1"/>
  <c r="S119" i="6"/>
  <c r="T119" i="6" s="1"/>
  <c r="H119" i="6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D119" i="6"/>
  <c r="E119" i="6" s="1"/>
  <c r="F119" i="6" s="1"/>
  <c r="G119" i="6" s="1"/>
  <c r="AC118" i="6"/>
  <c r="AD118" i="6" s="1"/>
  <c r="AE118" i="6" s="1"/>
  <c r="AF118" i="6" s="1"/>
  <c r="B118" i="6" s="1"/>
  <c r="E118" i="6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D118" i="6"/>
  <c r="O117" i="6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B117" i="6" s="1"/>
  <c r="N117" i="6"/>
  <c r="F117" i="6"/>
  <c r="G117" i="6" s="1"/>
  <c r="H117" i="6" s="1"/>
  <c r="I117" i="6" s="1"/>
  <c r="J117" i="6" s="1"/>
  <c r="K117" i="6" s="1"/>
  <c r="L117" i="6" s="1"/>
  <c r="M117" i="6" s="1"/>
  <c r="D117" i="6"/>
  <c r="E117" i="6" s="1"/>
  <c r="Q116" i="6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B116" i="6" s="1"/>
  <c r="G116" i="6"/>
  <c r="H116" i="6" s="1"/>
  <c r="I116" i="6" s="1"/>
  <c r="J116" i="6" s="1"/>
  <c r="K116" i="6" s="1"/>
  <c r="L116" i="6" s="1"/>
  <c r="M116" i="6" s="1"/>
  <c r="N116" i="6" s="1"/>
  <c r="O116" i="6" s="1"/>
  <c r="P116" i="6" s="1"/>
  <c r="D116" i="6"/>
  <c r="E116" i="6" s="1"/>
  <c r="F116" i="6" s="1"/>
  <c r="AC115" i="6"/>
  <c r="AD115" i="6" s="1"/>
  <c r="AE115" i="6" s="1"/>
  <c r="AF115" i="6" s="1"/>
  <c r="B115" i="6" s="1"/>
  <c r="AB115" i="6"/>
  <c r="D115" i="6"/>
  <c r="E115" i="6" s="1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L114" i="6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B114" i="6" s="1"/>
  <c r="K114" i="6"/>
  <c r="E114" i="6"/>
  <c r="F114" i="6" s="1"/>
  <c r="G114" i="6" s="1"/>
  <c r="H114" i="6" s="1"/>
  <c r="I114" i="6" s="1"/>
  <c r="D114" i="6"/>
  <c r="W113" i="6"/>
  <c r="X113" i="6" s="1"/>
  <c r="Y113" i="6" s="1"/>
  <c r="Z113" i="6" s="1"/>
  <c r="AA113" i="6" s="1"/>
  <c r="AB113" i="6" s="1"/>
  <c r="AC113" i="6" s="1"/>
  <c r="AD113" i="6" s="1"/>
  <c r="AE113" i="6" s="1"/>
  <c r="AF113" i="6" s="1"/>
  <c r="B113" i="6" s="1"/>
  <c r="Q113" i="6"/>
  <c r="R113" i="6" s="1"/>
  <c r="S113" i="6" s="1"/>
  <c r="T113" i="6" s="1"/>
  <c r="U113" i="6" s="1"/>
  <c r="V113" i="6" s="1"/>
  <c r="F113" i="6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E113" i="6"/>
  <c r="D113" i="6"/>
  <c r="D112" i="6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B112" i="6" s="1"/>
  <c r="N110" i="6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B110" i="6" s="1"/>
  <c r="L110" i="6"/>
  <c r="M110" i="6" s="1"/>
  <c r="E110" i="6"/>
  <c r="F110" i="6" s="1"/>
  <c r="G110" i="6" s="1"/>
  <c r="H110" i="6" s="1"/>
  <c r="I110" i="6" s="1"/>
  <c r="J110" i="6" s="1"/>
  <c r="K110" i="6" s="1"/>
  <c r="D110" i="6"/>
  <c r="X109" i="6"/>
  <c r="Y109" i="6" s="1"/>
  <c r="Z109" i="6" s="1"/>
  <c r="AA109" i="6" s="1"/>
  <c r="AB109" i="6" s="1"/>
  <c r="AC109" i="6" s="1"/>
  <c r="AD109" i="6" s="1"/>
  <c r="AE109" i="6" s="1"/>
  <c r="AF109" i="6" s="1"/>
  <c r="B109" i="6" s="1"/>
  <c r="W109" i="6"/>
  <c r="D109" i="6"/>
  <c r="E109" i="6" s="1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AC107" i="6"/>
  <c r="AD107" i="6" s="1"/>
  <c r="AE107" i="6" s="1"/>
  <c r="AF107" i="6" s="1"/>
  <c r="B107" i="6" s="1"/>
  <c r="Z107" i="6"/>
  <c r="AA107" i="6" s="1"/>
  <c r="AB107" i="6" s="1"/>
  <c r="G107" i="6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E107" i="6"/>
  <c r="F107" i="6" s="1"/>
  <c r="D107" i="6"/>
  <c r="F106" i="6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B106" i="6" s="1"/>
  <c r="E106" i="6"/>
  <c r="D106" i="6"/>
  <c r="J105" i="6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B105" i="6" s="1"/>
  <c r="I105" i="6"/>
  <c r="E105" i="6"/>
  <c r="F105" i="6" s="1"/>
  <c r="G105" i="6" s="1"/>
  <c r="H105" i="6" s="1"/>
  <c r="D105" i="6"/>
  <c r="F104" i="6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B104" i="6" s="1"/>
  <c r="E104" i="6"/>
  <c r="D104" i="6"/>
  <c r="E103" i="6"/>
  <c r="F103" i="6" s="1"/>
  <c r="D103" i="6"/>
  <c r="D102" i="6"/>
  <c r="AH98" i="6"/>
  <c r="AI98" i="6" s="1"/>
  <c r="AH97" i="6"/>
  <c r="AI97" i="6" s="1"/>
  <c r="AH96" i="6"/>
  <c r="AI96" i="6" s="1"/>
  <c r="AH95" i="6"/>
  <c r="AI95" i="6" s="1"/>
  <c r="AH94" i="6"/>
  <c r="AI94" i="6" s="1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G82" i="6"/>
  <c r="AI81" i="6"/>
  <c r="AH81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AI74" i="6"/>
  <c r="AH74" i="6"/>
  <c r="AG72" i="6"/>
  <c r="AF72" i="6"/>
  <c r="AE72" i="6"/>
  <c r="AD72" i="6"/>
  <c r="AC72" i="6"/>
  <c r="AB72" i="6"/>
  <c r="Z72" i="6"/>
  <c r="Y72" i="6"/>
  <c r="X72" i="6"/>
  <c r="W72" i="6"/>
  <c r="V72" i="6"/>
  <c r="U72" i="6"/>
  <c r="T72" i="6"/>
  <c r="S72" i="6"/>
  <c r="R72" i="6"/>
  <c r="Q72" i="6"/>
  <c r="P72" i="6"/>
  <c r="AI71" i="6"/>
  <c r="AH71" i="6"/>
  <c r="AI70" i="6"/>
  <c r="AH70" i="6"/>
  <c r="AI69" i="6"/>
  <c r="AH69" i="6"/>
  <c r="AG68" i="6"/>
  <c r="AG73" i="6" s="1"/>
  <c r="AF68" i="6"/>
  <c r="AE68" i="6"/>
  <c r="AD68" i="6"/>
  <c r="AC5" i="6" s="1"/>
  <c r="AC68" i="6"/>
  <c r="AB5" i="6" s="1"/>
  <c r="AB68" i="6"/>
  <c r="Z68" i="6"/>
  <c r="Y68" i="6"/>
  <c r="X68" i="6"/>
  <c r="W68" i="6"/>
  <c r="V68" i="6"/>
  <c r="U68" i="6"/>
  <c r="T5" i="6" s="1"/>
  <c r="T68" i="6"/>
  <c r="S68" i="6"/>
  <c r="R68" i="6"/>
  <c r="Q68" i="6"/>
  <c r="P68" i="6"/>
  <c r="M5" i="6"/>
  <c r="L5" i="6"/>
  <c r="K5" i="6"/>
  <c r="I5" i="6"/>
  <c r="F5" i="6"/>
  <c r="E5" i="6"/>
  <c r="D5" i="6"/>
  <c r="C5" i="6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AI55" i="6"/>
  <c r="AH55" i="6"/>
  <c r="AI54" i="6"/>
  <c r="AH54" i="6"/>
  <c r="AI53" i="6"/>
  <c r="AH53" i="6"/>
  <c r="AG52" i="6"/>
  <c r="AG3" i="6" s="1"/>
  <c r="Z52" i="6"/>
  <c r="T52" i="6"/>
  <c r="S52" i="6"/>
  <c r="R52" i="6"/>
  <c r="Q52" i="6"/>
  <c r="P52" i="6"/>
  <c r="AG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G38" i="6"/>
  <c r="AG2" i="6" s="1"/>
  <c r="AG6" i="6" s="1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F5" i="6"/>
  <c r="AD5" i="6"/>
  <c r="AA5" i="6"/>
  <c r="Y5" i="6"/>
  <c r="V5" i="6"/>
  <c r="U5" i="6"/>
  <c r="S5" i="6"/>
  <c r="Q5" i="6"/>
  <c r="N5" i="6"/>
  <c r="AG4" i="6"/>
  <c r="K4" i="6"/>
  <c r="B4" i="6"/>
  <c r="Z56" i="5"/>
  <c r="Z52" i="5"/>
  <c r="Z38" i="5"/>
  <c r="E4" i="6"/>
  <c r="O199" i="10" l="1"/>
  <c r="M235" i="10"/>
  <c r="N109" i="10"/>
  <c r="M192" i="10"/>
  <c r="N102" i="10"/>
  <c r="M200" i="10"/>
  <c r="N194" i="10"/>
  <c r="R103" i="10"/>
  <c r="N199" i="9"/>
  <c r="L235" i="9"/>
  <c r="M93" i="9"/>
  <c r="N192" i="9"/>
  <c r="O102" i="9"/>
  <c r="O194" i="9"/>
  <c r="N200" i="9"/>
  <c r="M200" i="9"/>
  <c r="P103" i="9"/>
  <c r="N103" i="8"/>
  <c r="L199" i="8"/>
  <c r="J235" i="8"/>
  <c r="J200" i="8"/>
  <c r="K194" i="8"/>
  <c r="H192" i="8"/>
  <c r="I102" i="8"/>
  <c r="K149" i="8"/>
  <c r="J93" i="8"/>
  <c r="K6" i="7"/>
  <c r="H235" i="7"/>
  <c r="J199" i="7"/>
  <c r="H93" i="7"/>
  <c r="I103" i="7"/>
  <c r="F192" i="7"/>
  <c r="G102" i="7"/>
  <c r="H194" i="7"/>
  <c r="G200" i="7"/>
  <c r="AF82" i="6"/>
  <c r="AE82" i="6"/>
  <c r="AD82" i="6"/>
  <c r="AC82" i="6"/>
  <c r="AB82" i="6"/>
  <c r="AA82" i="6"/>
  <c r="Z75" i="6"/>
  <c r="AR214" i="6" s="1"/>
  <c r="Z73" i="6"/>
  <c r="Y82" i="6"/>
  <c r="X82" i="6"/>
  <c r="W82" i="6"/>
  <c r="V82" i="6"/>
  <c r="U82" i="6"/>
  <c r="T82" i="6"/>
  <c r="T75" i="6"/>
  <c r="T73" i="6"/>
  <c r="S82" i="6"/>
  <c r="S75" i="6"/>
  <c r="S7" i="6" s="1"/>
  <c r="R75" i="6"/>
  <c r="R7" i="6" s="1"/>
  <c r="Q82" i="6"/>
  <c r="Q73" i="6"/>
  <c r="R73" i="6"/>
  <c r="P82" i="6"/>
  <c r="AG214" i="6"/>
  <c r="AF214" i="6"/>
  <c r="AE214" i="6"/>
  <c r="K7" i="6"/>
  <c r="G7" i="6"/>
  <c r="X214" i="6"/>
  <c r="AI80" i="6"/>
  <c r="AH80" i="6"/>
  <c r="W214" i="6"/>
  <c r="AI38" i="6"/>
  <c r="AI72" i="6"/>
  <c r="H4" i="6"/>
  <c r="AB214" i="6"/>
  <c r="J7" i="6"/>
  <c r="AK214" i="6"/>
  <c r="G103" i="6"/>
  <c r="AH79" i="6"/>
  <c r="X5" i="6"/>
  <c r="S73" i="6"/>
  <c r="S83" i="6" s="1"/>
  <c r="AH56" i="6"/>
  <c r="P5" i="6"/>
  <c r="AH38" i="6"/>
  <c r="AI56" i="6"/>
  <c r="P75" i="6"/>
  <c r="AI79" i="6"/>
  <c r="H5" i="6"/>
  <c r="N7" i="6"/>
  <c r="AD214" i="6"/>
  <c r="L7" i="6"/>
  <c r="AL214" i="6"/>
  <c r="T7" i="6"/>
  <c r="Q75" i="6"/>
  <c r="Q83" i="6" s="1"/>
  <c r="AG83" i="6"/>
  <c r="AG75" i="6"/>
  <c r="AH76" i="6"/>
  <c r="AI78" i="6"/>
  <c r="G5" i="6"/>
  <c r="O5" i="6"/>
  <c r="P73" i="6"/>
  <c r="W5" i="6"/>
  <c r="AE5" i="6"/>
  <c r="AH72" i="6"/>
  <c r="AI77" i="6"/>
  <c r="B5" i="6"/>
  <c r="J5" i="6"/>
  <c r="R5" i="6"/>
  <c r="Z5" i="6"/>
  <c r="AH68" i="6"/>
  <c r="R82" i="6"/>
  <c r="Z82" i="6"/>
  <c r="AI76" i="6"/>
  <c r="AH78" i="6"/>
  <c r="AI68" i="6"/>
  <c r="AH77" i="6"/>
  <c r="T83" i="6"/>
  <c r="S211" i="6"/>
  <c r="D211" i="6"/>
  <c r="Y214" i="6"/>
  <c r="M7" i="6"/>
  <c r="D192" i="6"/>
  <c r="E102" i="6"/>
  <c r="D200" i="6"/>
  <c r="E194" i="6"/>
  <c r="D235" i="6"/>
  <c r="F199" i="6"/>
  <c r="N192" i="10" l="1"/>
  <c r="O102" i="10"/>
  <c r="O194" i="10"/>
  <c r="N200" i="10"/>
  <c r="O109" i="10"/>
  <c r="S103" i="10"/>
  <c r="N235" i="10"/>
  <c r="P199" i="10"/>
  <c r="P194" i="9"/>
  <c r="O192" i="9"/>
  <c r="P102" i="9"/>
  <c r="Q103" i="9"/>
  <c r="O199" i="9"/>
  <c r="O93" i="9" s="1"/>
  <c r="M235" i="9"/>
  <c r="N93" i="9"/>
  <c r="K200" i="8"/>
  <c r="L194" i="8"/>
  <c r="I192" i="8"/>
  <c r="J102" i="8"/>
  <c r="M199" i="8"/>
  <c r="K235" i="8"/>
  <c r="L149" i="8"/>
  <c r="K93" i="8"/>
  <c r="O103" i="8"/>
  <c r="J103" i="7"/>
  <c r="G192" i="7"/>
  <c r="H102" i="7"/>
  <c r="K199" i="7"/>
  <c r="I235" i="7"/>
  <c r="I194" i="7"/>
  <c r="H200" i="7"/>
  <c r="Z7" i="6"/>
  <c r="Z83" i="6"/>
  <c r="AJ214" i="6"/>
  <c r="R83" i="6"/>
  <c r="P83" i="6"/>
  <c r="O7" i="6"/>
  <c r="AC214" i="6"/>
  <c r="F7" i="6"/>
  <c r="E7" i="6"/>
  <c r="V214" i="6"/>
  <c r="D7" i="6"/>
  <c r="E235" i="6"/>
  <c r="G199" i="6"/>
  <c r="Z214" i="6"/>
  <c r="H7" i="6"/>
  <c r="E200" i="6"/>
  <c r="F194" i="6"/>
  <c r="C209" i="6"/>
  <c r="AH214" i="6"/>
  <c r="P7" i="6"/>
  <c r="B209" i="6"/>
  <c r="AI214" i="6"/>
  <c r="Q7" i="6"/>
  <c r="AA214" i="6"/>
  <c r="I7" i="6"/>
  <c r="H103" i="6"/>
  <c r="E192" i="6"/>
  <c r="F102" i="6"/>
  <c r="AI82" i="6"/>
  <c r="AH82" i="6"/>
  <c r="P194" i="10" l="1"/>
  <c r="O200" i="10"/>
  <c r="T103" i="10"/>
  <c r="O192" i="10"/>
  <c r="P102" i="10"/>
  <c r="P109" i="10"/>
  <c r="O235" i="10"/>
  <c r="Q199" i="10"/>
  <c r="R103" i="9"/>
  <c r="Q194" i="9"/>
  <c r="N235" i="9"/>
  <c r="P199" i="9"/>
  <c r="P192" i="9"/>
  <c r="Q102" i="9"/>
  <c r="O200" i="9"/>
  <c r="J192" i="8"/>
  <c r="K102" i="8"/>
  <c r="M194" i="8"/>
  <c r="L200" i="8"/>
  <c r="M149" i="8"/>
  <c r="L93" i="8"/>
  <c r="N199" i="8"/>
  <c r="L235" i="8"/>
  <c r="P103" i="8"/>
  <c r="I200" i="7"/>
  <c r="J194" i="7"/>
  <c r="J235" i="7"/>
  <c r="L199" i="7"/>
  <c r="H192" i="7"/>
  <c r="I102" i="7"/>
  <c r="I93" i="7"/>
  <c r="K103" i="7"/>
  <c r="J93" i="7"/>
  <c r="F200" i="6"/>
  <c r="G194" i="6"/>
  <c r="F192" i="6"/>
  <c r="G102" i="6"/>
  <c r="U214" i="6"/>
  <c r="C7" i="6"/>
  <c r="I103" i="6"/>
  <c r="K6" i="6"/>
  <c r="H199" i="6"/>
  <c r="F235" i="6"/>
  <c r="Q109" i="10" l="1"/>
  <c r="P192" i="10"/>
  <c r="Q102" i="10"/>
  <c r="U103" i="10"/>
  <c r="P235" i="10"/>
  <c r="R199" i="10"/>
  <c r="Q194" i="10"/>
  <c r="P200" i="10"/>
  <c r="Q192" i="9"/>
  <c r="R102" i="9"/>
  <c r="Q199" i="9"/>
  <c r="O235" i="9"/>
  <c r="P93" i="9"/>
  <c r="Q200" i="9"/>
  <c r="R194" i="9"/>
  <c r="P200" i="9"/>
  <c r="S103" i="9"/>
  <c r="M200" i="8"/>
  <c r="N194" i="8"/>
  <c r="O199" i="8"/>
  <c r="M235" i="8"/>
  <c r="Q103" i="8"/>
  <c r="K192" i="8"/>
  <c r="L102" i="8"/>
  <c r="N149" i="8"/>
  <c r="M93" i="8"/>
  <c r="L103" i="7"/>
  <c r="I192" i="7"/>
  <c r="J102" i="7"/>
  <c r="K235" i="7"/>
  <c r="M199" i="7"/>
  <c r="J200" i="7"/>
  <c r="K194" i="7"/>
  <c r="J103" i="6"/>
  <c r="G192" i="6"/>
  <c r="H102" i="6"/>
  <c r="G235" i="6"/>
  <c r="I199" i="6"/>
  <c r="H194" i="6"/>
  <c r="G200" i="6"/>
  <c r="Q235" i="10" l="1"/>
  <c r="S199" i="10"/>
  <c r="V103" i="10"/>
  <c r="Q192" i="10"/>
  <c r="R102" i="10"/>
  <c r="Q200" i="10"/>
  <c r="R194" i="10"/>
  <c r="R109" i="10"/>
  <c r="S194" i="9"/>
  <c r="R192" i="9"/>
  <c r="S102" i="9"/>
  <c r="R199" i="9"/>
  <c r="P235" i="9"/>
  <c r="Q93" i="9"/>
  <c r="T103" i="9"/>
  <c r="L192" i="8"/>
  <c r="M102" i="8"/>
  <c r="R103" i="8"/>
  <c r="N235" i="8"/>
  <c r="P199" i="8"/>
  <c r="O194" i="8"/>
  <c r="N200" i="8"/>
  <c r="O149" i="8"/>
  <c r="N93" i="8"/>
  <c r="K200" i="7"/>
  <c r="L194" i="7"/>
  <c r="N199" i="7"/>
  <c r="L235" i="7"/>
  <c r="L93" i="7"/>
  <c r="M103" i="7"/>
  <c r="J192" i="7"/>
  <c r="K102" i="7"/>
  <c r="K93" i="7"/>
  <c r="H235" i="6"/>
  <c r="J199" i="6"/>
  <c r="H192" i="6"/>
  <c r="I102" i="6"/>
  <c r="I194" i="6"/>
  <c r="H200" i="6"/>
  <c r="K103" i="6"/>
  <c r="R192" i="10" l="1"/>
  <c r="S102" i="10"/>
  <c r="W103" i="10"/>
  <c r="T199" i="10"/>
  <c r="R235" i="10"/>
  <c r="R200" i="10"/>
  <c r="S194" i="10"/>
  <c r="S109" i="10"/>
  <c r="Q235" i="9"/>
  <c r="S199" i="9"/>
  <c r="S192" i="9"/>
  <c r="T102" i="9"/>
  <c r="R93" i="9"/>
  <c r="T194" i="9"/>
  <c r="S200" i="9"/>
  <c r="U103" i="9"/>
  <c r="R200" i="9"/>
  <c r="M192" i="8"/>
  <c r="N102" i="8"/>
  <c r="P194" i="8"/>
  <c r="O200" i="8"/>
  <c r="O235" i="8"/>
  <c r="Q199" i="8"/>
  <c r="S103" i="8"/>
  <c r="P149" i="8"/>
  <c r="O93" i="8"/>
  <c r="K192" i="7"/>
  <c r="L102" i="7"/>
  <c r="N103" i="7"/>
  <c r="M93" i="7"/>
  <c r="M235" i="7"/>
  <c r="O199" i="7"/>
  <c r="L200" i="7"/>
  <c r="M194" i="7"/>
  <c r="I200" i="6"/>
  <c r="J194" i="6"/>
  <c r="I192" i="6"/>
  <c r="J102" i="6"/>
  <c r="K199" i="6"/>
  <c r="I235" i="6"/>
  <c r="L103" i="6"/>
  <c r="S200" i="10" l="1"/>
  <c r="T194" i="10"/>
  <c r="X103" i="10"/>
  <c r="S192" i="10"/>
  <c r="T102" i="10"/>
  <c r="S235" i="10"/>
  <c r="U199" i="10"/>
  <c r="T109" i="10"/>
  <c r="U194" i="9"/>
  <c r="T192" i="9"/>
  <c r="U102" i="9"/>
  <c r="R235" i="9"/>
  <c r="T199" i="9"/>
  <c r="S93" i="9"/>
  <c r="V103" i="9"/>
  <c r="T103" i="8"/>
  <c r="Q194" i="8"/>
  <c r="P200" i="8"/>
  <c r="N192" i="8"/>
  <c r="O102" i="8"/>
  <c r="R199" i="8"/>
  <c r="P235" i="8"/>
  <c r="Q149" i="8"/>
  <c r="P93" i="8"/>
  <c r="N194" i="7"/>
  <c r="M200" i="7"/>
  <c r="N235" i="7"/>
  <c r="P199" i="7"/>
  <c r="L192" i="7"/>
  <c r="M102" i="7"/>
  <c r="O103" i="7"/>
  <c r="N93" i="7"/>
  <c r="J192" i="6"/>
  <c r="K102" i="6"/>
  <c r="K194" i="6"/>
  <c r="J200" i="6"/>
  <c r="J235" i="6"/>
  <c r="L199" i="6"/>
  <c r="M103" i="6"/>
  <c r="T235" i="10" l="1"/>
  <c r="V199" i="10"/>
  <c r="T192" i="10"/>
  <c r="U102" i="10"/>
  <c r="Y103" i="10"/>
  <c r="T200" i="10"/>
  <c r="U194" i="10"/>
  <c r="U109" i="10"/>
  <c r="W103" i="9"/>
  <c r="S235" i="9"/>
  <c r="U199" i="9"/>
  <c r="T93" i="9"/>
  <c r="U192" i="9"/>
  <c r="V102" i="9"/>
  <c r="T200" i="9"/>
  <c r="V194" i="9"/>
  <c r="O192" i="8"/>
  <c r="P102" i="8"/>
  <c r="R194" i="8"/>
  <c r="Q200" i="8"/>
  <c r="Q235" i="8"/>
  <c r="S199" i="8"/>
  <c r="R149" i="8"/>
  <c r="Q93" i="8"/>
  <c r="U103" i="8"/>
  <c r="P103" i="7"/>
  <c r="M192" i="7"/>
  <c r="N102" i="7"/>
  <c r="O235" i="7"/>
  <c r="Q199" i="7"/>
  <c r="O194" i="7"/>
  <c r="N200" i="7"/>
  <c r="K200" i="6"/>
  <c r="L194" i="6"/>
  <c r="N103" i="6"/>
  <c r="K235" i="6"/>
  <c r="M199" i="6"/>
  <c r="K192" i="6"/>
  <c r="L102" i="6"/>
  <c r="U200" i="10" l="1"/>
  <c r="V194" i="10"/>
  <c r="Z103" i="10"/>
  <c r="U235" i="10"/>
  <c r="W199" i="10"/>
  <c r="U192" i="10"/>
  <c r="V102" i="10"/>
  <c r="V109" i="10"/>
  <c r="V192" i="9"/>
  <c r="W102" i="9"/>
  <c r="T235" i="9"/>
  <c r="V199" i="9"/>
  <c r="U93" i="9"/>
  <c r="W194" i="9"/>
  <c r="V200" i="9"/>
  <c r="V51" i="9" s="1"/>
  <c r="V52" i="9" s="1"/>
  <c r="U200" i="9"/>
  <c r="U51" i="9" s="1"/>
  <c r="U52" i="9" s="1"/>
  <c r="X103" i="9"/>
  <c r="T199" i="8"/>
  <c r="R235" i="8"/>
  <c r="S149" i="8"/>
  <c r="R93" i="8"/>
  <c r="R200" i="8"/>
  <c r="S194" i="8"/>
  <c r="V103" i="8"/>
  <c r="P192" i="8"/>
  <c r="Q102" i="8"/>
  <c r="P194" i="7"/>
  <c r="O200" i="7"/>
  <c r="N192" i="7"/>
  <c r="O102" i="7"/>
  <c r="P235" i="7"/>
  <c r="R199" i="7"/>
  <c r="O93" i="7"/>
  <c r="P93" i="7"/>
  <c r="Q103" i="7"/>
  <c r="L235" i="6"/>
  <c r="N199" i="6"/>
  <c r="O103" i="6"/>
  <c r="L200" i="6"/>
  <c r="M194" i="6"/>
  <c r="L192" i="6"/>
  <c r="M102" i="6"/>
  <c r="V192" i="10" l="1"/>
  <c r="W102" i="10"/>
  <c r="V235" i="10"/>
  <c r="X199" i="10"/>
  <c r="AA103" i="10"/>
  <c r="W194" i="10"/>
  <c r="V200" i="10"/>
  <c r="W109" i="10"/>
  <c r="X194" i="9"/>
  <c r="W199" i="9"/>
  <c r="U235" i="9"/>
  <c r="V93" i="9"/>
  <c r="U75" i="9"/>
  <c r="U73" i="9"/>
  <c r="V75" i="9"/>
  <c r="V73" i="9"/>
  <c r="W93" i="9"/>
  <c r="W192" i="9"/>
  <c r="X102" i="9"/>
  <c r="Y103" i="9"/>
  <c r="W103" i="8"/>
  <c r="T149" i="8"/>
  <c r="S93" i="8"/>
  <c r="Q192" i="8"/>
  <c r="R102" i="8"/>
  <c r="S200" i="8"/>
  <c r="T194" i="8"/>
  <c r="S235" i="8"/>
  <c r="U199" i="8"/>
  <c r="S199" i="7"/>
  <c r="Q235" i="7"/>
  <c r="O192" i="7"/>
  <c r="P102" i="7"/>
  <c r="Q93" i="7"/>
  <c r="R103" i="7"/>
  <c r="P200" i="7"/>
  <c r="Q194" i="7"/>
  <c r="M200" i="6"/>
  <c r="N194" i="6"/>
  <c r="P103" i="6"/>
  <c r="M235" i="6"/>
  <c r="O199" i="6"/>
  <c r="M192" i="6"/>
  <c r="N102" i="6"/>
  <c r="U83" i="9" l="1"/>
  <c r="X194" i="10"/>
  <c r="W200" i="10"/>
  <c r="AB103" i="10"/>
  <c r="W192" i="10"/>
  <c r="X102" i="10"/>
  <c r="W235" i="10"/>
  <c r="Y199" i="10"/>
  <c r="X109" i="10"/>
  <c r="AN214" i="9"/>
  <c r="V7" i="9"/>
  <c r="AM214" i="9"/>
  <c r="U7" i="9"/>
  <c r="V235" i="9"/>
  <c r="X199" i="9"/>
  <c r="X200" i="9" s="1"/>
  <c r="X51" i="9" s="1"/>
  <c r="X52" i="9" s="1"/>
  <c r="Z103" i="9"/>
  <c r="X192" i="9"/>
  <c r="Y102" i="9"/>
  <c r="Y194" i="9"/>
  <c r="V83" i="9"/>
  <c r="W200" i="9"/>
  <c r="W51" i="9" s="1"/>
  <c r="W52" i="9" s="1"/>
  <c r="R192" i="8"/>
  <c r="S102" i="8"/>
  <c r="T200" i="8"/>
  <c r="U194" i="8"/>
  <c r="U149" i="8"/>
  <c r="T93" i="8"/>
  <c r="V199" i="8"/>
  <c r="T235" i="8"/>
  <c r="X103" i="8"/>
  <c r="Q200" i="7"/>
  <c r="R194" i="7"/>
  <c r="S103" i="7"/>
  <c r="R93" i="7"/>
  <c r="P192" i="7"/>
  <c r="Q102" i="7"/>
  <c r="R235" i="7"/>
  <c r="T199" i="7"/>
  <c r="P199" i="6"/>
  <c r="N235" i="6"/>
  <c r="Q103" i="6"/>
  <c r="N200" i="6"/>
  <c r="O194" i="6"/>
  <c r="N192" i="6"/>
  <c r="O102" i="6"/>
  <c r="X235" i="10" l="1"/>
  <c r="Z199" i="10"/>
  <c r="AN214" i="10"/>
  <c r="V7" i="10"/>
  <c r="X192" i="10"/>
  <c r="Y102" i="10"/>
  <c r="AC103" i="10"/>
  <c r="AM214" i="10"/>
  <c r="U7" i="10"/>
  <c r="Y109" i="10"/>
  <c r="Y194" i="10"/>
  <c r="X200" i="10"/>
  <c r="X75" i="9"/>
  <c r="X73" i="9"/>
  <c r="W75" i="9"/>
  <c r="W73" i="9"/>
  <c r="AA103" i="9"/>
  <c r="W235" i="9"/>
  <c r="Y199" i="9"/>
  <c r="X93" i="9"/>
  <c r="Z194" i="9"/>
  <c r="Y192" i="9"/>
  <c r="Z102" i="9"/>
  <c r="W199" i="8"/>
  <c r="U235" i="8"/>
  <c r="V149" i="8"/>
  <c r="U93" i="8"/>
  <c r="U200" i="8"/>
  <c r="U51" i="8" s="1"/>
  <c r="U52" i="8" s="1"/>
  <c r="V194" i="8"/>
  <c r="Y103" i="8"/>
  <c r="S192" i="8"/>
  <c r="T102" i="8"/>
  <c r="S235" i="7"/>
  <c r="U199" i="7"/>
  <c r="Q192" i="7"/>
  <c r="R102" i="7"/>
  <c r="S93" i="7"/>
  <c r="T103" i="7"/>
  <c r="R200" i="7"/>
  <c r="S194" i="7"/>
  <c r="R103" i="6"/>
  <c r="P194" i="6"/>
  <c r="O200" i="6"/>
  <c r="O192" i="6"/>
  <c r="P102" i="6"/>
  <c r="O235" i="6"/>
  <c r="Q199" i="6"/>
  <c r="X83" i="9" l="1"/>
  <c r="W83" i="9"/>
  <c r="AD103" i="10"/>
  <c r="Z194" i="10"/>
  <c r="Y200" i="10"/>
  <c r="Y192" i="10"/>
  <c r="Z102" i="10"/>
  <c r="Y235" i="10"/>
  <c r="AA199" i="10"/>
  <c r="Z109" i="10"/>
  <c r="AO214" i="10"/>
  <c r="W7" i="10"/>
  <c r="Z199" i="9"/>
  <c r="X235" i="9"/>
  <c r="Y93" i="9"/>
  <c r="Z192" i="9"/>
  <c r="AA102" i="9"/>
  <c r="AB103" i="9"/>
  <c r="Z200" i="9"/>
  <c r="AA194" i="9"/>
  <c r="AO214" i="9"/>
  <c r="W7" i="9"/>
  <c r="Y200" i="9"/>
  <c r="Y51" i="9" s="1"/>
  <c r="Y52" i="9" s="1"/>
  <c r="AP214" i="9"/>
  <c r="X7" i="9"/>
  <c r="Z103" i="8"/>
  <c r="U73" i="8"/>
  <c r="U75" i="8"/>
  <c r="W149" i="8"/>
  <c r="V93" i="8"/>
  <c r="T192" i="8"/>
  <c r="U102" i="8"/>
  <c r="W194" i="8"/>
  <c r="V200" i="8"/>
  <c r="V51" i="8" s="1"/>
  <c r="V52" i="8" s="1"/>
  <c r="V235" i="8"/>
  <c r="X199" i="8"/>
  <c r="S200" i="7"/>
  <c r="T194" i="7"/>
  <c r="T93" i="7"/>
  <c r="U103" i="7"/>
  <c r="R192" i="7"/>
  <c r="S102" i="7"/>
  <c r="V199" i="7"/>
  <c r="T235" i="7"/>
  <c r="P192" i="6"/>
  <c r="Q102" i="6"/>
  <c r="Q194" i="6"/>
  <c r="P200" i="6"/>
  <c r="P93" i="6"/>
  <c r="P235" i="6"/>
  <c r="R199" i="6"/>
  <c r="S103" i="6"/>
  <c r="AE103" i="10" l="1"/>
  <c r="Z192" i="10"/>
  <c r="AA102" i="10"/>
  <c r="AA109" i="10"/>
  <c r="Z200" i="10"/>
  <c r="AA194" i="10"/>
  <c r="AB199" i="10"/>
  <c r="Z235" i="10"/>
  <c r="AC103" i="9"/>
  <c r="AA192" i="9"/>
  <c r="AB102" i="9"/>
  <c r="Y75" i="9"/>
  <c r="Y73" i="9"/>
  <c r="AB194" i="9"/>
  <c r="AA200" i="9"/>
  <c r="AA51" i="9" s="1"/>
  <c r="AA52" i="9" s="1"/>
  <c r="AA199" i="9"/>
  <c r="Y235" i="9"/>
  <c r="Z93" i="9"/>
  <c r="U192" i="8"/>
  <c r="V102" i="8"/>
  <c r="W235" i="8"/>
  <c r="Y199" i="8"/>
  <c r="U83" i="8"/>
  <c r="AM214" i="8"/>
  <c r="U7" i="8"/>
  <c r="V75" i="8"/>
  <c r="V73" i="8"/>
  <c r="AA103" i="8"/>
  <c r="X149" i="8"/>
  <c r="W93" i="8"/>
  <c r="X194" i="8"/>
  <c r="W200" i="8"/>
  <c r="W51" i="8" s="1"/>
  <c r="W52" i="8" s="1"/>
  <c r="U235" i="7"/>
  <c r="W199" i="7"/>
  <c r="S192" i="7"/>
  <c r="T102" i="7"/>
  <c r="V103" i="7"/>
  <c r="U93" i="7"/>
  <c r="T200" i="7"/>
  <c r="U194" i="7"/>
  <c r="S199" i="6"/>
  <c r="Q235" i="6"/>
  <c r="Q200" i="6"/>
  <c r="R194" i="6"/>
  <c r="Q93" i="6"/>
  <c r="Q192" i="6"/>
  <c r="R102" i="6"/>
  <c r="T103" i="6"/>
  <c r="Y83" i="9" l="1"/>
  <c r="AB109" i="10"/>
  <c r="AA200" i="10"/>
  <c r="AB194" i="10"/>
  <c r="AA192" i="10"/>
  <c r="AB102" i="10"/>
  <c r="AP214" i="10"/>
  <c r="X7" i="10"/>
  <c r="AA235" i="10"/>
  <c r="AC199" i="10"/>
  <c r="AQ214" i="10"/>
  <c r="Y7" i="10"/>
  <c r="AF103" i="10"/>
  <c r="AC194" i="9"/>
  <c r="AB192" i="9"/>
  <c r="AC102" i="9"/>
  <c r="AA73" i="9"/>
  <c r="AA75" i="9"/>
  <c r="AD103" i="9"/>
  <c r="AQ214" i="9"/>
  <c r="Y7" i="9"/>
  <c r="Z235" i="9"/>
  <c r="AB199" i="9"/>
  <c r="AA93" i="9"/>
  <c r="AB93" i="9"/>
  <c r="AN214" i="8"/>
  <c r="V7" i="8"/>
  <c r="W75" i="8"/>
  <c r="W73" i="8"/>
  <c r="Y194" i="8"/>
  <c r="X200" i="8"/>
  <c r="X51" i="8" s="1"/>
  <c r="X52" i="8" s="1"/>
  <c r="Y149" i="8"/>
  <c r="X93" i="8"/>
  <c r="Z199" i="8"/>
  <c r="X235" i="8"/>
  <c r="AB103" i="8"/>
  <c r="V192" i="8"/>
  <c r="W102" i="8"/>
  <c r="V83" i="8"/>
  <c r="V194" i="7"/>
  <c r="U200" i="7"/>
  <c r="U51" i="7" s="1"/>
  <c r="U52" i="7" s="1"/>
  <c r="W103" i="7"/>
  <c r="V93" i="7"/>
  <c r="T192" i="7"/>
  <c r="U102" i="7"/>
  <c r="V235" i="7"/>
  <c r="X199" i="7"/>
  <c r="R192" i="6"/>
  <c r="S102" i="6"/>
  <c r="S194" i="6"/>
  <c r="R200" i="6"/>
  <c r="R93" i="6"/>
  <c r="U103" i="6"/>
  <c r="R235" i="6"/>
  <c r="T199" i="6"/>
  <c r="AB192" i="10" l="1"/>
  <c r="AC102" i="10"/>
  <c r="AB200" i="10"/>
  <c r="AC194" i="10"/>
  <c r="AB235" i="10"/>
  <c r="AD199" i="10"/>
  <c r="B103" i="10"/>
  <c r="AC109" i="10"/>
  <c r="AS214" i="9"/>
  <c r="AA7" i="9"/>
  <c r="AE103" i="9"/>
  <c r="AA83" i="9"/>
  <c r="AA235" i="9"/>
  <c r="AC199" i="9"/>
  <c r="AC192" i="9"/>
  <c r="AD102" i="9"/>
  <c r="AB200" i="9"/>
  <c r="AB51" i="9" s="1"/>
  <c r="AB52" i="9" s="1"/>
  <c r="AD194" i="9"/>
  <c r="W83" i="8"/>
  <c r="W192" i="8"/>
  <c r="X102" i="8"/>
  <c r="Z149" i="8"/>
  <c r="Y93" i="8"/>
  <c r="X75" i="8"/>
  <c r="X73" i="8"/>
  <c r="Z194" i="8"/>
  <c r="Y200" i="8"/>
  <c r="Y51" i="8" s="1"/>
  <c r="Y52" i="8" s="1"/>
  <c r="AC103" i="8"/>
  <c r="AO214" i="8"/>
  <c r="W7" i="8"/>
  <c r="Y235" i="8"/>
  <c r="AA199" i="8"/>
  <c r="W235" i="7"/>
  <c r="Y199" i="7"/>
  <c r="U192" i="7"/>
  <c r="V102" i="7"/>
  <c r="X103" i="7"/>
  <c r="W93" i="7"/>
  <c r="U75" i="7"/>
  <c r="U73" i="7"/>
  <c r="U83" i="7" s="1"/>
  <c r="W194" i="7"/>
  <c r="V200" i="7"/>
  <c r="V51" i="7" s="1"/>
  <c r="V52" i="7" s="1"/>
  <c r="V103" i="6"/>
  <c r="S200" i="6"/>
  <c r="T194" i="6"/>
  <c r="S93" i="6"/>
  <c r="S192" i="6"/>
  <c r="T102" i="6"/>
  <c r="S235" i="6"/>
  <c r="U199" i="6"/>
  <c r="AC192" i="10" l="1"/>
  <c r="AD102" i="10"/>
  <c r="AD109" i="10"/>
  <c r="AC200" i="10"/>
  <c r="AD194" i="10"/>
  <c r="AC235" i="10"/>
  <c r="AE199" i="10"/>
  <c r="AB235" i="9"/>
  <c r="AD199" i="9"/>
  <c r="AC93" i="9"/>
  <c r="AC200" i="9"/>
  <c r="AC51" i="9" s="1"/>
  <c r="AC52" i="9" s="1"/>
  <c r="AE194" i="9"/>
  <c r="AD200" i="9"/>
  <c r="AD51" i="9" s="1"/>
  <c r="AD52" i="9" s="1"/>
  <c r="AF103" i="9"/>
  <c r="AB73" i="9"/>
  <c r="AB75" i="9"/>
  <c r="AD192" i="9"/>
  <c r="AE102" i="9"/>
  <c r="X83" i="8"/>
  <c r="Z200" i="8"/>
  <c r="AA194" i="8"/>
  <c r="AP214" i="8"/>
  <c r="X7" i="8"/>
  <c r="AA149" i="8"/>
  <c r="Y73" i="8"/>
  <c r="Y75" i="8"/>
  <c r="AB199" i="8"/>
  <c r="Z235" i="8"/>
  <c r="X192" i="8"/>
  <c r="Y102" i="8"/>
  <c r="AD103" i="8"/>
  <c r="V192" i="7"/>
  <c r="W102" i="7"/>
  <c r="X235" i="7"/>
  <c r="Z199" i="7"/>
  <c r="AM214" i="7"/>
  <c r="U7" i="7"/>
  <c r="Y103" i="7"/>
  <c r="X93" i="7"/>
  <c r="V73" i="7"/>
  <c r="V75" i="7"/>
  <c r="X194" i="7"/>
  <c r="W200" i="7"/>
  <c r="W51" i="7" s="1"/>
  <c r="W52" i="7" s="1"/>
  <c r="T192" i="6"/>
  <c r="U102" i="6"/>
  <c r="T200" i="6"/>
  <c r="U194" i="6"/>
  <c r="T93" i="6"/>
  <c r="T235" i="6"/>
  <c r="V199" i="6"/>
  <c r="W103" i="6"/>
  <c r="AT214" i="10" l="1"/>
  <c r="AB7" i="10"/>
  <c r="AE194" i="10"/>
  <c r="AD200" i="10"/>
  <c r="AE109" i="10"/>
  <c r="AD192" i="10"/>
  <c r="AE102" i="10"/>
  <c r="AS214" i="10"/>
  <c r="AA7" i="10"/>
  <c r="AD235" i="10"/>
  <c r="AF199" i="10"/>
  <c r="B103" i="9"/>
  <c r="AF194" i="9"/>
  <c r="AE192" i="9"/>
  <c r="AF102" i="9"/>
  <c r="AT214" i="9"/>
  <c r="AB7" i="9"/>
  <c r="AC235" i="9"/>
  <c r="AE199" i="9"/>
  <c r="AE200" i="9" s="1"/>
  <c r="AE51" i="9" s="1"/>
  <c r="AE52" i="9" s="1"/>
  <c r="AD93" i="9"/>
  <c r="AD75" i="9"/>
  <c r="AD73" i="9"/>
  <c r="AC75" i="9"/>
  <c r="AC73" i="9"/>
  <c r="AB83" i="9"/>
  <c r="AQ214" i="8"/>
  <c r="Y7" i="8"/>
  <c r="Y83" i="8"/>
  <c r="AE103" i="8"/>
  <c r="AB149" i="8"/>
  <c r="AA93" i="8"/>
  <c r="AA200" i="8"/>
  <c r="AA51" i="8" s="1"/>
  <c r="AA52" i="8" s="1"/>
  <c r="AB194" i="8"/>
  <c r="Y192" i="8"/>
  <c r="Z102" i="8"/>
  <c r="AC199" i="8"/>
  <c r="AA235" i="8"/>
  <c r="V83" i="7"/>
  <c r="Z103" i="7"/>
  <c r="W73" i="7"/>
  <c r="W75" i="7"/>
  <c r="AA199" i="7"/>
  <c r="Y235" i="7"/>
  <c r="X200" i="7"/>
  <c r="X51" i="7" s="1"/>
  <c r="X52" i="7" s="1"/>
  <c r="Y194" i="7"/>
  <c r="AN214" i="7"/>
  <c r="V7" i="7"/>
  <c r="W192" i="7"/>
  <c r="X102" i="7"/>
  <c r="U200" i="6"/>
  <c r="U51" i="6" s="1"/>
  <c r="U52" i="6" s="1"/>
  <c r="V194" i="6"/>
  <c r="U93" i="6"/>
  <c r="X103" i="6"/>
  <c r="U235" i="6"/>
  <c r="W199" i="6"/>
  <c r="U192" i="6"/>
  <c r="V102" i="6"/>
  <c r="AD83" i="9" l="1"/>
  <c r="AC83" i="9"/>
  <c r="AF109" i="10"/>
  <c r="AU214" i="10"/>
  <c r="AC7" i="10"/>
  <c r="AE200" i="10"/>
  <c r="AF194" i="10"/>
  <c r="AE235" i="10"/>
  <c r="B199" i="10"/>
  <c r="AF235" i="10" s="1"/>
  <c r="AE192" i="10"/>
  <c r="AF102" i="10"/>
  <c r="AE75" i="9"/>
  <c r="AE73" i="9"/>
  <c r="AV214" i="9"/>
  <c r="AD7" i="9"/>
  <c r="AF200" i="9"/>
  <c r="AF51" i="9" s="1"/>
  <c r="AF52" i="9" s="1"/>
  <c r="B194" i="9"/>
  <c r="AU214" i="9"/>
  <c r="AC7" i="9"/>
  <c r="AF192" i="9"/>
  <c r="B102" i="9"/>
  <c r="B192" i="9" s="1"/>
  <c r="AD235" i="9"/>
  <c r="AF199" i="9"/>
  <c r="AE93" i="9"/>
  <c r="AF93" i="9"/>
  <c r="AA73" i="8"/>
  <c r="AA75" i="8"/>
  <c r="AC149" i="8"/>
  <c r="AB93" i="8"/>
  <c r="AD199" i="8"/>
  <c r="AB235" i="8"/>
  <c r="Z192" i="8"/>
  <c r="AA102" i="8"/>
  <c r="AF103" i="8"/>
  <c r="AC194" i="8"/>
  <c r="AB200" i="8"/>
  <c r="AB51" i="8" s="1"/>
  <c r="AB52" i="8" s="1"/>
  <c r="X73" i="7"/>
  <c r="X75" i="7"/>
  <c r="Z235" i="7"/>
  <c r="AB199" i="7"/>
  <c r="X192" i="7"/>
  <c r="Y102" i="7"/>
  <c r="AO214" i="7"/>
  <c r="W7" i="7"/>
  <c r="W83" i="7"/>
  <c r="Y200" i="7"/>
  <c r="Y51" i="7" s="1"/>
  <c r="Y52" i="7" s="1"/>
  <c r="Z194" i="7"/>
  <c r="Y93" i="7"/>
  <c r="AA103" i="7"/>
  <c r="Z93" i="7"/>
  <c r="X199" i="6"/>
  <c r="V235" i="6"/>
  <c r="Y103" i="6"/>
  <c r="V200" i="6"/>
  <c r="V51" i="6" s="1"/>
  <c r="V52" i="6" s="1"/>
  <c r="W194" i="6"/>
  <c r="V93" i="6"/>
  <c r="V192" i="6"/>
  <c r="W102" i="6"/>
  <c r="U75" i="6"/>
  <c r="U73" i="6"/>
  <c r="AE83" i="9" l="1"/>
  <c r="AF192" i="10"/>
  <c r="B102" i="10"/>
  <c r="AV214" i="10"/>
  <c r="AD7" i="10"/>
  <c r="B109" i="10"/>
  <c r="AF200" i="10"/>
  <c r="B194" i="10"/>
  <c r="B200" i="10" s="1"/>
  <c r="AE235" i="9"/>
  <c r="B199" i="9"/>
  <c r="AH93" i="9"/>
  <c r="AI93" i="9"/>
  <c r="AF75" i="9"/>
  <c r="AF73" i="9"/>
  <c r="AW214" i="9"/>
  <c r="AE7" i="9"/>
  <c r="AA192" i="8"/>
  <c r="AB102" i="8"/>
  <c r="AC235" i="8"/>
  <c r="AE199" i="8"/>
  <c r="AC200" i="8"/>
  <c r="AC51" i="8" s="1"/>
  <c r="AC52" i="8" s="1"/>
  <c r="AD194" i="8"/>
  <c r="AD149" i="8"/>
  <c r="AC93" i="8"/>
  <c r="AB73" i="8"/>
  <c r="AB75" i="8"/>
  <c r="B103" i="8"/>
  <c r="AS214" i="8"/>
  <c r="AA7" i="8"/>
  <c r="AA83" i="8"/>
  <c r="Y192" i="7"/>
  <c r="Z102" i="7"/>
  <c r="AA235" i="7"/>
  <c r="AC199" i="7"/>
  <c r="Z200" i="7"/>
  <c r="AA194" i="7"/>
  <c r="AA93" i="7"/>
  <c r="AB103" i="7"/>
  <c r="Y73" i="7"/>
  <c r="Y75" i="7"/>
  <c r="AP214" i="7"/>
  <c r="X7" i="7"/>
  <c r="X83" i="7"/>
  <c r="U83" i="6"/>
  <c r="Z103" i="6"/>
  <c r="X194" i="6"/>
  <c r="W200" i="6"/>
  <c r="W51" i="6" s="1"/>
  <c r="W52" i="6" s="1"/>
  <c r="W93" i="6"/>
  <c r="V75" i="6"/>
  <c r="V73" i="6"/>
  <c r="AM214" i="6"/>
  <c r="U7" i="6"/>
  <c r="W192" i="6"/>
  <c r="X102" i="6"/>
  <c r="W235" i="6"/>
  <c r="Y199" i="6"/>
  <c r="AF83" i="9" l="1"/>
  <c r="AH93" i="10"/>
  <c r="AI93" i="10"/>
  <c r="AW214" i="10"/>
  <c r="AE7" i="10"/>
  <c r="B192" i="10"/>
  <c r="AI51" i="10"/>
  <c r="AH51" i="10"/>
  <c r="AX214" i="9"/>
  <c r="AF7" i="9"/>
  <c r="AF235" i="9"/>
  <c r="B93" i="9"/>
  <c r="B200" i="9"/>
  <c r="AE194" i="8"/>
  <c r="AD200" i="8"/>
  <c r="AD51" i="8" s="1"/>
  <c r="AD52" i="8" s="1"/>
  <c r="AE149" i="8"/>
  <c r="AD93" i="8"/>
  <c r="AT214" i="8"/>
  <c r="AB7" i="8"/>
  <c r="AB192" i="8"/>
  <c r="AC102" i="8"/>
  <c r="AC73" i="8"/>
  <c r="AC75" i="8"/>
  <c r="AD235" i="8"/>
  <c r="AF199" i="8"/>
  <c r="AB83" i="8"/>
  <c r="Y83" i="7"/>
  <c r="AD199" i="7"/>
  <c r="AB235" i="7"/>
  <c r="AQ214" i="7"/>
  <c r="Y7" i="7"/>
  <c r="Z192" i="7"/>
  <c r="AA102" i="7"/>
  <c r="AB93" i="7"/>
  <c r="AC103" i="7"/>
  <c r="AA200" i="7"/>
  <c r="AA51" i="7" s="1"/>
  <c r="AA52" i="7" s="1"/>
  <c r="AB194" i="7"/>
  <c r="W75" i="6"/>
  <c r="W73" i="6"/>
  <c r="W83" i="6" s="1"/>
  <c r="X192" i="6"/>
  <c r="Y102" i="6"/>
  <c r="Y194" i="6"/>
  <c r="X200" i="6"/>
  <c r="X51" i="6" s="1"/>
  <c r="X52" i="6" s="1"/>
  <c r="X93" i="6"/>
  <c r="V83" i="6"/>
  <c r="X235" i="6"/>
  <c r="Z199" i="6"/>
  <c r="AN214" i="6"/>
  <c r="V7" i="6"/>
  <c r="AA103" i="6"/>
  <c r="AI52" i="10" l="1"/>
  <c r="AH52" i="10"/>
  <c r="B52" i="9"/>
  <c r="AI51" i="9"/>
  <c r="AH51" i="9"/>
  <c r="AE235" i="8"/>
  <c r="B199" i="8"/>
  <c r="AF235" i="8" s="1"/>
  <c r="AD75" i="8"/>
  <c r="AD73" i="8"/>
  <c r="AD83" i="8" s="1"/>
  <c r="AU214" i="8"/>
  <c r="AC7" i="8"/>
  <c r="AF149" i="8"/>
  <c r="AE93" i="8"/>
  <c r="AC83" i="8"/>
  <c r="AC192" i="8"/>
  <c r="AD102" i="8"/>
  <c r="AF194" i="8"/>
  <c r="AE200" i="8"/>
  <c r="AE51" i="8" s="1"/>
  <c r="AE52" i="8" s="1"/>
  <c r="AD103" i="7"/>
  <c r="AA192" i="7"/>
  <c r="AB102" i="7"/>
  <c r="AB200" i="7"/>
  <c r="AB51" i="7" s="1"/>
  <c r="AB52" i="7" s="1"/>
  <c r="AC194" i="7"/>
  <c r="AA73" i="7"/>
  <c r="AA75" i="7"/>
  <c r="AC235" i="7"/>
  <c r="AE199" i="7"/>
  <c r="AB103" i="6"/>
  <c r="X73" i="6"/>
  <c r="X75" i="6"/>
  <c r="Y200" i="6"/>
  <c r="Y51" i="6" s="1"/>
  <c r="Y52" i="6" s="1"/>
  <c r="Z194" i="6"/>
  <c r="Y93" i="6"/>
  <c r="Y192" i="6"/>
  <c r="Z102" i="6"/>
  <c r="AA199" i="6"/>
  <c r="Y235" i="6"/>
  <c r="AO214" i="6"/>
  <c r="W7" i="6"/>
  <c r="AX214" i="10" l="1"/>
  <c r="AF7" i="10"/>
  <c r="A7" i="10" s="1"/>
  <c r="AH75" i="10"/>
  <c r="AI75" i="10"/>
  <c r="AH73" i="10"/>
  <c r="AI73" i="10"/>
  <c r="AI52" i="9"/>
  <c r="AH52" i="9"/>
  <c r="B73" i="9"/>
  <c r="B75" i="9"/>
  <c r="AE73" i="8"/>
  <c r="AE75" i="8"/>
  <c r="AF200" i="8"/>
  <c r="AF51" i="8" s="1"/>
  <c r="AF52" i="8" s="1"/>
  <c r="B194" i="8"/>
  <c r="B200" i="8" s="1"/>
  <c r="AD192" i="8"/>
  <c r="AE102" i="8"/>
  <c r="B149" i="8"/>
  <c r="AF93" i="8"/>
  <c r="AV214" i="8"/>
  <c r="AD7" i="8"/>
  <c r="AD194" i="7"/>
  <c r="AC200" i="7"/>
  <c r="AC51" i="7" s="1"/>
  <c r="AC52" i="7" s="1"/>
  <c r="AA83" i="7"/>
  <c r="AB73" i="7"/>
  <c r="AB75" i="7"/>
  <c r="AB192" i="7"/>
  <c r="AC102" i="7"/>
  <c r="AD235" i="7"/>
  <c r="AF199" i="7"/>
  <c r="AE103" i="7"/>
  <c r="AD93" i="7"/>
  <c r="AS214" i="7"/>
  <c r="AA7" i="7"/>
  <c r="AC93" i="7"/>
  <c r="AA194" i="6"/>
  <c r="Z200" i="6"/>
  <c r="Z93" i="6"/>
  <c r="AP214" i="6"/>
  <c r="X7" i="6"/>
  <c r="X83" i="6"/>
  <c r="Z235" i="6"/>
  <c r="AB199" i="6"/>
  <c r="Y73" i="6"/>
  <c r="Y75" i="6"/>
  <c r="Z192" i="6"/>
  <c r="AA102" i="6"/>
  <c r="AC103" i="6"/>
  <c r="AH83" i="10" l="1"/>
  <c r="AI83" i="10"/>
  <c r="T214" i="9"/>
  <c r="AI75" i="9"/>
  <c r="B7" i="9"/>
  <c r="A7" i="9" s="1"/>
  <c r="AH75" i="9"/>
  <c r="AI73" i="9"/>
  <c r="AH73" i="9"/>
  <c r="B83" i="9"/>
  <c r="AE192" i="8"/>
  <c r="AF102" i="8"/>
  <c r="AI93" i="8"/>
  <c r="AH93" i="8"/>
  <c r="AI51" i="8"/>
  <c r="AH51" i="8"/>
  <c r="AF75" i="8"/>
  <c r="AF73" i="8"/>
  <c r="AW214" i="8"/>
  <c r="AE7" i="8"/>
  <c r="AE83" i="8"/>
  <c r="AB83" i="7"/>
  <c r="AC192" i="7"/>
  <c r="AD102" i="7"/>
  <c r="AT214" i="7"/>
  <c r="AB7" i="7"/>
  <c r="AC75" i="7"/>
  <c r="AC73" i="7"/>
  <c r="AC83" i="7" s="1"/>
  <c r="AE93" i="7"/>
  <c r="AF103" i="7"/>
  <c r="AE235" i="7"/>
  <c r="B199" i="7"/>
  <c r="AF235" i="7" s="1"/>
  <c r="AE194" i="7"/>
  <c r="AD200" i="7"/>
  <c r="AD51" i="7" s="1"/>
  <c r="AD52" i="7" s="1"/>
  <c r="AA235" i="6"/>
  <c r="AC199" i="6"/>
  <c r="AD103" i="6"/>
  <c r="AA192" i="6"/>
  <c r="AB102" i="6"/>
  <c r="AQ214" i="6"/>
  <c r="Y7" i="6"/>
  <c r="Y83" i="6"/>
  <c r="AA200" i="6"/>
  <c r="AA51" i="6" s="1"/>
  <c r="AA52" i="6" s="1"/>
  <c r="AB194" i="6"/>
  <c r="AA93" i="6"/>
  <c r="AI83" i="9" l="1"/>
  <c r="AH83" i="9"/>
  <c r="AX214" i="8"/>
  <c r="AF7" i="8"/>
  <c r="AF192" i="8"/>
  <c r="B102" i="8"/>
  <c r="B192" i="8" s="1"/>
  <c r="AI52" i="8"/>
  <c r="AH52" i="8"/>
  <c r="AF83" i="8"/>
  <c r="AD73" i="7"/>
  <c r="AD75" i="7"/>
  <c r="AF194" i="7"/>
  <c r="AE200" i="7"/>
  <c r="AE51" i="7" s="1"/>
  <c r="AE52" i="7" s="1"/>
  <c r="AD192" i="7"/>
  <c r="AE102" i="7"/>
  <c r="B103" i="7"/>
  <c r="AF93" i="7"/>
  <c r="AU214" i="7"/>
  <c r="AC7" i="7"/>
  <c r="AB192" i="6"/>
  <c r="AC102" i="6"/>
  <c r="AB200" i="6"/>
  <c r="AB51" i="6" s="1"/>
  <c r="AB52" i="6" s="1"/>
  <c r="AC194" i="6"/>
  <c r="AB93" i="6"/>
  <c r="AE103" i="6"/>
  <c r="AB235" i="6"/>
  <c r="AD199" i="6"/>
  <c r="AA75" i="6"/>
  <c r="AA83" i="6" s="1"/>
  <c r="T214" i="8" l="1"/>
  <c r="AI75" i="8"/>
  <c r="AH75" i="8"/>
  <c r="B7" i="8"/>
  <c r="A7" i="8" s="1"/>
  <c r="AI73" i="8"/>
  <c r="AH73" i="8"/>
  <c r="AH93" i="7"/>
  <c r="AI93" i="7"/>
  <c r="AV214" i="7"/>
  <c r="AD7" i="7"/>
  <c r="B93" i="7"/>
  <c r="AE192" i="7"/>
  <c r="AF102" i="7"/>
  <c r="AE75" i="7"/>
  <c r="AE73" i="7"/>
  <c r="B194" i="7"/>
  <c r="B200" i="7" s="1"/>
  <c r="B51" i="7" s="1"/>
  <c r="AF200" i="7"/>
  <c r="AF51" i="7" s="1"/>
  <c r="AF52" i="7" s="1"/>
  <c r="AD83" i="7"/>
  <c r="AF103" i="6"/>
  <c r="AS214" i="6"/>
  <c r="AA7" i="6"/>
  <c r="AC192" i="6"/>
  <c r="AD102" i="6"/>
  <c r="AC200" i="6"/>
  <c r="AC51" i="6" s="1"/>
  <c r="AC52" i="6" s="1"/>
  <c r="AD194" i="6"/>
  <c r="AC93" i="6"/>
  <c r="AB75" i="6"/>
  <c r="AB73" i="6"/>
  <c r="AB83" i="6" s="1"/>
  <c r="AC235" i="6"/>
  <c r="AE199" i="6"/>
  <c r="AI83" i="8" l="1"/>
  <c r="AH83" i="8"/>
  <c r="AF75" i="7"/>
  <c r="AF73" i="7"/>
  <c r="AI51" i="7"/>
  <c r="B52" i="7"/>
  <c r="AH51" i="7"/>
  <c r="AW214" i="7"/>
  <c r="AE7" i="7"/>
  <c r="AF192" i="7"/>
  <c r="B102" i="7"/>
  <c r="B192" i="7" s="1"/>
  <c r="AE83" i="7"/>
  <c r="AC75" i="6"/>
  <c r="AC73" i="6"/>
  <c r="AC83" i="6" s="1"/>
  <c r="AD200" i="6"/>
  <c r="AD51" i="6" s="1"/>
  <c r="AD52" i="6" s="1"/>
  <c r="AE194" i="6"/>
  <c r="AD93" i="6"/>
  <c r="AD192" i="6"/>
  <c r="AE102" i="6"/>
  <c r="AF199" i="6"/>
  <c r="AD235" i="6"/>
  <c r="AT214" i="6"/>
  <c r="AB7" i="6"/>
  <c r="B103" i="6"/>
  <c r="AF83" i="7" l="1"/>
  <c r="AI52" i="7"/>
  <c r="AH52" i="7"/>
  <c r="B73" i="7"/>
  <c r="B75" i="7"/>
  <c r="AX214" i="7"/>
  <c r="AF7" i="7"/>
  <c r="B199" i="6"/>
  <c r="AF235" i="6" s="1"/>
  <c r="AE235" i="6"/>
  <c r="AE192" i="6"/>
  <c r="AF102" i="6"/>
  <c r="AF194" i="6"/>
  <c r="AE200" i="6"/>
  <c r="AE51" i="6" s="1"/>
  <c r="AE52" i="6" s="1"/>
  <c r="AE93" i="6"/>
  <c r="AD75" i="6"/>
  <c r="AD73" i="6"/>
  <c r="AU214" i="6"/>
  <c r="AC7" i="6"/>
  <c r="T214" i="7" l="1"/>
  <c r="B7" i="7"/>
  <c r="A7" i="7" s="1"/>
  <c r="AI75" i="7"/>
  <c r="AH75" i="7"/>
  <c r="AI73" i="7"/>
  <c r="AH73" i="7"/>
  <c r="B83" i="7"/>
  <c r="AD83" i="6"/>
  <c r="AF200" i="6"/>
  <c r="AF51" i="6" s="1"/>
  <c r="AF52" i="6" s="1"/>
  <c r="B194" i="6"/>
  <c r="AF93" i="6"/>
  <c r="AE75" i="6"/>
  <c r="AE73" i="6"/>
  <c r="AE83" i="6" s="1"/>
  <c r="AF192" i="6"/>
  <c r="B102" i="6"/>
  <c r="B192" i="6" s="1"/>
  <c r="AV214" i="6"/>
  <c r="AD7" i="6"/>
  <c r="AI83" i="7" l="1"/>
  <c r="AH83" i="7"/>
  <c r="AW214" i="6"/>
  <c r="AE7" i="6"/>
  <c r="B200" i="6"/>
  <c r="AI93" i="6"/>
  <c r="AH93" i="6"/>
  <c r="AF75" i="6"/>
  <c r="AF73" i="6"/>
  <c r="AF83" i="6" l="1"/>
  <c r="AI51" i="6"/>
  <c r="AH51" i="6"/>
  <c r="AX214" i="6"/>
  <c r="AF7" i="6"/>
  <c r="AH52" i="6" l="1"/>
  <c r="AI52" i="6"/>
  <c r="T214" i="6" l="1"/>
  <c r="B7" i="6"/>
  <c r="A7" i="6" s="1"/>
  <c r="AI75" i="6"/>
  <c r="AH75" i="6"/>
  <c r="AI73" i="6"/>
  <c r="AH73" i="6"/>
  <c r="AI83" i="6" l="1"/>
  <c r="AH83" i="6"/>
  <c r="L37" i="5" l="1"/>
  <c r="K37" i="5"/>
  <c r="J58" i="5"/>
  <c r="J37" i="5"/>
  <c r="I58" i="5"/>
  <c r="I37" i="5"/>
  <c r="H58" i="5"/>
  <c r="H37" i="5"/>
  <c r="G58" i="5"/>
  <c r="G37" i="5"/>
  <c r="F58" i="5"/>
  <c r="F37" i="5"/>
  <c r="E58" i="5"/>
  <c r="E37" i="5"/>
  <c r="AH100" i="5"/>
  <c r="AI100" i="5" s="1"/>
  <c r="AH99" i="5"/>
  <c r="AI99" i="5" s="1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B235" i="5"/>
  <c r="S210" i="5"/>
  <c r="AG200" i="5"/>
  <c r="C200" i="5"/>
  <c r="D199" i="5"/>
  <c r="C235" i="5" s="1"/>
  <c r="O198" i="5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B198" i="5" s="1"/>
  <c r="E198" i="5"/>
  <c r="F198" i="5" s="1"/>
  <c r="G198" i="5" s="1"/>
  <c r="H198" i="5" s="1"/>
  <c r="I198" i="5" s="1"/>
  <c r="J198" i="5" s="1"/>
  <c r="K198" i="5" s="1"/>
  <c r="L198" i="5" s="1"/>
  <c r="M198" i="5" s="1"/>
  <c r="N198" i="5" s="1"/>
  <c r="D198" i="5"/>
  <c r="I197" i="5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AE197" i="5" s="1"/>
  <c r="AF197" i="5" s="1"/>
  <c r="B197" i="5" s="1"/>
  <c r="E197" i="5"/>
  <c r="F197" i="5" s="1"/>
  <c r="G197" i="5" s="1"/>
  <c r="H197" i="5" s="1"/>
  <c r="D197" i="5"/>
  <c r="L196" i="5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A196" i="5" s="1"/>
  <c r="AB196" i="5" s="1"/>
  <c r="AC196" i="5" s="1"/>
  <c r="AD196" i="5" s="1"/>
  <c r="AE196" i="5" s="1"/>
  <c r="AF196" i="5" s="1"/>
  <c r="B196" i="5" s="1"/>
  <c r="F196" i="5"/>
  <c r="G196" i="5" s="1"/>
  <c r="H196" i="5" s="1"/>
  <c r="I196" i="5" s="1"/>
  <c r="J196" i="5" s="1"/>
  <c r="K196" i="5" s="1"/>
  <c r="D196" i="5"/>
  <c r="E196" i="5" s="1"/>
  <c r="E195" i="5"/>
  <c r="F195" i="5" s="1"/>
  <c r="G195" i="5" s="1"/>
  <c r="H195" i="5" s="1"/>
  <c r="I195" i="5" s="1"/>
  <c r="J195" i="5" s="1"/>
  <c r="K195" i="5" s="1"/>
  <c r="L195" i="5" s="1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B195" i="5" s="1"/>
  <c r="D195" i="5"/>
  <c r="D200" i="5" s="1"/>
  <c r="D194" i="5"/>
  <c r="E194" i="5" s="1"/>
  <c r="AG192" i="5"/>
  <c r="C192" i="5"/>
  <c r="Q191" i="5"/>
  <c r="R191" i="5" s="1"/>
  <c r="S191" i="5" s="1"/>
  <c r="T191" i="5" s="1"/>
  <c r="U191" i="5" s="1"/>
  <c r="V191" i="5" s="1"/>
  <c r="W191" i="5" s="1"/>
  <c r="X191" i="5" s="1"/>
  <c r="Y191" i="5" s="1"/>
  <c r="Z191" i="5" s="1"/>
  <c r="AA191" i="5" s="1"/>
  <c r="AB191" i="5" s="1"/>
  <c r="AC191" i="5" s="1"/>
  <c r="AD191" i="5" s="1"/>
  <c r="AE191" i="5" s="1"/>
  <c r="AF191" i="5" s="1"/>
  <c r="B191" i="5" s="1"/>
  <c r="F191" i="5"/>
  <c r="G191" i="5" s="1"/>
  <c r="H191" i="5" s="1"/>
  <c r="I191" i="5" s="1"/>
  <c r="J191" i="5" s="1"/>
  <c r="K191" i="5" s="1"/>
  <c r="L191" i="5" s="1"/>
  <c r="M191" i="5" s="1"/>
  <c r="N191" i="5" s="1"/>
  <c r="O191" i="5" s="1"/>
  <c r="P191" i="5" s="1"/>
  <c r="E191" i="5"/>
  <c r="D191" i="5"/>
  <c r="I190" i="5"/>
  <c r="J190" i="5" s="1"/>
  <c r="K190" i="5" s="1"/>
  <c r="L190" i="5" s="1"/>
  <c r="M190" i="5" s="1"/>
  <c r="N190" i="5" s="1"/>
  <c r="O190" i="5" s="1"/>
  <c r="P190" i="5" s="1"/>
  <c r="Q190" i="5" s="1"/>
  <c r="R190" i="5" s="1"/>
  <c r="S190" i="5" s="1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AD190" i="5" s="1"/>
  <c r="AE190" i="5" s="1"/>
  <c r="AF190" i="5" s="1"/>
  <c r="B190" i="5" s="1"/>
  <c r="H190" i="5"/>
  <c r="D190" i="5"/>
  <c r="E190" i="5" s="1"/>
  <c r="F190" i="5" s="1"/>
  <c r="G190" i="5" s="1"/>
  <c r="M189" i="5"/>
  <c r="N189" i="5" s="1"/>
  <c r="O189" i="5" s="1"/>
  <c r="P189" i="5" s="1"/>
  <c r="Q189" i="5" s="1"/>
  <c r="R189" i="5" s="1"/>
  <c r="S189" i="5" s="1"/>
  <c r="T189" i="5" s="1"/>
  <c r="U189" i="5" s="1"/>
  <c r="V189" i="5" s="1"/>
  <c r="W189" i="5" s="1"/>
  <c r="X189" i="5" s="1"/>
  <c r="Y189" i="5" s="1"/>
  <c r="Z189" i="5" s="1"/>
  <c r="AA189" i="5" s="1"/>
  <c r="AB189" i="5" s="1"/>
  <c r="AC189" i="5" s="1"/>
  <c r="AD189" i="5" s="1"/>
  <c r="AE189" i="5" s="1"/>
  <c r="AF189" i="5" s="1"/>
  <c r="B189" i="5" s="1"/>
  <c r="D189" i="5"/>
  <c r="E189" i="5" s="1"/>
  <c r="F189" i="5" s="1"/>
  <c r="G189" i="5" s="1"/>
  <c r="H189" i="5" s="1"/>
  <c r="I189" i="5" s="1"/>
  <c r="J189" i="5" s="1"/>
  <c r="K189" i="5" s="1"/>
  <c r="L189" i="5" s="1"/>
  <c r="G188" i="5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B188" i="5" s="1"/>
  <c r="D188" i="5"/>
  <c r="E188" i="5" s="1"/>
  <c r="F188" i="5" s="1"/>
  <c r="E187" i="5"/>
  <c r="F187" i="5" s="1"/>
  <c r="G187" i="5" s="1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B187" i="5" s="1"/>
  <c r="D187" i="5"/>
  <c r="D186" i="5"/>
  <c r="E186" i="5" s="1"/>
  <c r="F186" i="5" s="1"/>
  <c r="G186" i="5" s="1"/>
  <c r="H186" i="5" s="1"/>
  <c r="I186" i="5" s="1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B186" i="5" s="1"/>
  <c r="Q185" i="5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B185" i="5" s="1"/>
  <c r="D185" i="5"/>
  <c r="E185" i="5" s="1"/>
  <c r="F185" i="5" s="1"/>
  <c r="G185" i="5" s="1"/>
  <c r="H185" i="5" s="1"/>
  <c r="I185" i="5" s="1"/>
  <c r="J185" i="5" s="1"/>
  <c r="K185" i="5" s="1"/>
  <c r="L185" i="5" s="1"/>
  <c r="M185" i="5" s="1"/>
  <c r="N185" i="5" s="1"/>
  <c r="O185" i="5" s="1"/>
  <c r="P185" i="5" s="1"/>
  <c r="D184" i="5"/>
  <c r="E184" i="5" s="1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B184" i="5" s="1"/>
  <c r="R183" i="5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B183" i="5" s="1"/>
  <c r="N183" i="5"/>
  <c r="O183" i="5" s="1"/>
  <c r="P183" i="5" s="1"/>
  <c r="Q183" i="5" s="1"/>
  <c r="E183" i="5"/>
  <c r="F183" i="5" s="1"/>
  <c r="G183" i="5" s="1"/>
  <c r="H183" i="5" s="1"/>
  <c r="I183" i="5" s="1"/>
  <c r="J183" i="5" s="1"/>
  <c r="K183" i="5" s="1"/>
  <c r="L183" i="5" s="1"/>
  <c r="M183" i="5" s="1"/>
  <c r="D183" i="5"/>
  <c r="D182" i="5"/>
  <c r="E182" i="5" s="1"/>
  <c r="F182" i="5" s="1"/>
  <c r="G182" i="5" s="1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B182" i="5" s="1"/>
  <c r="D181" i="5"/>
  <c r="E181" i="5" s="1"/>
  <c r="F181" i="5" s="1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B181" i="5" s="1"/>
  <c r="L180" i="5"/>
  <c r="M180" i="5" s="1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B180" i="5" s="1"/>
  <c r="E180" i="5"/>
  <c r="F180" i="5" s="1"/>
  <c r="G180" i="5" s="1"/>
  <c r="H180" i="5" s="1"/>
  <c r="I180" i="5" s="1"/>
  <c r="J180" i="5" s="1"/>
  <c r="K180" i="5" s="1"/>
  <c r="D180" i="5"/>
  <c r="P179" i="5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B179" i="5" s="1"/>
  <c r="F179" i="5"/>
  <c r="G179" i="5" s="1"/>
  <c r="H179" i="5" s="1"/>
  <c r="I179" i="5" s="1"/>
  <c r="J179" i="5" s="1"/>
  <c r="K179" i="5" s="1"/>
  <c r="L179" i="5" s="1"/>
  <c r="M179" i="5" s="1"/>
  <c r="N179" i="5" s="1"/>
  <c r="O179" i="5" s="1"/>
  <c r="E179" i="5"/>
  <c r="D179" i="5"/>
  <c r="X177" i="5"/>
  <c r="Y177" i="5" s="1"/>
  <c r="Z177" i="5" s="1"/>
  <c r="AA177" i="5" s="1"/>
  <c r="AB177" i="5" s="1"/>
  <c r="AC177" i="5" s="1"/>
  <c r="AD177" i="5" s="1"/>
  <c r="AE177" i="5" s="1"/>
  <c r="AF177" i="5" s="1"/>
  <c r="B177" i="5" s="1"/>
  <c r="I177" i="5"/>
  <c r="J177" i="5" s="1"/>
  <c r="K177" i="5" s="1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D177" i="5"/>
  <c r="E177" i="5" s="1"/>
  <c r="F177" i="5" s="1"/>
  <c r="G177" i="5" s="1"/>
  <c r="H177" i="5" s="1"/>
  <c r="U176" i="5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B176" i="5" s="1"/>
  <c r="D176" i="5"/>
  <c r="E176" i="5" s="1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G175" i="5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B175" i="5" s="1"/>
  <c r="E175" i="5"/>
  <c r="F175" i="5" s="1"/>
  <c r="D175" i="5"/>
  <c r="E174" i="5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B174" i="5" s="1"/>
  <c r="D174" i="5"/>
  <c r="M173" i="5"/>
  <c r="N173" i="5" s="1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B173" i="5" s="1"/>
  <c r="D173" i="5"/>
  <c r="E173" i="5" s="1"/>
  <c r="F173" i="5" s="1"/>
  <c r="G173" i="5" s="1"/>
  <c r="H173" i="5" s="1"/>
  <c r="I173" i="5" s="1"/>
  <c r="J173" i="5" s="1"/>
  <c r="K173" i="5" s="1"/>
  <c r="L173" i="5" s="1"/>
  <c r="E172" i="5"/>
  <c r="F172" i="5" s="1"/>
  <c r="G172" i="5" s="1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B172" i="5" s="1"/>
  <c r="D172" i="5"/>
  <c r="E171" i="5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B171" i="5" s="1"/>
  <c r="D171" i="5"/>
  <c r="R170" i="5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B170" i="5" s="1"/>
  <c r="Q170" i="5"/>
  <c r="G170" i="5"/>
  <c r="H170" i="5" s="1"/>
  <c r="I170" i="5" s="1"/>
  <c r="J170" i="5" s="1"/>
  <c r="K170" i="5" s="1"/>
  <c r="L170" i="5" s="1"/>
  <c r="M170" i="5" s="1"/>
  <c r="N170" i="5" s="1"/>
  <c r="O170" i="5" s="1"/>
  <c r="P170" i="5" s="1"/>
  <c r="E170" i="5"/>
  <c r="F170" i="5" s="1"/>
  <c r="D170" i="5"/>
  <c r="D168" i="5"/>
  <c r="E168" i="5" s="1"/>
  <c r="F168" i="5" s="1"/>
  <c r="G168" i="5" s="1"/>
  <c r="H168" i="5" s="1"/>
  <c r="I168" i="5" s="1"/>
  <c r="J168" i="5" s="1"/>
  <c r="K168" i="5" s="1"/>
  <c r="L168" i="5" s="1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B168" i="5" s="1"/>
  <c r="E167" i="5"/>
  <c r="F167" i="5" s="1"/>
  <c r="G167" i="5" s="1"/>
  <c r="H167" i="5" s="1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B167" i="5" s="1"/>
  <c r="D167" i="5"/>
  <c r="Q166" i="5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B166" i="5" s="1"/>
  <c r="G166" i="5"/>
  <c r="H166" i="5" s="1"/>
  <c r="I166" i="5" s="1"/>
  <c r="J166" i="5" s="1"/>
  <c r="K166" i="5" s="1"/>
  <c r="L166" i="5" s="1"/>
  <c r="M166" i="5" s="1"/>
  <c r="N166" i="5" s="1"/>
  <c r="O166" i="5" s="1"/>
  <c r="P166" i="5" s="1"/>
  <c r="D166" i="5"/>
  <c r="E166" i="5" s="1"/>
  <c r="F166" i="5" s="1"/>
  <c r="E165" i="5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B165" i="5" s="1"/>
  <c r="D165" i="5"/>
  <c r="L164" i="5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B164" i="5" s="1"/>
  <c r="D164" i="5"/>
  <c r="E164" i="5" s="1"/>
  <c r="F164" i="5" s="1"/>
  <c r="G164" i="5" s="1"/>
  <c r="H164" i="5" s="1"/>
  <c r="I164" i="5" s="1"/>
  <c r="J164" i="5" s="1"/>
  <c r="K164" i="5" s="1"/>
  <c r="Y163" i="5"/>
  <c r="Z163" i="5" s="1"/>
  <c r="AA163" i="5" s="1"/>
  <c r="AB163" i="5" s="1"/>
  <c r="AC163" i="5" s="1"/>
  <c r="AD163" i="5" s="1"/>
  <c r="AE163" i="5" s="1"/>
  <c r="AF163" i="5" s="1"/>
  <c r="B163" i="5" s="1"/>
  <c r="D163" i="5"/>
  <c r="E163" i="5" s="1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D162" i="5"/>
  <c r="E162" i="5" s="1"/>
  <c r="F162" i="5" s="1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B162" i="5" s="1"/>
  <c r="E161" i="5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B161" i="5" s="1"/>
  <c r="D161" i="5"/>
  <c r="L160" i="5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B160" i="5" s="1"/>
  <c r="K160" i="5"/>
  <c r="D160" i="5"/>
  <c r="E160" i="5" s="1"/>
  <c r="F160" i="5" s="1"/>
  <c r="G160" i="5" s="1"/>
  <c r="H160" i="5" s="1"/>
  <c r="I160" i="5" s="1"/>
  <c r="J160" i="5" s="1"/>
  <c r="R159" i="5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B159" i="5" s="1"/>
  <c r="D159" i="5"/>
  <c r="E159" i="5" s="1"/>
  <c r="F159" i="5" s="1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H158" i="5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B158" i="5" s="1"/>
  <c r="D158" i="5"/>
  <c r="E158" i="5" s="1"/>
  <c r="F158" i="5" s="1"/>
  <c r="G158" i="5" s="1"/>
  <c r="D157" i="5"/>
  <c r="E157" i="5" s="1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B157" i="5" s="1"/>
  <c r="M156" i="5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B156" i="5" s="1"/>
  <c r="E156" i="5"/>
  <c r="F156" i="5" s="1"/>
  <c r="G156" i="5" s="1"/>
  <c r="H156" i="5" s="1"/>
  <c r="I156" i="5" s="1"/>
  <c r="J156" i="5" s="1"/>
  <c r="K156" i="5" s="1"/>
  <c r="L156" i="5" s="1"/>
  <c r="D156" i="5"/>
  <c r="AF154" i="5"/>
  <c r="B154" i="5" s="1"/>
  <c r="K154" i="5"/>
  <c r="L154" i="5" s="1"/>
  <c r="M154" i="5" s="1"/>
  <c r="N154" i="5" s="1"/>
  <c r="O154" i="5" s="1"/>
  <c r="P154" i="5" s="1"/>
  <c r="Q154" i="5" s="1"/>
  <c r="R154" i="5" s="1"/>
  <c r="S154" i="5" s="1"/>
  <c r="T154" i="5" s="1"/>
  <c r="U154" i="5" s="1"/>
  <c r="V154" i="5" s="1"/>
  <c r="W154" i="5" s="1"/>
  <c r="X154" i="5" s="1"/>
  <c r="Y154" i="5" s="1"/>
  <c r="Z154" i="5" s="1"/>
  <c r="AA154" i="5" s="1"/>
  <c r="AB154" i="5" s="1"/>
  <c r="AC154" i="5" s="1"/>
  <c r="AD154" i="5" s="1"/>
  <c r="AE154" i="5" s="1"/>
  <c r="D154" i="5"/>
  <c r="E154" i="5" s="1"/>
  <c r="F154" i="5" s="1"/>
  <c r="G154" i="5" s="1"/>
  <c r="H154" i="5" s="1"/>
  <c r="I154" i="5" s="1"/>
  <c r="J154" i="5" s="1"/>
  <c r="AD153" i="5"/>
  <c r="AE153" i="5" s="1"/>
  <c r="AF153" i="5" s="1"/>
  <c r="B153" i="5" s="1"/>
  <c r="F153" i="5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D153" i="5"/>
  <c r="E153" i="5" s="1"/>
  <c r="AC152" i="5"/>
  <c r="AD152" i="5" s="1"/>
  <c r="AE152" i="5" s="1"/>
  <c r="AF152" i="5" s="1"/>
  <c r="B152" i="5" s="1"/>
  <c r="E152" i="5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D152" i="5"/>
  <c r="AA151" i="5"/>
  <c r="AB151" i="5" s="1"/>
  <c r="AC151" i="5" s="1"/>
  <c r="AD151" i="5" s="1"/>
  <c r="AE151" i="5" s="1"/>
  <c r="AF151" i="5" s="1"/>
  <c r="B151" i="5" s="1"/>
  <c r="D151" i="5"/>
  <c r="E151" i="5" s="1"/>
  <c r="F151" i="5" s="1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D149" i="5"/>
  <c r="E149" i="5" s="1"/>
  <c r="F149" i="5" s="1"/>
  <c r="G149" i="5" s="1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Y149" i="5" s="1"/>
  <c r="Z149" i="5" s="1"/>
  <c r="AA149" i="5" s="1"/>
  <c r="AB149" i="5" s="1"/>
  <c r="AC149" i="5" s="1"/>
  <c r="AD149" i="5" s="1"/>
  <c r="AE149" i="5" s="1"/>
  <c r="AF149" i="5" s="1"/>
  <c r="B149" i="5" s="1"/>
  <c r="D148" i="5"/>
  <c r="E148" i="5" s="1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B148" i="5" s="1"/>
  <c r="F146" i="5"/>
  <c r="G146" i="5" s="1"/>
  <c r="H146" i="5" s="1"/>
  <c r="I146" i="5" s="1"/>
  <c r="J146" i="5" s="1"/>
  <c r="K146" i="5" s="1"/>
  <c r="L146" i="5" s="1"/>
  <c r="M146" i="5" s="1"/>
  <c r="N146" i="5" s="1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B146" i="5" s="1"/>
  <c r="E146" i="5"/>
  <c r="D146" i="5"/>
  <c r="D145" i="5"/>
  <c r="E145" i="5" s="1"/>
  <c r="F145" i="5" s="1"/>
  <c r="G145" i="5" s="1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B145" i="5" s="1"/>
  <c r="D144" i="5"/>
  <c r="E144" i="5" s="1"/>
  <c r="F144" i="5" s="1"/>
  <c r="G144" i="5" s="1"/>
  <c r="H144" i="5" s="1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B144" i="5" s="1"/>
  <c r="D143" i="5"/>
  <c r="E143" i="5" s="1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B143" i="5" s="1"/>
  <c r="F142" i="5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B142" i="5" s="1"/>
  <c r="E142" i="5"/>
  <c r="D142" i="5"/>
  <c r="M141" i="5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B141" i="5" s="1"/>
  <c r="E141" i="5"/>
  <c r="F141" i="5" s="1"/>
  <c r="G141" i="5" s="1"/>
  <c r="H141" i="5" s="1"/>
  <c r="I141" i="5" s="1"/>
  <c r="J141" i="5" s="1"/>
  <c r="K141" i="5" s="1"/>
  <c r="L141" i="5" s="1"/>
  <c r="D141" i="5"/>
  <c r="E140" i="5"/>
  <c r="F140" i="5" s="1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B140" i="5" s="1"/>
  <c r="D140" i="5"/>
  <c r="E138" i="5"/>
  <c r="F138" i="5" s="1"/>
  <c r="G138" i="5" s="1"/>
  <c r="H138" i="5" s="1"/>
  <c r="I138" i="5" s="1"/>
  <c r="J138" i="5" s="1"/>
  <c r="K138" i="5" s="1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D138" i="5"/>
  <c r="B138" i="5"/>
  <c r="I137" i="5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B137" i="5" s="1"/>
  <c r="D137" i="5"/>
  <c r="E137" i="5" s="1"/>
  <c r="F137" i="5" s="1"/>
  <c r="G137" i="5" s="1"/>
  <c r="H137" i="5" s="1"/>
  <c r="E136" i="5"/>
  <c r="F136" i="5" s="1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B136" i="5" s="1"/>
  <c r="D136" i="5"/>
  <c r="K135" i="5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B135" i="5" s="1"/>
  <c r="D135" i="5"/>
  <c r="E135" i="5" s="1"/>
  <c r="F135" i="5" s="1"/>
  <c r="G135" i="5" s="1"/>
  <c r="H135" i="5" s="1"/>
  <c r="I135" i="5" s="1"/>
  <c r="J135" i="5" s="1"/>
  <c r="I134" i="5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B134" i="5" s="1"/>
  <c r="E134" i="5"/>
  <c r="F134" i="5" s="1"/>
  <c r="G134" i="5" s="1"/>
  <c r="H134" i="5" s="1"/>
  <c r="D134" i="5"/>
  <c r="D133" i="5"/>
  <c r="E133" i="5" s="1"/>
  <c r="F133" i="5" s="1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B133" i="5" s="1"/>
  <c r="E132" i="5"/>
  <c r="F132" i="5" s="1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B132" i="5" s="1"/>
  <c r="D132" i="5"/>
  <c r="E131" i="5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B131" i="5" s="1"/>
  <c r="D131" i="5"/>
  <c r="F129" i="5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B129" i="5" s="1"/>
  <c r="E129" i="5"/>
  <c r="D129" i="5"/>
  <c r="D128" i="5"/>
  <c r="E128" i="5" s="1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B128" i="5" s="1"/>
  <c r="E127" i="5"/>
  <c r="F127" i="5" s="1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B127" i="5" s="1"/>
  <c r="D127" i="5"/>
  <c r="V126" i="5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B126" i="5" s="1"/>
  <c r="H126" i="5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D126" i="5"/>
  <c r="E126" i="5" s="1"/>
  <c r="F126" i="5" s="1"/>
  <c r="G126" i="5" s="1"/>
  <c r="O125" i="5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B125" i="5" s="1"/>
  <c r="D125" i="5"/>
  <c r="E125" i="5" s="1"/>
  <c r="F125" i="5" s="1"/>
  <c r="G125" i="5" s="1"/>
  <c r="H125" i="5" s="1"/>
  <c r="I125" i="5" s="1"/>
  <c r="J125" i="5" s="1"/>
  <c r="K125" i="5" s="1"/>
  <c r="L125" i="5" s="1"/>
  <c r="M125" i="5" s="1"/>
  <c r="N125" i="5" s="1"/>
  <c r="D124" i="5"/>
  <c r="E124" i="5" s="1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B124" i="5" s="1"/>
  <c r="E123" i="5"/>
  <c r="F123" i="5" s="1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B123" i="5" s="1"/>
  <c r="D123" i="5"/>
  <c r="D122" i="5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B122" i="5" s="1"/>
  <c r="V121" i="5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B121" i="5" s="1"/>
  <c r="J121" i="5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D121" i="5"/>
  <c r="E121" i="5" s="1"/>
  <c r="F121" i="5" s="1"/>
  <c r="G121" i="5" s="1"/>
  <c r="H121" i="5" s="1"/>
  <c r="I121" i="5" s="1"/>
  <c r="P120" i="5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B120" i="5" s="1"/>
  <c r="D120" i="5"/>
  <c r="E120" i="5" s="1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D119" i="5"/>
  <c r="E119" i="5" s="1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B119" i="5" s="1"/>
  <c r="D118" i="5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B118" i="5" s="1"/>
  <c r="D117" i="5"/>
  <c r="E117" i="5" s="1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B117" i="5" s="1"/>
  <c r="X116" i="5"/>
  <c r="Y116" i="5" s="1"/>
  <c r="Z116" i="5" s="1"/>
  <c r="AA116" i="5" s="1"/>
  <c r="AB116" i="5" s="1"/>
  <c r="AC116" i="5" s="1"/>
  <c r="AD116" i="5" s="1"/>
  <c r="AE116" i="5" s="1"/>
  <c r="AF116" i="5" s="1"/>
  <c r="B116" i="5" s="1"/>
  <c r="L116" i="5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D116" i="5"/>
  <c r="E116" i="5" s="1"/>
  <c r="F116" i="5" s="1"/>
  <c r="G116" i="5" s="1"/>
  <c r="H116" i="5" s="1"/>
  <c r="I116" i="5" s="1"/>
  <c r="J116" i="5" s="1"/>
  <c r="K116" i="5" s="1"/>
  <c r="D115" i="5"/>
  <c r="E115" i="5" s="1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B115" i="5" s="1"/>
  <c r="T114" i="5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B114" i="5" s="1"/>
  <c r="L114" i="5"/>
  <c r="M114" i="5" s="1"/>
  <c r="N114" i="5" s="1"/>
  <c r="O114" i="5" s="1"/>
  <c r="P114" i="5" s="1"/>
  <c r="Q114" i="5" s="1"/>
  <c r="R114" i="5" s="1"/>
  <c r="S114" i="5" s="1"/>
  <c r="K114" i="5"/>
  <c r="D114" i="5"/>
  <c r="E114" i="5" s="1"/>
  <c r="F114" i="5" s="1"/>
  <c r="G114" i="5" s="1"/>
  <c r="H114" i="5" s="1"/>
  <c r="I114" i="5" s="1"/>
  <c r="E113" i="5"/>
  <c r="F113" i="5" s="1"/>
  <c r="G113" i="5" s="1"/>
  <c r="H113" i="5" s="1"/>
  <c r="I113" i="5" s="1"/>
  <c r="J113" i="5" s="1"/>
  <c r="K113" i="5" s="1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B113" i="5" s="1"/>
  <c r="D113" i="5"/>
  <c r="I112" i="5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B112" i="5" s="1"/>
  <c r="E112" i="5"/>
  <c r="F112" i="5" s="1"/>
  <c r="G112" i="5" s="1"/>
  <c r="H112" i="5" s="1"/>
  <c r="D112" i="5"/>
  <c r="U110" i="5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B110" i="5" s="1"/>
  <c r="M110" i="5"/>
  <c r="N110" i="5" s="1"/>
  <c r="O110" i="5" s="1"/>
  <c r="P110" i="5" s="1"/>
  <c r="Q110" i="5" s="1"/>
  <c r="R110" i="5" s="1"/>
  <c r="S110" i="5" s="1"/>
  <c r="T110" i="5" s="1"/>
  <c r="E110" i="5"/>
  <c r="F110" i="5" s="1"/>
  <c r="G110" i="5" s="1"/>
  <c r="H110" i="5" s="1"/>
  <c r="I110" i="5" s="1"/>
  <c r="J110" i="5" s="1"/>
  <c r="K110" i="5" s="1"/>
  <c r="L110" i="5" s="1"/>
  <c r="D110" i="5"/>
  <c r="D109" i="5"/>
  <c r="Z107" i="5"/>
  <c r="AA107" i="5" s="1"/>
  <c r="AB107" i="5" s="1"/>
  <c r="AC107" i="5" s="1"/>
  <c r="AD107" i="5" s="1"/>
  <c r="AE107" i="5" s="1"/>
  <c r="AF107" i="5" s="1"/>
  <c r="B107" i="5" s="1"/>
  <c r="R107" i="5"/>
  <c r="S107" i="5" s="1"/>
  <c r="T107" i="5" s="1"/>
  <c r="U107" i="5" s="1"/>
  <c r="V107" i="5" s="1"/>
  <c r="W107" i="5" s="1"/>
  <c r="X107" i="5" s="1"/>
  <c r="Y107" i="5" s="1"/>
  <c r="J107" i="5"/>
  <c r="K107" i="5" s="1"/>
  <c r="L107" i="5" s="1"/>
  <c r="M107" i="5" s="1"/>
  <c r="N107" i="5" s="1"/>
  <c r="O107" i="5" s="1"/>
  <c r="P107" i="5" s="1"/>
  <c r="Q107" i="5" s="1"/>
  <c r="I107" i="5"/>
  <c r="E107" i="5"/>
  <c r="F107" i="5" s="1"/>
  <c r="G107" i="5" s="1"/>
  <c r="H107" i="5" s="1"/>
  <c r="D107" i="5"/>
  <c r="Q106" i="5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B106" i="5" s="1"/>
  <c r="I106" i="5"/>
  <c r="J106" i="5" s="1"/>
  <c r="K106" i="5" s="1"/>
  <c r="L106" i="5" s="1"/>
  <c r="M106" i="5" s="1"/>
  <c r="N106" i="5" s="1"/>
  <c r="O106" i="5" s="1"/>
  <c r="P106" i="5" s="1"/>
  <c r="E106" i="5"/>
  <c r="F106" i="5" s="1"/>
  <c r="G106" i="5" s="1"/>
  <c r="H106" i="5" s="1"/>
  <c r="D106" i="5"/>
  <c r="E105" i="5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B105" i="5" s="1"/>
  <c r="D105" i="5"/>
  <c r="D104" i="5"/>
  <c r="E104" i="5" s="1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B104" i="5" s="1"/>
  <c r="E103" i="5"/>
  <c r="F103" i="5" s="1"/>
  <c r="D103" i="5"/>
  <c r="E102" i="5"/>
  <c r="D102" i="5"/>
  <c r="AH98" i="5"/>
  <c r="AI98" i="5" s="1"/>
  <c r="AH97" i="5"/>
  <c r="AI97" i="5" s="1"/>
  <c r="AH96" i="5"/>
  <c r="AI96" i="5" s="1"/>
  <c r="AH95" i="5"/>
  <c r="AI95" i="5" s="1"/>
  <c r="AH94" i="5"/>
  <c r="AI94" i="5" s="1"/>
  <c r="C93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G82" i="5"/>
  <c r="F82" i="5"/>
  <c r="AI81" i="5"/>
  <c r="AH81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F76" i="5"/>
  <c r="AE76" i="5"/>
  <c r="AD76" i="5"/>
  <c r="AC76" i="5"/>
  <c r="AB76" i="5"/>
  <c r="AA76" i="5"/>
  <c r="Z76" i="5"/>
  <c r="Y76" i="5"/>
  <c r="X76" i="5"/>
  <c r="X82" i="5" s="1"/>
  <c r="W76" i="5"/>
  <c r="V76" i="5"/>
  <c r="U76" i="5"/>
  <c r="T76" i="5"/>
  <c r="S76" i="5"/>
  <c r="R76" i="5"/>
  <c r="Q76" i="5"/>
  <c r="Q82" i="5" s="1"/>
  <c r="P76" i="5"/>
  <c r="P82" i="5" s="1"/>
  <c r="O76" i="5"/>
  <c r="N76" i="5"/>
  <c r="M76" i="5"/>
  <c r="L76" i="5"/>
  <c r="K76" i="5"/>
  <c r="J76" i="5"/>
  <c r="I76" i="5"/>
  <c r="H76" i="5"/>
  <c r="G76" i="5"/>
  <c r="F76" i="5"/>
  <c r="E76" i="5"/>
  <c r="E82" i="5" s="1"/>
  <c r="D76" i="5"/>
  <c r="C76" i="5"/>
  <c r="B76" i="5"/>
  <c r="AI74" i="5"/>
  <c r="AH74" i="5"/>
  <c r="AG72" i="5"/>
  <c r="AF72" i="5"/>
  <c r="AE72" i="5"/>
  <c r="AD72" i="5"/>
  <c r="AC72" i="5"/>
  <c r="AB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I71" i="5"/>
  <c r="AH71" i="5"/>
  <c r="AI70" i="5"/>
  <c r="AH70" i="5"/>
  <c r="AI69" i="5"/>
  <c r="AH69" i="5"/>
  <c r="AG68" i="5"/>
  <c r="AF68" i="5"/>
  <c r="AE68" i="5"/>
  <c r="AD68" i="5"/>
  <c r="AC5" i="5" s="1"/>
  <c r="AC68" i="5"/>
  <c r="AB68" i="5"/>
  <c r="Z5" i="5"/>
  <c r="Z68" i="5"/>
  <c r="Y68" i="5"/>
  <c r="X5" i="5" s="1"/>
  <c r="X68" i="5"/>
  <c r="W68" i="5"/>
  <c r="V5" i="5" s="1"/>
  <c r="V68" i="5"/>
  <c r="U68" i="5"/>
  <c r="T68" i="5"/>
  <c r="S5" i="5" s="1"/>
  <c r="S68" i="5"/>
  <c r="R68" i="5"/>
  <c r="Q5" i="5" s="1"/>
  <c r="Q68" i="5"/>
  <c r="P5" i="5" s="1"/>
  <c r="P68" i="5"/>
  <c r="O68" i="5"/>
  <c r="N68" i="5"/>
  <c r="M5" i="5" s="1"/>
  <c r="M68" i="5"/>
  <c r="L68" i="5"/>
  <c r="K5" i="5" s="1"/>
  <c r="K68" i="5"/>
  <c r="J68" i="5"/>
  <c r="I5" i="5" s="1"/>
  <c r="I68" i="5"/>
  <c r="H5" i="5" s="1"/>
  <c r="H68" i="5"/>
  <c r="G68" i="5"/>
  <c r="F68" i="5"/>
  <c r="E5" i="5" s="1"/>
  <c r="E68" i="5"/>
  <c r="D5" i="5" s="1"/>
  <c r="D68" i="5"/>
  <c r="C5" i="5" s="1"/>
  <c r="C68" i="5"/>
  <c r="B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G56" i="5"/>
  <c r="AG4" i="5" s="1"/>
  <c r="AF56" i="5"/>
  <c r="AE56" i="5"/>
  <c r="AD56" i="5"/>
  <c r="AC56" i="5"/>
  <c r="AB56" i="5"/>
  <c r="AA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I55" i="5"/>
  <c r="AH55" i="5"/>
  <c r="AI54" i="5"/>
  <c r="AH54" i="5"/>
  <c r="AI53" i="5"/>
  <c r="AH53" i="5"/>
  <c r="AG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G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G38" i="5"/>
  <c r="AF38" i="5"/>
  <c r="AE38" i="5"/>
  <c r="AD38" i="5"/>
  <c r="AC38" i="5"/>
  <c r="AB38" i="5"/>
  <c r="AA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F5" i="5"/>
  <c r="AD5" i="5"/>
  <c r="AB5" i="5"/>
  <c r="AA5" i="5"/>
  <c r="Y5" i="5"/>
  <c r="R5" i="5"/>
  <c r="N5" i="5"/>
  <c r="J5" i="5"/>
  <c r="F5" i="5"/>
  <c r="B5" i="5"/>
  <c r="K4" i="5"/>
  <c r="B4" i="5"/>
  <c r="AG3" i="5"/>
  <c r="AG2" i="5"/>
  <c r="AG6" i="5" s="1"/>
  <c r="E4" i="5"/>
  <c r="AF82" i="5" l="1"/>
  <c r="Y82" i="5"/>
  <c r="V82" i="5"/>
  <c r="AD82" i="5"/>
  <c r="AC82" i="5"/>
  <c r="Z82" i="5"/>
  <c r="U82" i="5"/>
  <c r="W82" i="5"/>
  <c r="T75" i="5"/>
  <c r="AL214" i="5" s="1"/>
  <c r="S73" i="5"/>
  <c r="S75" i="5"/>
  <c r="AK214" i="5" s="1"/>
  <c r="R82" i="5"/>
  <c r="R75" i="5"/>
  <c r="AJ214" i="5" s="1"/>
  <c r="N82" i="5"/>
  <c r="M82" i="5"/>
  <c r="L75" i="5"/>
  <c r="AD214" i="5" s="1"/>
  <c r="K73" i="5"/>
  <c r="K75" i="5"/>
  <c r="J82" i="5"/>
  <c r="AI76" i="5"/>
  <c r="I82" i="5"/>
  <c r="H82" i="5"/>
  <c r="G82" i="5"/>
  <c r="G73" i="5"/>
  <c r="G75" i="5"/>
  <c r="Y214" i="5" s="1"/>
  <c r="F73" i="5"/>
  <c r="E75" i="5"/>
  <c r="E7" i="5" s="1"/>
  <c r="AI77" i="5"/>
  <c r="AI38" i="5"/>
  <c r="D75" i="5"/>
  <c r="V214" i="5" s="1"/>
  <c r="D73" i="5"/>
  <c r="C73" i="5"/>
  <c r="AI68" i="5"/>
  <c r="AI80" i="5"/>
  <c r="AH76" i="5"/>
  <c r="AH38" i="5"/>
  <c r="H4" i="5"/>
  <c r="R7" i="5"/>
  <c r="Z75" i="5"/>
  <c r="Z73" i="5"/>
  <c r="M75" i="5"/>
  <c r="F75" i="5"/>
  <c r="R73" i="5"/>
  <c r="R83" i="5" s="1"/>
  <c r="J75" i="5"/>
  <c r="J73" i="5"/>
  <c r="D93" i="5"/>
  <c r="E109" i="5"/>
  <c r="T73" i="5"/>
  <c r="H75" i="5"/>
  <c r="L73" i="5"/>
  <c r="P75" i="5"/>
  <c r="S7" i="5"/>
  <c r="AE82" i="5"/>
  <c r="AH80" i="5"/>
  <c r="D83" i="5"/>
  <c r="N73" i="5"/>
  <c r="N75" i="5"/>
  <c r="U5" i="5"/>
  <c r="O73" i="5"/>
  <c r="O75" i="5"/>
  <c r="O82" i="5"/>
  <c r="AI79" i="5"/>
  <c r="AI78" i="5"/>
  <c r="S211" i="5"/>
  <c r="D211" i="5"/>
  <c r="AI56" i="5"/>
  <c r="AH79" i="5"/>
  <c r="G103" i="5"/>
  <c r="E73" i="5"/>
  <c r="M73" i="5"/>
  <c r="AH78" i="5"/>
  <c r="I75" i="5"/>
  <c r="Q75" i="5"/>
  <c r="AG75" i="5"/>
  <c r="AG83" i="5" s="1"/>
  <c r="C82" i="5"/>
  <c r="AH77" i="5"/>
  <c r="K82" i="5"/>
  <c r="S82" i="5"/>
  <c r="AA82" i="5"/>
  <c r="T5" i="5"/>
  <c r="H73" i="5"/>
  <c r="G5" i="5"/>
  <c r="P73" i="5"/>
  <c r="O5" i="5"/>
  <c r="W5" i="5"/>
  <c r="AE5" i="5"/>
  <c r="D82" i="5"/>
  <c r="L82" i="5"/>
  <c r="T82" i="5"/>
  <c r="AB82" i="5"/>
  <c r="L5" i="5"/>
  <c r="I73" i="5"/>
  <c r="Q73" i="5"/>
  <c r="AG73" i="5"/>
  <c r="C75" i="5"/>
  <c r="B82" i="5"/>
  <c r="D192" i="5"/>
  <c r="AH56" i="5"/>
  <c r="AH68" i="5"/>
  <c r="AH72" i="5"/>
  <c r="AI72" i="5"/>
  <c r="F102" i="5"/>
  <c r="E199" i="5"/>
  <c r="F194" i="5"/>
  <c r="E200" i="5"/>
  <c r="Z83" i="5" l="1"/>
  <c r="T83" i="5"/>
  <c r="T7" i="5"/>
  <c r="S83" i="5"/>
  <c r="G83" i="5"/>
  <c r="G7" i="5"/>
  <c r="L83" i="5"/>
  <c r="L7" i="5"/>
  <c r="I83" i="5"/>
  <c r="Q83" i="5"/>
  <c r="P83" i="5"/>
  <c r="O83" i="5"/>
  <c r="E83" i="5"/>
  <c r="W214" i="5"/>
  <c r="D7" i="5"/>
  <c r="N83" i="5"/>
  <c r="M83" i="5"/>
  <c r="K83" i="5"/>
  <c r="AC214" i="5"/>
  <c r="K7" i="5"/>
  <c r="H83" i="5"/>
  <c r="C83" i="5"/>
  <c r="AB214" i="5"/>
  <c r="J7" i="5"/>
  <c r="G194" i="5"/>
  <c r="AF214" i="5"/>
  <c r="N7" i="5"/>
  <c r="J83" i="5"/>
  <c r="F109" i="5"/>
  <c r="E93" i="5"/>
  <c r="D235" i="5"/>
  <c r="F199" i="5"/>
  <c r="AI82" i="5"/>
  <c r="AH82" i="5"/>
  <c r="AG214" i="5"/>
  <c r="O7" i="5"/>
  <c r="AH214" i="5"/>
  <c r="P7" i="5"/>
  <c r="X214" i="5"/>
  <c r="F7" i="5"/>
  <c r="AR214" i="5"/>
  <c r="Z7" i="5"/>
  <c r="U214" i="5"/>
  <c r="C7" i="5"/>
  <c r="AI214" i="5"/>
  <c r="Q7" i="5"/>
  <c r="F83" i="5"/>
  <c r="F192" i="5"/>
  <c r="G102" i="5"/>
  <c r="E192" i="5"/>
  <c r="Z214" i="5"/>
  <c r="H7" i="5"/>
  <c r="C209" i="5"/>
  <c r="AE214" i="5"/>
  <c r="M7" i="5"/>
  <c r="AA214" i="5"/>
  <c r="I7" i="5"/>
  <c r="H103" i="5"/>
  <c r="B209" i="5"/>
  <c r="K6" i="5" l="1"/>
  <c r="I103" i="5"/>
  <c r="H102" i="5"/>
  <c r="E235" i="5"/>
  <c r="G199" i="5"/>
  <c r="F200" i="5"/>
  <c r="G200" i="5"/>
  <c r="H194" i="5"/>
  <c r="G109" i="5"/>
  <c r="G192" i="5" s="1"/>
  <c r="F93" i="5"/>
  <c r="F235" i="5" l="1"/>
  <c r="H199" i="5"/>
  <c r="H192" i="5"/>
  <c r="I102" i="5"/>
  <c r="J103" i="5"/>
  <c r="H109" i="5"/>
  <c r="G93" i="5"/>
  <c r="I194" i="5"/>
  <c r="H200" i="5"/>
  <c r="K103" i="5" l="1"/>
  <c r="I192" i="5"/>
  <c r="J102" i="5"/>
  <c r="J194" i="5"/>
  <c r="G235" i="5"/>
  <c r="I199" i="5"/>
  <c r="I109" i="5"/>
  <c r="H93" i="5"/>
  <c r="H235" i="5" l="1"/>
  <c r="J199" i="5"/>
  <c r="K194" i="5"/>
  <c r="J200" i="5"/>
  <c r="I200" i="5"/>
  <c r="J192" i="5"/>
  <c r="K102" i="5"/>
  <c r="J109" i="5"/>
  <c r="I93" i="5"/>
  <c r="L103" i="5"/>
  <c r="L102" i="5" l="1"/>
  <c r="M103" i="5"/>
  <c r="L194" i="5"/>
  <c r="I235" i="5"/>
  <c r="K199" i="5"/>
  <c r="K200" i="5" s="1"/>
  <c r="K109" i="5"/>
  <c r="J93" i="5"/>
  <c r="M194" i="5" l="1"/>
  <c r="J235" i="5"/>
  <c r="L199" i="5"/>
  <c r="N103" i="5"/>
  <c r="L192" i="5"/>
  <c r="M102" i="5"/>
  <c r="L109" i="5"/>
  <c r="K93" i="5"/>
  <c r="K192" i="5"/>
  <c r="O103" i="5" l="1"/>
  <c r="M199" i="5"/>
  <c r="K235" i="5"/>
  <c r="N102" i="5"/>
  <c r="L200" i="5"/>
  <c r="M109" i="5"/>
  <c r="L93" i="5"/>
  <c r="N194" i="5"/>
  <c r="M200" i="5"/>
  <c r="N109" i="5" l="1"/>
  <c r="M93" i="5"/>
  <c r="N192" i="5"/>
  <c r="O102" i="5"/>
  <c r="M192" i="5"/>
  <c r="N199" i="5"/>
  <c r="L235" i="5"/>
  <c r="O194" i="5"/>
  <c r="P103" i="5"/>
  <c r="P194" i="5" l="1"/>
  <c r="M235" i="5"/>
  <c r="O199" i="5"/>
  <c r="O192" i="5"/>
  <c r="P102" i="5"/>
  <c r="Q103" i="5"/>
  <c r="N200" i="5"/>
  <c r="O109" i="5"/>
  <c r="N93" i="5"/>
  <c r="Q102" i="5" l="1"/>
  <c r="R103" i="5"/>
  <c r="N235" i="5"/>
  <c r="P199" i="5"/>
  <c r="P109" i="5"/>
  <c r="O93" i="5"/>
  <c r="O200" i="5"/>
  <c r="Q194" i="5"/>
  <c r="Q109" i="5" l="1"/>
  <c r="Q192" i="5" s="1"/>
  <c r="P93" i="5"/>
  <c r="Q199" i="5"/>
  <c r="O235" i="5"/>
  <c r="S103" i="5"/>
  <c r="Q200" i="5"/>
  <c r="R194" i="5"/>
  <c r="P200" i="5"/>
  <c r="R102" i="5"/>
  <c r="P192" i="5"/>
  <c r="T103" i="5" l="1"/>
  <c r="S194" i="5"/>
  <c r="R192" i="5"/>
  <c r="S102" i="5"/>
  <c r="R199" i="5"/>
  <c r="R200" i="5" s="1"/>
  <c r="P235" i="5"/>
  <c r="R109" i="5"/>
  <c r="Q93" i="5"/>
  <c r="T194" i="5" l="1"/>
  <c r="T102" i="5"/>
  <c r="S199" i="5"/>
  <c r="Q235" i="5"/>
  <c r="S109" i="5"/>
  <c r="R93" i="5"/>
  <c r="U103" i="5"/>
  <c r="T109" i="5" l="1"/>
  <c r="S93" i="5"/>
  <c r="T192" i="5"/>
  <c r="U102" i="5"/>
  <c r="T199" i="5"/>
  <c r="R235" i="5"/>
  <c r="S192" i="5"/>
  <c r="V103" i="5"/>
  <c r="U194" i="5"/>
  <c r="S200" i="5"/>
  <c r="S235" i="5" l="1"/>
  <c r="U199" i="5"/>
  <c r="U192" i="5"/>
  <c r="V102" i="5"/>
  <c r="T200" i="5"/>
  <c r="W103" i="5"/>
  <c r="V194" i="5"/>
  <c r="U109" i="5"/>
  <c r="T93" i="5"/>
  <c r="X103" i="5" l="1"/>
  <c r="W102" i="5"/>
  <c r="W194" i="5"/>
  <c r="V200" i="5"/>
  <c r="V51" i="5" s="1"/>
  <c r="V52" i="5" s="1"/>
  <c r="V109" i="5"/>
  <c r="U93" i="5"/>
  <c r="T235" i="5"/>
  <c r="V199" i="5"/>
  <c r="U200" i="5"/>
  <c r="U51" i="5" s="1"/>
  <c r="U52" i="5" s="1"/>
  <c r="V75" i="5" l="1"/>
  <c r="V73" i="5"/>
  <c r="X194" i="5"/>
  <c r="X102" i="5"/>
  <c r="W109" i="5"/>
  <c r="V93" i="5"/>
  <c r="U75" i="5"/>
  <c r="U73" i="5"/>
  <c r="U83" i="5" s="1"/>
  <c r="V192" i="5"/>
  <c r="U235" i="5"/>
  <c r="W199" i="5"/>
  <c r="Y103" i="5"/>
  <c r="V83" i="5" l="1"/>
  <c r="X109" i="5"/>
  <c r="W93" i="5"/>
  <c r="V235" i="5"/>
  <c r="X199" i="5"/>
  <c r="W200" i="5"/>
  <c r="W51" i="5" s="1"/>
  <c r="W52" i="5" s="1"/>
  <c r="Y194" i="5"/>
  <c r="X200" i="5"/>
  <c r="X51" i="5" s="1"/>
  <c r="X52" i="5" s="1"/>
  <c r="X192" i="5"/>
  <c r="Y102" i="5"/>
  <c r="Z103" i="5"/>
  <c r="W192" i="5"/>
  <c r="AM214" i="5"/>
  <c r="U7" i="5"/>
  <c r="AN214" i="5"/>
  <c r="V7" i="5"/>
  <c r="X75" i="5" l="1"/>
  <c r="X73" i="5"/>
  <c r="Z194" i="5"/>
  <c r="W75" i="5"/>
  <c r="W73" i="5"/>
  <c r="W83" i="5" s="1"/>
  <c r="W235" i="5"/>
  <c r="Y199" i="5"/>
  <c r="AA103" i="5"/>
  <c r="Z102" i="5"/>
  <c r="Y109" i="5"/>
  <c r="X93" i="5"/>
  <c r="X83" i="5" l="1"/>
  <c r="Z199" i="5"/>
  <c r="X235" i="5"/>
  <c r="Z109" i="5"/>
  <c r="Y93" i="5"/>
  <c r="AO214" i="5"/>
  <c r="W7" i="5"/>
  <c r="Z192" i="5"/>
  <c r="AA102" i="5"/>
  <c r="Z200" i="5"/>
  <c r="AA194" i="5"/>
  <c r="Y192" i="5"/>
  <c r="Y200" i="5"/>
  <c r="Y51" i="5" s="1"/>
  <c r="Y52" i="5" s="1"/>
  <c r="AB103" i="5"/>
  <c r="AP214" i="5"/>
  <c r="X7" i="5"/>
  <c r="AB102" i="5" l="1"/>
  <c r="AC103" i="5"/>
  <c r="Y73" i="5"/>
  <c r="Y75" i="5"/>
  <c r="AA109" i="5"/>
  <c r="Z93" i="5"/>
  <c r="AB194" i="5"/>
  <c r="AA199" i="5"/>
  <c r="Y235" i="5"/>
  <c r="AQ214" i="5" l="1"/>
  <c r="Y7" i="5"/>
  <c r="AB199" i="5"/>
  <c r="Z235" i="5"/>
  <c r="Y83" i="5"/>
  <c r="AD103" i="5"/>
  <c r="AB192" i="5"/>
  <c r="AC102" i="5"/>
  <c r="AB109" i="5"/>
  <c r="AA93" i="5"/>
  <c r="AA200" i="5"/>
  <c r="AA51" i="5" s="1"/>
  <c r="AA52" i="5" s="1"/>
  <c r="AC194" i="5"/>
  <c r="AB200" i="5"/>
  <c r="AB51" i="5" s="1"/>
  <c r="AB52" i="5" s="1"/>
  <c r="AA192" i="5"/>
  <c r="AB75" i="5" l="1"/>
  <c r="AB73" i="5"/>
  <c r="AD194" i="5"/>
  <c r="AC200" i="5"/>
  <c r="AC51" i="5" s="1"/>
  <c r="AC52" i="5" s="1"/>
  <c r="AE103" i="5"/>
  <c r="AA75" i="5"/>
  <c r="AA83" i="5"/>
  <c r="AC199" i="5"/>
  <c r="AA235" i="5"/>
  <c r="AC109" i="5"/>
  <c r="AB93" i="5"/>
  <c r="AC192" i="5"/>
  <c r="AD102" i="5"/>
  <c r="AB83" i="5" l="1"/>
  <c r="AS214" i="5"/>
  <c r="AA7" i="5"/>
  <c r="AF103" i="5"/>
  <c r="AD192" i="5"/>
  <c r="AE102" i="5"/>
  <c r="AC75" i="5"/>
  <c r="AC73" i="5"/>
  <c r="AD109" i="5"/>
  <c r="AC93" i="5"/>
  <c r="AE194" i="5"/>
  <c r="AB235" i="5"/>
  <c r="AD199" i="5"/>
  <c r="AT214" i="5"/>
  <c r="AB7" i="5"/>
  <c r="AC83" i="5" l="1"/>
  <c r="AU214" i="5"/>
  <c r="AC7" i="5"/>
  <c r="AC235" i="5"/>
  <c r="AE199" i="5"/>
  <c r="AE192" i="5"/>
  <c r="AF102" i="5"/>
  <c r="B103" i="5"/>
  <c r="AD200" i="5"/>
  <c r="AD51" i="5" s="1"/>
  <c r="AD52" i="5" s="1"/>
  <c r="AF194" i="5"/>
  <c r="AE109" i="5"/>
  <c r="AD93" i="5"/>
  <c r="AF109" i="5" l="1"/>
  <c r="AE93" i="5"/>
  <c r="AD235" i="5"/>
  <c r="AF199" i="5"/>
  <c r="AF192" i="5"/>
  <c r="B102" i="5"/>
  <c r="AE200" i="5"/>
  <c r="AE51" i="5" s="1"/>
  <c r="AE52" i="5" s="1"/>
  <c r="AF200" i="5"/>
  <c r="AF51" i="5" s="1"/>
  <c r="AF52" i="5" s="1"/>
  <c r="B194" i="5"/>
  <c r="AD75" i="5"/>
  <c r="AD73" i="5"/>
  <c r="AD83" i="5" l="1"/>
  <c r="AF75" i="5"/>
  <c r="AF73" i="5"/>
  <c r="AV214" i="5"/>
  <c r="AD7" i="5"/>
  <c r="AE75" i="5"/>
  <c r="AE73" i="5"/>
  <c r="AE235" i="5"/>
  <c r="B199" i="5"/>
  <c r="AF235" i="5" s="1"/>
  <c r="B200" i="5"/>
  <c r="B109" i="5"/>
  <c r="B93" i="5" s="1"/>
  <c r="AF93" i="5"/>
  <c r="AF83" i="5" l="1"/>
  <c r="AE83" i="5"/>
  <c r="B192" i="5"/>
  <c r="AH93" i="5"/>
  <c r="AI93" i="5"/>
  <c r="AW214" i="5"/>
  <c r="AE7" i="5"/>
  <c r="B52" i="5"/>
  <c r="AI51" i="5"/>
  <c r="AH51" i="5"/>
  <c r="AX214" i="5"/>
  <c r="AF7" i="5"/>
  <c r="AI52" i="5" l="1"/>
  <c r="AH52" i="5"/>
  <c r="B75" i="5"/>
  <c r="B73" i="5"/>
  <c r="AI73" i="5" l="1"/>
  <c r="AH73" i="5"/>
  <c r="B83" i="5"/>
  <c r="T214" i="5"/>
  <c r="AI75" i="5"/>
  <c r="AH75" i="5"/>
  <c r="B7" i="5"/>
  <c r="A7" i="5" s="1"/>
  <c r="AH83" i="5" l="1"/>
  <c r="AI83" i="5"/>
  <c r="Z93" i="4" l="1"/>
  <c r="Z68" i="4"/>
  <c r="Z56" i="4"/>
  <c r="Z52" i="4"/>
  <c r="Z38" i="4"/>
  <c r="Z75" i="4" l="1"/>
  <c r="Z7" i="4" s="1"/>
  <c r="Z73" i="4"/>
  <c r="Z83" i="4" l="1"/>
  <c r="T95" i="4"/>
  <c r="T37" i="4"/>
  <c r="S95" i="4"/>
  <c r="D95" i="4" l="1"/>
  <c r="D58" i="4"/>
  <c r="D37" i="4"/>
  <c r="AH100" i="4"/>
  <c r="AI100" i="4" s="1"/>
  <c r="AH99" i="4"/>
  <c r="AI99" i="4" s="1"/>
  <c r="C95" i="4"/>
  <c r="C37" i="4"/>
  <c r="C58" i="4"/>
  <c r="B95" i="4"/>
  <c r="B58" i="4"/>
  <c r="B37" i="4"/>
  <c r="B93" i="4"/>
  <c r="B80" i="4"/>
  <c r="B79" i="4"/>
  <c r="B78" i="4"/>
  <c r="B77" i="4"/>
  <c r="B76" i="4"/>
  <c r="B72" i="4"/>
  <c r="B68" i="4"/>
  <c r="B56" i="4"/>
  <c r="B52" i="4"/>
  <c r="B51" i="4"/>
  <c r="B38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B235" i="4"/>
  <c r="S210" i="4"/>
  <c r="AG200" i="4"/>
  <c r="C200" i="4"/>
  <c r="D199" i="4"/>
  <c r="D198" i="4"/>
  <c r="E198" i="4" s="1"/>
  <c r="F198" i="4" s="1"/>
  <c r="G198" i="4" s="1"/>
  <c r="H198" i="4" s="1"/>
  <c r="I198" i="4" s="1"/>
  <c r="J198" i="4" s="1"/>
  <c r="K198" i="4" s="1"/>
  <c r="L198" i="4" s="1"/>
  <c r="M198" i="4" s="1"/>
  <c r="N198" i="4" s="1"/>
  <c r="O198" i="4" s="1"/>
  <c r="P198" i="4" s="1"/>
  <c r="Q198" i="4" s="1"/>
  <c r="R198" i="4" s="1"/>
  <c r="S198" i="4" s="1"/>
  <c r="T198" i="4" s="1"/>
  <c r="U198" i="4" s="1"/>
  <c r="V198" i="4" s="1"/>
  <c r="W198" i="4" s="1"/>
  <c r="X198" i="4" s="1"/>
  <c r="Y198" i="4" s="1"/>
  <c r="Z198" i="4" s="1"/>
  <c r="AA198" i="4" s="1"/>
  <c r="AB198" i="4" s="1"/>
  <c r="AC198" i="4" s="1"/>
  <c r="AD198" i="4" s="1"/>
  <c r="AE198" i="4" s="1"/>
  <c r="AF198" i="4" s="1"/>
  <c r="B198" i="4" s="1"/>
  <c r="E197" i="4"/>
  <c r="F197" i="4" s="1"/>
  <c r="G197" i="4" s="1"/>
  <c r="H197" i="4" s="1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B197" i="4" s="1"/>
  <c r="D197" i="4"/>
  <c r="H196" i="4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B196" i="4" s="1"/>
  <c r="D196" i="4"/>
  <c r="E196" i="4" s="1"/>
  <c r="F196" i="4" s="1"/>
  <c r="G196" i="4" s="1"/>
  <c r="K195" i="4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B195" i="4" s="1"/>
  <c r="F195" i="4"/>
  <c r="G195" i="4" s="1"/>
  <c r="H195" i="4" s="1"/>
  <c r="I195" i="4" s="1"/>
  <c r="J195" i="4" s="1"/>
  <c r="E195" i="4"/>
  <c r="D195" i="4"/>
  <c r="D194" i="4"/>
  <c r="AG192" i="4"/>
  <c r="C192" i="4"/>
  <c r="F191" i="4"/>
  <c r="G191" i="4" s="1"/>
  <c r="H191" i="4" s="1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X191" i="4" s="1"/>
  <c r="Y191" i="4" s="1"/>
  <c r="Z191" i="4" s="1"/>
  <c r="AA191" i="4" s="1"/>
  <c r="AB191" i="4" s="1"/>
  <c r="AC191" i="4" s="1"/>
  <c r="AD191" i="4" s="1"/>
  <c r="AE191" i="4" s="1"/>
  <c r="AF191" i="4" s="1"/>
  <c r="B191" i="4" s="1"/>
  <c r="E191" i="4"/>
  <c r="D191" i="4"/>
  <c r="H190" i="4"/>
  <c r="I190" i="4" s="1"/>
  <c r="J190" i="4" s="1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X190" i="4" s="1"/>
  <c r="Y190" i="4" s="1"/>
  <c r="Z190" i="4" s="1"/>
  <c r="AA190" i="4" s="1"/>
  <c r="AB190" i="4" s="1"/>
  <c r="AC190" i="4" s="1"/>
  <c r="AD190" i="4" s="1"/>
  <c r="AE190" i="4" s="1"/>
  <c r="AF190" i="4" s="1"/>
  <c r="B190" i="4" s="1"/>
  <c r="G190" i="4"/>
  <c r="F190" i="4"/>
  <c r="E190" i="4"/>
  <c r="D190" i="4"/>
  <c r="T189" i="4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B189" i="4" s="1"/>
  <c r="D189" i="4"/>
  <c r="E189" i="4" s="1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E188" i="4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B188" i="4" s="1"/>
  <c r="D188" i="4"/>
  <c r="H187" i="4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B187" i="4" s="1"/>
  <c r="G187" i="4"/>
  <c r="F187" i="4"/>
  <c r="E187" i="4"/>
  <c r="D187" i="4"/>
  <c r="AA186" i="4"/>
  <c r="AB186" i="4" s="1"/>
  <c r="AC186" i="4" s="1"/>
  <c r="AD186" i="4" s="1"/>
  <c r="AE186" i="4" s="1"/>
  <c r="AF186" i="4" s="1"/>
  <c r="B186" i="4" s="1"/>
  <c r="K186" i="4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D186" i="4"/>
  <c r="E186" i="4" s="1"/>
  <c r="F186" i="4" s="1"/>
  <c r="G186" i="4" s="1"/>
  <c r="H186" i="4" s="1"/>
  <c r="I186" i="4" s="1"/>
  <c r="J186" i="4" s="1"/>
  <c r="L185" i="4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B185" i="4" s="1"/>
  <c r="D185" i="4"/>
  <c r="E185" i="4" s="1"/>
  <c r="F185" i="4" s="1"/>
  <c r="G185" i="4" s="1"/>
  <c r="H185" i="4" s="1"/>
  <c r="I185" i="4" s="1"/>
  <c r="J185" i="4" s="1"/>
  <c r="K185" i="4" s="1"/>
  <c r="M184" i="4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B184" i="4" s="1"/>
  <c r="E184" i="4"/>
  <c r="F184" i="4" s="1"/>
  <c r="G184" i="4" s="1"/>
  <c r="H184" i="4" s="1"/>
  <c r="I184" i="4" s="1"/>
  <c r="J184" i="4" s="1"/>
  <c r="K184" i="4" s="1"/>
  <c r="L184" i="4" s="1"/>
  <c r="D184" i="4"/>
  <c r="F183" i="4"/>
  <c r="G183" i="4" s="1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B183" i="4" s="1"/>
  <c r="E183" i="4"/>
  <c r="D183" i="4"/>
  <c r="N182" i="4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B182" i="4" s="1"/>
  <c r="D182" i="4"/>
  <c r="E182" i="4" s="1"/>
  <c r="F182" i="4" s="1"/>
  <c r="G182" i="4" s="1"/>
  <c r="H182" i="4" s="1"/>
  <c r="I182" i="4" s="1"/>
  <c r="J182" i="4" s="1"/>
  <c r="K182" i="4" s="1"/>
  <c r="L182" i="4" s="1"/>
  <c r="M182" i="4" s="1"/>
  <c r="I181" i="4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B181" i="4" s="1"/>
  <c r="D181" i="4"/>
  <c r="E181" i="4" s="1"/>
  <c r="F181" i="4" s="1"/>
  <c r="G181" i="4" s="1"/>
  <c r="H181" i="4" s="1"/>
  <c r="D180" i="4"/>
  <c r="E180" i="4" s="1"/>
  <c r="F180" i="4" s="1"/>
  <c r="G180" i="4" s="1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B180" i="4" s="1"/>
  <c r="G179" i="4"/>
  <c r="H179" i="4" s="1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B179" i="4" s="1"/>
  <c r="E179" i="4"/>
  <c r="F179" i="4" s="1"/>
  <c r="D179" i="4"/>
  <c r="F177" i="4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B177" i="4" s="1"/>
  <c r="E177" i="4"/>
  <c r="D177" i="4"/>
  <c r="D176" i="4"/>
  <c r="E176" i="4" s="1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B176" i="4" s="1"/>
  <c r="G175" i="4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B175" i="4" s="1"/>
  <c r="F175" i="4"/>
  <c r="D175" i="4"/>
  <c r="E175" i="4" s="1"/>
  <c r="H174" i="4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B174" i="4" s="1"/>
  <c r="D174" i="4"/>
  <c r="E174" i="4" s="1"/>
  <c r="F174" i="4" s="1"/>
  <c r="G174" i="4" s="1"/>
  <c r="V173" i="4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B173" i="4" s="1"/>
  <c r="F173" i="4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E173" i="4"/>
  <c r="D173" i="4"/>
  <c r="I172" i="4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B172" i="4" s="1"/>
  <c r="D172" i="4"/>
  <c r="E172" i="4" s="1"/>
  <c r="F172" i="4" s="1"/>
  <c r="G172" i="4" s="1"/>
  <c r="H172" i="4" s="1"/>
  <c r="N171" i="4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B171" i="4" s="1"/>
  <c r="G171" i="4"/>
  <c r="H171" i="4" s="1"/>
  <c r="I171" i="4" s="1"/>
  <c r="J171" i="4" s="1"/>
  <c r="K171" i="4" s="1"/>
  <c r="L171" i="4" s="1"/>
  <c r="M171" i="4" s="1"/>
  <c r="F171" i="4"/>
  <c r="E171" i="4"/>
  <c r="D171" i="4"/>
  <c r="I170" i="4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B170" i="4" s="1"/>
  <c r="H170" i="4"/>
  <c r="E170" i="4"/>
  <c r="F170" i="4" s="1"/>
  <c r="G170" i="4" s="1"/>
  <c r="D170" i="4"/>
  <c r="E168" i="4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B168" i="4" s="1"/>
  <c r="D168" i="4"/>
  <c r="X167" i="4"/>
  <c r="Y167" i="4" s="1"/>
  <c r="Z167" i="4" s="1"/>
  <c r="AA167" i="4" s="1"/>
  <c r="AB167" i="4" s="1"/>
  <c r="AC167" i="4" s="1"/>
  <c r="AD167" i="4" s="1"/>
  <c r="AE167" i="4" s="1"/>
  <c r="AF167" i="4" s="1"/>
  <c r="B167" i="4" s="1"/>
  <c r="D167" i="4"/>
  <c r="E167" i="4" s="1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M166" i="4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B166" i="4" s="1"/>
  <c r="E166" i="4"/>
  <c r="F166" i="4" s="1"/>
  <c r="G166" i="4" s="1"/>
  <c r="H166" i="4" s="1"/>
  <c r="I166" i="4" s="1"/>
  <c r="J166" i="4" s="1"/>
  <c r="K166" i="4" s="1"/>
  <c r="L166" i="4" s="1"/>
  <c r="D166" i="4"/>
  <c r="G165" i="4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B165" i="4" s="1"/>
  <c r="D165" i="4"/>
  <c r="E165" i="4" s="1"/>
  <c r="F165" i="4" s="1"/>
  <c r="M164" i="4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B164" i="4" s="1"/>
  <c r="F164" i="4"/>
  <c r="G164" i="4" s="1"/>
  <c r="H164" i="4" s="1"/>
  <c r="I164" i="4" s="1"/>
  <c r="J164" i="4" s="1"/>
  <c r="K164" i="4" s="1"/>
  <c r="L164" i="4" s="1"/>
  <c r="E164" i="4"/>
  <c r="D164" i="4"/>
  <c r="L163" i="4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B163" i="4" s="1"/>
  <c r="K163" i="4"/>
  <c r="D163" i="4"/>
  <c r="E163" i="4" s="1"/>
  <c r="F163" i="4" s="1"/>
  <c r="G163" i="4" s="1"/>
  <c r="H163" i="4" s="1"/>
  <c r="I163" i="4" s="1"/>
  <c r="J163" i="4" s="1"/>
  <c r="J162" i="4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B162" i="4" s="1"/>
  <c r="I162" i="4"/>
  <c r="E162" i="4"/>
  <c r="F162" i="4" s="1"/>
  <c r="G162" i="4" s="1"/>
  <c r="H162" i="4" s="1"/>
  <c r="D162" i="4"/>
  <c r="O161" i="4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B161" i="4" s="1"/>
  <c r="G161" i="4"/>
  <c r="H161" i="4" s="1"/>
  <c r="I161" i="4" s="1"/>
  <c r="J161" i="4" s="1"/>
  <c r="K161" i="4" s="1"/>
  <c r="L161" i="4" s="1"/>
  <c r="M161" i="4" s="1"/>
  <c r="N161" i="4" s="1"/>
  <c r="D161" i="4"/>
  <c r="E161" i="4" s="1"/>
  <c r="F161" i="4" s="1"/>
  <c r="E160" i="4"/>
  <c r="F160" i="4" s="1"/>
  <c r="G160" i="4" s="1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B160" i="4" s="1"/>
  <c r="D160" i="4"/>
  <c r="D159" i="4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B159" i="4" s="1"/>
  <c r="Z158" i="4"/>
  <c r="AA158" i="4" s="1"/>
  <c r="AB158" i="4" s="1"/>
  <c r="AC158" i="4" s="1"/>
  <c r="AD158" i="4" s="1"/>
  <c r="AE158" i="4" s="1"/>
  <c r="AF158" i="4" s="1"/>
  <c r="B158" i="4" s="1"/>
  <c r="Y158" i="4"/>
  <c r="E158" i="4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D158" i="4"/>
  <c r="O157" i="4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B157" i="4" s="1"/>
  <c r="D157" i="4"/>
  <c r="E157" i="4" s="1"/>
  <c r="F157" i="4" s="1"/>
  <c r="G157" i="4" s="1"/>
  <c r="H157" i="4" s="1"/>
  <c r="I157" i="4" s="1"/>
  <c r="J157" i="4" s="1"/>
  <c r="K157" i="4" s="1"/>
  <c r="L157" i="4" s="1"/>
  <c r="M157" i="4" s="1"/>
  <c r="N157" i="4" s="1"/>
  <c r="Y156" i="4"/>
  <c r="Z156" i="4" s="1"/>
  <c r="AA156" i="4" s="1"/>
  <c r="AB156" i="4" s="1"/>
  <c r="AC156" i="4" s="1"/>
  <c r="AD156" i="4" s="1"/>
  <c r="AE156" i="4" s="1"/>
  <c r="AF156" i="4" s="1"/>
  <c r="B156" i="4" s="1"/>
  <c r="I156" i="4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F156" i="4"/>
  <c r="G156" i="4" s="1"/>
  <c r="H156" i="4" s="1"/>
  <c r="E156" i="4"/>
  <c r="D156" i="4"/>
  <c r="L154" i="4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B154" i="4" s="1"/>
  <c r="J154" i="4"/>
  <c r="K154" i="4" s="1"/>
  <c r="H154" i="4"/>
  <c r="I154" i="4" s="1"/>
  <c r="D154" i="4"/>
  <c r="E154" i="4" s="1"/>
  <c r="F154" i="4" s="1"/>
  <c r="G154" i="4" s="1"/>
  <c r="Q153" i="4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B153" i="4" s="1"/>
  <c r="N153" i="4"/>
  <c r="O153" i="4" s="1"/>
  <c r="P153" i="4" s="1"/>
  <c r="M153" i="4"/>
  <c r="E153" i="4"/>
  <c r="F153" i="4" s="1"/>
  <c r="G153" i="4" s="1"/>
  <c r="H153" i="4" s="1"/>
  <c r="I153" i="4" s="1"/>
  <c r="J153" i="4" s="1"/>
  <c r="K153" i="4" s="1"/>
  <c r="L153" i="4" s="1"/>
  <c r="D153" i="4"/>
  <c r="J152" i="4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B152" i="4" s="1"/>
  <c r="D152" i="4"/>
  <c r="E152" i="4" s="1"/>
  <c r="F152" i="4" s="1"/>
  <c r="G152" i="4" s="1"/>
  <c r="H152" i="4" s="1"/>
  <c r="I152" i="4" s="1"/>
  <c r="L151" i="4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B151" i="4" s="1"/>
  <c r="I151" i="4"/>
  <c r="J151" i="4" s="1"/>
  <c r="K151" i="4" s="1"/>
  <c r="H151" i="4"/>
  <c r="D151" i="4"/>
  <c r="E151" i="4" s="1"/>
  <c r="F151" i="4" s="1"/>
  <c r="G151" i="4" s="1"/>
  <c r="J149" i="4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B149" i="4" s="1"/>
  <c r="G149" i="4"/>
  <c r="H149" i="4" s="1"/>
  <c r="I149" i="4" s="1"/>
  <c r="F149" i="4"/>
  <c r="D149" i="4"/>
  <c r="E149" i="4" s="1"/>
  <c r="J148" i="4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B148" i="4" s="1"/>
  <c r="H148" i="4"/>
  <c r="I148" i="4" s="1"/>
  <c r="G148" i="4"/>
  <c r="D148" i="4"/>
  <c r="E148" i="4" s="1"/>
  <c r="F148" i="4" s="1"/>
  <c r="D146" i="4"/>
  <c r="E146" i="4" s="1"/>
  <c r="F146" i="4" s="1"/>
  <c r="G146" i="4" s="1"/>
  <c r="H146" i="4" s="1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B146" i="4" s="1"/>
  <c r="I145" i="4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B145" i="4" s="1"/>
  <c r="D145" i="4"/>
  <c r="E145" i="4" s="1"/>
  <c r="F145" i="4" s="1"/>
  <c r="G145" i="4" s="1"/>
  <c r="H145" i="4" s="1"/>
  <c r="F144" i="4"/>
  <c r="G144" i="4" s="1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B144" i="4" s="1"/>
  <c r="D144" i="4"/>
  <c r="E144" i="4" s="1"/>
  <c r="D143" i="4"/>
  <c r="E143" i="4" s="1"/>
  <c r="F143" i="4" s="1"/>
  <c r="G143" i="4" s="1"/>
  <c r="H143" i="4" s="1"/>
  <c r="I143" i="4" s="1"/>
  <c r="J143" i="4" s="1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B143" i="4" s="1"/>
  <c r="N142" i="4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B142" i="4" s="1"/>
  <c r="E142" i="4"/>
  <c r="F142" i="4" s="1"/>
  <c r="G142" i="4" s="1"/>
  <c r="H142" i="4" s="1"/>
  <c r="I142" i="4" s="1"/>
  <c r="J142" i="4" s="1"/>
  <c r="K142" i="4" s="1"/>
  <c r="L142" i="4" s="1"/>
  <c r="M142" i="4" s="1"/>
  <c r="D142" i="4"/>
  <c r="E141" i="4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B141" i="4" s="1"/>
  <c r="D141" i="4"/>
  <c r="F140" i="4"/>
  <c r="G140" i="4" s="1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B140" i="4" s="1"/>
  <c r="D140" i="4"/>
  <c r="E140" i="4" s="1"/>
  <c r="E138" i="4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B138" i="4" s="1"/>
  <c r="D138" i="4"/>
  <c r="D137" i="4"/>
  <c r="E137" i="4" s="1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B137" i="4" s="1"/>
  <c r="E136" i="4"/>
  <c r="F136" i="4" s="1"/>
  <c r="G136" i="4" s="1"/>
  <c r="H136" i="4" s="1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B136" i="4" s="1"/>
  <c r="D136" i="4"/>
  <c r="F135" i="4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B135" i="4" s="1"/>
  <c r="E135" i="4"/>
  <c r="D135" i="4"/>
  <c r="E134" i="4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B134" i="4" s="1"/>
  <c r="D134" i="4"/>
  <c r="D133" i="4"/>
  <c r="E133" i="4" s="1"/>
  <c r="F133" i="4" s="1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B133" i="4" s="1"/>
  <c r="D132" i="4"/>
  <c r="E132" i="4" s="1"/>
  <c r="F132" i="4" s="1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B132" i="4" s="1"/>
  <c r="I131" i="4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B131" i="4" s="1"/>
  <c r="F131" i="4"/>
  <c r="G131" i="4" s="1"/>
  <c r="H131" i="4" s="1"/>
  <c r="E131" i="4"/>
  <c r="D131" i="4"/>
  <c r="D129" i="4"/>
  <c r="E129" i="4" s="1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B129" i="4" s="1"/>
  <c r="D128" i="4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B128" i="4" s="1"/>
  <c r="J127" i="4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B127" i="4" s="1"/>
  <c r="E127" i="4"/>
  <c r="F127" i="4" s="1"/>
  <c r="G127" i="4" s="1"/>
  <c r="H127" i="4" s="1"/>
  <c r="I127" i="4" s="1"/>
  <c r="D127" i="4"/>
  <c r="E126" i="4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B126" i="4" s="1"/>
  <c r="D126" i="4"/>
  <c r="F125" i="4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B125" i="4" s="1"/>
  <c r="E125" i="4"/>
  <c r="D125" i="4"/>
  <c r="D124" i="4"/>
  <c r="E124" i="4" s="1"/>
  <c r="J123" i="4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B123" i="4" s="1"/>
  <c r="E123" i="4"/>
  <c r="F123" i="4" s="1"/>
  <c r="G123" i="4" s="1"/>
  <c r="H123" i="4" s="1"/>
  <c r="I123" i="4" s="1"/>
  <c r="D123" i="4"/>
  <c r="H122" i="4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B122" i="4" s="1"/>
  <c r="E122" i="4"/>
  <c r="F122" i="4" s="1"/>
  <c r="G122" i="4" s="1"/>
  <c r="D122" i="4"/>
  <c r="F121" i="4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B121" i="4" s="1"/>
  <c r="E121" i="4"/>
  <c r="D121" i="4"/>
  <c r="D120" i="4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B120" i="4" s="1"/>
  <c r="J119" i="4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B119" i="4" s="1"/>
  <c r="E119" i="4"/>
  <c r="F119" i="4" s="1"/>
  <c r="G119" i="4" s="1"/>
  <c r="H119" i="4" s="1"/>
  <c r="I119" i="4" s="1"/>
  <c r="D119" i="4"/>
  <c r="E118" i="4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B118" i="4" s="1"/>
  <c r="D118" i="4"/>
  <c r="G117" i="4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B117" i="4" s="1"/>
  <c r="F117" i="4"/>
  <c r="E117" i="4"/>
  <c r="D117" i="4"/>
  <c r="D116" i="4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B116" i="4" s="1"/>
  <c r="J115" i="4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B115" i="4" s="1"/>
  <c r="E115" i="4"/>
  <c r="F115" i="4" s="1"/>
  <c r="G115" i="4" s="1"/>
  <c r="H115" i="4" s="1"/>
  <c r="I115" i="4" s="1"/>
  <c r="D115" i="4"/>
  <c r="M114" i="4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B114" i="4" s="1"/>
  <c r="K114" i="4"/>
  <c r="L114" i="4" s="1"/>
  <c r="D114" i="4"/>
  <c r="E114" i="4" s="1"/>
  <c r="F114" i="4" s="1"/>
  <c r="G114" i="4" s="1"/>
  <c r="H114" i="4" s="1"/>
  <c r="I114" i="4" s="1"/>
  <c r="E113" i="4"/>
  <c r="F113" i="4" s="1"/>
  <c r="G113" i="4" s="1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B113" i="4" s="1"/>
  <c r="D113" i="4"/>
  <c r="D112" i="4"/>
  <c r="E112" i="4" s="1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B112" i="4" s="1"/>
  <c r="D110" i="4"/>
  <c r="E110" i="4" s="1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B110" i="4" s="1"/>
  <c r="G109" i="4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B109" i="4" s="1"/>
  <c r="D109" i="4"/>
  <c r="E109" i="4" s="1"/>
  <c r="F109" i="4" s="1"/>
  <c r="E107" i="4"/>
  <c r="F107" i="4" s="1"/>
  <c r="G107" i="4" s="1"/>
  <c r="H107" i="4" s="1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B107" i="4" s="1"/>
  <c r="D107" i="4"/>
  <c r="F106" i="4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B106" i="4" s="1"/>
  <c r="D106" i="4"/>
  <c r="E106" i="4" s="1"/>
  <c r="D105" i="4"/>
  <c r="E105" i="4" s="1"/>
  <c r="F105" i="4" s="1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B105" i="4" s="1"/>
  <c r="D104" i="4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B104" i="4" s="1"/>
  <c r="F103" i="4"/>
  <c r="G103" i="4" s="1"/>
  <c r="E103" i="4"/>
  <c r="D103" i="4"/>
  <c r="D102" i="4"/>
  <c r="AH98" i="4"/>
  <c r="AI98" i="4" s="1"/>
  <c r="AH97" i="4"/>
  <c r="AI97" i="4" s="1"/>
  <c r="AH96" i="4"/>
  <c r="AI96" i="4" s="1"/>
  <c r="AH95" i="4"/>
  <c r="AI95" i="4" s="1"/>
  <c r="AH94" i="4"/>
  <c r="AI94" i="4" s="1"/>
  <c r="C93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G82" i="4"/>
  <c r="AI81" i="4"/>
  <c r="AH81" i="4"/>
  <c r="AF80" i="4"/>
  <c r="AE80" i="4"/>
  <c r="AD80" i="4"/>
  <c r="AC80" i="4"/>
  <c r="AB80" i="4"/>
  <c r="AA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AF79" i="4"/>
  <c r="AE79" i="4"/>
  <c r="AD79" i="4"/>
  <c r="AC79" i="4"/>
  <c r="AB79" i="4"/>
  <c r="AA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AF78" i="4"/>
  <c r="AE78" i="4"/>
  <c r="AD78" i="4"/>
  <c r="AC78" i="4"/>
  <c r="AB78" i="4"/>
  <c r="AA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AF77" i="4"/>
  <c r="AE77" i="4"/>
  <c r="AD77" i="4"/>
  <c r="AC77" i="4"/>
  <c r="AB77" i="4"/>
  <c r="AA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AF76" i="4"/>
  <c r="AE76" i="4"/>
  <c r="AD76" i="4"/>
  <c r="AC76" i="4"/>
  <c r="AB76" i="4"/>
  <c r="AA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AR214" i="4"/>
  <c r="AI74" i="4"/>
  <c r="AH74" i="4"/>
  <c r="AG72" i="4"/>
  <c r="AF72" i="4"/>
  <c r="AE72" i="4"/>
  <c r="AD72" i="4"/>
  <c r="AC72" i="4"/>
  <c r="AB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I71" i="4"/>
  <c r="AH71" i="4"/>
  <c r="AI70" i="4"/>
  <c r="AH70" i="4"/>
  <c r="AI69" i="4"/>
  <c r="AH69" i="4"/>
  <c r="AG68" i="4"/>
  <c r="AF68" i="4"/>
  <c r="AE68" i="4"/>
  <c r="AD5" i="4" s="1"/>
  <c r="AD68" i="4"/>
  <c r="AC5" i="4" s="1"/>
  <c r="AC68" i="4"/>
  <c r="AB5" i="4" s="1"/>
  <c r="AB68" i="4"/>
  <c r="Y68" i="4"/>
  <c r="X68" i="4"/>
  <c r="W68" i="4"/>
  <c r="V5" i="4" s="1"/>
  <c r="V68" i="4"/>
  <c r="U5" i="4" s="1"/>
  <c r="U68" i="4"/>
  <c r="T5" i="4" s="1"/>
  <c r="T68" i="4"/>
  <c r="S5" i="4" s="1"/>
  <c r="S68" i="4"/>
  <c r="R68" i="4"/>
  <c r="Q5" i="4" s="1"/>
  <c r="Q68" i="4"/>
  <c r="P5" i="4" s="1"/>
  <c r="P68" i="4"/>
  <c r="O68" i="4"/>
  <c r="N5" i="4" s="1"/>
  <c r="N68" i="4"/>
  <c r="M5" i="4" s="1"/>
  <c r="M68" i="4"/>
  <c r="L68" i="4"/>
  <c r="K5" i="4" s="1"/>
  <c r="K68" i="4"/>
  <c r="J5" i="4" s="1"/>
  <c r="J68" i="4"/>
  <c r="I5" i="4" s="1"/>
  <c r="I68" i="4"/>
  <c r="H5" i="4" s="1"/>
  <c r="H68" i="4"/>
  <c r="G68" i="4"/>
  <c r="F5" i="4" s="1"/>
  <c r="F68" i="4"/>
  <c r="E5" i="4" s="1"/>
  <c r="E68" i="4"/>
  <c r="D5" i="4" s="1"/>
  <c r="D68" i="4"/>
  <c r="C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G56" i="4"/>
  <c r="AF56" i="4"/>
  <c r="AE56" i="4"/>
  <c r="AD56" i="4"/>
  <c r="AC56" i="4"/>
  <c r="AB56" i="4"/>
  <c r="AA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I55" i="4"/>
  <c r="AH55" i="4"/>
  <c r="AI54" i="4"/>
  <c r="AH54" i="4"/>
  <c r="AI53" i="4"/>
  <c r="AH53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G51" i="4"/>
  <c r="AG52" i="4" s="1"/>
  <c r="AG3" i="4" s="1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G38" i="4"/>
  <c r="AG2" i="4" s="1"/>
  <c r="AG6" i="4" s="1"/>
  <c r="AF38" i="4"/>
  <c r="AE38" i="4"/>
  <c r="AD38" i="4"/>
  <c r="AC38" i="4"/>
  <c r="AB38" i="4"/>
  <c r="AA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A5" i="4"/>
  <c r="Z5" i="4"/>
  <c r="Y5" i="4"/>
  <c r="X5" i="4"/>
  <c r="R5" i="4"/>
  <c r="L5" i="4"/>
  <c r="C5" i="4"/>
  <c r="AG4" i="4"/>
  <c r="K4" i="4"/>
  <c r="B4" i="4"/>
  <c r="E4" i="4"/>
  <c r="AF82" i="4" l="1"/>
  <c r="AE82" i="4"/>
  <c r="AD82" i="4"/>
  <c r="AC82" i="4"/>
  <c r="AB82" i="4"/>
  <c r="AA82" i="4"/>
  <c r="Y82" i="4"/>
  <c r="X82" i="4"/>
  <c r="W82" i="4"/>
  <c r="V82" i="4"/>
  <c r="T82" i="4"/>
  <c r="U82" i="4"/>
  <c r="T75" i="4"/>
  <c r="AL214" i="4" s="1"/>
  <c r="T73" i="4"/>
  <c r="S82" i="4"/>
  <c r="S73" i="4"/>
  <c r="R82" i="4"/>
  <c r="R75" i="4"/>
  <c r="AJ214" i="4" s="1"/>
  <c r="R73" i="4"/>
  <c r="Q82" i="4"/>
  <c r="Q73" i="4"/>
  <c r="P82" i="4"/>
  <c r="P73" i="4"/>
  <c r="O82" i="4"/>
  <c r="O75" i="4"/>
  <c r="O7" i="4" s="1"/>
  <c r="O73" i="4"/>
  <c r="N82" i="4"/>
  <c r="N73" i="4"/>
  <c r="N75" i="4"/>
  <c r="M82" i="4"/>
  <c r="M75" i="4"/>
  <c r="M7" i="4" s="1"/>
  <c r="L82" i="4"/>
  <c r="L73" i="4"/>
  <c r="L75" i="4"/>
  <c r="AD214" i="4" s="1"/>
  <c r="K82" i="4"/>
  <c r="K73" i="4"/>
  <c r="J82" i="4"/>
  <c r="J75" i="4"/>
  <c r="AB214" i="4" s="1"/>
  <c r="J73" i="4"/>
  <c r="I82" i="4"/>
  <c r="I73" i="4"/>
  <c r="H82" i="4"/>
  <c r="H73" i="4"/>
  <c r="G82" i="4"/>
  <c r="AH80" i="4"/>
  <c r="G73" i="4"/>
  <c r="G75" i="4"/>
  <c r="G7" i="4" s="1"/>
  <c r="AI78" i="4"/>
  <c r="F82" i="4"/>
  <c r="AI56" i="4"/>
  <c r="F73" i="4"/>
  <c r="F75" i="4"/>
  <c r="F7" i="4" s="1"/>
  <c r="E82" i="4"/>
  <c r="AH77" i="4"/>
  <c r="AI77" i="4"/>
  <c r="E75" i="4"/>
  <c r="W214" i="4" s="1"/>
  <c r="AH79" i="4"/>
  <c r="D82" i="4"/>
  <c r="AI38" i="4"/>
  <c r="D75" i="4"/>
  <c r="D73" i="4"/>
  <c r="AI76" i="4"/>
  <c r="AI79" i="4"/>
  <c r="C82" i="4"/>
  <c r="AH38" i="4"/>
  <c r="C73" i="4"/>
  <c r="C75" i="4" s="1"/>
  <c r="U214" i="4" s="1"/>
  <c r="B5" i="4"/>
  <c r="B82" i="4"/>
  <c r="B75" i="4"/>
  <c r="B73" i="4"/>
  <c r="AF5" i="4"/>
  <c r="H4" i="4"/>
  <c r="AG73" i="4"/>
  <c r="F124" i="4"/>
  <c r="E93" i="4"/>
  <c r="H75" i="4"/>
  <c r="P75" i="4"/>
  <c r="AI80" i="4"/>
  <c r="D93" i="4"/>
  <c r="G5" i="4"/>
  <c r="O5" i="4"/>
  <c r="W5" i="4"/>
  <c r="AE5" i="4"/>
  <c r="E73" i="4"/>
  <c r="M73" i="4"/>
  <c r="I75" i="4"/>
  <c r="Q75" i="4"/>
  <c r="AG75" i="4"/>
  <c r="H103" i="4"/>
  <c r="AG83" i="4"/>
  <c r="K75" i="4"/>
  <c r="S75" i="4"/>
  <c r="S83" i="4" s="1"/>
  <c r="AH76" i="4"/>
  <c r="D192" i="4"/>
  <c r="E102" i="4"/>
  <c r="AH56" i="4"/>
  <c r="AH68" i="4"/>
  <c r="AH72" i="4"/>
  <c r="AI68" i="4"/>
  <c r="AI72" i="4"/>
  <c r="AH78" i="4"/>
  <c r="R7" i="4"/>
  <c r="S211" i="4"/>
  <c r="D211" i="4"/>
  <c r="C235" i="4"/>
  <c r="E199" i="4"/>
  <c r="D200" i="4"/>
  <c r="E194" i="4"/>
  <c r="T68" i="3"/>
  <c r="T72" i="3"/>
  <c r="T73" i="3"/>
  <c r="T7" i="4" l="1"/>
  <c r="T83" i="4"/>
  <c r="AE214" i="4"/>
  <c r="R83" i="4"/>
  <c r="Q83" i="4"/>
  <c r="P83" i="4"/>
  <c r="AG214" i="4"/>
  <c r="O83" i="4"/>
  <c r="N83" i="4"/>
  <c r="N7" i="4"/>
  <c r="AF214" i="4"/>
  <c r="M83" i="4"/>
  <c r="L83" i="4"/>
  <c r="L7" i="4"/>
  <c r="K83" i="4"/>
  <c r="J7" i="4"/>
  <c r="J83" i="4"/>
  <c r="X214" i="4"/>
  <c r="Y214" i="4"/>
  <c r="B209" i="4"/>
  <c r="I83" i="4"/>
  <c r="C83" i="4"/>
  <c r="D83" i="4"/>
  <c r="G83" i="4"/>
  <c r="F83" i="4"/>
  <c r="E7" i="4"/>
  <c r="E83" i="4"/>
  <c r="D7" i="4"/>
  <c r="V214" i="4"/>
  <c r="C7" i="4"/>
  <c r="B83" i="4"/>
  <c r="E192" i="4"/>
  <c r="F102" i="4"/>
  <c r="I103" i="4"/>
  <c r="AA214" i="4"/>
  <c r="I7" i="4"/>
  <c r="F194" i="4"/>
  <c r="E200" i="4"/>
  <c r="AC214" i="4"/>
  <c r="K7" i="4"/>
  <c r="G124" i="4"/>
  <c r="F93" i="4"/>
  <c r="AI82" i="4"/>
  <c r="AH82" i="4"/>
  <c r="D235" i="4"/>
  <c r="F199" i="4"/>
  <c r="H83" i="4"/>
  <c r="AI214" i="4"/>
  <c r="Q7" i="4"/>
  <c r="AH214" i="4"/>
  <c r="P7" i="4"/>
  <c r="AK214" i="4"/>
  <c r="S7" i="4"/>
  <c r="Z214" i="4"/>
  <c r="H7" i="4"/>
  <c r="C209" i="4"/>
  <c r="K6" i="4" l="1"/>
  <c r="H124" i="4"/>
  <c r="G93" i="4"/>
  <c r="J103" i="4"/>
  <c r="F192" i="4"/>
  <c r="G102" i="4"/>
  <c r="E235" i="4"/>
  <c r="G199" i="4"/>
  <c r="G194" i="4"/>
  <c r="F200" i="4"/>
  <c r="G192" i="4" l="1"/>
  <c r="H102" i="4"/>
  <c r="G200" i="4"/>
  <c r="H194" i="4"/>
  <c r="I124" i="4"/>
  <c r="H93" i="4"/>
  <c r="F235" i="4"/>
  <c r="H199" i="4"/>
  <c r="K103" i="4"/>
  <c r="J124" i="4" l="1"/>
  <c r="I93" i="4"/>
  <c r="H200" i="4"/>
  <c r="I194" i="4"/>
  <c r="L103" i="4"/>
  <c r="H192" i="4"/>
  <c r="I102" i="4"/>
  <c r="G235" i="4"/>
  <c r="I199" i="4"/>
  <c r="M103" i="4" l="1"/>
  <c r="J199" i="4"/>
  <c r="H235" i="4"/>
  <c r="K124" i="4"/>
  <c r="J93" i="4"/>
  <c r="I200" i="4"/>
  <c r="J194" i="4"/>
  <c r="I192" i="4"/>
  <c r="J102" i="4"/>
  <c r="K194" i="4" l="1"/>
  <c r="J200" i="4"/>
  <c r="L124" i="4"/>
  <c r="K93" i="4"/>
  <c r="K199" i="4"/>
  <c r="I235" i="4"/>
  <c r="J192" i="4"/>
  <c r="K102" i="4"/>
  <c r="N103" i="4"/>
  <c r="K192" i="4" l="1"/>
  <c r="L102" i="4"/>
  <c r="L199" i="4"/>
  <c r="J235" i="4"/>
  <c r="M124" i="4"/>
  <c r="L93" i="4"/>
  <c r="O103" i="4"/>
  <c r="L194" i="4"/>
  <c r="K200" i="4"/>
  <c r="P103" i="4" l="1"/>
  <c r="N124" i="4"/>
  <c r="K235" i="4"/>
  <c r="M199" i="4"/>
  <c r="L192" i="4"/>
  <c r="M102" i="4"/>
  <c r="L200" i="4"/>
  <c r="M194" i="4"/>
  <c r="M192" i="4" l="1"/>
  <c r="N102" i="4"/>
  <c r="N199" i="4"/>
  <c r="L235" i="4"/>
  <c r="M93" i="4"/>
  <c r="O124" i="4"/>
  <c r="N93" i="4"/>
  <c r="N194" i="4"/>
  <c r="M200" i="4"/>
  <c r="Q103" i="4"/>
  <c r="N200" i="4" l="1"/>
  <c r="O194" i="4"/>
  <c r="R103" i="4"/>
  <c r="N192" i="4"/>
  <c r="O102" i="4"/>
  <c r="P124" i="4"/>
  <c r="O93" i="4"/>
  <c r="M235" i="4"/>
  <c r="O199" i="4"/>
  <c r="S103" i="4" l="1"/>
  <c r="Q124" i="4"/>
  <c r="O192" i="4"/>
  <c r="P102" i="4"/>
  <c r="N235" i="4"/>
  <c r="P199" i="4"/>
  <c r="O200" i="4"/>
  <c r="P194" i="4"/>
  <c r="O235" i="4" l="1"/>
  <c r="Q199" i="4"/>
  <c r="P192" i="4"/>
  <c r="Q102" i="4"/>
  <c r="P93" i="4"/>
  <c r="R124" i="4"/>
  <c r="Q93" i="4"/>
  <c r="P200" i="4"/>
  <c r="Q194" i="4"/>
  <c r="T103" i="4"/>
  <c r="Q200" i="4" l="1"/>
  <c r="R194" i="4"/>
  <c r="S124" i="4"/>
  <c r="R93" i="4"/>
  <c r="Q192" i="4"/>
  <c r="R102" i="4"/>
  <c r="U103" i="4"/>
  <c r="P235" i="4"/>
  <c r="R199" i="4"/>
  <c r="R192" i="4" l="1"/>
  <c r="S102" i="4"/>
  <c r="S194" i="4"/>
  <c r="R200" i="4"/>
  <c r="V103" i="4"/>
  <c r="T124" i="4"/>
  <c r="S93" i="4"/>
  <c r="Q235" i="4"/>
  <c r="S199" i="4"/>
  <c r="U124" i="4" l="1"/>
  <c r="T194" i="4"/>
  <c r="S200" i="4"/>
  <c r="R235" i="4"/>
  <c r="T199" i="4"/>
  <c r="S192" i="4"/>
  <c r="T102" i="4"/>
  <c r="W103" i="4"/>
  <c r="S235" i="4" l="1"/>
  <c r="U199" i="4"/>
  <c r="T192" i="4"/>
  <c r="U102" i="4"/>
  <c r="U194" i="4"/>
  <c r="T200" i="4"/>
  <c r="T93" i="4"/>
  <c r="X103" i="4"/>
  <c r="V124" i="4"/>
  <c r="U93" i="4"/>
  <c r="U192" i="4" l="1"/>
  <c r="V102" i="4"/>
  <c r="V194" i="4"/>
  <c r="U200" i="4"/>
  <c r="U51" i="4" s="1"/>
  <c r="U52" i="4" s="1"/>
  <c r="V199" i="4"/>
  <c r="T235" i="4"/>
  <c r="W124" i="4"/>
  <c r="V93" i="4"/>
  <c r="Y103" i="4"/>
  <c r="U235" i="4" l="1"/>
  <c r="W199" i="4"/>
  <c r="V200" i="4"/>
  <c r="V51" i="4" s="1"/>
  <c r="V52" i="4" s="1"/>
  <c r="W194" i="4"/>
  <c r="U75" i="4"/>
  <c r="U73" i="4"/>
  <c r="Z103" i="4"/>
  <c r="V192" i="4"/>
  <c r="W102" i="4"/>
  <c r="X124" i="4"/>
  <c r="W93" i="4"/>
  <c r="U83" i="4" l="1"/>
  <c r="X194" i="4"/>
  <c r="W200" i="4"/>
  <c r="W51" i="4" s="1"/>
  <c r="W52" i="4" s="1"/>
  <c r="AA103" i="4"/>
  <c r="Y124" i="4"/>
  <c r="X93" i="4"/>
  <c r="W192" i="4"/>
  <c r="X102" i="4"/>
  <c r="V235" i="4"/>
  <c r="X199" i="4"/>
  <c r="AM214" i="4"/>
  <c r="U7" i="4"/>
  <c r="V73" i="4"/>
  <c r="V75" i="4"/>
  <c r="Z124" i="4" l="1"/>
  <c r="X192" i="4"/>
  <c r="Y102" i="4"/>
  <c r="AN214" i="4"/>
  <c r="V7" i="4"/>
  <c r="V83" i="4"/>
  <c r="AB103" i="4"/>
  <c r="W235" i="4"/>
  <c r="Y199" i="4"/>
  <c r="W75" i="4"/>
  <c r="W73" i="4"/>
  <c r="X200" i="4"/>
  <c r="X51" i="4" s="1"/>
  <c r="X52" i="4" s="1"/>
  <c r="Y194" i="4"/>
  <c r="W83" i="4" l="1"/>
  <c r="Y200" i="4"/>
  <c r="Y51" i="4" s="1"/>
  <c r="Y52" i="4" s="1"/>
  <c r="Z194" i="4"/>
  <c r="Y192" i="4"/>
  <c r="Z102" i="4"/>
  <c r="Z199" i="4"/>
  <c r="X235" i="4"/>
  <c r="AC103" i="4"/>
  <c r="X75" i="4"/>
  <c r="X73" i="4"/>
  <c r="Y93" i="4"/>
  <c r="AO214" i="4"/>
  <c r="W7" i="4"/>
  <c r="AA124" i="4"/>
  <c r="X83" i="4" l="1"/>
  <c r="AD103" i="4"/>
  <c r="AB124" i="4"/>
  <c r="AA93" i="4"/>
  <c r="Y235" i="4"/>
  <c r="AA199" i="4"/>
  <c r="Z192" i="4"/>
  <c r="AA102" i="4"/>
  <c r="Z200" i="4"/>
  <c r="AA194" i="4"/>
  <c r="AP214" i="4"/>
  <c r="X7" i="4"/>
  <c r="Y73" i="4"/>
  <c r="Y75" i="4"/>
  <c r="AA192" i="4" l="1"/>
  <c r="AB102" i="4"/>
  <c r="Y83" i="4"/>
  <c r="AC124" i="4"/>
  <c r="AB93" i="4"/>
  <c r="AQ214" i="4"/>
  <c r="Y7" i="4"/>
  <c r="Z235" i="4"/>
  <c r="AB199" i="4"/>
  <c r="AB194" i="4"/>
  <c r="AA200" i="4"/>
  <c r="AA51" i="4" s="1"/>
  <c r="AA52" i="4" s="1"/>
  <c r="AE103" i="4"/>
  <c r="AF103" i="4" l="1"/>
  <c r="AD124" i="4"/>
  <c r="AC93" i="4"/>
  <c r="AC194" i="4"/>
  <c r="AB200" i="4"/>
  <c r="AB51" i="4" s="1"/>
  <c r="AB52" i="4" s="1"/>
  <c r="AB192" i="4"/>
  <c r="AC102" i="4"/>
  <c r="AA75" i="4"/>
  <c r="AA235" i="4"/>
  <c r="AC199" i="4"/>
  <c r="AA83" i="4" l="1"/>
  <c r="AD194" i="4"/>
  <c r="AC200" i="4"/>
  <c r="AC51" i="4" s="1"/>
  <c r="AC52" i="4" s="1"/>
  <c r="AC192" i="4"/>
  <c r="AD102" i="4"/>
  <c r="AB235" i="4"/>
  <c r="AD199" i="4"/>
  <c r="AB75" i="4"/>
  <c r="AB73" i="4"/>
  <c r="AE124" i="4"/>
  <c r="AD93" i="4"/>
  <c r="B103" i="4"/>
  <c r="AS214" i="4"/>
  <c r="AA7" i="4"/>
  <c r="AB83" i="4" l="1"/>
  <c r="AC235" i="4"/>
  <c r="AE199" i="4"/>
  <c r="AD192" i="4"/>
  <c r="AE102" i="4"/>
  <c r="AT214" i="4"/>
  <c r="AB7" i="4"/>
  <c r="AC75" i="4"/>
  <c r="AC73" i="4"/>
  <c r="AF124" i="4"/>
  <c r="AE93" i="4"/>
  <c r="AE194" i="4"/>
  <c r="AD200" i="4"/>
  <c r="AD51" i="4" s="1"/>
  <c r="AD52" i="4" s="1"/>
  <c r="AU214" i="4" l="1"/>
  <c r="AC7" i="4"/>
  <c r="AD73" i="4"/>
  <c r="AD75" i="4"/>
  <c r="AE200" i="4"/>
  <c r="AE51" i="4" s="1"/>
  <c r="AE52" i="4" s="1"/>
  <c r="AF194" i="4"/>
  <c r="AE192" i="4"/>
  <c r="AF102" i="4"/>
  <c r="B124" i="4"/>
  <c r="AD235" i="4"/>
  <c r="AF199" i="4"/>
  <c r="AC83" i="4"/>
  <c r="B194" i="4" l="1"/>
  <c r="AF200" i="4"/>
  <c r="AF51" i="4" s="1"/>
  <c r="AF52" i="4" s="1"/>
  <c r="AV214" i="4"/>
  <c r="AD7" i="4"/>
  <c r="AE235" i="4"/>
  <c r="B199" i="4"/>
  <c r="AF235" i="4" s="1"/>
  <c r="AD83" i="4"/>
  <c r="AF192" i="4"/>
  <c r="B102" i="4"/>
  <c r="B192" i="4" s="1"/>
  <c r="AF93" i="4"/>
  <c r="AE75" i="4"/>
  <c r="AE73" i="4"/>
  <c r="AE83" i="4" l="1"/>
  <c r="AW214" i="4"/>
  <c r="AE7" i="4"/>
  <c r="AF75" i="4"/>
  <c r="AF73" i="4"/>
  <c r="AF83" i="4" s="1"/>
  <c r="AH93" i="4"/>
  <c r="AI93" i="4"/>
  <c r="B200" i="4"/>
  <c r="AH51" i="4" l="1"/>
  <c r="AI51" i="4"/>
  <c r="AX214" i="4"/>
  <c r="AF7" i="4"/>
  <c r="AI52" i="4" l="1"/>
  <c r="AH52" i="4"/>
  <c r="AI73" i="4" l="1"/>
  <c r="AH73" i="4"/>
  <c r="T214" i="4"/>
  <c r="B7" i="4"/>
  <c r="A7" i="4" s="1"/>
  <c r="AH75" i="4"/>
  <c r="AI75" i="4"/>
  <c r="AI83" i="4" l="1"/>
  <c r="AH83" i="4"/>
  <c r="R95" i="3" l="1"/>
  <c r="R37" i="3"/>
  <c r="Q95" i="3"/>
  <c r="Q37" i="3"/>
  <c r="P95" i="3" l="1"/>
  <c r="P37" i="3"/>
  <c r="O95" i="3"/>
  <c r="O37" i="3"/>
  <c r="N95" i="3"/>
  <c r="N37" i="3"/>
  <c r="M37" i="3" l="1"/>
  <c r="L37" i="3"/>
  <c r="K37" i="3"/>
  <c r="J37" i="3"/>
  <c r="I37" i="3"/>
  <c r="H37" i="3"/>
  <c r="G37" i="3"/>
  <c r="F37" i="3"/>
  <c r="E37" i="3"/>
  <c r="AH100" i="3"/>
  <c r="AI100" i="3" s="1"/>
  <c r="AH99" i="3"/>
  <c r="AI99" i="3" s="1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B235" i="3"/>
  <c r="S210" i="3"/>
  <c r="AG200" i="3"/>
  <c r="D200" i="3"/>
  <c r="C200" i="3"/>
  <c r="D199" i="3"/>
  <c r="D198" i="3"/>
  <c r="E198" i="3" s="1"/>
  <c r="F198" i="3" s="1"/>
  <c r="G198" i="3" s="1"/>
  <c r="H198" i="3" s="1"/>
  <c r="I198" i="3" s="1"/>
  <c r="J198" i="3" s="1"/>
  <c r="K198" i="3" s="1"/>
  <c r="L198" i="3" s="1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B198" i="3" s="1"/>
  <c r="E197" i="3"/>
  <c r="F197" i="3" s="1"/>
  <c r="G197" i="3" s="1"/>
  <c r="H197" i="3" s="1"/>
  <c r="I197" i="3" s="1"/>
  <c r="J197" i="3" s="1"/>
  <c r="K197" i="3" s="1"/>
  <c r="L197" i="3" s="1"/>
  <c r="M197" i="3" s="1"/>
  <c r="N197" i="3" s="1"/>
  <c r="O197" i="3" s="1"/>
  <c r="P197" i="3" s="1"/>
  <c r="Q197" i="3" s="1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B197" i="3" s="1"/>
  <c r="D197" i="3"/>
  <c r="D196" i="3"/>
  <c r="E196" i="3" s="1"/>
  <c r="F196" i="3" s="1"/>
  <c r="G196" i="3" s="1"/>
  <c r="H196" i="3" s="1"/>
  <c r="I196" i="3" s="1"/>
  <c r="J196" i="3" s="1"/>
  <c r="K196" i="3" s="1"/>
  <c r="L196" i="3" s="1"/>
  <c r="M196" i="3" s="1"/>
  <c r="N196" i="3" s="1"/>
  <c r="O196" i="3" s="1"/>
  <c r="P196" i="3" s="1"/>
  <c r="Q196" i="3" s="1"/>
  <c r="R196" i="3" s="1"/>
  <c r="S196" i="3" s="1"/>
  <c r="T196" i="3" s="1"/>
  <c r="U196" i="3" s="1"/>
  <c r="V196" i="3" s="1"/>
  <c r="W196" i="3" s="1"/>
  <c r="X196" i="3" s="1"/>
  <c r="Y196" i="3" s="1"/>
  <c r="Z196" i="3" s="1"/>
  <c r="AA196" i="3" s="1"/>
  <c r="AB196" i="3" s="1"/>
  <c r="AC196" i="3" s="1"/>
  <c r="AD196" i="3" s="1"/>
  <c r="AE196" i="3" s="1"/>
  <c r="AF196" i="3" s="1"/>
  <c r="B196" i="3" s="1"/>
  <c r="F195" i="3"/>
  <c r="G195" i="3" s="1"/>
  <c r="H195" i="3" s="1"/>
  <c r="I195" i="3" s="1"/>
  <c r="J195" i="3" s="1"/>
  <c r="K195" i="3" s="1"/>
  <c r="L195" i="3" s="1"/>
  <c r="M195" i="3" s="1"/>
  <c r="N195" i="3" s="1"/>
  <c r="O195" i="3" s="1"/>
  <c r="P195" i="3" s="1"/>
  <c r="Q195" i="3" s="1"/>
  <c r="R195" i="3" s="1"/>
  <c r="S195" i="3" s="1"/>
  <c r="T195" i="3" s="1"/>
  <c r="U195" i="3" s="1"/>
  <c r="V195" i="3" s="1"/>
  <c r="W195" i="3" s="1"/>
  <c r="X195" i="3" s="1"/>
  <c r="Y195" i="3" s="1"/>
  <c r="Z195" i="3" s="1"/>
  <c r="AA195" i="3" s="1"/>
  <c r="AB195" i="3" s="1"/>
  <c r="AC195" i="3" s="1"/>
  <c r="AD195" i="3" s="1"/>
  <c r="AE195" i="3" s="1"/>
  <c r="AF195" i="3" s="1"/>
  <c r="B195" i="3" s="1"/>
  <c r="D195" i="3"/>
  <c r="E195" i="3" s="1"/>
  <c r="D194" i="3"/>
  <c r="E194" i="3" s="1"/>
  <c r="AG192" i="3"/>
  <c r="C192" i="3"/>
  <c r="G191" i="3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B191" i="3" s="1"/>
  <c r="E191" i="3"/>
  <c r="F191" i="3" s="1"/>
  <c r="D191" i="3"/>
  <c r="L190" i="3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B190" i="3" s="1"/>
  <c r="F190" i="3"/>
  <c r="G190" i="3" s="1"/>
  <c r="H190" i="3" s="1"/>
  <c r="I190" i="3" s="1"/>
  <c r="J190" i="3" s="1"/>
  <c r="K190" i="3" s="1"/>
  <c r="E190" i="3"/>
  <c r="D190" i="3"/>
  <c r="D189" i="3"/>
  <c r="E189" i="3" s="1"/>
  <c r="F189" i="3" s="1"/>
  <c r="G189" i="3" s="1"/>
  <c r="H189" i="3" s="1"/>
  <c r="I189" i="3" s="1"/>
  <c r="J189" i="3" s="1"/>
  <c r="K189" i="3" s="1"/>
  <c r="L189" i="3" s="1"/>
  <c r="M189" i="3" s="1"/>
  <c r="N189" i="3" s="1"/>
  <c r="O189" i="3" s="1"/>
  <c r="P189" i="3" s="1"/>
  <c r="Q189" i="3" s="1"/>
  <c r="R189" i="3" s="1"/>
  <c r="S189" i="3" s="1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B189" i="3" s="1"/>
  <c r="I188" i="3"/>
  <c r="J188" i="3" s="1"/>
  <c r="K188" i="3" s="1"/>
  <c r="L188" i="3" s="1"/>
  <c r="M188" i="3" s="1"/>
  <c r="N188" i="3" s="1"/>
  <c r="O188" i="3" s="1"/>
  <c r="P188" i="3" s="1"/>
  <c r="Q188" i="3" s="1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B188" i="3" s="1"/>
  <c r="G188" i="3"/>
  <c r="H188" i="3" s="1"/>
  <c r="D188" i="3"/>
  <c r="E188" i="3" s="1"/>
  <c r="F188" i="3" s="1"/>
  <c r="N187" i="3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B187" i="3" s="1"/>
  <c r="E187" i="3"/>
  <c r="F187" i="3" s="1"/>
  <c r="G187" i="3" s="1"/>
  <c r="H187" i="3" s="1"/>
  <c r="I187" i="3" s="1"/>
  <c r="J187" i="3" s="1"/>
  <c r="K187" i="3" s="1"/>
  <c r="L187" i="3" s="1"/>
  <c r="M187" i="3" s="1"/>
  <c r="D187" i="3"/>
  <c r="V186" i="3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B186" i="3" s="1"/>
  <c r="D186" i="3"/>
  <c r="E186" i="3" s="1"/>
  <c r="F186" i="3" s="1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AB185" i="3"/>
  <c r="AC185" i="3" s="1"/>
  <c r="AD185" i="3" s="1"/>
  <c r="AE185" i="3" s="1"/>
  <c r="AF185" i="3" s="1"/>
  <c r="B185" i="3" s="1"/>
  <c r="F185" i="3"/>
  <c r="G185" i="3" s="1"/>
  <c r="H185" i="3" s="1"/>
  <c r="I185" i="3" s="1"/>
  <c r="J185" i="3" s="1"/>
  <c r="K185" i="3" s="1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Y185" i="3" s="1"/>
  <c r="Z185" i="3" s="1"/>
  <c r="AA185" i="3" s="1"/>
  <c r="D185" i="3"/>
  <c r="E185" i="3" s="1"/>
  <c r="D184" i="3"/>
  <c r="E184" i="3" s="1"/>
  <c r="F184" i="3" s="1"/>
  <c r="G184" i="3" s="1"/>
  <c r="H184" i="3" s="1"/>
  <c r="I184" i="3" s="1"/>
  <c r="J184" i="3" s="1"/>
  <c r="K184" i="3" s="1"/>
  <c r="L184" i="3" s="1"/>
  <c r="M184" i="3" s="1"/>
  <c r="N184" i="3" s="1"/>
  <c r="O184" i="3" s="1"/>
  <c r="P184" i="3" s="1"/>
  <c r="Q184" i="3" s="1"/>
  <c r="R184" i="3" s="1"/>
  <c r="S184" i="3" s="1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B184" i="3" s="1"/>
  <c r="K183" i="3"/>
  <c r="L183" i="3" s="1"/>
  <c r="M183" i="3" s="1"/>
  <c r="N183" i="3" s="1"/>
  <c r="O183" i="3" s="1"/>
  <c r="P183" i="3" s="1"/>
  <c r="Q183" i="3" s="1"/>
  <c r="R183" i="3" s="1"/>
  <c r="S183" i="3" s="1"/>
  <c r="T183" i="3" s="1"/>
  <c r="U183" i="3" s="1"/>
  <c r="V183" i="3" s="1"/>
  <c r="W183" i="3" s="1"/>
  <c r="X183" i="3" s="1"/>
  <c r="Y183" i="3" s="1"/>
  <c r="Z183" i="3" s="1"/>
  <c r="AA183" i="3" s="1"/>
  <c r="AB183" i="3" s="1"/>
  <c r="AC183" i="3" s="1"/>
  <c r="AD183" i="3" s="1"/>
  <c r="AE183" i="3" s="1"/>
  <c r="AF183" i="3" s="1"/>
  <c r="B183" i="3" s="1"/>
  <c r="E183" i="3"/>
  <c r="F183" i="3" s="1"/>
  <c r="G183" i="3" s="1"/>
  <c r="H183" i="3" s="1"/>
  <c r="I183" i="3" s="1"/>
  <c r="J183" i="3" s="1"/>
  <c r="D183" i="3"/>
  <c r="F182" i="3"/>
  <c r="G182" i="3" s="1"/>
  <c r="H182" i="3" s="1"/>
  <c r="I182" i="3" s="1"/>
  <c r="J182" i="3" s="1"/>
  <c r="K182" i="3" s="1"/>
  <c r="L182" i="3" s="1"/>
  <c r="M182" i="3" s="1"/>
  <c r="N182" i="3" s="1"/>
  <c r="O182" i="3" s="1"/>
  <c r="P182" i="3" s="1"/>
  <c r="Q182" i="3" s="1"/>
  <c r="R182" i="3" s="1"/>
  <c r="S182" i="3" s="1"/>
  <c r="T182" i="3" s="1"/>
  <c r="U182" i="3" s="1"/>
  <c r="V182" i="3" s="1"/>
  <c r="W182" i="3" s="1"/>
  <c r="X182" i="3" s="1"/>
  <c r="Y182" i="3" s="1"/>
  <c r="Z182" i="3" s="1"/>
  <c r="AA182" i="3" s="1"/>
  <c r="AB182" i="3" s="1"/>
  <c r="AC182" i="3" s="1"/>
  <c r="AD182" i="3" s="1"/>
  <c r="AE182" i="3" s="1"/>
  <c r="AF182" i="3" s="1"/>
  <c r="B182" i="3" s="1"/>
  <c r="D182" i="3"/>
  <c r="E182" i="3" s="1"/>
  <c r="K181" i="3"/>
  <c r="L181" i="3" s="1"/>
  <c r="M181" i="3" s="1"/>
  <c r="N181" i="3" s="1"/>
  <c r="O181" i="3" s="1"/>
  <c r="P181" i="3" s="1"/>
  <c r="Q181" i="3" s="1"/>
  <c r="R181" i="3" s="1"/>
  <c r="S181" i="3" s="1"/>
  <c r="T181" i="3" s="1"/>
  <c r="U181" i="3" s="1"/>
  <c r="V181" i="3" s="1"/>
  <c r="W181" i="3" s="1"/>
  <c r="X181" i="3" s="1"/>
  <c r="Y181" i="3" s="1"/>
  <c r="Z181" i="3" s="1"/>
  <c r="AA181" i="3" s="1"/>
  <c r="AB181" i="3" s="1"/>
  <c r="AC181" i="3" s="1"/>
  <c r="AD181" i="3" s="1"/>
  <c r="AE181" i="3" s="1"/>
  <c r="AF181" i="3" s="1"/>
  <c r="B181" i="3" s="1"/>
  <c r="D181" i="3"/>
  <c r="E181" i="3" s="1"/>
  <c r="F181" i="3" s="1"/>
  <c r="G181" i="3" s="1"/>
  <c r="H181" i="3" s="1"/>
  <c r="I181" i="3" s="1"/>
  <c r="J181" i="3" s="1"/>
  <c r="D180" i="3"/>
  <c r="E180" i="3" s="1"/>
  <c r="F180" i="3" s="1"/>
  <c r="G180" i="3" s="1"/>
  <c r="H180" i="3" s="1"/>
  <c r="I180" i="3" s="1"/>
  <c r="J180" i="3" s="1"/>
  <c r="K180" i="3" s="1"/>
  <c r="L180" i="3" s="1"/>
  <c r="M180" i="3" s="1"/>
  <c r="N180" i="3" s="1"/>
  <c r="O180" i="3" s="1"/>
  <c r="P180" i="3" s="1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AB180" i="3" s="1"/>
  <c r="AC180" i="3" s="1"/>
  <c r="AD180" i="3" s="1"/>
  <c r="AE180" i="3" s="1"/>
  <c r="AF180" i="3" s="1"/>
  <c r="B180" i="3" s="1"/>
  <c r="G179" i="3"/>
  <c r="H179" i="3" s="1"/>
  <c r="I179" i="3" s="1"/>
  <c r="J179" i="3" s="1"/>
  <c r="K179" i="3" s="1"/>
  <c r="L179" i="3" s="1"/>
  <c r="M179" i="3" s="1"/>
  <c r="N179" i="3" s="1"/>
  <c r="O179" i="3" s="1"/>
  <c r="P179" i="3" s="1"/>
  <c r="Q179" i="3" s="1"/>
  <c r="R179" i="3" s="1"/>
  <c r="S179" i="3" s="1"/>
  <c r="T179" i="3" s="1"/>
  <c r="U179" i="3" s="1"/>
  <c r="V179" i="3" s="1"/>
  <c r="W179" i="3" s="1"/>
  <c r="X179" i="3" s="1"/>
  <c r="Y179" i="3" s="1"/>
  <c r="Z179" i="3" s="1"/>
  <c r="AA179" i="3" s="1"/>
  <c r="AB179" i="3" s="1"/>
  <c r="AC179" i="3" s="1"/>
  <c r="AD179" i="3" s="1"/>
  <c r="AE179" i="3" s="1"/>
  <c r="AF179" i="3" s="1"/>
  <c r="B179" i="3" s="1"/>
  <c r="E179" i="3"/>
  <c r="F179" i="3" s="1"/>
  <c r="D179" i="3"/>
  <c r="K177" i="3"/>
  <c r="L177" i="3" s="1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B177" i="3" s="1"/>
  <c r="I177" i="3"/>
  <c r="J177" i="3" s="1"/>
  <c r="F177" i="3"/>
  <c r="G177" i="3" s="1"/>
  <c r="H177" i="3" s="1"/>
  <c r="D177" i="3"/>
  <c r="E177" i="3" s="1"/>
  <c r="D176" i="3"/>
  <c r="E176" i="3" s="1"/>
  <c r="F176" i="3" s="1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B176" i="3" s="1"/>
  <c r="N175" i="3"/>
  <c r="O175" i="3" s="1"/>
  <c r="P175" i="3" s="1"/>
  <c r="Q175" i="3" s="1"/>
  <c r="R175" i="3" s="1"/>
  <c r="S175" i="3" s="1"/>
  <c r="T175" i="3" s="1"/>
  <c r="U175" i="3" s="1"/>
  <c r="V175" i="3" s="1"/>
  <c r="W175" i="3" s="1"/>
  <c r="X175" i="3" s="1"/>
  <c r="Y175" i="3" s="1"/>
  <c r="Z175" i="3" s="1"/>
  <c r="AA175" i="3" s="1"/>
  <c r="AB175" i="3" s="1"/>
  <c r="AC175" i="3" s="1"/>
  <c r="AD175" i="3" s="1"/>
  <c r="AE175" i="3" s="1"/>
  <c r="AF175" i="3" s="1"/>
  <c r="B175" i="3" s="1"/>
  <c r="E175" i="3"/>
  <c r="F175" i="3" s="1"/>
  <c r="G175" i="3" s="1"/>
  <c r="H175" i="3" s="1"/>
  <c r="I175" i="3" s="1"/>
  <c r="J175" i="3" s="1"/>
  <c r="K175" i="3" s="1"/>
  <c r="L175" i="3" s="1"/>
  <c r="M175" i="3" s="1"/>
  <c r="D175" i="3"/>
  <c r="J174" i="3"/>
  <c r="K174" i="3" s="1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AC174" i="3" s="1"/>
  <c r="AD174" i="3" s="1"/>
  <c r="AE174" i="3" s="1"/>
  <c r="AF174" i="3" s="1"/>
  <c r="B174" i="3" s="1"/>
  <c r="E174" i="3"/>
  <c r="F174" i="3" s="1"/>
  <c r="G174" i="3" s="1"/>
  <c r="H174" i="3" s="1"/>
  <c r="I174" i="3" s="1"/>
  <c r="D174" i="3"/>
  <c r="P173" i="3"/>
  <c r="Q173" i="3" s="1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B173" i="3" s="1"/>
  <c r="O173" i="3"/>
  <c r="D173" i="3"/>
  <c r="E173" i="3" s="1"/>
  <c r="F173" i="3" s="1"/>
  <c r="G173" i="3" s="1"/>
  <c r="H173" i="3" s="1"/>
  <c r="I173" i="3" s="1"/>
  <c r="J173" i="3" s="1"/>
  <c r="K173" i="3" s="1"/>
  <c r="L173" i="3" s="1"/>
  <c r="M173" i="3" s="1"/>
  <c r="N173" i="3" s="1"/>
  <c r="V172" i="3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B172" i="3" s="1"/>
  <c r="F172" i="3"/>
  <c r="G172" i="3" s="1"/>
  <c r="H172" i="3" s="1"/>
  <c r="I172" i="3" s="1"/>
  <c r="J172" i="3" s="1"/>
  <c r="K172" i="3" s="1"/>
  <c r="L172" i="3" s="1"/>
  <c r="M172" i="3" s="1"/>
  <c r="N172" i="3" s="1"/>
  <c r="O172" i="3" s="1"/>
  <c r="P172" i="3" s="1"/>
  <c r="Q172" i="3" s="1"/>
  <c r="R172" i="3" s="1"/>
  <c r="S172" i="3" s="1"/>
  <c r="T172" i="3" s="1"/>
  <c r="U172" i="3" s="1"/>
  <c r="D172" i="3"/>
  <c r="E172" i="3" s="1"/>
  <c r="O171" i="3"/>
  <c r="P171" i="3" s="1"/>
  <c r="Q171" i="3" s="1"/>
  <c r="R171" i="3" s="1"/>
  <c r="S171" i="3" s="1"/>
  <c r="T171" i="3" s="1"/>
  <c r="U171" i="3" s="1"/>
  <c r="V171" i="3" s="1"/>
  <c r="W171" i="3" s="1"/>
  <c r="X171" i="3" s="1"/>
  <c r="Y171" i="3" s="1"/>
  <c r="Z171" i="3" s="1"/>
  <c r="AA171" i="3" s="1"/>
  <c r="AB171" i="3" s="1"/>
  <c r="AC171" i="3" s="1"/>
  <c r="AD171" i="3" s="1"/>
  <c r="AE171" i="3" s="1"/>
  <c r="AF171" i="3" s="1"/>
  <c r="B171" i="3" s="1"/>
  <c r="D171" i="3"/>
  <c r="E171" i="3" s="1"/>
  <c r="F171" i="3" s="1"/>
  <c r="G171" i="3" s="1"/>
  <c r="H171" i="3" s="1"/>
  <c r="I171" i="3" s="1"/>
  <c r="J171" i="3" s="1"/>
  <c r="K171" i="3" s="1"/>
  <c r="L171" i="3" s="1"/>
  <c r="M171" i="3" s="1"/>
  <c r="N171" i="3" s="1"/>
  <c r="I170" i="3"/>
  <c r="J170" i="3" s="1"/>
  <c r="K170" i="3" s="1"/>
  <c r="L170" i="3" s="1"/>
  <c r="M170" i="3" s="1"/>
  <c r="N170" i="3" s="1"/>
  <c r="O170" i="3" s="1"/>
  <c r="P170" i="3" s="1"/>
  <c r="Q170" i="3" s="1"/>
  <c r="R170" i="3" s="1"/>
  <c r="S170" i="3" s="1"/>
  <c r="T170" i="3" s="1"/>
  <c r="U170" i="3" s="1"/>
  <c r="V170" i="3" s="1"/>
  <c r="W170" i="3" s="1"/>
  <c r="X170" i="3" s="1"/>
  <c r="Y170" i="3" s="1"/>
  <c r="Z170" i="3" s="1"/>
  <c r="AA170" i="3" s="1"/>
  <c r="AB170" i="3" s="1"/>
  <c r="AC170" i="3" s="1"/>
  <c r="AD170" i="3" s="1"/>
  <c r="AE170" i="3" s="1"/>
  <c r="AF170" i="3" s="1"/>
  <c r="B170" i="3" s="1"/>
  <c r="F170" i="3"/>
  <c r="G170" i="3" s="1"/>
  <c r="H170" i="3" s="1"/>
  <c r="D170" i="3"/>
  <c r="E170" i="3" s="1"/>
  <c r="D168" i="3"/>
  <c r="E168" i="3" s="1"/>
  <c r="F168" i="3" s="1"/>
  <c r="G168" i="3" s="1"/>
  <c r="H168" i="3" s="1"/>
  <c r="I168" i="3" s="1"/>
  <c r="J168" i="3" s="1"/>
  <c r="K168" i="3" s="1"/>
  <c r="L168" i="3" s="1"/>
  <c r="M168" i="3" s="1"/>
  <c r="N168" i="3" s="1"/>
  <c r="O168" i="3" s="1"/>
  <c r="P168" i="3" s="1"/>
  <c r="Q168" i="3" s="1"/>
  <c r="R168" i="3" s="1"/>
  <c r="S168" i="3" s="1"/>
  <c r="T168" i="3" s="1"/>
  <c r="U168" i="3" s="1"/>
  <c r="V168" i="3" s="1"/>
  <c r="W168" i="3" s="1"/>
  <c r="X168" i="3" s="1"/>
  <c r="Y168" i="3" s="1"/>
  <c r="Z168" i="3" s="1"/>
  <c r="AA168" i="3" s="1"/>
  <c r="AB168" i="3" s="1"/>
  <c r="AC168" i="3" s="1"/>
  <c r="AD168" i="3" s="1"/>
  <c r="AE168" i="3" s="1"/>
  <c r="AF168" i="3" s="1"/>
  <c r="B168" i="3" s="1"/>
  <c r="AD167" i="3"/>
  <c r="AE167" i="3" s="1"/>
  <c r="AF167" i="3" s="1"/>
  <c r="B167" i="3" s="1"/>
  <c r="G167" i="3"/>
  <c r="H167" i="3" s="1"/>
  <c r="I167" i="3" s="1"/>
  <c r="J167" i="3" s="1"/>
  <c r="K167" i="3" s="1"/>
  <c r="L167" i="3" s="1"/>
  <c r="M167" i="3" s="1"/>
  <c r="N167" i="3" s="1"/>
  <c r="O167" i="3" s="1"/>
  <c r="P167" i="3" s="1"/>
  <c r="Q167" i="3" s="1"/>
  <c r="R167" i="3" s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E167" i="3"/>
  <c r="F167" i="3" s="1"/>
  <c r="D167" i="3"/>
  <c r="Z166" i="3"/>
  <c r="AA166" i="3" s="1"/>
  <c r="AB166" i="3" s="1"/>
  <c r="AC166" i="3" s="1"/>
  <c r="AD166" i="3" s="1"/>
  <c r="AE166" i="3" s="1"/>
  <c r="AF166" i="3" s="1"/>
  <c r="B166" i="3" s="1"/>
  <c r="D166" i="3"/>
  <c r="E166" i="3" s="1"/>
  <c r="F166" i="3" s="1"/>
  <c r="G166" i="3" s="1"/>
  <c r="H166" i="3" s="1"/>
  <c r="I166" i="3" s="1"/>
  <c r="J166" i="3" s="1"/>
  <c r="K166" i="3" s="1"/>
  <c r="L166" i="3" s="1"/>
  <c r="M166" i="3" s="1"/>
  <c r="N166" i="3" s="1"/>
  <c r="O166" i="3" s="1"/>
  <c r="P166" i="3" s="1"/>
  <c r="Q166" i="3" s="1"/>
  <c r="R166" i="3" s="1"/>
  <c r="S166" i="3" s="1"/>
  <c r="T166" i="3" s="1"/>
  <c r="U166" i="3" s="1"/>
  <c r="V166" i="3" s="1"/>
  <c r="W166" i="3" s="1"/>
  <c r="X166" i="3" s="1"/>
  <c r="Y166" i="3" s="1"/>
  <c r="H165" i="3"/>
  <c r="I165" i="3" s="1"/>
  <c r="J165" i="3" s="1"/>
  <c r="K165" i="3" s="1"/>
  <c r="L165" i="3" s="1"/>
  <c r="M165" i="3" s="1"/>
  <c r="N165" i="3" s="1"/>
  <c r="O165" i="3" s="1"/>
  <c r="P165" i="3" s="1"/>
  <c r="Q165" i="3" s="1"/>
  <c r="R165" i="3" s="1"/>
  <c r="S165" i="3" s="1"/>
  <c r="T165" i="3" s="1"/>
  <c r="U165" i="3" s="1"/>
  <c r="V165" i="3" s="1"/>
  <c r="W165" i="3" s="1"/>
  <c r="X165" i="3" s="1"/>
  <c r="Y165" i="3" s="1"/>
  <c r="Z165" i="3" s="1"/>
  <c r="AA165" i="3" s="1"/>
  <c r="AB165" i="3" s="1"/>
  <c r="AC165" i="3" s="1"/>
  <c r="AD165" i="3" s="1"/>
  <c r="AE165" i="3" s="1"/>
  <c r="AF165" i="3" s="1"/>
  <c r="B165" i="3" s="1"/>
  <c r="D165" i="3"/>
  <c r="E165" i="3" s="1"/>
  <c r="F165" i="3" s="1"/>
  <c r="G165" i="3" s="1"/>
  <c r="D164" i="3"/>
  <c r="E164" i="3" s="1"/>
  <c r="F164" i="3" s="1"/>
  <c r="G164" i="3" s="1"/>
  <c r="H164" i="3" s="1"/>
  <c r="I164" i="3" s="1"/>
  <c r="J164" i="3" s="1"/>
  <c r="K164" i="3" s="1"/>
  <c r="L164" i="3" s="1"/>
  <c r="M164" i="3" s="1"/>
  <c r="N164" i="3" s="1"/>
  <c r="O164" i="3" s="1"/>
  <c r="P164" i="3" s="1"/>
  <c r="Q164" i="3" s="1"/>
  <c r="R164" i="3" s="1"/>
  <c r="S164" i="3" s="1"/>
  <c r="T164" i="3" s="1"/>
  <c r="U164" i="3" s="1"/>
  <c r="V164" i="3" s="1"/>
  <c r="W164" i="3" s="1"/>
  <c r="X164" i="3" s="1"/>
  <c r="Y164" i="3" s="1"/>
  <c r="Z164" i="3" s="1"/>
  <c r="AA164" i="3" s="1"/>
  <c r="AB164" i="3" s="1"/>
  <c r="AC164" i="3" s="1"/>
  <c r="AD164" i="3" s="1"/>
  <c r="AE164" i="3" s="1"/>
  <c r="AF164" i="3" s="1"/>
  <c r="B164" i="3" s="1"/>
  <c r="D163" i="3"/>
  <c r="E163" i="3" s="1"/>
  <c r="F163" i="3" s="1"/>
  <c r="G163" i="3" s="1"/>
  <c r="H163" i="3" s="1"/>
  <c r="I163" i="3" s="1"/>
  <c r="J163" i="3" s="1"/>
  <c r="K163" i="3" s="1"/>
  <c r="L163" i="3" s="1"/>
  <c r="M163" i="3" s="1"/>
  <c r="N163" i="3" s="1"/>
  <c r="O163" i="3" s="1"/>
  <c r="P163" i="3" s="1"/>
  <c r="Q163" i="3" s="1"/>
  <c r="R163" i="3" s="1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AF163" i="3" s="1"/>
  <c r="B163" i="3" s="1"/>
  <c r="AB162" i="3"/>
  <c r="AC162" i="3" s="1"/>
  <c r="AD162" i="3" s="1"/>
  <c r="AE162" i="3" s="1"/>
  <c r="AF162" i="3" s="1"/>
  <c r="B162" i="3" s="1"/>
  <c r="J162" i="3"/>
  <c r="K162" i="3" s="1"/>
  <c r="L162" i="3" s="1"/>
  <c r="M162" i="3" s="1"/>
  <c r="N162" i="3" s="1"/>
  <c r="O162" i="3" s="1"/>
  <c r="P162" i="3" s="1"/>
  <c r="Q162" i="3" s="1"/>
  <c r="R162" i="3" s="1"/>
  <c r="S162" i="3" s="1"/>
  <c r="T162" i="3" s="1"/>
  <c r="U162" i="3" s="1"/>
  <c r="V162" i="3" s="1"/>
  <c r="W162" i="3" s="1"/>
  <c r="X162" i="3" s="1"/>
  <c r="Y162" i="3" s="1"/>
  <c r="Z162" i="3" s="1"/>
  <c r="AA162" i="3" s="1"/>
  <c r="H162" i="3"/>
  <c r="I162" i="3" s="1"/>
  <c r="D162" i="3"/>
  <c r="E162" i="3" s="1"/>
  <c r="F162" i="3" s="1"/>
  <c r="G162" i="3" s="1"/>
  <c r="AD161" i="3"/>
  <c r="AE161" i="3" s="1"/>
  <c r="AF161" i="3" s="1"/>
  <c r="B161" i="3" s="1"/>
  <c r="K161" i="3"/>
  <c r="L161" i="3" s="1"/>
  <c r="M161" i="3" s="1"/>
  <c r="N161" i="3" s="1"/>
  <c r="O161" i="3" s="1"/>
  <c r="P161" i="3" s="1"/>
  <c r="Q161" i="3" s="1"/>
  <c r="R161" i="3" s="1"/>
  <c r="S161" i="3" s="1"/>
  <c r="T161" i="3" s="1"/>
  <c r="U161" i="3" s="1"/>
  <c r="V161" i="3" s="1"/>
  <c r="W161" i="3" s="1"/>
  <c r="X161" i="3" s="1"/>
  <c r="Y161" i="3" s="1"/>
  <c r="Z161" i="3" s="1"/>
  <c r="AA161" i="3" s="1"/>
  <c r="AB161" i="3" s="1"/>
  <c r="AC161" i="3" s="1"/>
  <c r="D161" i="3"/>
  <c r="E161" i="3" s="1"/>
  <c r="F161" i="3" s="1"/>
  <c r="G161" i="3" s="1"/>
  <c r="H161" i="3" s="1"/>
  <c r="I161" i="3" s="1"/>
  <c r="J161" i="3" s="1"/>
  <c r="F160" i="3"/>
  <c r="G160" i="3" s="1"/>
  <c r="H160" i="3" s="1"/>
  <c r="I160" i="3" s="1"/>
  <c r="J160" i="3" s="1"/>
  <c r="K160" i="3" s="1"/>
  <c r="L160" i="3" s="1"/>
  <c r="M160" i="3" s="1"/>
  <c r="N160" i="3" s="1"/>
  <c r="O160" i="3" s="1"/>
  <c r="P160" i="3" s="1"/>
  <c r="Q160" i="3" s="1"/>
  <c r="R160" i="3" s="1"/>
  <c r="S160" i="3" s="1"/>
  <c r="T160" i="3" s="1"/>
  <c r="U160" i="3" s="1"/>
  <c r="V160" i="3" s="1"/>
  <c r="W160" i="3" s="1"/>
  <c r="X160" i="3" s="1"/>
  <c r="Y160" i="3" s="1"/>
  <c r="Z160" i="3" s="1"/>
  <c r="AA160" i="3" s="1"/>
  <c r="AB160" i="3" s="1"/>
  <c r="AC160" i="3" s="1"/>
  <c r="AD160" i="3" s="1"/>
  <c r="AE160" i="3" s="1"/>
  <c r="AF160" i="3" s="1"/>
  <c r="B160" i="3" s="1"/>
  <c r="D160" i="3"/>
  <c r="E160" i="3" s="1"/>
  <c r="Q159" i="3"/>
  <c r="R159" i="3" s="1"/>
  <c r="S159" i="3" s="1"/>
  <c r="T159" i="3" s="1"/>
  <c r="U159" i="3" s="1"/>
  <c r="V159" i="3" s="1"/>
  <c r="W159" i="3" s="1"/>
  <c r="X159" i="3" s="1"/>
  <c r="Y159" i="3" s="1"/>
  <c r="Z159" i="3" s="1"/>
  <c r="AA159" i="3" s="1"/>
  <c r="AB159" i="3" s="1"/>
  <c r="AC159" i="3" s="1"/>
  <c r="AD159" i="3" s="1"/>
  <c r="AE159" i="3" s="1"/>
  <c r="AF159" i="3" s="1"/>
  <c r="B159" i="3" s="1"/>
  <c r="H159" i="3"/>
  <c r="I159" i="3" s="1"/>
  <c r="J159" i="3" s="1"/>
  <c r="K159" i="3" s="1"/>
  <c r="L159" i="3" s="1"/>
  <c r="M159" i="3" s="1"/>
  <c r="N159" i="3" s="1"/>
  <c r="O159" i="3" s="1"/>
  <c r="P159" i="3" s="1"/>
  <c r="G159" i="3"/>
  <c r="E159" i="3"/>
  <c r="F159" i="3" s="1"/>
  <c r="D159" i="3"/>
  <c r="O158" i="3"/>
  <c r="P158" i="3" s="1"/>
  <c r="Q158" i="3" s="1"/>
  <c r="R158" i="3" s="1"/>
  <c r="S158" i="3" s="1"/>
  <c r="T158" i="3" s="1"/>
  <c r="U158" i="3" s="1"/>
  <c r="V158" i="3" s="1"/>
  <c r="W158" i="3" s="1"/>
  <c r="X158" i="3" s="1"/>
  <c r="Y158" i="3" s="1"/>
  <c r="Z158" i="3" s="1"/>
  <c r="AA158" i="3" s="1"/>
  <c r="AB158" i="3" s="1"/>
  <c r="AC158" i="3" s="1"/>
  <c r="AD158" i="3" s="1"/>
  <c r="AE158" i="3" s="1"/>
  <c r="AF158" i="3" s="1"/>
  <c r="B158" i="3" s="1"/>
  <c r="G158" i="3"/>
  <c r="H158" i="3" s="1"/>
  <c r="I158" i="3" s="1"/>
  <c r="J158" i="3" s="1"/>
  <c r="K158" i="3" s="1"/>
  <c r="L158" i="3" s="1"/>
  <c r="M158" i="3" s="1"/>
  <c r="N158" i="3" s="1"/>
  <c r="D158" i="3"/>
  <c r="E158" i="3" s="1"/>
  <c r="F158" i="3" s="1"/>
  <c r="U157" i="3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B157" i="3" s="1"/>
  <c r="M157" i="3"/>
  <c r="N157" i="3" s="1"/>
  <c r="O157" i="3" s="1"/>
  <c r="P157" i="3" s="1"/>
  <c r="Q157" i="3" s="1"/>
  <c r="R157" i="3" s="1"/>
  <c r="S157" i="3" s="1"/>
  <c r="T157" i="3" s="1"/>
  <c r="E157" i="3"/>
  <c r="F157" i="3" s="1"/>
  <c r="G157" i="3" s="1"/>
  <c r="H157" i="3" s="1"/>
  <c r="I157" i="3" s="1"/>
  <c r="J157" i="3" s="1"/>
  <c r="K157" i="3" s="1"/>
  <c r="L157" i="3" s="1"/>
  <c r="D157" i="3"/>
  <c r="D156" i="3"/>
  <c r="E156" i="3" s="1"/>
  <c r="F156" i="3" s="1"/>
  <c r="G156" i="3" s="1"/>
  <c r="H156" i="3" s="1"/>
  <c r="I156" i="3" s="1"/>
  <c r="J156" i="3" s="1"/>
  <c r="K156" i="3" s="1"/>
  <c r="L156" i="3" s="1"/>
  <c r="M156" i="3" s="1"/>
  <c r="N156" i="3" s="1"/>
  <c r="O156" i="3" s="1"/>
  <c r="P156" i="3" s="1"/>
  <c r="Q156" i="3" s="1"/>
  <c r="R156" i="3" s="1"/>
  <c r="S156" i="3" s="1"/>
  <c r="T156" i="3" s="1"/>
  <c r="U156" i="3" s="1"/>
  <c r="V156" i="3" s="1"/>
  <c r="W156" i="3" s="1"/>
  <c r="X156" i="3" s="1"/>
  <c r="Y156" i="3" s="1"/>
  <c r="Z156" i="3" s="1"/>
  <c r="AA156" i="3" s="1"/>
  <c r="AB156" i="3" s="1"/>
  <c r="AC156" i="3" s="1"/>
  <c r="AD156" i="3" s="1"/>
  <c r="AE156" i="3" s="1"/>
  <c r="AF156" i="3" s="1"/>
  <c r="B156" i="3" s="1"/>
  <c r="Q154" i="3"/>
  <c r="R154" i="3" s="1"/>
  <c r="S154" i="3" s="1"/>
  <c r="T154" i="3" s="1"/>
  <c r="U154" i="3" s="1"/>
  <c r="V154" i="3" s="1"/>
  <c r="W154" i="3" s="1"/>
  <c r="X154" i="3" s="1"/>
  <c r="Y154" i="3" s="1"/>
  <c r="Z154" i="3" s="1"/>
  <c r="AA154" i="3" s="1"/>
  <c r="AB154" i="3" s="1"/>
  <c r="AC154" i="3" s="1"/>
  <c r="AD154" i="3" s="1"/>
  <c r="AE154" i="3" s="1"/>
  <c r="AF154" i="3" s="1"/>
  <c r="B154" i="3" s="1"/>
  <c r="L154" i="3"/>
  <c r="M154" i="3" s="1"/>
  <c r="N154" i="3" s="1"/>
  <c r="O154" i="3" s="1"/>
  <c r="P154" i="3" s="1"/>
  <c r="G154" i="3"/>
  <c r="H154" i="3" s="1"/>
  <c r="I154" i="3" s="1"/>
  <c r="J154" i="3" s="1"/>
  <c r="K154" i="3" s="1"/>
  <c r="F154" i="3"/>
  <c r="D154" i="3"/>
  <c r="E154" i="3" s="1"/>
  <c r="Z153" i="3"/>
  <c r="AA153" i="3" s="1"/>
  <c r="AB153" i="3" s="1"/>
  <c r="AC153" i="3" s="1"/>
  <c r="AD153" i="3" s="1"/>
  <c r="AE153" i="3" s="1"/>
  <c r="AF153" i="3" s="1"/>
  <c r="B153" i="3" s="1"/>
  <c r="L153" i="3"/>
  <c r="M153" i="3" s="1"/>
  <c r="N153" i="3" s="1"/>
  <c r="O153" i="3" s="1"/>
  <c r="P153" i="3" s="1"/>
  <c r="Q153" i="3" s="1"/>
  <c r="R153" i="3" s="1"/>
  <c r="S153" i="3" s="1"/>
  <c r="T153" i="3" s="1"/>
  <c r="U153" i="3" s="1"/>
  <c r="V153" i="3" s="1"/>
  <c r="W153" i="3" s="1"/>
  <c r="X153" i="3" s="1"/>
  <c r="Y153" i="3" s="1"/>
  <c r="J153" i="3"/>
  <c r="K153" i="3" s="1"/>
  <c r="E153" i="3"/>
  <c r="F153" i="3" s="1"/>
  <c r="G153" i="3" s="1"/>
  <c r="H153" i="3" s="1"/>
  <c r="I153" i="3" s="1"/>
  <c r="D153" i="3"/>
  <c r="E152" i="3"/>
  <c r="F152" i="3" s="1"/>
  <c r="G152" i="3" s="1"/>
  <c r="H152" i="3" s="1"/>
  <c r="I152" i="3" s="1"/>
  <c r="J152" i="3" s="1"/>
  <c r="K152" i="3" s="1"/>
  <c r="L152" i="3" s="1"/>
  <c r="M152" i="3" s="1"/>
  <c r="N152" i="3" s="1"/>
  <c r="O152" i="3" s="1"/>
  <c r="P152" i="3" s="1"/>
  <c r="Q152" i="3" s="1"/>
  <c r="R152" i="3" s="1"/>
  <c r="S152" i="3" s="1"/>
  <c r="T152" i="3" s="1"/>
  <c r="U152" i="3" s="1"/>
  <c r="V152" i="3" s="1"/>
  <c r="W152" i="3" s="1"/>
  <c r="X152" i="3" s="1"/>
  <c r="Y152" i="3" s="1"/>
  <c r="Z152" i="3" s="1"/>
  <c r="AA152" i="3" s="1"/>
  <c r="AB152" i="3" s="1"/>
  <c r="AC152" i="3" s="1"/>
  <c r="AD152" i="3" s="1"/>
  <c r="AE152" i="3" s="1"/>
  <c r="AF152" i="3" s="1"/>
  <c r="B152" i="3" s="1"/>
  <c r="D152" i="3"/>
  <c r="O151" i="3"/>
  <c r="P151" i="3" s="1"/>
  <c r="Q151" i="3" s="1"/>
  <c r="R151" i="3" s="1"/>
  <c r="S151" i="3" s="1"/>
  <c r="T151" i="3" s="1"/>
  <c r="U151" i="3" s="1"/>
  <c r="V151" i="3" s="1"/>
  <c r="W151" i="3" s="1"/>
  <c r="X151" i="3" s="1"/>
  <c r="Y151" i="3" s="1"/>
  <c r="Z151" i="3" s="1"/>
  <c r="AA151" i="3" s="1"/>
  <c r="AB151" i="3" s="1"/>
  <c r="AC151" i="3" s="1"/>
  <c r="AD151" i="3" s="1"/>
  <c r="AE151" i="3" s="1"/>
  <c r="AF151" i="3" s="1"/>
  <c r="B151" i="3" s="1"/>
  <c r="F151" i="3"/>
  <c r="G151" i="3" s="1"/>
  <c r="H151" i="3" s="1"/>
  <c r="I151" i="3" s="1"/>
  <c r="J151" i="3" s="1"/>
  <c r="K151" i="3" s="1"/>
  <c r="L151" i="3" s="1"/>
  <c r="M151" i="3" s="1"/>
  <c r="N151" i="3" s="1"/>
  <c r="E151" i="3"/>
  <c r="D151" i="3"/>
  <c r="H149" i="3"/>
  <c r="I149" i="3" s="1"/>
  <c r="J149" i="3" s="1"/>
  <c r="K149" i="3" s="1"/>
  <c r="L149" i="3" s="1"/>
  <c r="M149" i="3" s="1"/>
  <c r="N149" i="3" s="1"/>
  <c r="O149" i="3" s="1"/>
  <c r="P149" i="3" s="1"/>
  <c r="Q149" i="3" s="1"/>
  <c r="R149" i="3" s="1"/>
  <c r="S149" i="3" s="1"/>
  <c r="T149" i="3" s="1"/>
  <c r="U149" i="3" s="1"/>
  <c r="V149" i="3" s="1"/>
  <c r="W149" i="3" s="1"/>
  <c r="X149" i="3" s="1"/>
  <c r="Y149" i="3" s="1"/>
  <c r="Z149" i="3" s="1"/>
  <c r="AA149" i="3" s="1"/>
  <c r="AB149" i="3" s="1"/>
  <c r="AC149" i="3" s="1"/>
  <c r="AD149" i="3" s="1"/>
  <c r="AE149" i="3" s="1"/>
  <c r="AF149" i="3" s="1"/>
  <c r="B149" i="3" s="1"/>
  <c r="D149" i="3"/>
  <c r="E149" i="3" s="1"/>
  <c r="F149" i="3" s="1"/>
  <c r="G149" i="3" s="1"/>
  <c r="R148" i="3"/>
  <c r="S148" i="3" s="1"/>
  <c r="T148" i="3" s="1"/>
  <c r="U148" i="3" s="1"/>
  <c r="V148" i="3" s="1"/>
  <c r="W148" i="3" s="1"/>
  <c r="X148" i="3" s="1"/>
  <c r="Y148" i="3" s="1"/>
  <c r="Z148" i="3" s="1"/>
  <c r="AA148" i="3" s="1"/>
  <c r="AB148" i="3" s="1"/>
  <c r="AC148" i="3" s="1"/>
  <c r="AD148" i="3" s="1"/>
  <c r="AE148" i="3" s="1"/>
  <c r="AF148" i="3" s="1"/>
  <c r="B148" i="3" s="1"/>
  <c r="F148" i="3"/>
  <c r="G148" i="3" s="1"/>
  <c r="H148" i="3" s="1"/>
  <c r="I148" i="3" s="1"/>
  <c r="J148" i="3" s="1"/>
  <c r="K148" i="3" s="1"/>
  <c r="L148" i="3" s="1"/>
  <c r="M148" i="3" s="1"/>
  <c r="N148" i="3" s="1"/>
  <c r="O148" i="3" s="1"/>
  <c r="P148" i="3" s="1"/>
  <c r="Q148" i="3" s="1"/>
  <c r="E148" i="3"/>
  <c r="D148" i="3"/>
  <c r="I146" i="3"/>
  <c r="J146" i="3" s="1"/>
  <c r="K146" i="3" s="1"/>
  <c r="L146" i="3" s="1"/>
  <c r="M146" i="3" s="1"/>
  <c r="N146" i="3" s="1"/>
  <c r="O146" i="3" s="1"/>
  <c r="P146" i="3" s="1"/>
  <c r="Q146" i="3" s="1"/>
  <c r="R146" i="3" s="1"/>
  <c r="S146" i="3" s="1"/>
  <c r="T146" i="3" s="1"/>
  <c r="U146" i="3" s="1"/>
  <c r="V146" i="3" s="1"/>
  <c r="W146" i="3" s="1"/>
  <c r="X146" i="3" s="1"/>
  <c r="Y146" i="3" s="1"/>
  <c r="Z146" i="3" s="1"/>
  <c r="AA146" i="3" s="1"/>
  <c r="AB146" i="3" s="1"/>
  <c r="AC146" i="3" s="1"/>
  <c r="AD146" i="3" s="1"/>
  <c r="AE146" i="3" s="1"/>
  <c r="AF146" i="3" s="1"/>
  <c r="B146" i="3" s="1"/>
  <c r="D146" i="3"/>
  <c r="E146" i="3" s="1"/>
  <c r="F146" i="3" s="1"/>
  <c r="G146" i="3" s="1"/>
  <c r="H146" i="3" s="1"/>
  <c r="R145" i="3"/>
  <c r="S145" i="3" s="1"/>
  <c r="T145" i="3" s="1"/>
  <c r="U145" i="3" s="1"/>
  <c r="V145" i="3" s="1"/>
  <c r="W145" i="3" s="1"/>
  <c r="X145" i="3" s="1"/>
  <c r="Y145" i="3" s="1"/>
  <c r="Z145" i="3" s="1"/>
  <c r="AA145" i="3" s="1"/>
  <c r="AB145" i="3" s="1"/>
  <c r="AC145" i="3" s="1"/>
  <c r="AD145" i="3" s="1"/>
  <c r="AE145" i="3" s="1"/>
  <c r="AF145" i="3" s="1"/>
  <c r="B145" i="3" s="1"/>
  <c r="G145" i="3"/>
  <c r="H145" i="3" s="1"/>
  <c r="I145" i="3" s="1"/>
  <c r="J145" i="3" s="1"/>
  <c r="K145" i="3" s="1"/>
  <c r="L145" i="3" s="1"/>
  <c r="M145" i="3" s="1"/>
  <c r="N145" i="3" s="1"/>
  <c r="O145" i="3" s="1"/>
  <c r="P145" i="3" s="1"/>
  <c r="Q145" i="3" s="1"/>
  <c r="F145" i="3"/>
  <c r="E145" i="3"/>
  <c r="D145" i="3"/>
  <c r="L144" i="3"/>
  <c r="M144" i="3" s="1"/>
  <c r="N144" i="3" s="1"/>
  <c r="O144" i="3" s="1"/>
  <c r="P144" i="3" s="1"/>
  <c r="Q144" i="3" s="1"/>
  <c r="R144" i="3" s="1"/>
  <c r="S144" i="3" s="1"/>
  <c r="T144" i="3" s="1"/>
  <c r="U144" i="3" s="1"/>
  <c r="V144" i="3" s="1"/>
  <c r="W144" i="3" s="1"/>
  <c r="X144" i="3" s="1"/>
  <c r="Y144" i="3" s="1"/>
  <c r="Z144" i="3" s="1"/>
  <c r="AA144" i="3" s="1"/>
  <c r="AB144" i="3" s="1"/>
  <c r="AC144" i="3" s="1"/>
  <c r="AD144" i="3" s="1"/>
  <c r="AE144" i="3" s="1"/>
  <c r="AF144" i="3" s="1"/>
  <c r="B144" i="3" s="1"/>
  <c r="E144" i="3"/>
  <c r="F144" i="3" s="1"/>
  <c r="G144" i="3" s="1"/>
  <c r="H144" i="3" s="1"/>
  <c r="I144" i="3" s="1"/>
  <c r="J144" i="3" s="1"/>
  <c r="K144" i="3" s="1"/>
  <c r="D144" i="3"/>
  <c r="J143" i="3"/>
  <c r="K143" i="3" s="1"/>
  <c r="L143" i="3" s="1"/>
  <c r="M143" i="3" s="1"/>
  <c r="N143" i="3" s="1"/>
  <c r="O143" i="3" s="1"/>
  <c r="P143" i="3" s="1"/>
  <c r="Q143" i="3" s="1"/>
  <c r="R143" i="3" s="1"/>
  <c r="S143" i="3" s="1"/>
  <c r="T143" i="3" s="1"/>
  <c r="U143" i="3" s="1"/>
  <c r="V143" i="3" s="1"/>
  <c r="W143" i="3" s="1"/>
  <c r="X143" i="3" s="1"/>
  <c r="Y143" i="3" s="1"/>
  <c r="Z143" i="3" s="1"/>
  <c r="AA143" i="3" s="1"/>
  <c r="AB143" i="3" s="1"/>
  <c r="AC143" i="3" s="1"/>
  <c r="AD143" i="3" s="1"/>
  <c r="AE143" i="3" s="1"/>
  <c r="AF143" i="3" s="1"/>
  <c r="B143" i="3" s="1"/>
  <c r="F143" i="3"/>
  <c r="G143" i="3" s="1"/>
  <c r="H143" i="3" s="1"/>
  <c r="I143" i="3" s="1"/>
  <c r="E143" i="3"/>
  <c r="D143" i="3"/>
  <c r="H142" i="3"/>
  <c r="I142" i="3" s="1"/>
  <c r="J142" i="3" s="1"/>
  <c r="K142" i="3" s="1"/>
  <c r="L142" i="3" s="1"/>
  <c r="M142" i="3" s="1"/>
  <c r="N142" i="3" s="1"/>
  <c r="O142" i="3" s="1"/>
  <c r="P142" i="3" s="1"/>
  <c r="Q142" i="3" s="1"/>
  <c r="R142" i="3" s="1"/>
  <c r="S142" i="3" s="1"/>
  <c r="T142" i="3" s="1"/>
  <c r="U142" i="3" s="1"/>
  <c r="V142" i="3" s="1"/>
  <c r="W142" i="3" s="1"/>
  <c r="X142" i="3" s="1"/>
  <c r="Y142" i="3" s="1"/>
  <c r="Z142" i="3" s="1"/>
  <c r="AA142" i="3" s="1"/>
  <c r="AB142" i="3" s="1"/>
  <c r="AC142" i="3" s="1"/>
  <c r="AD142" i="3" s="1"/>
  <c r="AE142" i="3" s="1"/>
  <c r="AF142" i="3" s="1"/>
  <c r="B142" i="3" s="1"/>
  <c r="D142" i="3"/>
  <c r="E142" i="3" s="1"/>
  <c r="F142" i="3" s="1"/>
  <c r="G142" i="3" s="1"/>
  <c r="F141" i="3"/>
  <c r="G141" i="3" s="1"/>
  <c r="H141" i="3" s="1"/>
  <c r="I141" i="3" s="1"/>
  <c r="J141" i="3" s="1"/>
  <c r="K141" i="3" s="1"/>
  <c r="L141" i="3" s="1"/>
  <c r="M141" i="3" s="1"/>
  <c r="N141" i="3" s="1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B141" i="3" s="1"/>
  <c r="E141" i="3"/>
  <c r="D141" i="3"/>
  <c r="I140" i="3"/>
  <c r="J140" i="3" s="1"/>
  <c r="K140" i="3" s="1"/>
  <c r="L140" i="3" s="1"/>
  <c r="M140" i="3" s="1"/>
  <c r="N140" i="3" s="1"/>
  <c r="O140" i="3" s="1"/>
  <c r="P140" i="3" s="1"/>
  <c r="Q140" i="3" s="1"/>
  <c r="R140" i="3" s="1"/>
  <c r="S140" i="3" s="1"/>
  <c r="T140" i="3" s="1"/>
  <c r="U140" i="3" s="1"/>
  <c r="V140" i="3" s="1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B140" i="3" s="1"/>
  <c r="D140" i="3"/>
  <c r="E140" i="3" s="1"/>
  <c r="F140" i="3" s="1"/>
  <c r="G140" i="3" s="1"/>
  <c r="H140" i="3" s="1"/>
  <c r="G138" i="3"/>
  <c r="H138" i="3" s="1"/>
  <c r="I138" i="3" s="1"/>
  <c r="J138" i="3" s="1"/>
  <c r="K138" i="3" s="1"/>
  <c r="L138" i="3" s="1"/>
  <c r="M138" i="3" s="1"/>
  <c r="N138" i="3" s="1"/>
  <c r="O138" i="3" s="1"/>
  <c r="P138" i="3" s="1"/>
  <c r="Q138" i="3" s="1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B138" i="3" s="1"/>
  <c r="F138" i="3"/>
  <c r="E138" i="3"/>
  <c r="D138" i="3"/>
  <c r="E137" i="3"/>
  <c r="F137" i="3" s="1"/>
  <c r="G137" i="3" s="1"/>
  <c r="H137" i="3" s="1"/>
  <c r="I137" i="3" s="1"/>
  <c r="J137" i="3" s="1"/>
  <c r="K137" i="3" s="1"/>
  <c r="L137" i="3" s="1"/>
  <c r="M137" i="3" s="1"/>
  <c r="N137" i="3" s="1"/>
  <c r="O137" i="3" s="1"/>
  <c r="P137" i="3" s="1"/>
  <c r="Q137" i="3" s="1"/>
  <c r="R137" i="3" s="1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B137" i="3" s="1"/>
  <c r="D137" i="3"/>
  <c r="E136" i="3"/>
  <c r="F136" i="3" s="1"/>
  <c r="G136" i="3" s="1"/>
  <c r="H136" i="3" s="1"/>
  <c r="I136" i="3" s="1"/>
  <c r="J136" i="3" s="1"/>
  <c r="K136" i="3" s="1"/>
  <c r="L136" i="3" s="1"/>
  <c r="M136" i="3" s="1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B136" i="3" s="1"/>
  <c r="D136" i="3"/>
  <c r="E135" i="3"/>
  <c r="F135" i="3" s="1"/>
  <c r="G135" i="3" s="1"/>
  <c r="H135" i="3" s="1"/>
  <c r="I135" i="3" s="1"/>
  <c r="J135" i="3" s="1"/>
  <c r="K135" i="3" s="1"/>
  <c r="L135" i="3" s="1"/>
  <c r="M135" i="3" s="1"/>
  <c r="N135" i="3" s="1"/>
  <c r="O135" i="3" s="1"/>
  <c r="P135" i="3" s="1"/>
  <c r="Q135" i="3" s="1"/>
  <c r="R135" i="3" s="1"/>
  <c r="S135" i="3" s="1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B135" i="3" s="1"/>
  <c r="D135" i="3"/>
  <c r="H134" i="3"/>
  <c r="I134" i="3" s="1"/>
  <c r="J134" i="3" s="1"/>
  <c r="K134" i="3" s="1"/>
  <c r="L134" i="3" s="1"/>
  <c r="M134" i="3" s="1"/>
  <c r="N134" i="3" s="1"/>
  <c r="O134" i="3" s="1"/>
  <c r="P134" i="3" s="1"/>
  <c r="Q134" i="3" s="1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B134" i="3" s="1"/>
  <c r="E134" i="3"/>
  <c r="F134" i="3" s="1"/>
  <c r="G134" i="3" s="1"/>
  <c r="D134" i="3"/>
  <c r="E133" i="3"/>
  <c r="F133" i="3" s="1"/>
  <c r="G133" i="3" s="1"/>
  <c r="H133" i="3" s="1"/>
  <c r="I133" i="3" s="1"/>
  <c r="J133" i="3" s="1"/>
  <c r="K133" i="3" s="1"/>
  <c r="L133" i="3" s="1"/>
  <c r="M133" i="3" s="1"/>
  <c r="N133" i="3" s="1"/>
  <c r="O133" i="3" s="1"/>
  <c r="P133" i="3" s="1"/>
  <c r="Q133" i="3" s="1"/>
  <c r="R133" i="3" s="1"/>
  <c r="S133" i="3" s="1"/>
  <c r="T133" i="3" s="1"/>
  <c r="U133" i="3" s="1"/>
  <c r="V133" i="3" s="1"/>
  <c r="W133" i="3" s="1"/>
  <c r="X133" i="3" s="1"/>
  <c r="Y133" i="3" s="1"/>
  <c r="Z133" i="3" s="1"/>
  <c r="AA133" i="3" s="1"/>
  <c r="AB133" i="3" s="1"/>
  <c r="AC133" i="3" s="1"/>
  <c r="AD133" i="3" s="1"/>
  <c r="AE133" i="3" s="1"/>
  <c r="AF133" i="3" s="1"/>
  <c r="B133" i="3" s="1"/>
  <c r="D133" i="3"/>
  <c r="F132" i="3"/>
  <c r="G132" i="3" s="1"/>
  <c r="H132" i="3" s="1"/>
  <c r="I132" i="3" s="1"/>
  <c r="J132" i="3" s="1"/>
  <c r="K132" i="3" s="1"/>
  <c r="L132" i="3" s="1"/>
  <c r="M132" i="3" s="1"/>
  <c r="N132" i="3" s="1"/>
  <c r="O132" i="3" s="1"/>
  <c r="P132" i="3" s="1"/>
  <c r="Q132" i="3" s="1"/>
  <c r="R132" i="3" s="1"/>
  <c r="S132" i="3" s="1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B132" i="3" s="1"/>
  <c r="E132" i="3"/>
  <c r="D132" i="3"/>
  <c r="G131" i="3"/>
  <c r="H131" i="3" s="1"/>
  <c r="I131" i="3" s="1"/>
  <c r="J131" i="3" s="1"/>
  <c r="K131" i="3" s="1"/>
  <c r="L131" i="3" s="1"/>
  <c r="M131" i="3" s="1"/>
  <c r="N131" i="3" s="1"/>
  <c r="O131" i="3" s="1"/>
  <c r="P131" i="3" s="1"/>
  <c r="Q131" i="3" s="1"/>
  <c r="R131" i="3" s="1"/>
  <c r="S131" i="3" s="1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B131" i="3" s="1"/>
  <c r="D131" i="3"/>
  <c r="E131" i="3" s="1"/>
  <c r="F131" i="3" s="1"/>
  <c r="E129" i="3"/>
  <c r="F129" i="3" s="1"/>
  <c r="G129" i="3" s="1"/>
  <c r="H129" i="3" s="1"/>
  <c r="I129" i="3" s="1"/>
  <c r="J129" i="3" s="1"/>
  <c r="K129" i="3" s="1"/>
  <c r="L129" i="3" s="1"/>
  <c r="M129" i="3" s="1"/>
  <c r="N129" i="3" s="1"/>
  <c r="O129" i="3" s="1"/>
  <c r="P129" i="3" s="1"/>
  <c r="Q129" i="3" s="1"/>
  <c r="R129" i="3" s="1"/>
  <c r="S129" i="3" s="1"/>
  <c r="T129" i="3" s="1"/>
  <c r="U129" i="3" s="1"/>
  <c r="V129" i="3" s="1"/>
  <c r="W129" i="3" s="1"/>
  <c r="X129" i="3" s="1"/>
  <c r="Y129" i="3" s="1"/>
  <c r="Z129" i="3" s="1"/>
  <c r="AA129" i="3" s="1"/>
  <c r="AB129" i="3" s="1"/>
  <c r="AC129" i="3" s="1"/>
  <c r="AD129" i="3" s="1"/>
  <c r="AE129" i="3" s="1"/>
  <c r="AF129" i="3" s="1"/>
  <c r="B129" i="3" s="1"/>
  <c r="D129" i="3"/>
  <c r="G128" i="3"/>
  <c r="H128" i="3" s="1"/>
  <c r="I128" i="3" s="1"/>
  <c r="J128" i="3" s="1"/>
  <c r="K128" i="3" s="1"/>
  <c r="L128" i="3" s="1"/>
  <c r="M128" i="3" s="1"/>
  <c r="N128" i="3" s="1"/>
  <c r="O128" i="3" s="1"/>
  <c r="P128" i="3" s="1"/>
  <c r="Q128" i="3" s="1"/>
  <c r="R128" i="3" s="1"/>
  <c r="S128" i="3" s="1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B128" i="3" s="1"/>
  <c r="E128" i="3"/>
  <c r="F128" i="3" s="1"/>
  <c r="D128" i="3"/>
  <c r="I127" i="3"/>
  <c r="J127" i="3" s="1"/>
  <c r="K127" i="3" s="1"/>
  <c r="L127" i="3" s="1"/>
  <c r="M127" i="3" s="1"/>
  <c r="N127" i="3" s="1"/>
  <c r="O127" i="3" s="1"/>
  <c r="P127" i="3" s="1"/>
  <c r="Q127" i="3" s="1"/>
  <c r="R127" i="3" s="1"/>
  <c r="S127" i="3" s="1"/>
  <c r="T127" i="3" s="1"/>
  <c r="U127" i="3" s="1"/>
  <c r="V127" i="3" s="1"/>
  <c r="W127" i="3" s="1"/>
  <c r="X127" i="3" s="1"/>
  <c r="Y127" i="3" s="1"/>
  <c r="Z127" i="3" s="1"/>
  <c r="AA127" i="3" s="1"/>
  <c r="AB127" i="3" s="1"/>
  <c r="AC127" i="3" s="1"/>
  <c r="AD127" i="3" s="1"/>
  <c r="AE127" i="3" s="1"/>
  <c r="AF127" i="3" s="1"/>
  <c r="B127" i="3" s="1"/>
  <c r="F127" i="3"/>
  <c r="G127" i="3" s="1"/>
  <c r="H127" i="3" s="1"/>
  <c r="E127" i="3"/>
  <c r="D127" i="3"/>
  <c r="D126" i="3"/>
  <c r="E126" i="3" s="1"/>
  <c r="F126" i="3" s="1"/>
  <c r="G126" i="3" s="1"/>
  <c r="H126" i="3" s="1"/>
  <c r="I126" i="3" s="1"/>
  <c r="J126" i="3" s="1"/>
  <c r="K126" i="3" s="1"/>
  <c r="L126" i="3" s="1"/>
  <c r="M126" i="3" s="1"/>
  <c r="N126" i="3" s="1"/>
  <c r="O126" i="3" s="1"/>
  <c r="P126" i="3" s="1"/>
  <c r="Q126" i="3" s="1"/>
  <c r="R126" i="3" s="1"/>
  <c r="S126" i="3" s="1"/>
  <c r="T126" i="3" s="1"/>
  <c r="U126" i="3" s="1"/>
  <c r="V126" i="3" s="1"/>
  <c r="W126" i="3" s="1"/>
  <c r="X126" i="3" s="1"/>
  <c r="Y126" i="3" s="1"/>
  <c r="Z126" i="3" s="1"/>
  <c r="AA126" i="3" s="1"/>
  <c r="AB126" i="3" s="1"/>
  <c r="AC126" i="3" s="1"/>
  <c r="AD126" i="3" s="1"/>
  <c r="AE126" i="3" s="1"/>
  <c r="AF126" i="3" s="1"/>
  <c r="B126" i="3" s="1"/>
  <c r="I125" i="3"/>
  <c r="J125" i="3" s="1"/>
  <c r="K125" i="3" s="1"/>
  <c r="L125" i="3" s="1"/>
  <c r="M125" i="3" s="1"/>
  <c r="N125" i="3" s="1"/>
  <c r="O125" i="3" s="1"/>
  <c r="P125" i="3" s="1"/>
  <c r="Q125" i="3" s="1"/>
  <c r="R125" i="3" s="1"/>
  <c r="S125" i="3" s="1"/>
  <c r="T125" i="3" s="1"/>
  <c r="U125" i="3" s="1"/>
  <c r="V125" i="3" s="1"/>
  <c r="W125" i="3" s="1"/>
  <c r="X125" i="3" s="1"/>
  <c r="Y125" i="3" s="1"/>
  <c r="Z125" i="3" s="1"/>
  <c r="AA125" i="3" s="1"/>
  <c r="AB125" i="3" s="1"/>
  <c r="AC125" i="3" s="1"/>
  <c r="AD125" i="3" s="1"/>
  <c r="AE125" i="3" s="1"/>
  <c r="AF125" i="3" s="1"/>
  <c r="B125" i="3" s="1"/>
  <c r="E125" i="3"/>
  <c r="F125" i="3" s="1"/>
  <c r="G125" i="3" s="1"/>
  <c r="H125" i="3" s="1"/>
  <c r="D125" i="3"/>
  <c r="E124" i="3"/>
  <c r="F124" i="3" s="1"/>
  <c r="G124" i="3" s="1"/>
  <c r="H124" i="3" s="1"/>
  <c r="I124" i="3" s="1"/>
  <c r="J124" i="3" s="1"/>
  <c r="K124" i="3" s="1"/>
  <c r="L124" i="3" s="1"/>
  <c r="M124" i="3" s="1"/>
  <c r="N124" i="3" s="1"/>
  <c r="O124" i="3" s="1"/>
  <c r="P124" i="3" s="1"/>
  <c r="Q124" i="3" s="1"/>
  <c r="R124" i="3" s="1"/>
  <c r="S124" i="3" s="1"/>
  <c r="T124" i="3" s="1"/>
  <c r="U124" i="3" s="1"/>
  <c r="V124" i="3" s="1"/>
  <c r="W124" i="3" s="1"/>
  <c r="X124" i="3" s="1"/>
  <c r="Y124" i="3" s="1"/>
  <c r="Z124" i="3" s="1"/>
  <c r="AA124" i="3" s="1"/>
  <c r="AB124" i="3" s="1"/>
  <c r="AC124" i="3" s="1"/>
  <c r="AD124" i="3" s="1"/>
  <c r="AE124" i="3" s="1"/>
  <c r="AF124" i="3" s="1"/>
  <c r="B124" i="3" s="1"/>
  <c r="D124" i="3"/>
  <c r="F123" i="3"/>
  <c r="G123" i="3" s="1"/>
  <c r="H123" i="3" s="1"/>
  <c r="I123" i="3" s="1"/>
  <c r="J123" i="3" s="1"/>
  <c r="K123" i="3" s="1"/>
  <c r="L123" i="3" s="1"/>
  <c r="M123" i="3" s="1"/>
  <c r="N123" i="3" s="1"/>
  <c r="O123" i="3" s="1"/>
  <c r="P123" i="3" s="1"/>
  <c r="Q123" i="3" s="1"/>
  <c r="R123" i="3" s="1"/>
  <c r="S123" i="3" s="1"/>
  <c r="T123" i="3" s="1"/>
  <c r="U123" i="3" s="1"/>
  <c r="V123" i="3" s="1"/>
  <c r="W123" i="3" s="1"/>
  <c r="X123" i="3" s="1"/>
  <c r="Y123" i="3" s="1"/>
  <c r="Z123" i="3" s="1"/>
  <c r="AA123" i="3" s="1"/>
  <c r="AB123" i="3" s="1"/>
  <c r="AC123" i="3" s="1"/>
  <c r="AD123" i="3" s="1"/>
  <c r="AE123" i="3" s="1"/>
  <c r="AF123" i="3" s="1"/>
  <c r="B123" i="3" s="1"/>
  <c r="E123" i="3"/>
  <c r="D123" i="3"/>
  <c r="G122" i="3"/>
  <c r="H122" i="3" s="1"/>
  <c r="I122" i="3" s="1"/>
  <c r="J122" i="3" s="1"/>
  <c r="K122" i="3" s="1"/>
  <c r="L122" i="3" s="1"/>
  <c r="M122" i="3" s="1"/>
  <c r="N122" i="3" s="1"/>
  <c r="O122" i="3" s="1"/>
  <c r="P122" i="3" s="1"/>
  <c r="Q122" i="3" s="1"/>
  <c r="R122" i="3" s="1"/>
  <c r="S122" i="3" s="1"/>
  <c r="T122" i="3" s="1"/>
  <c r="U122" i="3" s="1"/>
  <c r="V122" i="3" s="1"/>
  <c r="W122" i="3" s="1"/>
  <c r="X122" i="3" s="1"/>
  <c r="Y122" i="3" s="1"/>
  <c r="Z122" i="3" s="1"/>
  <c r="AA122" i="3" s="1"/>
  <c r="AB122" i="3" s="1"/>
  <c r="AC122" i="3" s="1"/>
  <c r="AD122" i="3" s="1"/>
  <c r="AE122" i="3" s="1"/>
  <c r="AF122" i="3" s="1"/>
  <c r="B122" i="3" s="1"/>
  <c r="D122" i="3"/>
  <c r="E122" i="3" s="1"/>
  <c r="F122" i="3" s="1"/>
  <c r="E121" i="3"/>
  <c r="F121" i="3" s="1"/>
  <c r="G121" i="3" s="1"/>
  <c r="H121" i="3" s="1"/>
  <c r="I121" i="3" s="1"/>
  <c r="J121" i="3" s="1"/>
  <c r="K121" i="3" s="1"/>
  <c r="L121" i="3" s="1"/>
  <c r="M121" i="3" s="1"/>
  <c r="N121" i="3" s="1"/>
  <c r="O121" i="3" s="1"/>
  <c r="P121" i="3" s="1"/>
  <c r="Q121" i="3" s="1"/>
  <c r="R121" i="3" s="1"/>
  <c r="S121" i="3" s="1"/>
  <c r="T121" i="3" s="1"/>
  <c r="U121" i="3" s="1"/>
  <c r="V121" i="3" s="1"/>
  <c r="W121" i="3" s="1"/>
  <c r="X121" i="3" s="1"/>
  <c r="Y121" i="3" s="1"/>
  <c r="Z121" i="3" s="1"/>
  <c r="AA121" i="3" s="1"/>
  <c r="AB121" i="3" s="1"/>
  <c r="AC121" i="3" s="1"/>
  <c r="AD121" i="3" s="1"/>
  <c r="AE121" i="3" s="1"/>
  <c r="AF121" i="3" s="1"/>
  <c r="B121" i="3" s="1"/>
  <c r="D121" i="3"/>
  <c r="E120" i="3"/>
  <c r="F120" i="3" s="1"/>
  <c r="G120" i="3" s="1"/>
  <c r="H120" i="3" s="1"/>
  <c r="I120" i="3" s="1"/>
  <c r="J120" i="3" s="1"/>
  <c r="K120" i="3" s="1"/>
  <c r="L120" i="3" s="1"/>
  <c r="M120" i="3" s="1"/>
  <c r="N120" i="3" s="1"/>
  <c r="O120" i="3" s="1"/>
  <c r="P120" i="3" s="1"/>
  <c r="Q120" i="3" s="1"/>
  <c r="R120" i="3" s="1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B120" i="3" s="1"/>
  <c r="D120" i="3"/>
  <c r="E119" i="3"/>
  <c r="F119" i="3" s="1"/>
  <c r="G119" i="3" s="1"/>
  <c r="H119" i="3" s="1"/>
  <c r="I119" i="3" s="1"/>
  <c r="J119" i="3" s="1"/>
  <c r="K119" i="3" s="1"/>
  <c r="L119" i="3" s="1"/>
  <c r="M119" i="3" s="1"/>
  <c r="N119" i="3" s="1"/>
  <c r="O119" i="3" s="1"/>
  <c r="P119" i="3" s="1"/>
  <c r="Q119" i="3" s="1"/>
  <c r="R119" i="3" s="1"/>
  <c r="S119" i="3" s="1"/>
  <c r="T119" i="3" s="1"/>
  <c r="U119" i="3" s="1"/>
  <c r="V119" i="3" s="1"/>
  <c r="W119" i="3" s="1"/>
  <c r="X119" i="3" s="1"/>
  <c r="Y119" i="3" s="1"/>
  <c r="Z119" i="3" s="1"/>
  <c r="AA119" i="3" s="1"/>
  <c r="AB119" i="3" s="1"/>
  <c r="AC119" i="3" s="1"/>
  <c r="AD119" i="3" s="1"/>
  <c r="AE119" i="3" s="1"/>
  <c r="AF119" i="3" s="1"/>
  <c r="B119" i="3" s="1"/>
  <c r="D119" i="3"/>
  <c r="D118" i="3"/>
  <c r="E118" i="3" s="1"/>
  <c r="F118" i="3" s="1"/>
  <c r="G118" i="3" s="1"/>
  <c r="H118" i="3" s="1"/>
  <c r="I118" i="3" s="1"/>
  <c r="J118" i="3" s="1"/>
  <c r="K118" i="3" s="1"/>
  <c r="L118" i="3" s="1"/>
  <c r="M118" i="3" s="1"/>
  <c r="N118" i="3" s="1"/>
  <c r="O118" i="3" s="1"/>
  <c r="P118" i="3" s="1"/>
  <c r="Q118" i="3" s="1"/>
  <c r="R118" i="3" s="1"/>
  <c r="S118" i="3" s="1"/>
  <c r="T118" i="3" s="1"/>
  <c r="U118" i="3" s="1"/>
  <c r="V118" i="3" s="1"/>
  <c r="W118" i="3" s="1"/>
  <c r="X118" i="3" s="1"/>
  <c r="Y118" i="3" s="1"/>
  <c r="Z118" i="3" s="1"/>
  <c r="AA118" i="3" s="1"/>
  <c r="AB118" i="3" s="1"/>
  <c r="AC118" i="3" s="1"/>
  <c r="AD118" i="3" s="1"/>
  <c r="AE118" i="3" s="1"/>
  <c r="AF118" i="3" s="1"/>
  <c r="B118" i="3" s="1"/>
  <c r="E117" i="3"/>
  <c r="F117" i="3" s="1"/>
  <c r="G117" i="3" s="1"/>
  <c r="H117" i="3" s="1"/>
  <c r="I117" i="3" s="1"/>
  <c r="J117" i="3" s="1"/>
  <c r="K117" i="3" s="1"/>
  <c r="L117" i="3" s="1"/>
  <c r="M117" i="3" s="1"/>
  <c r="N117" i="3" s="1"/>
  <c r="O117" i="3" s="1"/>
  <c r="P117" i="3" s="1"/>
  <c r="Q117" i="3" s="1"/>
  <c r="R117" i="3" s="1"/>
  <c r="S117" i="3" s="1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B117" i="3" s="1"/>
  <c r="D117" i="3"/>
  <c r="E116" i="3"/>
  <c r="F116" i="3" s="1"/>
  <c r="G116" i="3" s="1"/>
  <c r="H116" i="3" s="1"/>
  <c r="I116" i="3" s="1"/>
  <c r="J116" i="3" s="1"/>
  <c r="K116" i="3" s="1"/>
  <c r="L116" i="3" s="1"/>
  <c r="M116" i="3" s="1"/>
  <c r="N116" i="3" s="1"/>
  <c r="O116" i="3" s="1"/>
  <c r="P116" i="3" s="1"/>
  <c r="Q116" i="3" s="1"/>
  <c r="R116" i="3" s="1"/>
  <c r="S116" i="3" s="1"/>
  <c r="T116" i="3" s="1"/>
  <c r="U116" i="3" s="1"/>
  <c r="V116" i="3" s="1"/>
  <c r="W116" i="3" s="1"/>
  <c r="X116" i="3" s="1"/>
  <c r="Y116" i="3" s="1"/>
  <c r="Z116" i="3" s="1"/>
  <c r="AA116" i="3" s="1"/>
  <c r="AB116" i="3" s="1"/>
  <c r="AC116" i="3" s="1"/>
  <c r="AD116" i="3" s="1"/>
  <c r="AE116" i="3" s="1"/>
  <c r="AF116" i="3" s="1"/>
  <c r="B116" i="3" s="1"/>
  <c r="D116" i="3"/>
  <c r="E115" i="3"/>
  <c r="F115" i="3" s="1"/>
  <c r="G115" i="3" s="1"/>
  <c r="H115" i="3" s="1"/>
  <c r="I115" i="3" s="1"/>
  <c r="J115" i="3" s="1"/>
  <c r="K115" i="3" s="1"/>
  <c r="L115" i="3" s="1"/>
  <c r="M115" i="3" s="1"/>
  <c r="N115" i="3" s="1"/>
  <c r="O115" i="3" s="1"/>
  <c r="P115" i="3" s="1"/>
  <c r="Q115" i="3" s="1"/>
  <c r="R115" i="3" s="1"/>
  <c r="S115" i="3" s="1"/>
  <c r="T115" i="3" s="1"/>
  <c r="U115" i="3" s="1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AF115" i="3" s="1"/>
  <c r="B115" i="3" s="1"/>
  <c r="D115" i="3"/>
  <c r="M114" i="3"/>
  <c r="N114" i="3" s="1"/>
  <c r="O114" i="3" s="1"/>
  <c r="P114" i="3" s="1"/>
  <c r="Q114" i="3" s="1"/>
  <c r="R114" i="3" s="1"/>
  <c r="S114" i="3" s="1"/>
  <c r="T114" i="3" s="1"/>
  <c r="U114" i="3" s="1"/>
  <c r="V114" i="3" s="1"/>
  <c r="W114" i="3" s="1"/>
  <c r="X114" i="3" s="1"/>
  <c r="Y114" i="3" s="1"/>
  <c r="Z114" i="3" s="1"/>
  <c r="AA114" i="3" s="1"/>
  <c r="AB114" i="3" s="1"/>
  <c r="AC114" i="3" s="1"/>
  <c r="AD114" i="3" s="1"/>
  <c r="AE114" i="3" s="1"/>
  <c r="AF114" i="3" s="1"/>
  <c r="B114" i="3" s="1"/>
  <c r="L114" i="3"/>
  <c r="K114" i="3"/>
  <c r="D114" i="3"/>
  <c r="E114" i="3" s="1"/>
  <c r="F114" i="3" s="1"/>
  <c r="G114" i="3" s="1"/>
  <c r="H114" i="3" s="1"/>
  <c r="I114" i="3" s="1"/>
  <c r="D113" i="3"/>
  <c r="E113" i="3" s="1"/>
  <c r="F113" i="3" s="1"/>
  <c r="G113" i="3" s="1"/>
  <c r="H113" i="3" s="1"/>
  <c r="I113" i="3" s="1"/>
  <c r="J113" i="3" s="1"/>
  <c r="K113" i="3" s="1"/>
  <c r="L113" i="3" s="1"/>
  <c r="M113" i="3" s="1"/>
  <c r="N113" i="3" s="1"/>
  <c r="O113" i="3" s="1"/>
  <c r="P113" i="3" s="1"/>
  <c r="Q113" i="3" s="1"/>
  <c r="R113" i="3" s="1"/>
  <c r="S113" i="3" s="1"/>
  <c r="T113" i="3" s="1"/>
  <c r="U113" i="3" s="1"/>
  <c r="V113" i="3" s="1"/>
  <c r="W113" i="3" s="1"/>
  <c r="X113" i="3" s="1"/>
  <c r="Y113" i="3" s="1"/>
  <c r="Z113" i="3" s="1"/>
  <c r="AA113" i="3" s="1"/>
  <c r="AB113" i="3" s="1"/>
  <c r="AC113" i="3" s="1"/>
  <c r="AD113" i="3" s="1"/>
  <c r="AE113" i="3" s="1"/>
  <c r="AF113" i="3" s="1"/>
  <c r="B113" i="3" s="1"/>
  <c r="D112" i="3"/>
  <c r="E112" i="3" s="1"/>
  <c r="F112" i="3" s="1"/>
  <c r="G112" i="3" s="1"/>
  <c r="H112" i="3" s="1"/>
  <c r="I112" i="3" s="1"/>
  <c r="J112" i="3" s="1"/>
  <c r="K112" i="3" s="1"/>
  <c r="L112" i="3" s="1"/>
  <c r="M112" i="3" s="1"/>
  <c r="N112" i="3" s="1"/>
  <c r="O112" i="3" s="1"/>
  <c r="P112" i="3" s="1"/>
  <c r="Q112" i="3" s="1"/>
  <c r="R112" i="3" s="1"/>
  <c r="S112" i="3" s="1"/>
  <c r="T112" i="3" s="1"/>
  <c r="U112" i="3" s="1"/>
  <c r="V112" i="3" s="1"/>
  <c r="W112" i="3" s="1"/>
  <c r="X112" i="3" s="1"/>
  <c r="Y112" i="3" s="1"/>
  <c r="Z112" i="3" s="1"/>
  <c r="AA112" i="3" s="1"/>
  <c r="AB112" i="3" s="1"/>
  <c r="AC112" i="3" s="1"/>
  <c r="AD112" i="3" s="1"/>
  <c r="AE112" i="3" s="1"/>
  <c r="AF112" i="3" s="1"/>
  <c r="B112" i="3" s="1"/>
  <c r="F110" i="3"/>
  <c r="G110" i="3" s="1"/>
  <c r="H110" i="3" s="1"/>
  <c r="I110" i="3" s="1"/>
  <c r="J110" i="3" s="1"/>
  <c r="K110" i="3" s="1"/>
  <c r="L110" i="3" s="1"/>
  <c r="M110" i="3" s="1"/>
  <c r="N110" i="3" s="1"/>
  <c r="O110" i="3" s="1"/>
  <c r="P110" i="3" s="1"/>
  <c r="Q110" i="3" s="1"/>
  <c r="R110" i="3" s="1"/>
  <c r="S110" i="3" s="1"/>
  <c r="T110" i="3" s="1"/>
  <c r="U110" i="3" s="1"/>
  <c r="V110" i="3" s="1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B110" i="3" s="1"/>
  <c r="E110" i="3"/>
  <c r="D110" i="3"/>
  <c r="D109" i="3"/>
  <c r="D93" i="3" s="1"/>
  <c r="D107" i="3"/>
  <c r="E107" i="3" s="1"/>
  <c r="F107" i="3" s="1"/>
  <c r="G107" i="3" s="1"/>
  <c r="H107" i="3" s="1"/>
  <c r="I107" i="3" s="1"/>
  <c r="J107" i="3" s="1"/>
  <c r="K107" i="3" s="1"/>
  <c r="L107" i="3" s="1"/>
  <c r="M107" i="3" s="1"/>
  <c r="N107" i="3" s="1"/>
  <c r="O107" i="3" s="1"/>
  <c r="P107" i="3" s="1"/>
  <c r="Q107" i="3" s="1"/>
  <c r="R107" i="3" s="1"/>
  <c r="S107" i="3" s="1"/>
  <c r="T107" i="3" s="1"/>
  <c r="U107" i="3" s="1"/>
  <c r="V107" i="3" s="1"/>
  <c r="W107" i="3" s="1"/>
  <c r="X107" i="3" s="1"/>
  <c r="Y107" i="3" s="1"/>
  <c r="Z107" i="3" s="1"/>
  <c r="AA107" i="3" s="1"/>
  <c r="AB107" i="3" s="1"/>
  <c r="AC107" i="3" s="1"/>
  <c r="AD107" i="3" s="1"/>
  <c r="AE107" i="3" s="1"/>
  <c r="AF107" i="3" s="1"/>
  <c r="B107" i="3" s="1"/>
  <c r="F106" i="3"/>
  <c r="G106" i="3" s="1"/>
  <c r="H106" i="3" s="1"/>
  <c r="I106" i="3" s="1"/>
  <c r="J106" i="3" s="1"/>
  <c r="K106" i="3" s="1"/>
  <c r="L106" i="3" s="1"/>
  <c r="M106" i="3" s="1"/>
  <c r="N106" i="3" s="1"/>
  <c r="O106" i="3" s="1"/>
  <c r="P106" i="3" s="1"/>
  <c r="Q106" i="3" s="1"/>
  <c r="R106" i="3" s="1"/>
  <c r="S106" i="3" s="1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B106" i="3" s="1"/>
  <c r="D106" i="3"/>
  <c r="E106" i="3" s="1"/>
  <c r="D105" i="3"/>
  <c r="E105" i="3" s="1"/>
  <c r="F105" i="3" s="1"/>
  <c r="G105" i="3" s="1"/>
  <c r="H105" i="3" s="1"/>
  <c r="I105" i="3" s="1"/>
  <c r="J105" i="3" s="1"/>
  <c r="K105" i="3" s="1"/>
  <c r="L105" i="3" s="1"/>
  <c r="M105" i="3" s="1"/>
  <c r="N105" i="3" s="1"/>
  <c r="O105" i="3" s="1"/>
  <c r="P105" i="3" s="1"/>
  <c r="Q105" i="3" s="1"/>
  <c r="R105" i="3" s="1"/>
  <c r="S105" i="3" s="1"/>
  <c r="T105" i="3" s="1"/>
  <c r="U105" i="3" s="1"/>
  <c r="V105" i="3" s="1"/>
  <c r="W105" i="3" s="1"/>
  <c r="X105" i="3" s="1"/>
  <c r="Y105" i="3" s="1"/>
  <c r="Z105" i="3" s="1"/>
  <c r="AA105" i="3" s="1"/>
  <c r="AB105" i="3" s="1"/>
  <c r="AC105" i="3" s="1"/>
  <c r="AD105" i="3" s="1"/>
  <c r="AE105" i="3" s="1"/>
  <c r="AF105" i="3" s="1"/>
  <c r="B105" i="3" s="1"/>
  <c r="F104" i="3"/>
  <c r="G104" i="3" s="1"/>
  <c r="H104" i="3" s="1"/>
  <c r="I104" i="3" s="1"/>
  <c r="J104" i="3" s="1"/>
  <c r="K104" i="3" s="1"/>
  <c r="L104" i="3" s="1"/>
  <c r="M104" i="3" s="1"/>
  <c r="N104" i="3" s="1"/>
  <c r="O104" i="3" s="1"/>
  <c r="P104" i="3" s="1"/>
  <c r="Q104" i="3" s="1"/>
  <c r="R104" i="3" s="1"/>
  <c r="S104" i="3" s="1"/>
  <c r="T104" i="3" s="1"/>
  <c r="U104" i="3" s="1"/>
  <c r="V104" i="3" s="1"/>
  <c r="W104" i="3" s="1"/>
  <c r="X104" i="3" s="1"/>
  <c r="Y104" i="3" s="1"/>
  <c r="Z104" i="3" s="1"/>
  <c r="AA104" i="3" s="1"/>
  <c r="AB104" i="3" s="1"/>
  <c r="AC104" i="3" s="1"/>
  <c r="AD104" i="3" s="1"/>
  <c r="AE104" i="3" s="1"/>
  <c r="AF104" i="3" s="1"/>
  <c r="B104" i="3" s="1"/>
  <c r="E104" i="3"/>
  <c r="D104" i="3"/>
  <c r="F103" i="3"/>
  <c r="D103" i="3"/>
  <c r="E103" i="3" s="1"/>
  <c r="D102" i="3"/>
  <c r="AH98" i="3"/>
  <c r="AI98" i="3" s="1"/>
  <c r="AH97" i="3"/>
  <c r="AI97" i="3" s="1"/>
  <c r="AH96" i="3"/>
  <c r="AI96" i="3" s="1"/>
  <c r="AH95" i="3"/>
  <c r="AI95" i="3" s="1"/>
  <c r="AH94" i="3"/>
  <c r="AI94" i="3" s="1"/>
  <c r="C93" i="3"/>
  <c r="AI91" i="3"/>
  <c r="AH91" i="3"/>
  <c r="AI90" i="3"/>
  <c r="AH90" i="3"/>
  <c r="AI89" i="3"/>
  <c r="AH89" i="3"/>
  <c r="AI88" i="3"/>
  <c r="AH88" i="3"/>
  <c r="AI87" i="3"/>
  <c r="AH87" i="3"/>
  <c r="AI86" i="3"/>
  <c r="AH86" i="3"/>
  <c r="AI85" i="3"/>
  <c r="AH85" i="3"/>
  <c r="AI84" i="3"/>
  <c r="AH84" i="3"/>
  <c r="AG82" i="3"/>
  <c r="AI81" i="3"/>
  <c r="AH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O82" i="3" s="1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S82" i="3" s="1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I74" i="3"/>
  <c r="AH74" i="3"/>
  <c r="AG72" i="3"/>
  <c r="AF72" i="3"/>
  <c r="AE72" i="3"/>
  <c r="AD72" i="3"/>
  <c r="AC72" i="3"/>
  <c r="AB72" i="3"/>
  <c r="Z72" i="3"/>
  <c r="Y72" i="3"/>
  <c r="X72" i="3"/>
  <c r="W72" i="3"/>
  <c r="V72" i="3"/>
  <c r="U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I71" i="3"/>
  <c r="AH71" i="3"/>
  <c r="AI70" i="3"/>
  <c r="AH70" i="3"/>
  <c r="AI69" i="3"/>
  <c r="AH69" i="3"/>
  <c r="AG68" i="3"/>
  <c r="AF68" i="3"/>
  <c r="AE5" i="3" s="1"/>
  <c r="AE68" i="3"/>
  <c r="AD5" i="3" s="1"/>
  <c r="AD68" i="3"/>
  <c r="AC5" i="3" s="1"/>
  <c r="AC68" i="3"/>
  <c r="AB5" i="3" s="1"/>
  <c r="AB68" i="3"/>
  <c r="Z5" i="3"/>
  <c r="Z68" i="3"/>
  <c r="Y68" i="3"/>
  <c r="X5" i="3" s="1"/>
  <c r="X68" i="3"/>
  <c r="W5" i="3" s="1"/>
  <c r="W68" i="3"/>
  <c r="V5" i="3" s="1"/>
  <c r="V68" i="3"/>
  <c r="U68" i="3"/>
  <c r="S68" i="3"/>
  <c r="R5" i="3" s="1"/>
  <c r="R68" i="3"/>
  <c r="Q5" i="3" s="1"/>
  <c r="Q68" i="3"/>
  <c r="P5" i="3" s="1"/>
  <c r="P68" i="3"/>
  <c r="O5" i="3" s="1"/>
  <c r="O68" i="3"/>
  <c r="N5" i="3" s="1"/>
  <c r="N68" i="3"/>
  <c r="M68" i="3"/>
  <c r="L5" i="3" s="1"/>
  <c r="L68" i="3"/>
  <c r="K68" i="3"/>
  <c r="J5" i="3" s="1"/>
  <c r="J68" i="3"/>
  <c r="I5" i="3" s="1"/>
  <c r="I68" i="3"/>
  <c r="H5" i="3" s="1"/>
  <c r="H68" i="3"/>
  <c r="G5" i="3" s="1"/>
  <c r="G68" i="3"/>
  <c r="F5" i="3" s="1"/>
  <c r="F68" i="3"/>
  <c r="E5" i="3" s="1"/>
  <c r="E68" i="3"/>
  <c r="D5" i="3" s="1"/>
  <c r="D68" i="3"/>
  <c r="C68" i="3"/>
  <c r="B5" i="3" s="1"/>
  <c r="B68" i="3"/>
  <c r="AI67" i="3"/>
  <c r="AH67" i="3"/>
  <c r="AI66" i="3"/>
  <c r="AH66" i="3"/>
  <c r="AI65" i="3"/>
  <c r="AH65" i="3"/>
  <c r="AI64" i="3"/>
  <c r="AH64" i="3"/>
  <c r="AI63" i="3"/>
  <c r="AH63" i="3"/>
  <c r="AI62" i="3"/>
  <c r="AH62" i="3"/>
  <c r="AI61" i="3"/>
  <c r="AH61" i="3"/>
  <c r="AI60" i="3"/>
  <c r="AH60" i="3"/>
  <c r="AI59" i="3"/>
  <c r="AH59" i="3"/>
  <c r="AI58" i="3"/>
  <c r="AH58" i="3"/>
  <c r="AI57" i="3"/>
  <c r="AH57" i="3"/>
  <c r="AG56" i="3"/>
  <c r="AG75" i="3" s="1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I55" i="3"/>
  <c r="AH55" i="3"/>
  <c r="AI54" i="3"/>
  <c r="AH54" i="3"/>
  <c r="AI53" i="3"/>
  <c r="AH53" i="3"/>
  <c r="Z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AG51" i="3"/>
  <c r="AG52" i="3" s="1"/>
  <c r="AI50" i="3"/>
  <c r="AH50" i="3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AI40" i="3"/>
  <c r="AH40" i="3"/>
  <c r="AI39" i="3"/>
  <c r="AH39" i="3"/>
  <c r="AG38" i="3"/>
  <c r="AG2" i="3" s="1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Y5" i="3"/>
  <c r="U5" i="3"/>
  <c r="T5" i="3"/>
  <c r="AG4" i="3"/>
  <c r="K4" i="3"/>
  <c r="B4" i="3"/>
  <c r="AG3" i="3"/>
  <c r="E4" i="3"/>
  <c r="AD82" i="3" l="1"/>
  <c r="AF82" i="3"/>
  <c r="AE82" i="3"/>
  <c r="AC82" i="3"/>
  <c r="AB82" i="3"/>
  <c r="AA82" i="3"/>
  <c r="Z75" i="3"/>
  <c r="AR214" i="3" s="1"/>
  <c r="Z73" i="3"/>
  <c r="Y82" i="3"/>
  <c r="X82" i="3"/>
  <c r="W82" i="3"/>
  <c r="V82" i="3"/>
  <c r="U82" i="3"/>
  <c r="T82" i="3"/>
  <c r="S73" i="3"/>
  <c r="S75" i="3"/>
  <c r="S83" i="3" s="1"/>
  <c r="R73" i="3"/>
  <c r="R75" i="3"/>
  <c r="AJ214" i="3" s="1"/>
  <c r="Q82" i="3"/>
  <c r="Q73" i="3"/>
  <c r="Q75" i="3"/>
  <c r="P82" i="3"/>
  <c r="P75" i="3"/>
  <c r="AH214" i="3" s="1"/>
  <c r="P73" i="3"/>
  <c r="O75" i="3"/>
  <c r="AG214" i="3" s="1"/>
  <c r="N75" i="3"/>
  <c r="O73" i="3"/>
  <c r="M5" i="3"/>
  <c r="N82" i="3"/>
  <c r="N73" i="3"/>
  <c r="M82" i="3"/>
  <c r="L82" i="3"/>
  <c r="K82" i="3"/>
  <c r="K73" i="3"/>
  <c r="K75" i="3"/>
  <c r="K83" i="3" s="1"/>
  <c r="J75" i="3"/>
  <c r="AB214" i="3" s="1"/>
  <c r="J73" i="3"/>
  <c r="I82" i="3"/>
  <c r="AI80" i="3"/>
  <c r="I73" i="3"/>
  <c r="I75" i="3"/>
  <c r="I7" i="3" s="1"/>
  <c r="H82" i="3"/>
  <c r="H75" i="3"/>
  <c r="Z214" i="3" s="1"/>
  <c r="H73" i="3"/>
  <c r="G82" i="3"/>
  <c r="G75" i="3"/>
  <c r="G7" i="3" s="1"/>
  <c r="G73" i="3"/>
  <c r="F82" i="3"/>
  <c r="F75" i="3"/>
  <c r="F7" i="3" s="1"/>
  <c r="F73" i="3"/>
  <c r="E82" i="3"/>
  <c r="D82" i="3"/>
  <c r="AH78" i="3"/>
  <c r="C82" i="3"/>
  <c r="AH68" i="3"/>
  <c r="C73" i="3"/>
  <c r="C75" i="3" s="1"/>
  <c r="U214" i="3" s="1"/>
  <c r="AI38" i="3"/>
  <c r="AI78" i="3"/>
  <c r="AI68" i="3"/>
  <c r="AH80" i="3"/>
  <c r="AF5" i="3"/>
  <c r="H4" i="3"/>
  <c r="AF214" i="3"/>
  <c r="N7" i="3"/>
  <c r="G103" i="3"/>
  <c r="AG73" i="3"/>
  <c r="AG83" i="3" s="1"/>
  <c r="AI72" i="3"/>
  <c r="AH79" i="3"/>
  <c r="AA214" i="3"/>
  <c r="E75" i="3"/>
  <c r="AI79" i="3"/>
  <c r="AG6" i="3"/>
  <c r="D75" i="3"/>
  <c r="L75" i="3"/>
  <c r="AI214" i="3"/>
  <c r="Q7" i="3"/>
  <c r="M75" i="3"/>
  <c r="AH56" i="3"/>
  <c r="C5" i="3"/>
  <c r="D73" i="3"/>
  <c r="K5" i="3"/>
  <c r="L73" i="3"/>
  <c r="S5" i="3"/>
  <c r="T83" i="3"/>
  <c r="AA5" i="3"/>
  <c r="AI77" i="3"/>
  <c r="J82" i="3"/>
  <c r="R82" i="3"/>
  <c r="R83" i="3" s="1"/>
  <c r="Z82" i="3"/>
  <c r="T75" i="3"/>
  <c r="AI56" i="3"/>
  <c r="E73" i="3"/>
  <c r="M73" i="3"/>
  <c r="AI76" i="3"/>
  <c r="E109" i="3"/>
  <c r="S211" i="3"/>
  <c r="D211" i="3"/>
  <c r="D192" i="3"/>
  <c r="AH38" i="3"/>
  <c r="AH76" i="3"/>
  <c r="B82" i="3"/>
  <c r="E102" i="3"/>
  <c r="AH72" i="3"/>
  <c r="AH77" i="3"/>
  <c r="Y214" i="3"/>
  <c r="C235" i="3"/>
  <c r="E199" i="3"/>
  <c r="F194" i="3"/>
  <c r="E200" i="3"/>
  <c r="Z83" i="3" l="1"/>
  <c r="Z7" i="3"/>
  <c r="S7" i="3"/>
  <c r="AK214" i="3"/>
  <c r="R7" i="3"/>
  <c r="Q83" i="3"/>
  <c r="P7" i="3"/>
  <c r="P83" i="3"/>
  <c r="O7" i="3"/>
  <c r="O83" i="3"/>
  <c r="M83" i="3"/>
  <c r="N83" i="3"/>
  <c r="L83" i="3"/>
  <c r="K7" i="3"/>
  <c r="AC214" i="3"/>
  <c r="J7" i="3"/>
  <c r="J83" i="3"/>
  <c r="I83" i="3"/>
  <c r="C209" i="3"/>
  <c r="H83" i="3"/>
  <c r="H7" i="3"/>
  <c r="G83" i="3"/>
  <c r="B209" i="3"/>
  <c r="X214" i="3"/>
  <c r="F83" i="3"/>
  <c r="E83" i="3"/>
  <c r="D83" i="3"/>
  <c r="C83" i="3"/>
  <c r="C7" i="3"/>
  <c r="AL214" i="3"/>
  <c r="T7" i="3"/>
  <c r="V214" i="3"/>
  <c r="D7" i="3"/>
  <c r="E192" i="3"/>
  <c r="F102" i="3"/>
  <c r="H103" i="3"/>
  <c r="G194" i="3"/>
  <c r="F109" i="3"/>
  <c r="E93" i="3"/>
  <c r="AI82" i="3"/>
  <c r="AH82" i="3"/>
  <c r="F199" i="3"/>
  <c r="D235" i="3"/>
  <c r="AE214" i="3"/>
  <c r="M7" i="3"/>
  <c r="W214" i="3"/>
  <c r="E7" i="3"/>
  <c r="AD214" i="3"/>
  <c r="L7" i="3"/>
  <c r="K6" i="3" l="1"/>
  <c r="E235" i="3"/>
  <c r="G199" i="3"/>
  <c r="I103" i="3"/>
  <c r="F192" i="3"/>
  <c r="G102" i="3"/>
  <c r="G109" i="3"/>
  <c r="F93" i="3"/>
  <c r="H194" i="3"/>
  <c r="G200" i="3"/>
  <c r="F200" i="3"/>
  <c r="G192" i="3" l="1"/>
  <c r="H102" i="3"/>
  <c r="H109" i="3"/>
  <c r="G93" i="3"/>
  <c r="J103" i="3"/>
  <c r="H200" i="3"/>
  <c r="I194" i="3"/>
  <c r="H199" i="3"/>
  <c r="F235" i="3"/>
  <c r="K103" i="3" l="1"/>
  <c r="I109" i="3"/>
  <c r="H93" i="3"/>
  <c r="I199" i="3"/>
  <c r="I200" i="3" s="1"/>
  <c r="G235" i="3"/>
  <c r="H192" i="3"/>
  <c r="I102" i="3"/>
  <c r="J194" i="3"/>
  <c r="J109" i="3" l="1"/>
  <c r="I93" i="3"/>
  <c r="K194" i="3"/>
  <c r="J200" i="3"/>
  <c r="J199" i="3"/>
  <c r="H235" i="3"/>
  <c r="L103" i="3"/>
  <c r="I192" i="3"/>
  <c r="J102" i="3"/>
  <c r="K199" i="3" l="1"/>
  <c r="I235" i="3"/>
  <c r="M103" i="3"/>
  <c r="L194" i="3"/>
  <c r="K200" i="3"/>
  <c r="J192" i="3"/>
  <c r="K102" i="3"/>
  <c r="K109" i="3"/>
  <c r="J93" i="3"/>
  <c r="K192" i="3" l="1"/>
  <c r="L102" i="3"/>
  <c r="M194" i="3"/>
  <c r="L200" i="3"/>
  <c r="N103" i="3"/>
  <c r="L109" i="3"/>
  <c r="K93" i="3"/>
  <c r="L199" i="3"/>
  <c r="J235" i="3"/>
  <c r="N194" i="3" l="1"/>
  <c r="M109" i="3"/>
  <c r="L93" i="3"/>
  <c r="O103" i="3"/>
  <c r="L192" i="3"/>
  <c r="M102" i="3"/>
  <c r="K235" i="3"/>
  <c r="M199" i="3"/>
  <c r="P103" i="3" l="1"/>
  <c r="M192" i="3"/>
  <c r="N102" i="3"/>
  <c r="N109" i="3"/>
  <c r="M93" i="3"/>
  <c r="L235" i="3"/>
  <c r="N199" i="3"/>
  <c r="M200" i="3"/>
  <c r="O194" i="3"/>
  <c r="M235" i="3" l="1"/>
  <c r="O199" i="3"/>
  <c r="N192" i="3"/>
  <c r="O102" i="3"/>
  <c r="N200" i="3"/>
  <c r="O200" i="3"/>
  <c r="P194" i="3"/>
  <c r="Q103" i="3"/>
  <c r="O109" i="3"/>
  <c r="N93" i="3"/>
  <c r="O192" i="3" l="1"/>
  <c r="P102" i="3"/>
  <c r="Q194" i="3"/>
  <c r="P109" i="3"/>
  <c r="O93" i="3"/>
  <c r="P199" i="3"/>
  <c r="P200" i="3" s="1"/>
  <c r="N235" i="3"/>
  <c r="R103" i="3"/>
  <c r="Q109" i="3" l="1"/>
  <c r="P93" i="3"/>
  <c r="R194" i="3"/>
  <c r="P192" i="3"/>
  <c r="Q102" i="3"/>
  <c r="Q199" i="3"/>
  <c r="O235" i="3"/>
  <c r="S103" i="3"/>
  <c r="S194" i="3" l="1"/>
  <c r="R199" i="3"/>
  <c r="P235" i="3"/>
  <c r="Q200" i="3"/>
  <c r="Q192" i="3"/>
  <c r="R102" i="3"/>
  <c r="T103" i="3"/>
  <c r="R109" i="3"/>
  <c r="Q93" i="3"/>
  <c r="S199" i="3" l="1"/>
  <c r="Q235" i="3"/>
  <c r="R192" i="3"/>
  <c r="S102" i="3"/>
  <c r="S109" i="3"/>
  <c r="R93" i="3"/>
  <c r="T194" i="3"/>
  <c r="S200" i="3"/>
  <c r="U103" i="3"/>
  <c r="R200" i="3"/>
  <c r="U194" i="3" l="1"/>
  <c r="T109" i="3"/>
  <c r="S93" i="3"/>
  <c r="S192" i="3"/>
  <c r="T102" i="3"/>
  <c r="V103" i="3"/>
  <c r="T199" i="3"/>
  <c r="R235" i="3"/>
  <c r="W103" i="3" l="1"/>
  <c r="T192" i="3"/>
  <c r="U102" i="3"/>
  <c r="U109" i="3"/>
  <c r="T93" i="3"/>
  <c r="V194" i="3"/>
  <c r="U200" i="3"/>
  <c r="U51" i="3" s="1"/>
  <c r="U52" i="3" s="1"/>
  <c r="U199" i="3"/>
  <c r="S235" i="3"/>
  <c r="T200" i="3"/>
  <c r="U75" i="3" l="1"/>
  <c r="U73" i="3"/>
  <c r="W194" i="3"/>
  <c r="V200" i="3"/>
  <c r="V51" i="3" s="1"/>
  <c r="V52" i="3" s="1"/>
  <c r="V109" i="3"/>
  <c r="U93" i="3"/>
  <c r="U192" i="3"/>
  <c r="V102" i="3"/>
  <c r="T235" i="3"/>
  <c r="V199" i="3"/>
  <c r="X103" i="3"/>
  <c r="U83" i="3" l="1"/>
  <c r="V75" i="3"/>
  <c r="V73" i="3"/>
  <c r="V83" i="3" s="1"/>
  <c r="W109" i="3"/>
  <c r="V93" i="3"/>
  <c r="X194" i="3"/>
  <c r="U235" i="3"/>
  <c r="W199" i="3"/>
  <c r="V192" i="3"/>
  <c r="W102" i="3"/>
  <c r="Y103" i="3"/>
  <c r="AM214" i="3"/>
  <c r="U7" i="3"/>
  <c r="Y194" i="3" l="1"/>
  <c r="Z103" i="3"/>
  <c r="X109" i="3"/>
  <c r="W93" i="3"/>
  <c r="W192" i="3"/>
  <c r="X102" i="3"/>
  <c r="X199" i="3"/>
  <c r="V235" i="3"/>
  <c r="W200" i="3"/>
  <c r="W51" i="3" s="1"/>
  <c r="W52" i="3" s="1"/>
  <c r="AN214" i="3"/>
  <c r="V7" i="3"/>
  <c r="W75" i="3" l="1"/>
  <c r="W73" i="3"/>
  <c r="AA103" i="3"/>
  <c r="Y109" i="3"/>
  <c r="X93" i="3"/>
  <c r="Y200" i="3"/>
  <c r="Y51" i="3" s="1"/>
  <c r="Y52" i="3" s="1"/>
  <c r="Z194" i="3"/>
  <c r="X192" i="3"/>
  <c r="Y102" i="3"/>
  <c r="Y199" i="3"/>
  <c r="W235" i="3"/>
  <c r="X200" i="3"/>
  <c r="X51" i="3" s="1"/>
  <c r="X52" i="3" s="1"/>
  <c r="W83" i="3" l="1"/>
  <c r="Y75" i="3"/>
  <c r="Y73" i="3"/>
  <c r="Y83" i="3" s="1"/>
  <c r="Z109" i="3"/>
  <c r="Y93" i="3"/>
  <c r="X235" i="3"/>
  <c r="Z199" i="3"/>
  <c r="Z200" i="3"/>
  <c r="AA194" i="3"/>
  <c r="X75" i="3"/>
  <c r="X73" i="3"/>
  <c r="X83" i="3" s="1"/>
  <c r="AB103" i="3"/>
  <c r="Y192" i="3"/>
  <c r="Z102" i="3"/>
  <c r="AO214" i="3"/>
  <c r="W7" i="3"/>
  <c r="AC103" i="3" l="1"/>
  <c r="AA109" i="3"/>
  <c r="Z93" i="3"/>
  <c r="AA200" i="3"/>
  <c r="AA51" i="3" s="1"/>
  <c r="AA52" i="3" s="1"/>
  <c r="AB194" i="3"/>
  <c r="Z192" i="3"/>
  <c r="AA102" i="3"/>
  <c r="AA199" i="3"/>
  <c r="Y235" i="3"/>
  <c r="AP214" i="3"/>
  <c r="X7" i="3"/>
  <c r="AQ214" i="3"/>
  <c r="Y7" i="3"/>
  <c r="AA192" i="3" l="1"/>
  <c r="AB102" i="3"/>
  <c r="AC194" i="3"/>
  <c r="AA75" i="3"/>
  <c r="AB109" i="3"/>
  <c r="AA93" i="3"/>
  <c r="AB199" i="3"/>
  <c r="AB200" i="3" s="1"/>
  <c r="AB51" i="3" s="1"/>
  <c r="AB52" i="3" s="1"/>
  <c r="Z235" i="3"/>
  <c r="AD103" i="3"/>
  <c r="AB75" i="3" l="1"/>
  <c r="AB73" i="3"/>
  <c r="AC109" i="3"/>
  <c r="AB93" i="3"/>
  <c r="AS214" i="3"/>
  <c r="AA7" i="3"/>
  <c r="AA83" i="3"/>
  <c r="AE103" i="3"/>
  <c r="AD194" i="3"/>
  <c r="AB192" i="3"/>
  <c r="AC102" i="3"/>
  <c r="AC199" i="3"/>
  <c r="AC200" i="3" s="1"/>
  <c r="AC51" i="3" s="1"/>
  <c r="AC52" i="3" s="1"/>
  <c r="AA235" i="3"/>
  <c r="AB83" i="3" l="1"/>
  <c r="AC75" i="3"/>
  <c r="AC73" i="3"/>
  <c r="AF103" i="3"/>
  <c r="AD109" i="3"/>
  <c r="AC93" i="3"/>
  <c r="AD199" i="3"/>
  <c r="AB235" i="3"/>
  <c r="AC192" i="3"/>
  <c r="AD102" i="3"/>
  <c r="AE194" i="3"/>
  <c r="AT214" i="3"/>
  <c r="AB7" i="3"/>
  <c r="AC83" i="3" l="1"/>
  <c r="AC235" i="3"/>
  <c r="AE199" i="3"/>
  <c r="AE109" i="3"/>
  <c r="AD93" i="3"/>
  <c r="AF194" i="3"/>
  <c r="AE200" i="3"/>
  <c r="AE51" i="3" s="1"/>
  <c r="AE52" i="3" s="1"/>
  <c r="B103" i="3"/>
  <c r="AD200" i="3"/>
  <c r="AD51" i="3" s="1"/>
  <c r="AD52" i="3" s="1"/>
  <c r="AD192" i="3"/>
  <c r="AE102" i="3"/>
  <c r="AU214" i="3"/>
  <c r="AC7" i="3"/>
  <c r="B194" i="3" l="1"/>
  <c r="AE192" i="3"/>
  <c r="AF102" i="3"/>
  <c r="AF109" i="3"/>
  <c r="AE93" i="3"/>
  <c r="AF199" i="3"/>
  <c r="AD235" i="3"/>
  <c r="AE75" i="3"/>
  <c r="AE73" i="3"/>
  <c r="AD75" i="3"/>
  <c r="AD73" i="3"/>
  <c r="AE83" i="3" l="1"/>
  <c r="AD83" i="3"/>
  <c r="B109" i="3"/>
  <c r="AF93" i="3"/>
  <c r="AF192" i="3"/>
  <c r="B102" i="3"/>
  <c r="B192" i="3" s="1"/>
  <c r="AE235" i="3"/>
  <c r="B199" i="3"/>
  <c r="AF235" i="3" s="1"/>
  <c r="AF200" i="3"/>
  <c r="AF51" i="3" s="1"/>
  <c r="AF52" i="3" s="1"/>
  <c r="AV214" i="3"/>
  <c r="AD7" i="3"/>
  <c r="AW214" i="3"/>
  <c r="AE7" i="3"/>
  <c r="AF75" i="3" l="1"/>
  <c r="AF73" i="3"/>
  <c r="AI93" i="3"/>
  <c r="AH93" i="3"/>
  <c r="B200" i="3"/>
  <c r="B93" i="3"/>
  <c r="AF83" i="3" l="1"/>
  <c r="AH51" i="3"/>
  <c r="B52" i="3"/>
  <c r="AI51" i="3"/>
  <c r="AX214" i="3"/>
  <c r="AF7" i="3"/>
  <c r="AI52" i="3" l="1"/>
  <c r="AH52" i="3"/>
  <c r="B75" i="3"/>
  <c r="B73" i="3"/>
  <c r="AI73" i="3" l="1"/>
  <c r="AH73" i="3"/>
  <c r="B83" i="3"/>
  <c r="T214" i="3"/>
  <c r="AH75" i="3"/>
  <c r="AI75" i="3"/>
  <c r="B7" i="3"/>
  <c r="A7" i="3" s="1"/>
  <c r="AH83" i="3" l="1"/>
  <c r="AI83" i="3"/>
  <c r="S37" i="1" l="1"/>
  <c r="Z56" i="1"/>
  <c r="Z38" i="1"/>
  <c r="R37" i="1" l="1"/>
  <c r="Q37" i="1"/>
  <c r="P37" i="1"/>
  <c r="O37" i="1" l="1"/>
  <c r="N37" i="1"/>
  <c r="B4" i="1"/>
  <c r="B4" i="2"/>
  <c r="M37" i="1" l="1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C235" i="2"/>
  <c r="B235" i="2"/>
  <c r="S210" i="2"/>
  <c r="AG200" i="2"/>
  <c r="C200" i="2"/>
  <c r="F199" i="2"/>
  <c r="E235" i="2" s="1"/>
  <c r="E199" i="2"/>
  <c r="D235" i="2" s="1"/>
  <c r="D199" i="2"/>
  <c r="D198" i="2"/>
  <c r="E198" i="2" s="1"/>
  <c r="F198" i="2" s="1"/>
  <c r="G198" i="2" s="1"/>
  <c r="H198" i="2" s="1"/>
  <c r="I198" i="2" s="1"/>
  <c r="J198" i="2" s="1"/>
  <c r="K198" i="2" s="1"/>
  <c r="L198" i="2" s="1"/>
  <c r="M198" i="2" s="1"/>
  <c r="N198" i="2" s="1"/>
  <c r="O198" i="2" s="1"/>
  <c r="P198" i="2" s="1"/>
  <c r="Q198" i="2" s="1"/>
  <c r="R198" i="2" s="1"/>
  <c r="S198" i="2" s="1"/>
  <c r="T198" i="2" s="1"/>
  <c r="U198" i="2" s="1"/>
  <c r="V198" i="2" s="1"/>
  <c r="W198" i="2" s="1"/>
  <c r="X198" i="2" s="1"/>
  <c r="Y198" i="2" s="1"/>
  <c r="Z198" i="2" s="1"/>
  <c r="AA198" i="2" s="1"/>
  <c r="AB198" i="2" s="1"/>
  <c r="AC198" i="2" s="1"/>
  <c r="AD198" i="2" s="1"/>
  <c r="AE198" i="2" s="1"/>
  <c r="AF198" i="2" s="1"/>
  <c r="B198" i="2" s="1"/>
  <c r="J197" i="2"/>
  <c r="K197" i="2" s="1"/>
  <c r="L197" i="2" s="1"/>
  <c r="M197" i="2" s="1"/>
  <c r="N197" i="2" s="1"/>
  <c r="O197" i="2" s="1"/>
  <c r="P197" i="2" s="1"/>
  <c r="Q197" i="2" s="1"/>
  <c r="R197" i="2" s="1"/>
  <c r="S197" i="2" s="1"/>
  <c r="T197" i="2" s="1"/>
  <c r="U197" i="2" s="1"/>
  <c r="V197" i="2" s="1"/>
  <c r="W197" i="2" s="1"/>
  <c r="X197" i="2" s="1"/>
  <c r="Y197" i="2" s="1"/>
  <c r="Z197" i="2" s="1"/>
  <c r="AA197" i="2" s="1"/>
  <c r="AB197" i="2" s="1"/>
  <c r="AC197" i="2" s="1"/>
  <c r="AD197" i="2" s="1"/>
  <c r="AE197" i="2" s="1"/>
  <c r="AF197" i="2" s="1"/>
  <c r="B197" i="2" s="1"/>
  <c r="E197" i="2"/>
  <c r="F197" i="2" s="1"/>
  <c r="G197" i="2" s="1"/>
  <c r="H197" i="2" s="1"/>
  <c r="I197" i="2" s="1"/>
  <c r="D197" i="2"/>
  <c r="K196" i="2"/>
  <c r="L196" i="2" s="1"/>
  <c r="M196" i="2" s="1"/>
  <c r="N196" i="2" s="1"/>
  <c r="O196" i="2" s="1"/>
  <c r="P196" i="2" s="1"/>
  <c r="Q196" i="2" s="1"/>
  <c r="R196" i="2" s="1"/>
  <c r="S196" i="2" s="1"/>
  <c r="T196" i="2" s="1"/>
  <c r="U196" i="2" s="1"/>
  <c r="V196" i="2" s="1"/>
  <c r="W196" i="2" s="1"/>
  <c r="X196" i="2" s="1"/>
  <c r="Y196" i="2" s="1"/>
  <c r="Z196" i="2" s="1"/>
  <c r="AA196" i="2" s="1"/>
  <c r="AB196" i="2" s="1"/>
  <c r="AC196" i="2" s="1"/>
  <c r="AD196" i="2" s="1"/>
  <c r="AE196" i="2" s="1"/>
  <c r="AF196" i="2" s="1"/>
  <c r="B196" i="2" s="1"/>
  <c r="H196" i="2"/>
  <c r="I196" i="2" s="1"/>
  <c r="J196" i="2" s="1"/>
  <c r="E196" i="2"/>
  <c r="F196" i="2" s="1"/>
  <c r="G196" i="2" s="1"/>
  <c r="D196" i="2"/>
  <c r="Q195" i="2"/>
  <c r="R195" i="2" s="1"/>
  <c r="S195" i="2" s="1"/>
  <c r="T195" i="2" s="1"/>
  <c r="U195" i="2" s="1"/>
  <c r="V195" i="2" s="1"/>
  <c r="W195" i="2" s="1"/>
  <c r="X195" i="2" s="1"/>
  <c r="Y195" i="2" s="1"/>
  <c r="Z195" i="2" s="1"/>
  <c r="AA195" i="2" s="1"/>
  <c r="AB195" i="2" s="1"/>
  <c r="AC195" i="2" s="1"/>
  <c r="AD195" i="2" s="1"/>
  <c r="AE195" i="2" s="1"/>
  <c r="AF195" i="2" s="1"/>
  <c r="B195" i="2" s="1"/>
  <c r="N195" i="2"/>
  <c r="O195" i="2" s="1"/>
  <c r="P195" i="2" s="1"/>
  <c r="I195" i="2"/>
  <c r="J195" i="2" s="1"/>
  <c r="K195" i="2" s="1"/>
  <c r="L195" i="2" s="1"/>
  <c r="M195" i="2" s="1"/>
  <c r="F195" i="2"/>
  <c r="G195" i="2" s="1"/>
  <c r="H195" i="2" s="1"/>
  <c r="E195" i="2"/>
  <c r="D195" i="2"/>
  <c r="D194" i="2"/>
  <c r="AG192" i="2"/>
  <c r="C192" i="2"/>
  <c r="K191" i="2"/>
  <c r="L191" i="2" s="1"/>
  <c r="M191" i="2" s="1"/>
  <c r="N191" i="2" s="1"/>
  <c r="O191" i="2" s="1"/>
  <c r="P191" i="2" s="1"/>
  <c r="Q191" i="2" s="1"/>
  <c r="R191" i="2" s="1"/>
  <c r="S191" i="2" s="1"/>
  <c r="T191" i="2" s="1"/>
  <c r="U191" i="2" s="1"/>
  <c r="V191" i="2" s="1"/>
  <c r="W191" i="2" s="1"/>
  <c r="X191" i="2" s="1"/>
  <c r="Y191" i="2" s="1"/>
  <c r="Z191" i="2" s="1"/>
  <c r="AA191" i="2" s="1"/>
  <c r="AB191" i="2" s="1"/>
  <c r="AC191" i="2" s="1"/>
  <c r="AD191" i="2" s="1"/>
  <c r="AE191" i="2" s="1"/>
  <c r="AF191" i="2" s="1"/>
  <c r="B191" i="2" s="1"/>
  <c r="I191" i="2"/>
  <c r="J191" i="2" s="1"/>
  <c r="E191" i="2"/>
  <c r="F191" i="2" s="1"/>
  <c r="G191" i="2" s="1"/>
  <c r="H191" i="2" s="1"/>
  <c r="D191" i="2"/>
  <c r="F190" i="2"/>
  <c r="G190" i="2" s="1"/>
  <c r="H190" i="2" s="1"/>
  <c r="I190" i="2" s="1"/>
  <c r="J190" i="2" s="1"/>
  <c r="K190" i="2" s="1"/>
  <c r="L190" i="2" s="1"/>
  <c r="M190" i="2" s="1"/>
  <c r="N190" i="2" s="1"/>
  <c r="O190" i="2" s="1"/>
  <c r="P190" i="2" s="1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B190" i="2" s="1"/>
  <c r="E190" i="2"/>
  <c r="D190" i="2"/>
  <c r="D189" i="2"/>
  <c r="E189" i="2" s="1"/>
  <c r="F189" i="2" s="1"/>
  <c r="G189" i="2" s="1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R189" i="2" s="1"/>
  <c r="S189" i="2" s="1"/>
  <c r="T189" i="2" s="1"/>
  <c r="U189" i="2" s="1"/>
  <c r="V189" i="2" s="1"/>
  <c r="W189" i="2" s="1"/>
  <c r="X189" i="2" s="1"/>
  <c r="Y189" i="2" s="1"/>
  <c r="Z189" i="2" s="1"/>
  <c r="AA189" i="2" s="1"/>
  <c r="AB189" i="2" s="1"/>
  <c r="AC189" i="2" s="1"/>
  <c r="AD189" i="2" s="1"/>
  <c r="AE189" i="2" s="1"/>
  <c r="AF189" i="2" s="1"/>
  <c r="B189" i="2" s="1"/>
  <c r="D188" i="2"/>
  <c r="E188" i="2" s="1"/>
  <c r="F188" i="2" s="1"/>
  <c r="G188" i="2" s="1"/>
  <c r="H188" i="2" s="1"/>
  <c r="I188" i="2" s="1"/>
  <c r="J188" i="2" s="1"/>
  <c r="K188" i="2" s="1"/>
  <c r="L188" i="2" s="1"/>
  <c r="M188" i="2" s="1"/>
  <c r="N188" i="2" s="1"/>
  <c r="O188" i="2" s="1"/>
  <c r="P188" i="2" s="1"/>
  <c r="Q188" i="2" s="1"/>
  <c r="R188" i="2" s="1"/>
  <c r="S188" i="2" s="1"/>
  <c r="T188" i="2" s="1"/>
  <c r="U188" i="2" s="1"/>
  <c r="V188" i="2" s="1"/>
  <c r="W188" i="2" s="1"/>
  <c r="X188" i="2" s="1"/>
  <c r="Y188" i="2" s="1"/>
  <c r="Z188" i="2" s="1"/>
  <c r="AA188" i="2" s="1"/>
  <c r="AB188" i="2" s="1"/>
  <c r="AC188" i="2" s="1"/>
  <c r="AD188" i="2" s="1"/>
  <c r="AE188" i="2" s="1"/>
  <c r="AF188" i="2" s="1"/>
  <c r="B188" i="2" s="1"/>
  <c r="P187" i="2"/>
  <c r="Q187" i="2" s="1"/>
  <c r="R187" i="2" s="1"/>
  <c r="S187" i="2" s="1"/>
  <c r="T187" i="2" s="1"/>
  <c r="U187" i="2" s="1"/>
  <c r="V187" i="2" s="1"/>
  <c r="W187" i="2" s="1"/>
  <c r="X187" i="2" s="1"/>
  <c r="Y187" i="2" s="1"/>
  <c r="Z187" i="2" s="1"/>
  <c r="AA187" i="2" s="1"/>
  <c r="AB187" i="2" s="1"/>
  <c r="AC187" i="2" s="1"/>
  <c r="AD187" i="2" s="1"/>
  <c r="AE187" i="2" s="1"/>
  <c r="AF187" i="2" s="1"/>
  <c r="B187" i="2" s="1"/>
  <c r="F187" i="2"/>
  <c r="G187" i="2" s="1"/>
  <c r="H187" i="2" s="1"/>
  <c r="I187" i="2" s="1"/>
  <c r="J187" i="2" s="1"/>
  <c r="K187" i="2" s="1"/>
  <c r="L187" i="2" s="1"/>
  <c r="M187" i="2" s="1"/>
  <c r="N187" i="2" s="1"/>
  <c r="O187" i="2" s="1"/>
  <c r="E187" i="2"/>
  <c r="D187" i="2"/>
  <c r="I186" i="2"/>
  <c r="J186" i="2" s="1"/>
  <c r="K186" i="2" s="1"/>
  <c r="L186" i="2" s="1"/>
  <c r="M186" i="2" s="1"/>
  <c r="N186" i="2" s="1"/>
  <c r="O186" i="2" s="1"/>
  <c r="P186" i="2" s="1"/>
  <c r="Q186" i="2" s="1"/>
  <c r="R186" i="2" s="1"/>
  <c r="S186" i="2" s="1"/>
  <c r="T186" i="2" s="1"/>
  <c r="U186" i="2" s="1"/>
  <c r="V186" i="2" s="1"/>
  <c r="W186" i="2" s="1"/>
  <c r="X186" i="2" s="1"/>
  <c r="Y186" i="2" s="1"/>
  <c r="Z186" i="2" s="1"/>
  <c r="AA186" i="2" s="1"/>
  <c r="AB186" i="2" s="1"/>
  <c r="AC186" i="2" s="1"/>
  <c r="AD186" i="2" s="1"/>
  <c r="AE186" i="2" s="1"/>
  <c r="AF186" i="2" s="1"/>
  <c r="B186" i="2" s="1"/>
  <c r="D186" i="2"/>
  <c r="E186" i="2" s="1"/>
  <c r="F186" i="2" s="1"/>
  <c r="G186" i="2" s="1"/>
  <c r="H186" i="2" s="1"/>
  <c r="L185" i="2"/>
  <c r="M185" i="2" s="1"/>
  <c r="N185" i="2" s="1"/>
  <c r="O185" i="2" s="1"/>
  <c r="P185" i="2" s="1"/>
  <c r="Q185" i="2" s="1"/>
  <c r="R185" i="2" s="1"/>
  <c r="S185" i="2" s="1"/>
  <c r="T185" i="2" s="1"/>
  <c r="U185" i="2" s="1"/>
  <c r="V185" i="2" s="1"/>
  <c r="W185" i="2" s="1"/>
  <c r="X185" i="2" s="1"/>
  <c r="Y185" i="2" s="1"/>
  <c r="Z185" i="2" s="1"/>
  <c r="AA185" i="2" s="1"/>
  <c r="AB185" i="2" s="1"/>
  <c r="AC185" i="2" s="1"/>
  <c r="AD185" i="2" s="1"/>
  <c r="AE185" i="2" s="1"/>
  <c r="AF185" i="2" s="1"/>
  <c r="B185" i="2" s="1"/>
  <c r="D185" i="2"/>
  <c r="E185" i="2" s="1"/>
  <c r="F185" i="2" s="1"/>
  <c r="G185" i="2" s="1"/>
  <c r="H185" i="2" s="1"/>
  <c r="I185" i="2" s="1"/>
  <c r="J185" i="2" s="1"/>
  <c r="K185" i="2" s="1"/>
  <c r="O184" i="2"/>
  <c r="P184" i="2" s="1"/>
  <c r="Q184" i="2" s="1"/>
  <c r="R184" i="2" s="1"/>
  <c r="S184" i="2" s="1"/>
  <c r="T184" i="2" s="1"/>
  <c r="U184" i="2" s="1"/>
  <c r="V184" i="2" s="1"/>
  <c r="W184" i="2" s="1"/>
  <c r="X184" i="2" s="1"/>
  <c r="Y184" i="2" s="1"/>
  <c r="Z184" i="2" s="1"/>
  <c r="AA184" i="2" s="1"/>
  <c r="AB184" i="2" s="1"/>
  <c r="AC184" i="2" s="1"/>
  <c r="AD184" i="2" s="1"/>
  <c r="AE184" i="2" s="1"/>
  <c r="AF184" i="2" s="1"/>
  <c r="B184" i="2" s="1"/>
  <c r="E184" i="2"/>
  <c r="F184" i="2" s="1"/>
  <c r="G184" i="2" s="1"/>
  <c r="H184" i="2" s="1"/>
  <c r="I184" i="2" s="1"/>
  <c r="J184" i="2" s="1"/>
  <c r="K184" i="2" s="1"/>
  <c r="L184" i="2" s="1"/>
  <c r="M184" i="2" s="1"/>
  <c r="N184" i="2" s="1"/>
  <c r="D184" i="2"/>
  <c r="Q183" i="2"/>
  <c r="R183" i="2" s="1"/>
  <c r="S183" i="2" s="1"/>
  <c r="T183" i="2" s="1"/>
  <c r="U183" i="2" s="1"/>
  <c r="V183" i="2" s="1"/>
  <c r="W183" i="2" s="1"/>
  <c r="X183" i="2" s="1"/>
  <c r="Y183" i="2" s="1"/>
  <c r="Z183" i="2" s="1"/>
  <c r="AA183" i="2" s="1"/>
  <c r="AB183" i="2" s="1"/>
  <c r="AC183" i="2" s="1"/>
  <c r="AD183" i="2" s="1"/>
  <c r="AE183" i="2" s="1"/>
  <c r="AF183" i="2" s="1"/>
  <c r="B183" i="2" s="1"/>
  <c r="H183" i="2"/>
  <c r="I183" i="2" s="1"/>
  <c r="J183" i="2" s="1"/>
  <c r="K183" i="2" s="1"/>
  <c r="L183" i="2" s="1"/>
  <c r="M183" i="2" s="1"/>
  <c r="N183" i="2" s="1"/>
  <c r="O183" i="2" s="1"/>
  <c r="P183" i="2" s="1"/>
  <c r="F183" i="2"/>
  <c r="G183" i="2" s="1"/>
  <c r="E183" i="2"/>
  <c r="D183" i="2"/>
  <c r="F182" i="2"/>
  <c r="G182" i="2" s="1"/>
  <c r="H182" i="2" s="1"/>
  <c r="I182" i="2" s="1"/>
  <c r="J182" i="2" s="1"/>
  <c r="K182" i="2" s="1"/>
  <c r="L182" i="2" s="1"/>
  <c r="M182" i="2" s="1"/>
  <c r="N182" i="2" s="1"/>
  <c r="O182" i="2" s="1"/>
  <c r="P182" i="2" s="1"/>
  <c r="Q182" i="2" s="1"/>
  <c r="R182" i="2" s="1"/>
  <c r="S182" i="2" s="1"/>
  <c r="T182" i="2" s="1"/>
  <c r="U182" i="2" s="1"/>
  <c r="V182" i="2" s="1"/>
  <c r="W182" i="2" s="1"/>
  <c r="X182" i="2" s="1"/>
  <c r="Y182" i="2" s="1"/>
  <c r="Z182" i="2" s="1"/>
  <c r="AA182" i="2" s="1"/>
  <c r="AB182" i="2" s="1"/>
  <c r="AC182" i="2" s="1"/>
  <c r="AD182" i="2" s="1"/>
  <c r="AE182" i="2" s="1"/>
  <c r="AF182" i="2" s="1"/>
  <c r="B182" i="2" s="1"/>
  <c r="D182" i="2"/>
  <c r="E182" i="2" s="1"/>
  <c r="E181" i="2"/>
  <c r="F181" i="2" s="1"/>
  <c r="G181" i="2" s="1"/>
  <c r="H181" i="2" s="1"/>
  <c r="I181" i="2" s="1"/>
  <c r="J181" i="2" s="1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B181" i="2" s="1"/>
  <c r="D181" i="2"/>
  <c r="K180" i="2"/>
  <c r="L180" i="2" s="1"/>
  <c r="M180" i="2" s="1"/>
  <c r="N180" i="2" s="1"/>
  <c r="O180" i="2" s="1"/>
  <c r="P180" i="2" s="1"/>
  <c r="Q180" i="2" s="1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B180" i="2" s="1"/>
  <c r="I180" i="2"/>
  <c r="J180" i="2" s="1"/>
  <c r="H180" i="2"/>
  <c r="E180" i="2"/>
  <c r="F180" i="2" s="1"/>
  <c r="G180" i="2" s="1"/>
  <c r="D180" i="2"/>
  <c r="E179" i="2"/>
  <c r="F179" i="2" s="1"/>
  <c r="G179" i="2" s="1"/>
  <c r="H179" i="2" s="1"/>
  <c r="I179" i="2" s="1"/>
  <c r="J179" i="2" s="1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B179" i="2" s="1"/>
  <c r="D179" i="2"/>
  <c r="H177" i="2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B177" i="2" s="1"/>
  <c r="F177" i="2"/>
  <c r="G177" i="2" s="1"/>
  <c r="E177" i="2"/>
  <c r="D177" i="2"/>
  <c r="G176" i="2"/>
  <c r="H176" i="2" s="1"/>
  <c r="I176" i="2" s="1"/>
  <c r="J176" i="2" s="1"/>
  <c r="K176" i="2" s="1"/>
  <c r="L176" i="2" s="1"/>
  <c r="M176" i="2" s="1"/>
  <c r="N176" i="2" s="1"/>
  <c r="O176" i="2" s="1"/>
  <c r="P176" i="2" s="1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B176" i="2" s="1"/>
  <c r="F176" i="2"/>
  <c r="D176" i="2"/>
  <c r="E176" i="2" s="1"/>
  <c r="U175" i="2"/>
  <c r="V175" i="2" s="1"/>
  <c r="W175" i="2" s="1"/>
  <c r="X175" i="2" s="1"/>
  <c r="Y175" i="2" s="1"/>
  <c r="Z175" i="2" s="1"/>
  <c r="AA175" i="2" s="1"/>
  <c r="AB175" i="2" s="1"/>
  <c r="AC175" i="2" s="1"/>
  <c r="AD175" i="2" s="1"/>
  <c r="AE175" i="2" s="1"/>
  <c r="AF175" i="2" s="1"/>
  <c r="B175" i="2" s="1"/>
  <c r="E175" i="2"/>
  <c r="F175" i="2" s="1"/>
  <c r="G175" i="2" s="1"/>
  <c r="H175" i="2" s="1"/>
  <c r="I175" i="2" s="1"/>
  <c r="J175" i="2" s="1"/>
  <c r="K175" i="2" s="1"/>
  <c r="L175" i="2" s="1"/>
  <c r="M175" i="2" s="1"/>
  <c r="N175" i="2" s="1"/>
  <c r="O175" i="2" s="1"/>
  <c r="P175" i="2" s="1"/>
  <c r="Q175" i="2" s="1"/>
  <c r="R175" i="2" s="1"/>
  <c r="S175" i="2" s="1"/>
  <c r="T175" i="2" s="1"/>
  <c r="D175" i="2"/>
  <c r="G174" i="2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B174" i="2" s="1"/>
  <c r="F174" i="2"/>
  <c r="E174" i="2"/>
  <c r="D174" i="2"/>
  <c r="AB173" i="2"/>
  <c r="AC173" i="2" s="1"/>
  <c r="AD173" i="2" s="1"/>
  <c r="AE173" i="2" s="1"/>
  <c r="AF173" i="2" s="1"/>
  <c r="B173" i="2" s="1"/>
  <c r="Q173" i="2"/>
  <c r="R173" i="2" s="1"/>
  <c r="S173" i="2" s="1"/>
  <c r="T173" i="2" s="1"/>
  <c r="U173" i="2" s="1"/>
  <c r="V173" i="2" s="1"/>
  <c r="W173" i="2" s="1"/>
  <c r="X173" i="2" s="1"/>
  <c r="Y173" i="2" s="1"/>
  <c r="Z173" i="2" s="1"/>
  <c r="AA173" i="2" s="1"/>
  <c r="F173" i="2"/>
  <c r="G173" i="2" s="1"/>
  <c r="H173" i="2" s="1"/>
  <c r="I173" i="2" s="1"/>
  <c r="J173" i="2" s="1"/>
  <c r="K173" i="2" s="1"/>
  <c r="L173" i="2" s="1"/>
  <c r="M173" i="2" s="1"/>
  <c r="N173" i="2" s="1"/>
  <c r="O173" i="2" s="1"/>
  <c r="P173" i="2" s="1"/>
  <c r="E173" i="2"/>
  <c r="D173" i="2"/>
  <c r="Z172" i="2"/>
  <c r="AA172" i="2" s="1"/>
  <c r="AB172" i="2" s="1"/>
  <c r="AC172" i="2" s="1"/>
  <c r="AD172" i="2" s="1"/>
  <c r="AE172" i="2" s="1"/>
  <c r="AF172" i="2" s="1"/>
  <c r="B172" i="2" s="1"/>
  <c r="O172" i="2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D172" i="2"/>
  <c r="E172" i="2" s="1"/>
  <c r="F172" i="2" s="1"/>
  <c r="G172" i="2" s="1"/>
  <c r="H172" i="2" s="1"/>
  <c r="I172" i="2" s="1"/>
  <c r="J172" i="2" s="1"/>
  <c r="K172" i="2" s="1"/>
  <c r="L172" i="2" s="1"/>
  <c r="M172" i="2" s="1"/>
  <c r="N172" i="2" s="1"/>
  <c r="X171" i="2"/>
  <c r="Y171" i="2" s="1"/>
  <c r="Z171" i="2" s="1"/>
  <c r="AA171" i="2" s="1"/>
  <c r="AB171" i="2" s="1"/>
  <c r="AC171" i="2" s="1"/>
  <c r="AD171" i="2" s="1"/>
  <c r="AE171" i="2" s="1"/>
  <c r="AF171" i="2" s="1"/>
  <c r="B171" i="2" s="1"/>
  <c r="M171" i="2"/>
  <c r="N171" i="2" s="1"/>
  <c r="O171" i="2" s="1"/>
  <c r="P171" i="2" s="1"/>
  <c r="Q171" i="2" s="1"/>
  <c r="R171" i="2" s="1"/>
  <c r="S171" i="2" s="1"/>
  <c r="T171" i="2" s="1"/>
  <c r="U171" i="2" s="1"/>
  <c r="V171" i="2" s="1"/>
  <c r="W171" i="2" s="1"/>
  <c r="E171" i="2"/>
  <c r="F171" i="2" s="1"/>
  <c r="G171" i="2" s="1"/>
  <c r="H171" i="2" s="1"/>
  <c r="I171" i="2" s="1"/>
  <c r="J171" i="2" s="1"/>
  <c r="K171" i="2" s="1"/>
  <c r="L171" i="2" s="1"/>
  <c r="D171" i="2"/>
  <c r="V170" i="2"/>
  <c r="W170" i="2" s="1"/>
  <c r="X170" i="2" s="1"/>
  <c r="Y170" i="2" s="1"/>
  <c r="Z170" i="2" s="1"/>
  <c r="AA170" i="2" s="1"/>
  <c r="AB170" i="2" s="1"/>
  <c r="AC170" i="2" s="1"/>
  <c r="AD170" i="2" s="1"/>
  <c r="AE170" i="2" s="1"/>
  <c r="AF170" i="2" s="1"/>
  <c r="B170" i="2" s="1"/>
  <c r="K170" i="2"/>
  <c r="L170" i="2" s="1"/>
  <c r="M170" i="2" s="1"/>
  <c r="N170" i="2" s="1"/>
  <c r="O170" i="2" s="1"/>
  <c r="P170" i="2" s="1"/>
  <c r="Q170" i="2" s="1"/>
  <c r="R170" i="2" s="1"/>
  <c r="S170" i="2" s="1"/>
  <c r="T170" i="2" s="1"/>
  <c r="U170" i="2" s="1"/>
  <c r="F170" i="2"/>
  <c r="G170" i="2" s="1"/>
  <c r="H170" i="2" s="1"/>
  <c r="I170" i="2" s="1"/>
  <c r="J170" i="2" s="1"/>
  <c r="E170" i="2"/>
  <c r="D170" i="2"/>
  <c r="E168" i="2"/>
  <c r="F168" i="2" s="1"/>
  <c r="G168" i="2" s="1"/>
  <c r="H168" i="2" s="1"/>
  <c r="I168" i="2" s="1"/>
  <c r="J168" i="2" s="1"/>
  <c r="K168" i="2" s="1"/>
  <c r="L168" i="2" s="1"/>
  <c r="M168" i="2" s="1"/>
  <c r="N168" i="2" s="1"/>
  <c r="O168" i="2" s="1"/>
  <c r="P168" i="2" s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B168" i="2" s="1"/>
  <c r="D168" i="2"/>
  <c r="S167" i="2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B167" i="2" s="1"/>
  <c r="I167" i="2"/>
  <c r="J167" i="2" s="1"/>
  <c r="K167" i="2" s="1"/>
  <c r="L167" i="2" s="1"/>
  <c r="M167" i="2" s="1"/>
  <c r="N167" i="2" s="1"/>
  <c r="O167" i="2" s="1"/>
  <c r="P167" i="2" s="1"/>
  <c r="Q167" i="2" s="1"/>
  <c r="R167" i="2" s="1"/>
  <c r="G167" i="2"/>
  <c r="H167" i="2" s="1"/>
  <c r="F167" i="2"/>
  <c r="D167" i="2"/>
  <c r="E167" i="2" s="1"/>
  <c r="AB166" i="2"/>
  <c r="AC166" i="2" s="1"/>
  <c r="AD166" i="2" s="1"/>
  <c r="AE166" i="2" s="1"/>
  <c r="AF166" i="2" s="1"/>
  <c r="B166" i="2" s="1"/>
  <c r="Q166" i="2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G166" i="2"/>
  <c r="H166" i="2" s="1"/>
  <c r="I166" i="2" s="1"/>
  <c r="J166" i="2" s="1"/>
  <c r="K166" i="2" s="1"/>
  <c r="L166" i="2" s="1"/>
  <c r="M166" i="2" s="1"/>
  <c r="N166" i="2" s="1"/>
  <c r="O166" i="2" s="1"/>
  <c r="P166" i="2" s="1"/>
  <c r="E166" i="2"/>
  <c r="F166" i="2" s="1"/>
  <c r="D166" i="2"/>
  <c r="H165" i="2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B165" i="2" s="1"/>
  <c r="G165" i="2"/>
  <c r="F165" i="2"/>
  <c r="E165" i="2"/>
  <c r="D165" i="2"/>
  <c r="D164" i="2"/>
  <c r="E164" i="2" s="1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B164" i="2" s="1"/>
  <c r="E163" i="2"/>
  <c r="F163" i="2" s="1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V163" i="2" s="1"/>
  <c r="W163" i="2" s="1"/>
  <c r="X163" i="2" s="1"/>
  <c r="Y163" i="2" s="1"/>
  <c r="Z163" i="2" s="1"/>
  <c r="AA163" i="2" s="1"/>
  <c r="AB163" i="2" s="1"/>
  <c r="AC163" i="2" s="1"/>
  <c r="AD163" i="2" s="1"/>
  <c r="AE163" i="2" s="1"/>
  <c r="AF163" i="2" s="1"/>
  <c r="B163" i="2" s="1"/>
  <c r="D163" i="2"/>
  <c r="H162" i="2"/>
  <c r="I162" i="2" s="1"/>
  <c r="J162" i="2" s="1"/>
  <c r="K162" i="2" s="1"/>
  <c r="L162" i="2" s="1"/>
  <c r="M162" i="2" s="1"/>
  <c r="N162" i="2" s="1"/>
  <c r="O162" i="2" s="1"/>
  <c r="P162" i="2" s="1"/>
  <c r="Q162" i="2" s="1"/>
  <c r="R162" i="2" s="1"/>
  <c r="S162" i="2" s="1"/>
  <c r="T162" i="2" s="1"/>
  <c r="U162" i="2" s="1"/>
  <c r="V162" i="2" s="1"/>
  <c r="W162" i="2" s="1"/>
  <c r="X162" i="2" s="1"/>
  <c r="Y162" i="2" s="1"/>
  <c r="Z162" i="2" s="1"/>
  <c r="AA162" i="2" s="1"/>
  <c r="AB162" i="2" s="1"/>
  <c r="AC162" i="2" s="1"/>
  <c r="AD162" i="2" s="1"/>
  <c r="AE162" i="2" s="1"/>
  <c r="AF162" i="2" s="1"/>
  <c r="B162" i="2" s="1"/>
  <c r="E162" i="2"/>
  <c r="F162" i="2" s="1"/>
  <c r="G162" i="2" s="1"/>
  <c r="D162" i="2"/>
  <c r="G161" i="2"/>
  <c r="H161" i="2" s="1"/>
  <c r="I161" i="2" s="1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V161" i="2" s="1"/>
  <c r="W161" i="2" s="1"/>
  <c r="X161" i="2" s="1"/>
  <c r="Y161" i="2" s="1"/>
  <c r="Z161" i="2" s="1"/>
  <c r="AA161" i="2" s="1"/>
  <c r="AB161" i="2" s="1"/>
  <c r="AC161" i="2" s="1"/>
  <c r="AD161" i="2" s="1"/>
  <c r="AE161" i="2" s="1"/>
  <c r="AF161" i="2" s="1"/>
  <c r="B161" i="2" s="1"/>
  <c r="F161" i="2"/>
  <c r="E161" i="2"/>
  <c r="D161" i="2"/>
  <c r="E160" i="2"/>
  <c r="F160" i="2" s="1"/>
  <c r="G160" i="2" s="1"/>
  <c r="H160" i="2" s="1"/>
  <c r="I160" i="2" s="1"/>
  <c r="J160" i="2" s="1"/>
  <c r="K160" i="2" s="1"/>
  <c r="L160" i="2" s="1"/>
  <c r="M160" i="2" s="1"/>
  <c r="N160" i="2" s="1"/>
  <c r="O160" i="2" s="1"/>
  <c r="P160" i="2" s="1"/>
  <c r="Q160" i="2" s="1"/>
  <c r="R160" i="2" s="1"/>
  <c r="S160" i="2" s="1"/>
  <c r="T160" i="2" s="1"/>
  <c r="U160" i="2" s="1"/>
  <c r="V160" i="2" s="1"/>
  <c r="W160" i="2" s="1"/>
  <c r="X160" i="2" s="1"/>
  <c r="Y160" i="2" s="1"/>
  <c r="Z160" i="2" s="1"/>
  <c r="AA160" i="2" s="1"/>
  <c r="AB160" i="2" s="1"/>
  <c r="AC160" i="2" s="1"/>
  <c r="AD160" i="2" s="1"/>
  <c r="AE160" i="2" s="1"/>
  <c r="AF160" i="2" s="1"/>
  <c r="B160" i="2" s="1"/>
  <c r="D160" i="2"/>
  <c r="E159" i="2"/>
  <c r="F159" i="2" s="1"/>
  <c r="G159" i="2" s="1"/>
  <c r="H159" i="2" s="1"/>
  <c r="I159" i="2" s="1"/>
  <c r="J159" i="2" s="1"/>
  <c r="K159" i="2" s="1"/>
  <c r="L159" i="2" s="1"/>
  <c r="M159" i="2" s="1"/>
  <c r="N159" i="2" s="1"/>
  <c r="O159" i="2" s="1"/>
  <c r="P159" i="2" s="1"/>
  <c r="Q159" i="2" s="1"/>
  <c r="R159" i="2" s="1"/>
  <c r="S159" i="2" s="1"/>
  <c r="T159" i="2" s="1"/>
  <c r="U159" i="2" s="1"/>
  <c r="V159" i="2" s="1"/>
  <c r="W159" i="2" s="1"/>
  <c r="X159" i="2" s="1"/>
  <c r="Y159" i="2" s="1"/>
  <c r="Z159" i="2" s="1"/>
  <c r="AA159" i="2" s="1"/>
  <c r="AB159" i="2" s="1"/>
  <c r="AC159" i="2" s="1"/>
  <c r="AD159" i="2" s="1"/>
  <c r="AE159" i="2" s="1"/>
  <c r="AF159" i="2" s="1"/>
  <c r="B159" i="2" s="1"/>
  <c r="D159" i="2"/>
  <c r="K158" i="2"/>
  <c r="L158" i="2" s="1"/>
  <c r="M158" i="2" s="1"/>
  <c r="N158" i="2" s="1"/>
  <c r="O158" i="2" s="1"/>
  <c r="P158" i="2" s="1"/>
  <c r="Q158" i="2" s="1"/>
  <c r="R158" i="2" s="1"/>
  <c r="S158" i="2" s="1"/>
  <c r="T158" i="2" s="1"/>
  <c r="U158" i="2" s="1"/>
  <c r="V158" i="2" s="1"/>
  <c r="W158" i="2" s="1"/>
  <c r="X158" i="2" s="1"/>
  <c r="Y158" i="2" s="1"/>
  <c r="Z158" i="2" s="1"/>
  <c r="AA158" i="2" s="1"/>
  <c r="AB158" i="2" s="1"/>
  <c r="AC158" i="2" s="1"/>
  <c r="AD158" i="2" s="1"/>
  <c r="AE158" i="2" s="1"/>
  <c r="AF158" i="2" s="1"/>
  <c r="B158" i="2" s="1"/>
  <c r="E158" i="2"/>
  <c r="F158" i="2" s="1"/>
  <c r="G158" i="2" s="1"/>
  <c r="H158" i="2" s="1"/>
  <c r="I158" i="2" s="1"/>
  <c r="J158" i="2" s="1"/>
  <c r="D158" i="2"/>
  <c r="E157" i="2"/>
  <c r="F157" i="2" s="1"/>
  <c r="G157" i="2" s="1"/>
  <c r="H157" i="2" s="1"/>
  <c r="I157" i="2" s="1"/>
  <c r="J157" i="2" s="1"/>
  <c r="K157" i="2" s="1"/>
  <c r="L157" i="2" s="1"/>
  <c r="M157" i="2" s="1"/>
  <c r="N157" i="2" s="1"/>
  <c r="O157" i="2" s="1"/>
  <c r="P157" i="2" s="1"/>
  <c r="Q157" i="2" s="1"/>
  <c r="R157" i="2" s="1"/>
  <c r="S157" i="2" s="1"/>
  <c r="T157" i="2" s="1"/>
  <c r="U157" i="2" s="1"/>
  <c r="V157" i="2" s="1"/>
  <c r="W157" i="2" s="1"/>
  <c r="X157" i="2" s="1"/>
  <c r="Y157" i="2" s="1"/>
  <c r="Z157" i="2" s="1"/>
  <c r="AA157" i="2" s="1"/>
  <c r="AB157" i="2" s="1"/>
  <c r="AC157" i="2" s="1"/>
  <c r="AD157" i="2" s="1"/>
  <c r="AE157" i="2" s="1"/>
  <c r="AF157" i="2" s="1"/>
  <c r="B157" i="2" s="1"/>
  <c r="D157" i="2"/>
  <c r="L156" i="2"/>
  <c r="M156" i="2" s="1"/>
  <c r="N156" i="2" s="1"/>
  <c r="O156" i="2" s="1"/>
  <c r="P156" i="2" s="1"/>
  <c r="Q156" i="2" s="1"/>
  <c r="R156" i="2" s="1"/>
  <c r="S156" i="2" s="1"/>
  <c r="T156" i="2" s="1"/>
  <c r="U156" i="2" s="1"/>
  <c r="V156" i="2" s="1"/>
  <c r="W156" i="2" s="1"/>
  <c r="X156" i="2" s="1"/>
  <c r="Y156" i="2" s="1"/>
  <c r="Z156" i="2" s="1"/>
  <c r="AA156" i="2" s="1"/>
  <c r="AB156" i="2" s="1"/>
  <c r="AC156" i="2" s="1"/>
  <c r="AD156" i="2" s="1"/>
  <c r="AE156" i="2" s="1"/>
  <c r="AF156" i="2" s="1"/>
  <c r="B156" i="2" s="1"/>
  <c r="E156" i="2"/>
  <c r="F156" i="2" s="1"/>
  <c r="G156" i="2" s="1"/>
  <c r="H156" i="2" s="1"/>
  <c r="I156" i="2" s="1"/>
  <c r="J156" i="2" s="1"/>
  <c r="K156" i="2" s="1"/>
  <c r="D156" i="2"/>
  <c r="S154" i="2"/>
  <c r="T154" i="2" s="1"/>
  <c r="U154" i="2" s="1"/>
  <c r="V154" i="2" s="1"/>
  <c r="W154" i="2" s="1"/>
  <c r="X154" i="2" s="1"/>
  <c r="Y154" i="2" s="1"/>
  <c r="Z154" i="2" s="1"/>
  <c r="AA154" i="2" s="1"/>
  <c r="AB154" i="2" s="1"/>
  <c r="AC154" i="2" s="1"/>
  <c r="AD154" i="2" s="1"/>
  <c r="AE154" i="2" s="1"/>
  <c r="AF154" i="2" s="1"/>
  <c r="B154" i="2" s="1"/>
  <c r="E154" i="2"/>
  <c r="F154" i="2" s="1"/>
  <c r="G154" i="2" s="1"/>
  <c r="H154" i="2" s="1"/>
  <c r="I154" i="2" s="1"/>
  <c r="J154" i="2" s="1"/>
  <c r="K154" i="2" s="1"/>
  <c r="L154" i="2" s="1"/>
  <c r="M154" i="2" s="1"/>
  <c r="N154" i="2" s="1"/>
  <c r="O154" i="2" s="1"/>
  <c r="P154" i="2" s="1"/>
  <c r="Q154" i="2" s="1"/>
  <c r="R154" i="2" s="1"/>
  <c r="D154" i="2"/>
  <c r="X153" i="2"/>
  <c r="Y153" i="2" s="1"/>
  <c r="Z153" i="2" s="1"/>
  <c r="AA153" i="2" s="1"/>
  <c r="AB153" i="2" s="1"/>
  <c r="AC153" i="2" s="1"/>
  <c r="AD153" i="2" s="1"/>
  <c r="AE153" i="2" s="1"/>
  <c r="AF153" i="2" s="1"/>
  <c r="B153" i="2" s="1"/>
  <c r="D153" i="2"/>
  <c r="E153" i="2" s="1"/>
  <c r="F153" i="2" s="1"/>
  <c r="G153" i="2" s="1"/>
  <c r="H153" i="2" s="1"/>
  <c r="I153" i="2" s="1"/>
  <c r="J153" i="2" s="1"/>
  <c r="K153" i="2" s="1"/>
  <c r="L153" i="2" s="1"/>
  <c r="M153" i="2" s="1"/>
  <c r="N153" i="2" s="1"/>
  <c r="O153" i="2" s="1"/>
  <c r="P153" i="2" s="1"/>
  <c r="Q153" i="2" s="1"/>
  <c r="R153" i="2" s="1"/>
  <c r="S153" i="2" s="1"/>
  <c r="T153" i="2" s="1"/>
  <c r="U153" i="2" s="1"/>
  <c r="V153" i="2" s="1"/>
  <c r="W153" i="2" s="1"/>
  <c r="AC152" i="2"/>
  <c r="AD152" i="2" s="1"/>
  <c r="AE152" i="2" s="1"/>
  <c r="AF152" i="2" s="1"/>
  <c r="B152" i="2" s="1"/>
  <c r="G152" i="2"/>
  <c r="H152" i="2" s="1"/>
  <c r="I152" i="2" s="1"/>
  <c r="J152" i="2" s="1"/>
  <c r="K152" i="2" s="1"/>
  <c r="L152" i="2" s="1"/>
  <c r="M152" i="2" s="1"/>
  <c r="N152" i="2" s="1"/>
  <c r="O152" i="2" s="1"/>
  <c r="P152" i="2" s="1"/>
  <c r="Q152" i="2" s="1"/>
  <c r="R152" i="2" s="1"/>
  <c r="S152" i="2" s="1"/>
  <c r="T152" i="2" s="1"/>
  <c r="U152" i="2" s="1"/>
  <c r="V152" i="2" s="1"/>
  <c r="W152" i="2" s="1"/>
  <c r="X152" i="2" s="1"/>
  <c r="Y152" i="2" s="1"/>
  <c r="Z152" i="2" s="1"/>
  <c r="AA152" i="2" s="1"/>
  <c r="AB152" i="2" s="1"/>
  <c r="F152" i="2"/>
  <c r="E152" i="2"/>
  <c r="D152" i="2"/>
  <c r="E151" i="2"/>
  <c r="F151" i="2" s="1"/>
  <c r="G151" i="2" s="1"/>
  <c r="H151" i="2" s="1"/>
  <c r="I151" i="2" s="1"/>
  <c r="J151" i="2" s="1"/>
  <c r="K151" i="2" s="1"/>
  <c r="L151" i="2" s="1"/>
  <c r="M151" i="2" s="1"/>
  <c r="N151" i="2" s="1"/>
  <c r="O151" i="2" s="1"/>
  <c r="P151" i="2" s="1"/>
  <c r="Q151" i="2" s="1"/>
  <c r="R151" i="2" s="1"/>
  <c r="S151" i="2" s="1"/>
  <c r="T151" i="2" s="1"/>
  <c r="U151" i="2" s="1"/>
  <c r="V151" i="2" s="1"/>
  <c r="W151" i="2" s="1"/>
  <c r="X151" i="2" s="1"/>
  <c r="Y151" i="2" s="1"/>
  <c r="Z151" i="2" s="1"/>
  <c r="AA151" i="2" s="1"/>
  <c r="AB151" i="2" s="1"/>
  <c r="AC151" i="2" s="1"/>
  <c r="AD151" i="2" s="1"/>
  <c r="AE151" i="2" s="1"/>
  <c r="AF151" i="2" s="1"/>
  <c r="B151" i="2" s="1"/>
  <c r="D151" i="2"/>
  <c r="O149" i="2"/>
  <c r="P149" i="2" s="1"/>
  <c r="Q149" i="2" s="1"/>
  <c r="R149" i="2" s="1"/>
  <c r="S149" i="2" s="1"/>
  <c r="T149" i="2" s="1"/>
  <c r="U149" i="2" s="1"/>
  <c r="V149" i="2" s="1"/>
  <c r="W149" i="2" s="1"/>
  <c r="X149" i="2" s="1"/>
  <c r="Y149" i="2" s="1"/>
  <c r="Z149" i="2" s="1"/>
  <c r="AA149" i="2" s="1"/>
  <c r="AB149" i="2" s="1"/>
  <c r="AC149" i="2" s="1"/>
  <c r="AD149" i="2" s="1"/>
  <c r="AE149" i="2" s="1"/>
  <c r="AF149" i="2" s="1"/>
  <c r="B149" i="2" s="1"/>
  <c r="I149" i="2"/>
  <c r="J149" i="2" s="1"/>
  <c r="K149" i="2" s="1"/>
  <c r="L149" i="2" s="1"/>
  <c r="M149" i="2" s="1"/>
  <c r="N149" i="2" s="1"/>
  <c r="D149" i="2"/>
  <c r="E149" i="2" s="1"/>
  <c r="F149" i="2" s="1"/>
  <c r="G149" i="2" s="1"/>
  <c r="H149" i="2" s="1"/>
  <c r="D148" i="2"/>
  <c r="E148" i="2" s="1"/>
  <c r="F148" i="2" s="1"/>
  <c r="G148" i="2" s="1"/>
  <c r="H148" i="2" s="1"/>
  <c r="I148" i="2" s="1"/>
  <c r="J148" i="2" s="1"/>
  <c r="K148" i="2" s="1"/>
  <c r="L148" i="2" s="1"/>
  <c r="M148" i="2" s="1"/>
  <c r="N148" i="2" s="1"/>
  <c r="O148" i="2" s="1"/>
  <c r="P148" i="2" s="1"/>
  <c r="Q148" i="2" s="1"/>
  <c r="R148" i="2" s="1"/>
  <c r="S148" i="2" s="1"/>
  <c r="T148" i="2" s="1"/>
  <c r="U148" i="2" s="1"/>
  <c r="V148" i="2" s="1"/>
  <c r="W148" i="2" s="1"/>
  <c r="X148" i="2" s="1"/>
  <c r="Y148" i="2" s="1"/>
  <c r="Z148" i="2" s="1"/>
  <c r="AA148" i="2" s="1"/>
  <c r="AB148" i="2" s="1"/>
  <c r="AC148" i="2" s="1"/>
  <c r="AD148" i="2" s="1"/>
  <c r="AE148" i="2" s="1"/>
  <c r="AF148" i="2" s="1"/>
  <c r="B148" i="2" s="1"/>
  <c r="E146" i="2"/>
  <c r="F146" i="2" s="1"/>
  <c r="G146" i="2" s="1"/>
  <c r="H146" i="2" s="1"/>
  <c r="I146" i="2" s="1"/>
  <c r="J146" i="2" s="1"/>
  <c r="K146" i="2" s="1"/>
  <c r="L146" i="2" s="1"/>
  <c r="M146" i="2" s="1"/>
  <c r="N146" i="2" s="1"/>
  <c r="O146" i="2" s="1"/>
  <c r="P146" i="2" s="1"/>
  <c r="Q146" i="2" s="1"/>
  <c r="R146" i="2" s="1"/>
  <c r="S146" i="2" s="1"/>
  <c r="T146" i="2" s="1"/>
  <c r="U146" i="2" s="1"/>
  <c r="V146" i="2" s="1"/>
  <c r="W146" i="2" s="1"/>
  <c r="X146" i="2" s="1"/>
  <c r="Y146" i="2" s="1"/>
  <c r="Z146" i="2" s="1"/>
  <c r="AA146" i="2" s="1"/>
  <c r="AB146" i="2" s="1"/>
  <c r="AC146" i="2" s="1"/>
  <c r="AD146" i="2" s="1"/>
  <c r="AE146" i="2" s="1"/>
  <c r="AF146" i="2" s="1"/>
  <c r="B146" i="2" s="1"/>
  <c r="D146" i="2"/>
  <c r="G145" i="2"/>
  <c r="H145" i="2" s="1"/>
  <c r="I145" i="2" s="1"/>
  <c r="J145" i="2" s="1"/>
  <c r="K145" i="2" s="1"/>
  <c r="L145" i="2" s="1"/>
  <c r="M145" i="2" s="1"/>
  <c r="N145" i="2" s="1"/>
  <c r="O145" i="2" s="1"/>
  <c r="P145" i="2" s="1"/>
  <c r="Q145" i="2" s="1"/>
  <c r="R145" i="2" s="1"/>
  <c r="S145" i="2" s="1"/>
  <c r="T145" i="2" s="1"/>
  <c r="U145" i="2" s="1"/>
  <c r="V145" i="2" s="1"/>
  <c r="W145" i="2" s="1"/>
  <c r="X145" i="2" s="1"/>
  <c r="Y145" i="2" s="1"/>
  <c r="Z145" i="2" s="1"/>
  <c r="AA145" i="2" s="1"/>
  <c r="AB145" i="2" s="1"/>
  <c r="AC145" i="2" s="1"/>
  <c r="AD145" i="2" s="1"/>
  <c r="AE145" i="2" s="1"/>
  <c r="AF145" i="2" s="1"/>
  <c r="B145" i="2" s="1"/>
  <c r="E145" i="2"/>
  <c r="F145" i="2" s="1"/>
  <c r="D145" i="2"/>
  <c r="O144" i="2"/>
  <c r="P144" i="2" s="1"/>
  <c r="Q144" i="2" s="1"/>
  <c r="R144" i="2" s="1"/>
  <c r="S144" i="2" s="1"/>
  <c r="T144" i="2" s="1"/>
  <c r="U144" i="2" s="1"/>
  <c r="V144" i="2" s="1"/>
  <c r="W144" i="2" s="1"/>
  <c r="X144" i="2" s="1"/>
  <c r="Y144" i="2" s="1"/>
  <c r="Z144" i="2" s="1"/>
  <c r="AA144" i="2" s="1"/>
  <c r="AB144" i="2" s="1"/>
  <c r="AC144" i="2" s="1"/>
  <c r="AD144" i="2" s="1"/>
  <c r="AE144" i="2" s="1"/>
  <c r="AF144" i="2" s="1"/>
  <c r="B144" i="2" s="1"/>
  <c r="K144" i="2"/>
  <c r="L144" i="2" s="1"/>
  <c r="M144" i="2" s="1"/>
  <c r="N144" i="2" s="1"/>
  <c r="F144" i="2"/>
  <c r="G144" i="2" s="1"/>
  <c r="H144" i="2" s="1"/>
  <c r="I144" i="2" s="1"/>
  <c r="J144" i="2" s="1"/>
  <c r="D144" i="2"/>
  <c r="E144" i="2" s="1"/>
  <c r="I143" i="2"/>
  <c r="J143" i="2" s="1"/>
  <c r="K143" i="2" s="1"/>
  <c r="L143" i="2" s="1"/>
  <c r="M143" i="2" s="1"/>
  <c r="N143" i="2" s="1"/>
  <c r="O143" i="2" s="1"/>
  <c r="P143" i="2" s="1"/>
  <c r="Q143" i="2" s="1"/>
  <c r="R143" i="2" s="1"/>
  <c r="S143" i="2" s="1"/>
  <c r="T143" i="2" s="1"/>
  <c r="U143" i="2" s="1"/>
  <c r="V143" i="2" s="1"/>
  <c r="W143" i="2" s="1"/>
  <c r="X143" i="2" s="1"/>
  <c r="Y143" i="2" s="1"/>
  <c r="Z143" i="2" s="1"/>
  <c r="AA143" i="2" s="1"/>
  <c r="AB143" i="2" s="1"/>
  <c r="AC143" i="2" s="1"/>
  <c r="AD143" i="2" s="1"/>
  <c r="AE143" i="2" s="1"/>
  <c r="AF143" i="2" s="1"/>
  <c r="B143" i="2" s="1"/>
  <c r="E143" i="2"/>
  <c r="F143" i="2" s="1"/>
  <c r="G143" i="2" s="1"/>
  <c r="H143" i="2" s="1"/>
  <c r="D143" i="2"/>
  <c r="O142" i="2"/>
  <c r="P142" i="2" s="1"/>
  <c r="Q142" i="2" s="1"/>
  <c r="R142" i="2" s="1"/>
  <c r="S142" i="2" s="1"/>
  <c r="T142" i="2" s="1"/>
  <c r="U142" i="2" s="1"/>
  <c r="V142" i="2" s="1"/>
  <c r="W142" i="2" s="1"/>
  <c r="X142" i="2" s="1"/>
  <c r="Y142" i="2" s="1"/>
  <c r="Z142" i="2" s="1"/>
  <c r="AA142" i="2" s="1"/>
  <c r="AB142" i="2" s="1"/>
  <c r="AC142" i="2" s="1"/>
  <c r="AD142" i="2" s="1"/>
  <c r="AE142" i="2" s="1"/>
  <c r="AF142" i="2" s="1"/>
  <c r="B142" i="2" s="1"/>
  <c r="H142" i="2"/>
  <c r="I142" i="2" s="1"/>
  <c r="J142" i="2" s="1"/>
  <c r="K142" i="2" s="1"/>
  <c r="L142" i="2" s="1"/>
  <c r="M142" i="2" s="1"/>
  <c r="N142" i="2" s="1"/>
  <c r="G142" i="2"/>
  <c r="F142" i="2"/>
  <c r="E142" i="2"/>
  <c r="D142" i="2"/>
  <c r="U141" i="2"/>
  <c r="V141" i="2" s="1"/>
  <c r="W141" i="2" s="1"/>
  <c r="X141" i="2" s="1"/>
  <c r="Y141" i="2" s="1"/>
  <c r="Z141" i="2" s="1"/>
  <c r="AA141" i="2" s="1"/>
  <c r="AB141" i="2" s="1"/>
  <c r="AC141" i="2" s="1"/>
  <c r="AD141" i="2" s="1"/>
  <c r="AE141" i="2" s="1"/>
  <c r="AF141" i="2" s="1"/>
  <c r="B141" i="2" s="1"/>
  <c r="D141" i="2"/>
  <c r="E141" i="2" s="1"/>
  <c r="F141" i="2" s="1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T141" i="2" s="1"/>
  <c r="W140" i="2"/>
  <c r="X140" i="2" s="1"/>
  <c r="Y140" i="2" s="1"/>
  <c r="Z140" i="2" s="1"/>
  <c r="AA140" i="2" s="1"/>
  <c r="AB140" i="2" s="1"/>
  <c r="AC140" i="2" s="1"/>
  <c r="AD140" i="2" s="1"/>
  <c r="AE140" i="2" s="1"/>
  <c r="AF140" i="2" s="1"/>
  <c r="B140" i="2" s="1"/>
  <c r="E140" i="2"/>
  <c r="F140" i="2" s="1"/>
  <c r="G140" i="2" s="1"/>
  <c r="H140" i="2" s="1"/>
  <c r="I140" i="2" s="1"/>
  <c r="J140" i="2" s="1"/>
  <c r="K140" i="2" s="1"/>
  <c r="L140" i="2" s="1"/>
  <c r="M140" i="2" s="1"/>
  <c r="N140" i="2" s="1"/>
  <c r="O140" i="2" s="1"/>
  <c r="P140" i="2" s="1"/>
  <c r="Q140" i="2" s="1"/>
  <c r="R140" i="2" s="1"/>
  <c r="S140" i="2" s="1"/>
  <c r="T140" i="2" s="1"/>
  <c r="U140" i="2" s="1"/>
  <c r="V140" i="2" s="1"/>
  <c r="D140" i="2"/>
  <c r="H138" i="2"/>
  <c r="I138" i="2" s="1"/>
  <c r="J138" i="2" s="1"/>
  <c r="K138" i="2" s="1"/>
  <c r="L138" i="2" s="1"/>
  <c r="M138" i="2" s="1"/>
  <c r="N138" i="2" s="1"/>
  <c r="O138" i="2" s="1"/>
  <c r="P138" i="2" s="1"/>
  <c r="Q138" i="2" s="1"/>
  <c r="R138" i="2" s="1"/>
  <c r="S138" i="2" s="1"/>
  <c r="T138" i="2" s="1"/>
  <c r="U138" i="2" s="1"/>
  <c r="V138" i="2" s="1"/>
  <c r="W138" i="2" s="1"/>
  <c r="X138" i="2" s="1"/>
  <c r="Y138" i="2" s="1"/>
  <c r="Z138" i="2" s="1"/>
  <c r="AA138" i="2" s="1"/>
  <c r="AB138" i="2" s="1"/>
  <c r="AC138" i="2" s="1"/>
  <c r="AD138" i="2" s="1"/>
  <c r="AE138" i="2" s="1"/>
  <c r="AF138" i="2" s="1"/>
  <c r="B138" i="2" s="1"/>
  <c r="D138" i="2"/>
  <c r="E138" i="2" s="1"/>
  <c r="F138" i="2" s="1"/>
  <c r="G138" i="2" s="1"/>
  <c r="H137" i="2"/>
  <c r="I137" i="2" s="1"/>
  <c r="J137" i="2" s="1"/>
  <c r="K137" i="2" s="1"/>
  <c r="L137" i="2" s="1"/>
  <c r="M137" i="2" s="1"/>
  <c r="N137" i="2" s="1"/>
  <c r="O137" i="2" s="1"/>
  <c r="P137" i="2" s="1"/>
  <c r="Q137" i="2" s="1"/>
  <c r="R137" i="2" s="1"/>
  <c r="S137" i="2" s="1"/>
  <c r="T137" i="2" s="1"/>
  <c r="U137" i="2" s="1"/>
  <c r="V137" i="2" s="1"/>
  <c r="W137" i="2" s="1"/>
  <c r="X137" i="2" s="1"/>
  <c r="Y137" i="2" s="1"/>
  <c r="Z137" i="2" s="1"/>
  <c r="AA137" i="2" s="1"/>
  <c r="AB137" i="2" s="1"/>
  <c r="AC137" i="2" s="1"/>
  <c r="AD137" i="2" s="1"/>
  <c r="AE137" i="2" s="1"/>
  <c r="AF137" i="2" s="1"/>
  <c r="B137" i="2" s="1"/>
  <c r="F137" i="2"/>
  <c r="G137" i="2" s="1"/>
  <c r="E137" i="2"/>
  <c r="D137" i="2"/>
  <c r="E136" i="2"/>
  <c r="F136" i="2" s="1"/>
  <c r="G136" i="2" s="1"/>
  <c r="H136" i="2" s="1"/>
  <c r="I136" i="2" s="1"/>
  <c r="J136" i="2" s="1"/>
  <c r="K136" i="2" s="1"/>
  <c r="L136" i="2" s="1"/>
  <c r="M136" i="2" s="1"/>
  <c r="N136" i="2" s="1"/>
  <c r="O136" i="2" s="1"/>
  <c r="P136" i="2" s="1"/>
  <c r="Q136" i="2" s="1"/>
  <c r="R136" i="2" s="1"/>
  <c r="S136" i="2" s="1"/>
  <c r="T136" i="2" s="1"/>
  <c r="U136" i="2" s="1"/>
  <c r="V136" i="2" s="1"/>
  <c r="W136" i="2" s="1"/>
  <c r="X136" i="2" s="1"/>
  <c r="Y136" i="2" s="1"/>
  <c r="Z136" i="2" s="1"/>
  <c r="AA136" i="2" s="1"/>
  <c r="AB136" i="2" s="1"/>
  <c r="AC136" i="2" s="1"/>
  <c r="AD136" i="2" s="1"/>
  <c r="AE136" i="2" s="1"/>
  <c r="AF136" i="2" s="1"/>
  <c r="B136" i="2" s="1"/>
  <c r="D136" i="2"/>
  <c r="L135" i="2"/>
  <c r="M135" i="2" s="1"/>
  <c r="N135" i="2" s="1"/>
  <c r="O135" i="2" s="1"/>
  <c r="P135" i="2" s="1"/>
  <c r="Q135" i="2" s="1"/>
  <c r="R135" i="2" s="1"/>
  <c r="S135" i="2" s="1"/>
  <c r="T135" i="2" s="1"/>
  <c r="U135" i="2" s="1"/>
  <c r="V135" i="2" s="1"/>
  <c r="W135" i="2" s="1"/>
  <c r="X135" i="2" s="1"/>
  <c r="Y135" i="2" s="1"/>
  <c r="Z135" i="2" s="1"/>
  <c r="AA135" i="2" s="1"/>
  <c r="AB135" i="2" s="1"/>
  <c r="AC135" i="2" s="1"/>
  <c r="AD135" i="2" s="1"/>
  <c r="AE135" i="2" s="1"/>
  <c r="AF135" i="2" s="1"/>
  <c r="B135" i="2" s="1"/>
  <c r="K135" i="2"/>
  <c r="F135" i="2"/>
  <c r="G135" i="2" s="1"/>
  <c r="H135" i="2" s="1"/>
  <c r="I135" i="2" s="1"/>
  <c r="J135" i="2" s="1"/>
  <c r="D135" i="2"/>
  <c r="E135" i="2" s="1"/>
  <c r="H134" i="2"/>
  <c r="I134" i="2" s="1"/>
  <c r="J134" i="2" s="1"/>
  <c r="K134" i="2" s="1"/>
  <c r="L134" i="2" s="1"/>
  <c r="M134" i="2" s="1"/>
  <c r="N134" i="2" s="1"/>
  <c r="O134" i="2" s="1"/>
  <c r="P134" i="2" s="1"/>
  <c r="Q134" i="2" s="1"/>
  <c r="R134" i="2" s="1"/>
  <c r="S134" i="2" s="1"/>
  <c r="T134" i="2" s="1"/>
  <c r="U134" i="2" s="1"/>
  <c r="V134" i="2" s="1"/>
  <c r="W134" i="2" s="1"/>
  <c r="X134" i="2" s="1"/>
  <c r="Y134" i="2" s="1"/>
  <c r="Z134" i="2" s="1"/>
  <c r="AA134" i="2" s="1"/>
  <c r="AB134" i="2" s="1"/>
  <c r="AC134" i="2" s="1"/>
  <c r="AD134" i="2" s="1"/>
  <c r="AE134" i="2" s="1"/>
  <c r="AF134" i="2" s="1"/>
  <c r="B134" i="2" s="1"/>
  <c r="D134" i="2"/>
  <c r="E134" i="2" s="1"/>
  <c r="F134" i="2" s="1"/>
  <c r="G134" i="2" s="1"/>
  <c r="G133" i="2"/>
  <c r="H133" i="2" s="1"/>
  <c r="I133" i="2" s="1"/>
  <c r="J133" i="2" s="1"/>
  <c r="K133" i="2" s="1"/>
  <c r="L133" i="2" s="1"/>
  <c r="M133" i="2" s="1"/>
  <c r="N133" i="2" s="1"/>
  <c r="O133" i="2" s="1"/>
  <c r="P133" i="2" s="1"/>
  <c r="Q133" i="2" s="1"/>
  <c r="R133" i="2" s="1"/>
  <c r="S133" i="2" s="1"/>
  <c r="T133" i="2" s="1"/>
  <c r="U133" i="2" s="1"/>
  <c r="V133" i="2" s="1"/>
  <c r="W133" i="2" s="1"/>
  <c r="X133" i="2" s="1"/>
  <c r="Y133" i="2" s="1"/>
  <c r="Z133" i="2" s="1"/>
  <c r="AA133" i="2" s="1"/>
  <c r="AB133" i="2" s="1"/>
  <c r="AC133" i="2" s="1"/>
  <c r="AD133" i="2" s="1"/>
  <c r="AE133" i="2" s="1"/>
  <c r="AF133" i="2" s="1"/>
  <c r="B133" i="2" s="1"/>
  <c r="F133" i="2"/>
  <c r="D133" i="2"/>
  <c r="E133" i="2" s="1"/>
  <c r="R132" i="2"/>
  <c r="S132" i="2" s="1"/>
  <c r="T132" i="2" s="1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B132" i="2" s="1"/>
  <c r="E132" i="2"/>
  <c r="F132" i="2" s="1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D132" i="2"/>
  <c r="H131" i="2"/>
  <c r="I131" i="2" s="1"/>
  <c r="J131" i="2" s="1"/>
  <c r="K131" i="2" s="1"/>
  <c r="L131" i="2" s="1"/>
  <c r="M131" i="2" s="1"/>
  <c r="N131" i="2" s="1"/>
  <c r="O131" i="2" s="1"/>
  <c r="P131" i="2" s="1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AA131" i="2" s="1"/>
  <c r="AB131" i="2" s="1"/>
  <c r="AC131" i="2" s="1"/>
  <c r="AD131" i="2" s="1"/>
  <c r="AE131" i="2" s="1"/>
  <c r="AF131" i="2" s="1"/>
  <c r="B131" i="2" s="1"/>
  <c r="G131" i="2"/>
  <c r="E131" i="2"/>
  <c r="F131" i="2" s="1"/>
  <c r="D131" i="2"/>
  <c r="F129" i="2"/>
  <c r="G129" i="2" s="1"/>
  <c r="H129" i="2" s="1"/>
  <c r="I129" i="2" s="1"/>
  <c r="J129" i="2" s="1"/>
  <c r="K129" i="2" s="1"/>
  <c r="L129" i="2" s="1"/>
  <c r="M129" i="2" s="1"/>
  <c r="N129" i="2" s="1"/>
  <c r="O129" i="2" s="1"/>
  <c r="P129" i="2" s="1"/>
  <c r="Q129" i="2" s="1"/>
  <c r="R129" i="2" s="1"/>
  <c r="S129" i="2" s="1"/>
  <c r="T129" i="2" s="1"/>
  <c r="U129" i="2" s="1"/>
  <c r="V129" i="2" s="1"/>
  <c r="W129" i="2" s="1"/>
  <c r="X129" i="2" s="1"/>
  <c r="Y129" i="2" s="1"/>
  <c r="Z129" i="2" s="1"/>
  <c r="AA129" i="2" s="1"/>
  <c r="AB129" i="2" s="1"/>
  <c r="AC129" i="2" s="1"/>
  <c r="AD129" i="2" s="1"/>
  <c r="AE129" i="2" s="1"/>
  <c r="AF129" i="2" s="1"/>
  <c r="B129" i="2" s="1"/>
  <c r="E129" i="2"/>
  <c r="D129" i="2"/>
  <c r="N128" i="2"/>
  <c r="O128" i="2" s="1"/>
  <c r="P128" i="2" s="1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AA128" i="2" s="1"/>
  <c r="AB128" i="2" s="1"/>
  <c r="AC128" i="2" s="1"/>
  <c r="AD128" i="2" s="1"/>
  <c r="AE128" i="2" s="1"/>
  <c r="AF128" i="2" s="1"/>
  <c r="B128" i="2" s="1"/>
  <c r="D128" i="2"/>
  <c r="E128" i="2" s="1"/>
  <c r="F128" i="2" s="1"/>
  <c r="G128" i="2" s="1"/>
  <c r="H128" i="2" s="1"/>
  <c r="I128" i="2" s="1"/>
  <c r="J128" i="2" s="1"/>
  <c r="K128" i="2" s="1"/>
  <c r="L128" i="2" s="1"/>
  <c r="M128" i="2" s="1"/>
  <c r="D127" i="2"/>
  <c r="E127" i="2" s="1"/>
  <c r="F127" i="2" s="1"/>
  <c r="G127" i="2" s="1"/>
  <c r="H127" i="2" s="1"/>
  <c r="I127" i="2" s="1"/>
  <c r="J127" i="2" s="1"/>
  <c r="K127" i="2" s="1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B127" i="2" s="1"/>
  <c r="D126" i="2"/>
  <c r="E126" i="2" s="1"/>
  <c r="F126" i="2" s="1"/>
  <c r="G126" i="2" s="1"/>
  <c r="H126" i="2" s="1"/>
  <c r="I126" i="2" s="1"/>
  <c r="J126" i="2" s="1"/>
  <c r="K126" i="2" s="1"/>
  <c r="L126" i="2" s="1"/>
  <c r="M126" i="2" s="1"/>
  <c r="N126" i="2" s="1"/>
  <c r="O126" i="2" s="1"/>
  <c r="P126" i="2" s="1"/>
  <c r="Q126" i="2" s="1"/>
  <c r="R126" i="2" s="1"/>
  <c r="S126" i="2" s="1"/>
  <c r="T126" i="2" s="1"/>
  <c r="U126" i="2" s="1"/>
  <c r="V126" i="2" s="1"/>
  <c r="W126" i="2" s="1"/>
  <c r="X126" i="2" s="1"/>
  <c r="Y126" i="2" s="1"/>
  <c r="Z126" i="2" s="1"/>
  <c r="AA126" i="2" s="1"/>
  <c r="AB126" i="2" s="1"/>
  <c r="AC126" i="2" s="1"/>
  <c r="AD126" i="2" s="1"/>
  <c r="AE126" i="2" s="1"/>
  <c r="AF126" i="2" s="1"/>
  <c r="B126" i="2" s="1"/>
  <c r="T125" i="2"/>
  <c r="U125" i="2" s="1"/>
  <c r="V125" i="2" s="1"/>
  <c r="W125" i="2" s="1"/>
  <c r="X125" i="2" s="1"/>
  <c r="Y125" i="2" s="1"/>
  <c r="Z125" i="2" s="1"/>
  <c r="AA125" i="2" s="1"/>
  <c r="AB125" i="2" s="1"/>
  <c r="AC125" i="2" s="1"/>
  <c r="AD125" i="2" s="1"/>
  <c r="AE125" i="2" s="1"/>
  <c r="AF125" i="2" s="1"/>
  <c r="B125" i="2" s="1"/>
  <c r="H125" i="2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G125" i="2"/>
  <c r="F125" i="2"/>
  <c r="E125" i="2"/>
  <c r="D125" i="2"/>
  <c r="F124" i="2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B124" i="2" s="1"/>
  <c r="E124" i="2"/>
  <c r="D124" i="2"/>
  <c r="N123" i="2"/>
  <c r="O123" i="2" s="1"/>
  <c r="P123" i="2" s="1"/>
  <c r="Q123" i="2" s="1"/>
  <c r="R123" i="2" s="1"/>
  <c r="S123" i="2" s="1"/>
  <c r="T123" i="2" s="1"/>
  <c r="U123" i="2" s="1"/>
  <c r="V123" i="2" s="1"/>
  <c r="W123" i="2" s="1"/>
  <c r="X123" i="2" s="1"/>
  <c r="Y123" i="2" s="1"/>
  <c r="Z123" i="2" s="1"/>
  <c r="AA123" i="2" s="1"/>
  <c r="AB123" i="2" s="1"/>
  <c r="AC123" i="2" s="1"/>
  <c r="AD123" i="2" s="1"/>
  <c r="AE123" i="2" s="1"/>
  <c r="AF123" i="2" s="1"/>
  <c r="B123" i="2" s="1"/>
  <c r="D123" i="2"/>
  <c r="E123" i="2" s="1"/>
  <c r="F123" i="2" s="1"/>
  <c r="G123" i="2" s="1"/>
  <c r="H123" i="2" s="1"/>
  <c r="I123" i="2" s="1"/>
  <c r="J123" i="2" s="1"/>
  <c r="K123" i="2" s="1"/>
  <c r="L123" i="2" s="1"/>
  <c r="M123" i="2" s="1"/>
  <c r="F122" i="2"/>
  <c r="G122" i="2" s="1"/>
  <c r="H122" i="2" s="1"/>
  <c r="I122" i="2" s="1"/>
  <c r="J122" i="2" s="1"/>
  <c r="K122" i="2" s="1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B122" i="2" s="1"/>
  <c r="D122" i="2"/>
  <c r="E122" i="2" s="1"/>
  <c r="D121" i="2"/>
  <c r="E121" i="2" s="1"/>
  <c r="F121" i="2" s="1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B121" i="2" s="1"/>
  <c r="F120" i="2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B120" i="2" s="1"/>
  <c r="E120" i="2"/>
  <c r="D120" i="2"/>
  <c r="F119" i="2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AA119" i="2" s="1"/>
  <c r="AB119" i="2" s="1"/>
  <c r="AC119" i="2" s="1"/>
  <c r="AD119" i="2" s="1"/>
  <c r="AE119" i="2" s="1"/>
  <c r="AF119" i="2" s="1"/>
  <c r="B119" i="2" s="1"/>
  <c r="D119" i="2"/>
  <c r="E119" i="2" s="1"/>
  <c r="F118" i="2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B118" i="2" s="1"/>
  <c r="D118" i="2"/>
  <c r="E118" i="2" s="1"/>
  <c r="E117" i="2"/>
  <c r="F117" i="2" s="1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AA117" i="2" s="1"/>
  <c r="AB117" i="2" s="1"/>
  <c r="AC117" i="2" s="1"/>
  <c r="AD117" i="2" s="1"/>
  <c r="AE117" i="2" s="1"/>
  <c r="AF117" i="2" s="1"/>
  <c r="B117" i="2" s="1"/>
  <c r="D117" i="2"/>
  <c r="D116" i="2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V116" i="2" s="1"/>
  <c r="W116" i="2" s="1"/>
  <c r="X116" i="2" s="1"/>
  <c r="Y116" i="2" s="1"/>
  <c r="Z116" i="2" s="1"/>
  <c r="AA116" i="2" s="1"/>
  <c r="AB116" i="2" s="1"/>
  <c r="AC116" i="2" s="1"/>
  <c r="AD116" i="2" s="1"/>
  <c r="AE116" i="2" s="1"/>
  <c r="AF116" i="2" s="1"/>
  <c r="B116" i="2" s="1"/>
  <c r="E115" i="2"/>
  <c r="D115" i="2"/>
  <c r="K114" i="2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AA114" i="2" s="1"/>
  <c r="AB114" i="2" s="1"/>
  <c r="AC114" i="2" s="1"/>
  <c r="AD114" i="2" s="1"/>
  <c r="AE114" i="2" s="1"/>
  <c r="AF114" i="2" s="1"/>
  <c r="B114" i="2" s="1"/>
  <c r="D114" i="2"/>
  <c r="E114" i="2" s="1"/>
  <c r="F114" i="2" s="1"/>
  <c r="G114" i="2" s="1"/>
  <c r="H114" i="2" s="1"/>
  <c r="I114" i="2" s="1"/>
  <c r="D113" i="2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AA113" i="2" s="1"/>
  <c r="AB113" i="2" s="1"/>
  <c r="AC113" i="2" s="1"/>
  <c r="AD113" i="2" s="1"/>
  <c r="AE113" i="2" s="1"/>
  <c r="AF113" i="2" s="1"/>
  <c r="B113" i="2" s="1"/>
  <c r="G112" i="2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B112" i="2" s="1"/>
  <c r="F112" i="2"/>
  <c r="E112" i="2"/>
  <c r="D112" i="2"/>
  <c r="E110" i="2"/>
  <c r="F110" i="2" s="1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B110" i="2" s="1"/>
  <c r="D110" i="2"/>
  <c r="J109" i="2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B109" i="2" s="1"/>
  <c r="D109" i="2"/>
  <c r="E109" i="2" s="1"/>
  <c r="F109" i="2" s="1"/>
  <c r="G109" i="2" s="1"/>
  <c r="H109" i="2" s="1"/>
  <c r="I109" i="2" s="1"/>
  <c r="D107" i="2"/>
  <c r="E107" i="2" s="1"/>
  <c r="F107" i="2" s="1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AC107" i="2" s="1"/>
  <c r="AD107" i="2" s="1"/>
  <c r="AE107" i="2" s="1"/>
  <c r="AF107" i="2" s="1"/>
  <c r="B107" i="2" s="1"/>
  <c r="G106" i="2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B106" i="2" s="1"/>
  <c r="F106" i="2"/>
  <c r="E106" i="2"/>
  <c r="D106" i="2"/>
  <c r="E105" i="2"/>
  <c r="F105" i="2" s="1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 s="1"/>
  <c r="AE105" i="2" s="1"/>
  <c r="AF105" i="2" s="1"/>
  <c r="B105" i="2" s="1"/>
  <c r="D105" i="2"/>
  <c r="D104" i="2"/>
  <c r="E104" i="2" s="1"/>
  <c r="F104" i="2" s="1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AC104" i="2" s="1"/>
  <c r="AD104" i="2" s="1"/>
  <c r="AE104" i="2" s="1"/>
  <c r="AF104" i="2" s="1"/>
  <c r="B104" i="2" s="1"/>
  <c r="D103" i="2"/>
  <c r="E103" i="2" s="1"/>
  <c r="F103" i="2" s="1"/>
  <c r="F102" i="2"/>
  <c r="E102" i="2"/>
  <c r="D102" i="2"/>
  <c r="AH98" i="2"/>
  <c r="AI98" i="2" s="1"/>
  <c r="AH97" i="2"/>
  <c r="AI97" i="2" s="1"/>
  <c r="AH96" i="2"/>
  <c r="AI96" i="2" s="1"/>
  <c r="AH95" i="2"/>
  <c r="AI95" i="2" s="1"/>
  <c r="AI94" i="2"/>
  <c r="AH94" i="2"/>
  <c r="D93" i="2"/>
  <c r="C93" i="2"/>
  <c r="AI91" i="2"/>
  <c r="AH91" i="2"/>
  <c r="AI90" i="2"/>
  <c r="AH90" i="2"/>
  <c r="AI89" i="2"/>
  <c r="AH89" i="2"/>
  <c r="AI88" i="2"/>
  <c r="AH88" i="2"/>
  <c r="AI87" i="2"/>
  <c r="AH87" i="2"/>
  <c r="AI86" i="2"/>
  <c r="AH86" i="2"/>
  <c r="AI85" i="2"/>
  <c r="AH85" i="2"/>
  <c r="AI84" i="2"/>
  <c r="AH84" i="2"/>
  <c r="AG82" i="2"/>
  <c r="AE82" i="2"/>
  <c r="W82" i="2"/>
  <c r="O82" i="2"/>
  <c r="G82" i="2"/>
  <c r="AI81" i="2"/>
  <c r="AH81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H80" i="2" s="1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H79" i="2" s="1"/>
  <c r="B79" i="2"/>
  <c r="AI79" i="2" s="1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I78" i="2" s="1"/>
  <c r="AF77" i="2"/>
  <c r="AE77" i="2"/>
  <c r="AD77" i="2"/>
  <c r="AC77" i="2"/>
  <c r="AC82" i="2" s="1"/>
  <c r="AB77" i="2"/>
  <c r="AA77" i="2"/>
  <c r="AA82" i="2" s="1"/>
  <c r="Z77" i="2"/>
  <c r="Y77" i="2"/>
  <c r="X77" i="2"/>
  <c r="W77" i="2"/>
  <c r="V77" i="2"/>
  <c r="U77" i="2"/>
  <c r="U82" i="2" s="1"/>
  <c r="T77" i="2"/>
  <c r="S77" i="2"/>
  <c r="S82" i="2" s="1"/>
  <c r="R77" i="2"/>
  <c r="Q77" i="2"/>
  <c r="P77" i="2"/>
  <c r="O77" i="2"/>
  <c r="N77" i="2"/>
  <c r="M77" i="2"/>
  <c r="M82" i="2" s="1"/>
  <c r="L77" i="2"/>
  <c r="K77" i="2"/>
  <c r="K82" i="2" s="1"/>
  <c r="J77" i="2"/>
  <c r="I77" i="2"/>
  <c r="H77" i="2"/>
  <c r="G77" i="2"/>
  <c r="F77" i="2"/>
  <c r="E77" i="2"/>
  <c r="E82" i="2" s="1"/>
  <c r="D77" i="2"/>
  <c r="C77" i="2"/>
  <c r="C82" i="2" s="1"/>
  <c r="B77" i="2"/>
  <c r="AI77" i="2" s="1"/>
  <c r="AF76" i="2"/>
  <c r="AF82" i="2" s="1"/>
  <c r="AE76" i="2"/>
  <c r="AD76" i="2"/>
  <c r="AD82" i="2" s="1"/>
  <c r="AC76" i="2"/>
  <c r="AB76" i="2"/>
  <c r="AB82" i="2" s="1"/>
  <c r="AA76" i="2"/>
  <c r="Z76" i="2"/>
  <c r="Z82" i="2" s="1"/>
  <c r="Y76" i="2"/>
  <c r="Y82" i="2" s="1"/>
  <c r="X76" i="2"/>
  <c r="X82" i="2" s="1"/>
  <c r="W76" i="2"/>
  <c r="V76" i="2"/>
  <c r="V82" i="2" s="1"/>
  <c r="U76" i="2"/>
  <c r="T76" i="2"/>
  <c r="T82" i="2" s="1"/>
  <c r="S76" i="2"/>
  <c r="R76" i="2"/>
  <c r="R82" i="2" s="1"/>
  <c r="Q76" i="2"/>
  <c r="Q82" i="2" s="1"/>
  <c r="P76" i="2"/>
  <c r="P82" i="2" s="1"/>
  <c r="O76" i="2"/>
  <c r="N76" i="2"/>
  <c r="N82" i="2" s="1"/>
  <c r="M76" i="2"/>
  <c r="L76" i="2"/>
  <c r="L82" i="2" s="1"/>
  <c r="K76" i="2"/>
  <c r="J76" i="2"/>
  <c r="J82" i="2" s="1"/>
  <c r="I76" i="2"/>
  <c r="I82" i="2" s="1"/>
  <c r="H76" i="2"/>
  <c r="H82" i="2" s="1"/>
  <c r="G76" i="2"/>
  <c r="F76" i="2"/>
  <c r="F82" i="2" s="1"/>
  <c r="E76" i="2"/>
  <c r="D76" i="2"/>
  <c r="D82" i="2" s="1"/>
  <c r="C76" i="2"/>
  <c r="B76" i="2"/>
  <c r="AI76" i="2" s="1"/>
  <c r="P75" i="2"/>
  <c r="AH214" i="2" s="1"/>
  <c r="H75" i="2"/>
  <c r="Z214" i="2" s="1"/>
  <c r="AI74" i="2"/>
  <c r="AH74" i="2"/>
  <c r="Z73" i="2"/>
  <c r="T73" i="2"/>
  <c r="R73" i="2"/>
  <c r="L73" i="2"/>
  <c r="J73" i="2"/>
  <c r="D73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O75" i="2" s="1"/>
  <c r="N72" i="2"/>
  <c r="N75" i="2" s="1"/>
  <c r="M72" i="2"/>
  <c r="M75" i="2" s="1"/>
  <c r="L72" i="2"/>
  <c r="K72" i="2"/>
  <c r="J72" i="2"/>
  <c r="I72" i="2"/>
  <c r="H72" i="2"/>
  <c r="G72" i="2"/>
  <c r="G75" i="2" s="1"/>
  <c r="F72" i="2"/>
  <c r="F75" i="2" s="1"/>
  <c r="E72" i="2"/>
  <c r="E75" i="2" s="1"/>
  <c r="D72" i="2"/>
  <c r="C72" i="2"/>
  <c r="B72" i="2"/>
  <c r="AI71" i="2"/>
  <c r="AH71" i="2"/>
  <c r="AI70" i="2"/>
  <c r="AH70" i="2"/>
  <c r="AI69" i="2"/>
  <c r="AH69" i="2"/>
  <c r="AG68" i="2"/>
  <c r="AG73" i="2" s="1"/>
  <c r="AF68" i="2"/>
  <c r="AE68" i="2"/>
  <c r="AD68" i="2"/>
  <c r="AC5" i="2" s="1"/>
  <c r="AC68" i="2"/>
  <c r="AB68" i="2"/>
  <c r="AA5" i="2" s="1"/>
  <c r="AA68" i="2"/>
  <c r="Z68" i="2"/>
  <c r="Y68" i="2"/>
  <c r="X68" i="2"/>
  <c r="W68" i="2"/>
  <c r="V68" i="2"/>
  <c r="U5" i="2" s="1"/>
  <c r="U68" i="2"/>
  <c r="T68" i="2"/>
  <c r="S5" i="2" s="1"/>
  <c r="S68" i="2"/>
  <c r="S73" i="2" s="1"/>
  <c r="R68" i="2"/>
  <c r="Q68" i="2"/>
  <c r="Q73" i="2" s="1"/>
  <c r="P68" i="2"/>
  <c r="O68" i="2"/>
  <c r="O73" i="2" s="1"/>
  <c r="N68" i="2"/>
  <c r="M5" i="2" s="1"/>
  <c r="M68" i="2"/>
  <c r="L68" i="2"/>
  <c r="K5" i="2" s="1"/>
  <c r="K68" i="2"/>
  <c r="K73" i="2" s="1"/>
  <c r="J68" i="2"/>
  <c r="I68" i="2"/>
  <c r="I73" i="2" s="1"/>
  <c r="H68" i="2"/>
  <c r="G68" i="2"/>
  <c r="G73" i="2" s="1"/>
  <c r="F68" i="2"/>
  <c r="E5" i="2" s="1"/>
  <c r="E68" i="2"/>
  <c r="D68" i="2"/>
  <c r="C5" i="2" s="1"/>
  <c r="C68" i="2"/>
  <c r="C73" i="2" s="1"/>
  <c r="B68" i="2"/>
  <c r="AI68" i="2" s="1"/>
  <c r="AI67" i="2"/>
  <c r="AH67" i="2"/>
  <c r="AI66" i="2"/>
  <c r="AH66" i="2"/>
  <c r="AI65" i="2"/>
  <c r="AH65" i="2"/>
  <c r="AI64" i="2"/>
  <c r="AH64" i="2"/>
  <c r="AI63" i="2"/>
  <c r="AH63" i="2"/>
  <c r="AI62" i="2"/>
  <c r="AH62" i="2"/>
  <c r="AI61" i="2"/>
  <c r="AH61" i="2"/>
  <c r="AI60" i="2"/>
  <c r="AH60" i="2"/>
  <c r="AI59" i="2"/>
  <c r="AH59" i="2"/>
  <c r="AI58" i="2"/>
  <c r="AH58" i="2"/>
  <c r="AI57" i="2"/>
  <c r="AH57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I56" i="2" s="1"/>
  <c r="AI55" i="2"/>
  <c r="AH55" i="2"/>
  <c r="AI54" i="2"/>
  <c r="AH54" i="2"/>
  <c r="AI53" i="2"/>
  <c r="AH53" i="2"/>
  <c r="Z52" i="2"/>
  <c r="T52" i="2"/>
  <c r="S52" i="2"/>
  <c r="R52" i="2"/>
  <c r="Q52" i="2"/>
  <c r="P52" i="2"/>
  <c r="P73" i="2" s="1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G51" i="2"/>
  <c r="AG52" i="2" s="1"/>
  <c r="AG3" i="2" s="1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G38" i="2"/>
  <c r="AG2" i="2" s="1"/>
  <c r="AG6" i="2" s="1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S75" i="2" s="1"/>
  <c r="R38" i="2"/>
  <c r="Q38" i="2"/>
  <c r="P38" i="2"/>
  <c r="O38" i="2"/>
  <c r="N38" i="2"/>
  <c r="M38" i="2"/>
  <c r="M73" i="2" s="1"/>
  <c r="L38" i="2"/>
  <c r="K38" i="2"/>
  <c r="K75" i="2" s="1"/>
  <c r="J38" i="2"/>
  <c r="I38" i="2"/>
  <c r="H38" i="2"/>
  <c r="H73" i="2" s="1"/>
  <c r="G38" i="2"/>
  <c r="F38" i="2"/>
  <c r="E38" i="2"/>
  <c r="E73" i="2" s="1"/>
  <c r="D38" i="2"/>
  <c r="C38" i="2"/>
  <c r="AI38" i="2" s="1"/>
  <c r="B38" i="2"/>
  <c r="AH38" i="2" s="1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AF5" i="2"/>
  <c r="AE5" i="2"/>
  <c r="AD5" i="2"/>
  <c r="AB5" i="2"/>
  <c r="Z5" i="2"/>
  <c r="Y5" i="2"/>
  <c r="X5" i="2"/>
  <c r="W5" i="2"/>
  <c r="V5" i="2"/>
  <c r="T5" i="2"/>
  <c r="R5" i="2"/>
  <c r="Q5" i="2"/>
  <c r="P5" i="2"/>
  <c r="O5" i="2"/>
  <c r="N5" i="2"/>
  <c r="L5" i="2"/>
  <c r="J5" i="2"/>
  <c r="I5" i="2"/>
  <c r="H5" i="2"/>
  <c r="G5" i="2"/>
  <c r="F5" i="2"/>
  <c r="D5" i="2"/>
  <c r="B5" i="2"/>
  <c r="AG4" i="2"/>
  <c r="K4" i="2"/>
  <c r="E4" i="1"/>
  <c r="E4" i="2"/>
  <c r="H4" i="2" l="1"/>
  <c r="H83" i="2"/>
  <c r="P83" i="2"/>
  <c r="AC214" i="2"/>
  <c r="K7" i="2"/>
  <c r="K83" i="2"/>
  <c r="AK214" i="2"/>
  <c r="S7" i="2"/>
  <c r="S83" i="2"/>
  <c r="W214" i="2"/>
  <c r="E7" i="2"/>
  <c r="X214" i="2"/>
  <c r="F7" i="2"/>
  <c r="AF214" i="2"/>
  <c r="N7" i="2"/>
  <c r="E93" i="2"/>
  <c r="I83" i="2"/>
  <c r="AG83" i="2"/>
  <c r="C83" i="2"/>
  <c r="C75" i="2"/>
  <c r="AE214" i="2"/>
  <c r="M7" i="2"/>
  <c r="E83" i="2"/>
  <c r="M83" i="2"/>
  <c r="Y214" i="2"/>
  <c r="G7" i="2"/>
  <c r="AG214" i="2"/>
  <c r="O7" i="2"/>
  <c r="AI80" i="2"/>
  <c r="I75" i="2"/>
  <c r="Q75" i="2"/>
  <c r="Q83" i="2" s="1"/>
  <c r="AG75" i="2"/>
  <c r="N83" i="2"/>
  <c r="F115" i="2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B115" i="2" s="1"/>
  <c r="F73" i="2"/>
  <c r="F83" i="2" s="1"/>
  <c r="N73" i="2"/>
  <c r="J75" i="2"/>
  <c r="J83" i="2" s="1"/>
  <c r="R75" i="2"/>
  <c r="Z75" i="2"/>
  <c r="Z83" i="2" s="1"/>
  <c r="G83" i="2"/>
  <c r="O83" i="2"/>
  <c r="G103" i="2"/>
  <c r="AH76" i="2"/>
  <c r="B82" i="2"/>
  <c r="P7" i="2"/>
  <c r="AH72" i="2"/>
  <c r="D75" i="2"/>
  <c r="L75" i="2"/>
  <c r="T75" i="2"/>
  <c r="AH77" i="2"/>
  <c r="H7" i="2"/>
  <c r="AH56" i="2"/>
  <c r="AH68" i="2"/>
  <c r="AI72" i="2"/>
  <c r="AH78" i="2"/>
  <c r="E192" i="2"/>
  <c r="F192" i="2"/>
  <c r="S211" i="2"/>
  <c r="D211" i="2"/>
  <c r="G102" i="2"/>
  <c r="D192" i="2"/>
  <c r="D200" i="2"/>
  <c r="E194" i="2"/>
  <c r="G199" i="2"/>
  <c r="H4" i="1"/>
  <c r="K4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I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AA38" i="1"/>
  <c r="AB38" i="1"/>
  <c r="AC38" i="1"/>
  <c r="AD38" i="1"/>
  <c r="AE38" i="1"/>
  <c r="AF38" i="1"/>
  <c r="AG38" i="1"/>
  <c r="AG2" i="1" s="1"/>
  <c r="AH39" i="1"/>
  <c r="AI39" i="1"/>
  <c r="AH40" i="1"/>
  <c r="AI40" i="1"/>
  <c r="AH41" i="1"/>
  <c r="AI41" i="1"/>
  <c r="AH42" i="1"/>
  <c r="AI42" i="1"/>
  <c r="AH43" i="1"/>
  <c r="AI43" i="1"/>
  <c r="AH44" i="1"/>
  <c r="AI44" i="1"/>
  <c r="AH45" i="1"/>
  <c r="AI45" i="1"/>
  <c r="AH46" i="1"/>
  <c r="AI46" i="1"/>
  <c r="AH47" i="1"/>
  <c r="AI47" i="1"/>
  <c r="AH48" i="1"/>
  <c r="AI48" i="1"/>
  <c r="AH49" i="1"/>
  <c r="AI49" i="1"/>
  <c r="AH50" i="1"/>
  <c r="AI50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Z52" i="1"/>
  <c r="AH53" i="1"/>
  <c r="AI53" i="1"/>
  <c r="AH54" i="1"/>
  <c r="AI54" i="1"/>
  <c r="AH55" i="1"/>
  <c r="AI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AA56" i="1"/>
  <c r="AB56" i="1"/>
  <c r="AC56" i="1"/>
  <c r="AD56" i="1"/>
  <c r="AE56" i="1"/>
  <c r="AF56" i="1"/>
  <c r="AG56" i="1"/>
  <c r="AG4" i="1" s="1"/>
  <c r="AH57" i="1"/>
  <c r="AI57" i="1"/>
  <c r="AH58" i="1"/>
  <c r="AI58" i="1"/>
  <c r="AH59" i="1"/>
  <c r="AI59" i="1"/>
  <c r="AH60" i="1"/>
  <c r="AI60" i="1"/>
  <c r="AH61" i="1"/>
  <c r="AI61" i="1"/>
  <c r="AH62" i="1"/>
  <c r="AI62" i="1"/>
  <c r="AH63" i="1"/>
  <c r="AI63" i="1"/>
  <c r="AH64" i="1"/>
  <c r="AI64" i="1"/>
  <c r="AH65" i="1"/>
  <c r="AI65" i="1"/>
  <c r="AH66" i="1"/>
  <c r="AI66" i="1"/>
  <c r="AH67" i="1"/>
  <c r="AI67" i="1"/>
  <c r="B68" i="1"/>
  <c r="AF5" i="1" s="1"/>
  <c r="C68" i="1"/>
  <c r="B5" i="1" s="1"/>
  <c r="D68" i="1"/>
  <c r="C5" i="1" s="1"/>
  <c r="E68" i="1"/>
  <c r="D5" i="1" s="1"/>
  <c r="F68" i="1"/>
  <c r="E5" i="1" s="1"/>
  <c r="G68" i="1"/>
  <c r="F5" i="1" s="1"/>
  <c r="H68" i="1"/>
  <c r="I68" i="1"/>
  <c r="J68" i="1"/>
  <c r="I5" i="1" s="1"/>
  <c r="K68" i="1"/>
  <c r="J5" i="1" s="1"/>
  <c r="L68" i="1"/>
  <c r="K5" i="1" s="1"/>
  <c r="M68" i="1"/>
  <c r="L5" i="1" s="1"/>
  <c r="N68" i="1"/>
  <c r="M5" i="1" s="1"/>
  <c r="O68" i="1"/>
  <c r="N5" i="1" s="1"/>
  <c r="P68" i="1"/>
  <c r="Q68" i="1"/>
  <c r="R68" i="1"/>
  <c r="Q5" i="1" s="1"/>
  <c r="S68" i="1"/>
  <c r="R5" i="1" s="1"/>
  <c r="T68" i="1"/>
  <c r="S5" i="1" s="1"/>
  <c r="U68" i="1"/>
  <c r="T5" i="1" s="1"/>
  <c r="V68" i="1"/>
  <c r="U5" i="1" s="1"/>
  <c r="W68" i="1"/>
  <c r="V5" i="1" s="1"/>
  <c r="X68" i="1"/>
  <c r="Y68" i="1"/>
  <c r="Z68" i="1"/>
  <c r="Y5" i="1" s="1"/>
  <c r="Z5" i="1"/>
  <c r="AB68" i="1"/>
  <c r="AA5" i="1" s="1"/>
  <c r="AC68" i="1"/>
  <c r="AB5" i="1" s="1"/>
  <c r="AD68" i="1"/>
  <c r="AC5" i="1" s="1"/>
  <c r="AE68" i="1"/>
  <c r="AD5" i="1" s="1"/>
  <c r="AF68" i="1"/>
  <c r="AG68" i="1"/>
  <c r="AH69" i="1"/>
  <c r="AI69" i="1"/>
  <c r="AH70" i="1"/>
  <c r="AI70" i="1"/>
  <c r="AH71" i="1"/>
  <c r="AI71" i="1"/>
  <c r="B72" i="1"/>
  <c r="AI72" i="1" s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B72" i="1"/>
  <c r="AC72" i="1"/>
  <c r="AD72" i="1"/>
  <c r="AE72" i="1"/>
  <c r="AF72" i="1"/>
  <c r="AG72" i="1"/>
  <c r="AH74" i="1"/>
  <c r="AI74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AA76" i="1"/>
  <c r="AB76" i="1"/>
  <c r="AC76" i="1"/>
  <c r="AD76" i="1"/>
  <c r="AE76" i="1"/>
  <c r="AF76" i="1"/>
  <c r="B77" i="1"/>
  <c r="C77" i="1"/>
  <c r="D77" i="1"/>
  <c r="D82" i="1" s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S82" i="1" s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B80" i="1"/>
  <c r="C80" i="1"/>
  <c r="D80" i="1"/>
  <c r="E80" i="1"/>
  <c r="F80" i="1"/>
  <c r="G80" i="1"/>
  <c r="H80" i="1"/>
  <c r="I80" i="1"/>
  <c r="J80" i="1"/>
  <c r="K80" i="1"/>
  <c r="L80" i="1"/>
  <c r="M80" i="1"/>
  <c r="M82" i="1" s="1"/>
  <c r="N80" i="1"/>
  <c r="O80" i="1"/>
  <c r="P80" i="1"/>
  <c r="Q80" i="1"/>
  <c r="R80" i="1"/>
  <c r="R82" i="1" s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H81" i="1"/>
  <c r="AI81" i="1"/>
  <c r="B82" i="1"/>
  <c r="C82" i="1"/>
  <c r="AG82" i="1"/>
  <c r="AH84" i="1"/>
  <c r="AI84" i="1"/>
  <c r="AH85" i="1"/>
  <c r="AI85" i="1"/>
  <c r="AH86" i="1"/>
  <c r="AI86" i="1"/>
  <c r="AH87" i="1"/>
  <c r="AI87" i="1"/>
  <c r="AH88" i="1"/>
  <c r="AI88" i="1"/>
  <c r="AH89" i="1"/>
  <c r="AI89" i="1"/>
  <c r="AH90" i="1"/>
  <c r="AI90" i="1"/>
  <c r="AH91" i="1"/>
  <c r="AI91" i="1"/>
  <c r="C93" i="1"/>
  <c r="AH94" i="1"/>
  <c r="AI94" i="1" s="1"/>
  <c r="AH95" i="1"/>
  <c r="AI95" i="1" s="1"/>
  <c r="AH96" i="1"/>
  <c r="AI96" i="1" s="1"/>
  <c r="AH97" i="1"/>
  <c r="AI97" i="1" s="1"/>
  <c r="AH98" i="1"/>
  <c r="AI98" i="1" s="1"/>
  <c r="AH99" i="1"/>
  <c r="AI99" i="1" s="1"/>
  <c r="AH100" i="1"/>
  <c r="AI100" i="1" s="1"/>
  <c r="D102" i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B102" i="1" s="1"/>
  <c r="D103" i="1"/>
  <c r="D104" i="1"/>
  <c r="E104" i="1" s="1"/>
  <c r="F104" i="1" s="1"/>
  <c r="G104" i="1"/>
  <c r="H104" i="1" s="1"/>
  <c r="I104" i="1" s="1"/>
  <c r="J104" i="1" s="1"/>
  <c r="K104" i="1" s="1"/>
  <c r="L104" i="1" s="1"/>
  <c r="M104" i="1"/>
  <c r="N104" i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B104" i="1" s="1"/>
  <c r="D105" i="1"/>
  <c r="E105" i="1" s="1"/>
  <c r="F105" i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/>
  <c r="W105" i="1" s="1"/>
  <c r="X105" i="1" s="1"/>
  <c r="Y105" i="1" s="1"/>
  <c r="Z105" i="1" s="1"/>
  <c r="AA105" i="1"/>
  <c r="AB105" i="1" s="1"/>
  <c r="AC105" i="1" s="1"/>
  <c r="AD105" i="1" s="1"/>
  <c r="AE105" i="1" s="1"/>
  <c r="AF105" i="1" s="1"/>
  <c r="B105" i="1" s="1"/>
  <c r="D106" i="1"/>
  <c r="E106" i="1"/>
  <c r="F106" i="1" s="1"/>
  <c r="G106" i="1" s="1"/>
  <c r="H106" i="1"/>
  <c r="I106" i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B106" i="1" s="1"/>
  <c r="D107" i="1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B107" i="1" s="1"/>
  <c r="D109" i="1"/>
  <c r="E109" i="1"/>
  <c r="F109" i="1"/>
  <c r="G109" i="1"/>
  <c r="H109" i="1" s="1"/>
  <c r="I109" i="1" s="1"/>
  <c r="J109" i="1" s="1"/>
  <c r="K109" i="1" s="1"/>
  <c r="L109" i="1" s="1"/>
  <c r="M109" i="1"/>
  <c r="N109" i="1"/>
  <c r="O109" i="1" s="1"/>
  <c r="P109" i="1" s="1"/>
  <c r="Q109" i="1" s="1"/>
  <c r="R109" i="1" s="1"/>
  <c r="S109" i="1" s="1"/>
  <c r="T109" i="1" s="1"/>
  <c r="U109" i="1" s="1"/>
  <c r="V109" i="1" s="1"/>
  <c r="W109" i="1" s="1"/>
  <c r="X109" i="1"/>
  <c r="Y109" i="1" s="1"/>
  <c r="Z109" i="1" s="1"/>
  <c r="AA109" i="1" s="1"/>
  <c r="AB109" i="1" s="1"/>
  <c r="AC109" i="1" s="1"/>
  <c r="AD109" i="1" s="1"/>
  <c r="AE109" i="1" s="1"/>
  <c r="AF109" i="1" s="1"/>
  <c r="B109" i="1" s="1"/>
  <c r="D110" i="1"/>
  <c r="E110" i="1" s="1"/>
  <c r="F110" i="1"/>
  <c r="G110" i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B110" i="1" s="1"/>
  <c r="D112" i="1"/>
  <c r="E112" i="1"/>
  <c r="F112" i="1" s="1"/>
  <c r="G112" i="1" s="1"/>
  <c r="H112" i="1"/>
  <c r="I112" i="1" s="1"/>
  <c r="J112" i="1" s="1"/>
  <c r="K112" i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B112" i="1" s="1"/>
  <c r="D113" i="1"/>
  <c r="E113" i="1" s="1"/>
  <c r="F113" i="1"/>
  <c r="G113" i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B113" i="1" s="1"/>
  <c r="D114" i="1"/>
  <c r="E114" i="1"/>
  <c r="F114" i="1"/>
  <c r="G114" i="1" s="1"/>
  <c r="H114" i="1"/>
  <c r="I114" i="1" s="1"/>
  <c r="K114" i="1"/>
  <c r="L114" i="1" s="1"/>
  <c r="M114" i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B114" i="1" s="1"/>
  <c r="D115" i="1"/>
  <c r="E115" i="1" s="1"/>
  <c r="F115" i="1" s="1"/>
  <c r="G115" i="1"/>
  <c r="H115" i="1"/>
  <c r="I115" i="1" s="1"/>
  <c r="J115" i="1" s="1"/>
  <c r="K115" i="1" s="1"/>
  <c r="L115" i="1" s="1"/>
  <c r="M115" i="1" s="1"/>
  <c r="N115" i="1" s="1"/>
  <c r="O115" i="1" s="1"/>
  <c r="P115" i="1" s="1"/>
  <c r="Q115" i="1" s="1"/>
  <c r="R115" i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B115" i="1" s="1"/>
  <c r="D116" i="1"/>
  <c r="E116" i="1"/>
  <c r="F116" i="1"/>
  <c r="G116" i="1" s="1"/>
  <c r="H116" i="1" s="1"/>
  <c r="I116" i="1"/>
  <c r="J116" i="1" s="1"/>
  <c r="K116" i="1" s="1"/>
  <c r="L116" i="1" s="1"/>
  <c r="M116" i="1"/>
  <c r="N116" i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B116" i="1" s="1"/>
  <c r="D117" i="1"/>
  <c r="E117" i="1" s="1"/>
  <c r="F117" i="1" s="1"/>
  <c r="G117" i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B117" i="1" s="1"/>
  <c r="D118" i="1"/>
  <c r="E118" i="1"/>
  <c r="F118" i="1"/>
  <c r="G118" i="1"/>
  <c r="H118" i="1" s="1"/>
  <c r="I118" i="1" s="1"/>
  <c r="J118" i="1"/>
  <c r="K118" i="1" s="1"/>
  <c r="L118" i="1" s="1"/>
  <c r="M118" i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B118" i="1" s="1"/>
  <c r="D119" i="1"/>
  <c r="E119" i="1"/>
  <c r="F119" i="1"/>
  <c r="G119" i="1" s="1"/>
  <c r="H119" i="1" s="1"/>
  <c r="I119" i="1" s="1"/>
  <c r="J119" i="1"/>
  <c r="K119" i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B119" i="1" s="1"/>
  <c r="D120" i="1"/>
  <c r="E120" i="1" s="1"/>
  <c r="F120" i="1" s="1"/>
  <c r="G120" i="1"/>
  <c r="H120" i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B120" i="1" s="1"/>
  <c r="D121" i="1"/>
  <c r="E121" i="1"/>
  <c r="F121" i="1" s="1"/>
  <c r="G121" i="1" s="1"/>
  <c r="H121" i="1" s="1"/>
  <c r="I121" i="1" s="1"/>
  <c r="J121" i="1" s="1"/>
  <c r="K121" i="1" s="1"/>
  <c r="L121" i="1" s="1"/>
  <c r="M121" i="1"/>
  <c r="N121" i="1"/>
  <c r="O121" i="1" s="1"/>
  <c r="P121" i="1" s="1"/>
  <c r="Q121" i="1" s="1"/>
  <c r="R121" i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B121" i="1" s="1"/>
  <c r="D122" i="1"/>
  <c r="E122" i="1"/>
  <c r="F122" i="1" s="1"/>
  <c r="G122" i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B122" i="1" s="1"/>
  <c r="D123" i="1"/>
  <c r="E123" i="1" s="1"/>
  <c r="F123" i="1" s="1"/>
  <c r="G123" i="1" s="1"/>
  <c r="H123" i="1" s="1"/>
  <c r="I123" i="1" s="1"/>
  <c r="J123" i="1" s="1"/>
  <c r="K123" i="1" s="1"/>
  <c r="L123" i="1" s="1"/>
  <c r="M123" i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B123" i="1" s="1"/>
  <c r="D124" i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/>
  <c r="AD124" i="1" s="1"/>
  <c r="AE124" i="1" s="1"/>
  <c r="AF124" i="1" s="1"/>
  <c r="B124" i="1" s="1"/>
  <c r="D125" i="1"/>
  <c r="E125" i="1"/>
  <c r="F125" i="1"/>
  <c r="G125" i="1"/>
  <c r="H125" i="1" s="1"/>
  <c r="I125" i="1" s="1"/>
  <c r="J125" i="1"/>
  <c r="K125" i="1"/>
  <c r="L125" i="1" s="1"/>
  <c r="M125" i="1" s="1"/>
  <c r="N125" i="1" s="1"/>
  <c r="O125" i="1" s="1"/>
  <c r="P125" i="1" s="1"/>
  <c r="Q125" i="1" s="1"/>
  <c r="R125" i="1" s="1"/>
  <c r="S125" i="1" s="1"/>
  <c r="T125" i="1" s="1"/>
  <c r="U125" i="1"/>
  <c r="V125" i="1" s="1"/>
  <c r="W125" i="1" s="1"/>
  <c r="X125" i="1" s="1"/>
  <c r="Y125" i="1"/>
  <c r="Z125" i="1" s="1"/>
  <c r="AA125" i="1" s="1"/>
  <c r="AB125" i="1" s="1"/>
  <c r="AC125" i="1" s="1"/>
  <c r="AD125" i="1" s="1"/>
  <c r="AE125" i="1" s="1"/>
  <c r="AF125" i="1" s="1"/>
  <c r="B125" i="1" s="1"/>
  <c r="D126" i="1"/>
  <c r="E126" i="1" s="1"/>
  <c r="F126" i="1" s="1"/>
  <c r="G126" i="1" s="1"/>
  <c r="H126" i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B126" i="1" s="1"/>
  <c r="D127" i="1"/>
  <c r="E127" i="1"/>
  <c r="F127" i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B127" i="1" s="1"/>
  <c r="D128" i="1"/>
  <c r="E128" i="1"/>
  <c r="F128" i="1"/>
  <c r="G128" i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B128" i="1" s="1"/>
  <c r="D129" i="1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B129" i="1" s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B131" i="1" s="1"/>
  <c r="D132" i="1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/>
  <c r="Y132" i="1" s="1"/>
  <c r="Z132" i="1" s="1"/>
  <c r="AA132" i="1" s="1"/>
  <c r="AB132" i="1" s="1"/>
  <c r="AC132" i="1" s="1"/>
  <c r="AD132" i="1" s="1"/>
  <c r="AE132" i="1" s="1"/>
  <c r="AF132" i="1" s="1"/>
  <c r="B132" i="1" s="1"/>
  <c r="D133" i="1"/>
  <c r="E133" i="1"/>
  <c r="F133" i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/>
  <c r="AE133" i="1" s="1"/>
  <c r="AF133" i="1" s="1"/>
  <c r="B133" i="1" s="1"/>
  <c r="D134" i="1"/>
  <c r="E134" i="1"/>
  <c r="F134" i="1" s="1"/>
  <c r="G134" i="1" s="1"/>
  <c r="H134" i="1"/>
  <c r="I134" i="1" s="1"/>
  <c r="J134" i="1" s="1"/>
  <c r="K134" i="1" s="1"/>
  <c r="L134" i="1" s="1"/>
  <c r="M134" i="1" s="1"/>
  <c r="N134" i="1" s="1"/>
  <c r="O134" i="1" s="1"/>
  <c r="P134" i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B134" i="1" s="1"/>
  <c r="D135" i="1"/>
  <c r="E135" i="1" s="1"/>
  <c r="F135" i="1"/>
  <c r="G135" i="1"/>
  <c r="H135" i="1" s="1"/>
  <c r="I135" i="1" s="1"/>
  <c r="J135" i="1" s="1"/>
  <c r="K135" i="1" s="1"/>
  <c r="L135" i="1" s="1"/>
  <c r="M135" i="1" s="1"/>
  <c r="N135" i="1"/>
  <c r="O135" i="1" s="1"/>
  <c r="P135" i="1" s="1"/>
  <c r="Q135" i="1" s="1"/>
  <c r="R135" i="1" s="1"/>
  <c r="S135" i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B135" i="1" s="1"/>
  <c r="D136" i="1"/>
  <c r="E136" i="1" s="1"/>
  <c r="F136" i="1" s="1"/>
  <c r="G136" i="1" s="1"/>
  <c r="H136" i="1" s="1"/>
  <c r="I136" i="1" s="1"/>
  <c r="J136" i="1" s="1"/>
  <c r="K136" i="1" s="1"/>
  <c r="L136" i="1" s="1"/>
  <c r="M136" i="1" s="1"/>
  <c r="N136" i="1"/>
  <c r="O136" i="1" s="1"/>
  <c r="P136" i="1" s="1"/>
  <c r="Q136" i="1" s="1"/>
  <c r="R136" i="1" s="1"/>
  <c r="S136" i="1" s="1"/>
  <c r="T136" i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B136" i="1" s="1"/>
  <c r="D137" i="1"/>
  <c r="E137" i="1" s="1"/>
  <c r="F137" i="1" s="1"/>
  <c r="G137" i="1" s="1"/>
  <c r="H137" i="1"/>
  <c r="I137" i="1" s="1"/>
  <c r="J137" i="1" s="1"/>
  <c r="K137" i="1" s="1"/>
  <c r="L137" i="1"/>
  <c r="M137" i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Z93" i="1" s="1"/>
  <c r="D138" i="1"/>
  <c r="E138" i="1"/>
  <c r="F138" i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B138" i="1" s="1"/>
  <c r="D140" i="1"/>
  <c r="E140" i="1" s="1"/>
  <c r="F140" i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/>
  <c r="AB140" i="1" s="1"/>
  <c r="AC140" i="1" s="1"/>
  <c r="AD140" i="1" s="1"/>
  <c r="AE140" i="1" s="1"/>
  <c r="AF140" i="1" s="1"/>
  <c r="B140" i="1" s="1"/>
  <c r="D141" i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/>
  <c r="Q141" i="1" s="1"/>
  <c r="R141" i="1" s="1"/>
  <c r="S141" i="1" s="1"/>
  <c r="T141" i="1" s="1"/>
  <c r="U141" i="1" s="1"/>
  <c r="V141" i="1" s="1"/>
  <c r="W141" i="1" s="1"/>
  <c r="X141" i="1"/>
  <c r="Y141" i="1" s="1"/>
  <c r="Z141" i="1" s="1"/>
  <c r="AA141" i="1" s="1"/>
  <c r="AB141" i="1" s="1"/>
  <c r="AC141" i="1" s="1"/>
  <c r="AD141" i="1" s="1"/>
  <c r="AE141" i="1" s="1"/>
  <c r="AF141" i="1" s="1"/>
  <c r="B141" i="1" s="1"/>
  <c r="D142" i="1"/>
  <c r="E142" i="1" s="1"/>
  <c r="F142" i="1" s="1"/>
  <c r="G142" i="1" s="1"/>
  <c r="H142" i="1" s="1"/>
  <c r="I142" i="1" s="1"/>
  <c r="J142" i="1" s="1"/>
  <c r="K142" i="1"/>
  <c r="L142" i="1" s="1"/>
  <c r="M142" i="1" s="1"/>
  <c r="N142" i="1" s="1"/>
  <c r="O142" i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B142" i="1" s="1"/>
  <c r="D143" i="1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B143" i="1" s="1"/>
  <c r="D144" i="1"/>
  <c r="E144" i="1" s="1"/>
  <c r="F144" i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B144" i="1" s="1"/>
  <c r="D145" i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/>
  <c r="Z145" i="1" s="1"/>
  <c r="AA145" i="1" s="1"/>
  <c r="AB145" i="1" s="1"/>
  <c r="AC145" i="1" s="1"/>
  <c r="AD145" i="1" s="1"/>
  <c r="AE145" i="1" s="1"/>
  <c r="AF145" i="1" s="1"/>
  <c r="B145" i="1" s="1"/>
  <c r="D146" i="1"/>
  <c r="E146" i="1" s="1"/>
  <c r="F146" i="1" s="1"/>
  <c r="G146" i="1" s="1"/>
  <c r="H146" i="1" s="1"/>
  <c r="I146" i="1" s="1"/>
  <c r="J146" i="1" s="1"/>
  <c r="K146" i="1"/>
  <c r="L146" i="1" s="1"/>
  <c r="M146" i="1" s="1"/>
  <c r="N146" i="1" s="1"/>
  <c r="O146" i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/>
  <c r="AA146" i="1" s="1"/>
  <c r="AB146" i="1" s="1"/>
  <c r="AC146" i="1" s="1"/>
  <c r="AD146" i="1" s="1"/>
  <c r="AE146" i="1" s="1"/>
  <c r="AF146" i="1" s="1"/>
  <c r="B146" i="1" s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/>
  <c r="Z148" i="1" s="1"/>
  <c r="AA148" i="1" s="1"/>
  <c r="AB148" i="1" s="1"/>
  <c r="AC148" i="1" s="1"/>
  <c r="AD148" i="1" s="1"/>
  <c r="AE148" i="1" s="1"/>
  <c r="AF148" i="1" s="1"/>
  <c r="B148" i="1" s="1"/>
  <c r="D149" i="1"/>
  <c r="E149" i="1" s="1"/>
  <c r="F149" i="1"/>
  <c r="G149" i="1" s="1"/>
  <c r="H149" i="1" s="1"/>
  <c r="I149" i="1" s="1"/>
  <c r="J149" i="1" s="1"/>
  <c r="K149" i="1" s="1"/>
  <c r="L149" i="1" s="1"/>
  <c r="M149" i="1" s="1"/>
  <c r="N149" i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B149" i="1" s="1"/>
  <c r="D151" i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B151" i="1" s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B152" i="1" s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B153" i="1" s="1"/>
  <c r="D154" i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B154" i="1" s="1"/>
  <c r="D156" i="1"/>
  <c r="E156" i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B156" i="1" s="1"/>
  <c r="D157" i="1"/>
  <c r="E157" i="1" s="1"/>
  <c r="F157" i="1" s="1"/>
  <c r="G157" i="1" s="1"/>
  <c r="H157" i="1" s="1"/>
  <c r="I157" i="1" s="1"/>
  <c r="J157" i="1"/>
  <c r="K157" i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/>
  <c r="B157" i="1" s="1"/>
  <c r="D158" i="1"/>
  <c r="E158" i="1"/>
  <c r="F158" i="1" s="1"/>
  <c r="G158" i="1" s="1"/>
  <c r="H158" i="1"/>
  <c r="I158" i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/>
  <c r="AC158" i="1" s="1"/>
  <c r="AD158" i="1" s="1"/>
  <c r="AE158" i="1" s="1"/>
  <c r="AF158" i="1" s="1"/>
  <c r="B158" i="1" s="1"/>
  <c r="D159" i="1"/>
  <c r="E159" i="1" s="1"/>
  <c r="F159" i="1" s="1"/>
  <c r="G159" i="1" s="1"/>
  <c r="H159" i="1" s="1"/>
  <c r="I159" i="1" s="1"/>
  <c r="J159" i="1" s="1"/>
  <c r="K159" i="1"/>
  <c r="L159" i="1" s="1"/>
  <c r="M159" i="1" s="1"/>
  <c r="N159" i="1" s="1"/>
  <c r="O159" i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B159" i="1" s="1"/>
  <c r="D160" i="1"/>
  <c r="E160" i="1"/>
  <c r="F160" i="1" s="1"/>
  <c r="G160" i="1" s="1"/>
  <c r="H160" i="1"/>
  <c r="I160" i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/>
  <c r="Z160" i="1" s="1"/>
  <c r="AA160" i="1" s="1"/>
  <c r="AB160" i="1" s="1"/>
  <c r="AC160" i="1" s="1"/>
  <c r="AD160" i="1" s="1"/>
  <c r="AE160" i="1" s="1"/>
  <c r="AF160" i="1" s="1"/>
  <c r="B160" i="1" s="1"/>
  <c r="D161" i="1"/>
  <c r="E161" i="1" s="1"/>
  <c r="F161" i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B161" i="1" s="1"/>
  <c r="D162" i="1"/>
  <c r="E162" i="1"/>
  <c r="F162" i="1" s="1"/>
  <c r="G162" i="1" s="1"/>
  <c r="H162" i="1"/>
  <c r="I162" i="1" s="1"/>
  <c r="J162" i="1" s="1"/>
  <c r="K162" i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B162" i="1" s="1"/>
  <c r="D163" i="1"/>
  <c r="E163" i="1" s="1"/>
  <c r="F163" i="1" s="1"/>
  <c r="G163" i="1" s="1"/>
  <c r="H163" i="1" s="1"/>
  <c r="I163" i="1" s="1"/>
  <c r="J163" i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B163" i="1" s="1"/>
  <c r="D164" i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B164" i="1" s="1"/>
  <c r="D165" i="1"/>
  <c r="E165" i="1" s="1"/>
  <c r="F165" i="1"/>
  <c r="G165" i="1"/>
  <c r="H165" i="1" s="1"/>
  <c r="I165" i="1" s="1"/>
  <c r="J165" i="1" s="1"/>
  <c r="K165" i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B165" i="1" s="1"/>
  <c r="D166" i="1"/>
  <c r="E166" i="1"/>
  <c r="F166" i="1" s="1"/>
  <c r="G166" i="1" s="1"/>
  <c r="H166" i="1"/>
  <c r="I166" i="1" s="1"/>
  <c r="J166" i="1" s="1"/>
  <c r="K166" i="1" s="1"/>
  <c r="L166" i="1" s="1"/>
  <c r="M166" i="1" s="1"/>
  <c r="N166" i="1" s="1"/>
  <c r="O166" i="1" s="1"/>
  <c r="P166" i="1" s="1"/>
  <c r="Q166" i="1" s="1"/>
  <c r="R166" i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B166" i="1" s="1"/>
  <c r="D167" i="1"/>
  <c r="E167" i="1"/>
  <c r="F167" i="1" s="1"/>
  <c r="G167" i="1" s="1"/>
  <c r="H167" i="1" s="1"/>
  <c r="I167" i="1" s="1"/>
  <c r="J167" i="1"/>
  <c r="K167" i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B167" i="1" s="1"/>
  <c r="D168" i="1"/>
  <c r="E168" i="1" s="1"/>
  <c r="F168" i="1" s="1"/>
  <c r="G168" i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B168" i="1" s="1"/>
  <c r="D170" i="1"/>
  <c r="E170" i="1" s="1"/>
  <c r="F170" i="1" s="1"/>
  <c r="G170" i="1" s="1"/>
  <c r="H170" i="1"/>
  <c r="I170" i="1" s="1"/>
  <c r="J170" i="1" s="1"/>
  <c r="K170" i="1"/>
  <c r="L170" i="1" s="1"/>
  <c r="M170" i="1" s="1"/>
  <c r="N170" i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B170" i="1" s="1"/>
  <c r="D171" i="1"/>
  <c r="E171" i="1"/>
  <c r="F171" i="1" s="1"/>
  <c r="G171" i="1" s="1"/>
  <c r="H171" i="1" s="1"/>
  <c r="I171" i="1" s="1"/>
  <c r="J171" i="1" s="1"/>
  <c r="K171" i="1" s="1"/>
  <c r="L171" i="1" s="1"/>
  <c r="M171" i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/>
  <c r="Y171" i="1" s="1"/>
  <c r="Z171" i="1" s="1"/>
  <c r="AA171" i="1" s="1"/>
  <c r="AB171" i="1" s="1"/>
  <c r="AC171" i="1" s="1"/>
  <c r="AD171" i="1" s="1"/>
  <c r="AE171" i="1" s="1"/>
  <c r="AF171" i="1" s="1"/>
  <c r="B171" i="1" s="1"/>
  <c r="D172" i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B172" i="1" s="1"/>
  <c r="D173" i="1"/>
  <c r="E173" i="1" s="1"/>
  <c r="F173" i="1"/>
  <c r="G173" i="1"/>
  <c r="H173" i="1" s="1"/>
  <c r="I173" i="1" s="1"/>
  <c r="J173" i="1" s="1"/>
  <c r="K173" i="1" s="1"/>
  <c r="L173" i="1" s="1"/>
  <c r="M173" i="1" s="1"/>
  <c r="N173" i="1" s="1"/>
  <c r="O173" i="1" s="1"/>
  <c r="P173" i="1" s="1"/>
  <c r="Q173" i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B173" i="1" s="1"/>
  <c r="D174" i="1"/>
  <c r="E174" i="1"/>
  <c r="F174" i="1"/>
  <c r="G174" i="1" s="1"/>
  <c r="H174" i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B174" i="1" s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B175" i="1" s="1"/>
  <c r="D176" i="1"/>
  <c r="E176" i="1"/>
  <c r="F176" i="1"/>
  <c r="G176" i="1" s="1"/>
  <c r="H176" i="1" s="1"/>
  <c r="I176" i="1" s="1"/>
  <c r="J176" i="1" s="1"/>
  <c r="K176" i="1" s="1"/>
  <c r="L176" i="1"/>
  <c r="M176" i="1" s="1"/>
  <c r="N176" i="1" s="1"/>
  <c r="O176" i="1" s="1"/>
  <c r="P176" i="1" s="1"/>
  <c r="Q176" i="1" s="1"/>
  <c r="R176" i="1" s="1"/>
  <c r="S176" i="1" s="1"/>
  <c r="T176" i="1" s="1"/>
  <c r="U176" i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B176" i="1" s="1"/>
  <c r="D177" i="1"/>
  <c r="E177" i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B177" i="1" s="1"/>
  <c r="D179" i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B179" i="1" s="1"/>
  <c r="D180" i="1"/>
  <c r="E180" i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B180" i="1" s="1"/>
  <c r="D181" i="1"/>
  <c r="E181" i="1" s="1"/>
  <c r="F181" i="1" s="1"/>
  <c r="G181" i="1"/>
  <c r="H181" i="1" s="1"/>
  <c r="I181" i="1" s="1"/>
  <c r="J181" i="1" s="1"/>
  <c r="K181" i="1" s="1"/>
  <c r="L181" i="1" s="1"/>
  <c r="M181" i="1" s="1"/>
  <c r="N181" i="1" s="1"/>
  <c r="O181" i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B181" i="1" s="1"/>
  <c r="D182" i="1"/>
  <c r="E182" i="1"/>
  <c r="F182" i="1" s="1"/>
  <c r="G182" i="1" s="1"/>
  <c r="H182" i="1" s="1"/>
  <c r="I182" i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B182" i="1" s="1"/>
  <c r="D183" i="1"/>
  <c r="E183" i="1" s="1"/>
  <c r="F183" i="1" s="1"/>
  <c r="G183" i="1" s="1"/>
  <c r="H183" i="1" s="1"/>
  <c r="I183" i="1" s="1"/>
  <c r="J183" i="1" s="1"/>
  <c r="K183" i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B183" i="1" s="1"/>
  <c r="D184" i="1"/>
  <c r="E184" i="1"/>
  <c r="F184" i="1" s="1"/>
  <c r="G184" i="1" s="1"/>
  <c r="H184" i="1" s="1"/>
  <c r="I184" i="1" s="1"/>
  <c r="J184" i="1" s="1"/>
  <c r="K184" i="1" s="1"/>
  <c r="L184" i="1" s="1"/>
  <c r="M184" i="1"/>
  <c r="N184" i="1" s="1"/>
  <c r="O184" i="1" s="1"/>
  <c r="P184" i="1" s="1"/>
  <c r="Q184" i="1" s="1"/>
  <c r="R184" i="1" s="1"/>
  <c r="S184" i="1" s="1"/>
  <c r="T184" i="1" s="1"/>
  <c r="U184" i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B184" i="1" s="1"/>
  <c r="D185" i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B185" i="1" s="1"/>
  <c r="D186" i="1"/>
  <c r="E186" i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B186" i="1" s="1"/>
  <c r="D187" i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B187" i="1" s="1"/>
  <c r="D188" i="1"/>
  <c r="E188" i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B188" i="1" s="1"/>
  <c r="D189" i="1"/>
  <c r="E189" i="1" s="1"/>
  <c r="F189" i="1" s="1"/>
  <c r="G189" i="1"/>
  <c r="H189" i="1" s="1"/>
  <c r="I189" i="1" s="1"/>
  <c r="J189" i="1" s="1"/>
  <c r="K189" i="1" s="1"/>
  <c r="L189" i="1" s="1"/>
  <c r="M189" i="1" s="1"/>
  <c r="N189" i="1" s="1"/>
  <c r="O189" i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B189" i="1" s="1"/>
  <c r="D190" i="1"/>
  <c r="E190" i="1"/>
  <c r="F190" i="1" s="1"/>
  <c r="G190" i="1" s="1"/>
  <c r="H190" i="1" s="1"/>
  <c r="I190" i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B190" i="1" s="1"/>
  <c r="D191" i="1"/>
  <c r="E191" i="1"/>
  <c r="F191" i="1"/>
  <c r="G191" i="1"/>
  <c r="H191" i="1" s="1"/>
  <c r="I191" i="1" s="1"/>
  <c r="J191" i="1" s="1"/>
  <c r="K191" i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B191" i="1" s="1"/>
  <c r="C192" i="1"/>
  <c r="D192" i="1"/>
  <c r="AG192" i="1"/>
  <c r="D194" i="1"/>
  <c r="E194" i="1"/>
  <c r="D195" i="1"/>
  <c r="E195" i="1" s="1"/>
  <c r="F195" i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B195" i="1" s="1"/>
  <c r="D196" i="1"/>
  <c r="E196" i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B196" i="1" s="1"/>
  <c r="D197" i="1"/>
  <c r="E197" i="1" s="1"/>
  <c r="F197" i="1" s="1"/>
  <c r="G197" i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B197" i="1" s="1"/>
  <c r="D198" i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B198" i="1" s="1"/>
  <c r="D199" i="1"/>
  <c r="E199" i="1" s="1"/>
  <c r="F199" i="1" s="1"/>
  <c r="C200" i="1"/>
  <c r="D200" i="1"/>
  <c r="AG200" i="1"/>
  <c r="AG51" i="1" s="1"/>
  <c r="AG52" i="1" s="1"/>
  <c r="AG3" i="1" s="1"/>
  <c r="S210" i="1"/>
  <c r="D211" i="1"/>
  <c r="S211" i="1"/>
  <c r="B235" i="1"/>
  <c r="C235" i="1"/>
  <c r="D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B82" i="1" l="1"/>
  <c r="AA82" i="1"/>
  <c r="AE82" i="1"/>
  <c r="AC82" i="1"/>
  <c r="Z82" i="1"/>
  <c r="W82" i="1"/>
  <c r="U82" i="1"/>
  <c r="T82" i="1"/>
  <c r="T75" i="1"/>
  <c r="T7" i="1" s="1"/>
  <c r="S75" i="1"/>
  <c r="S73" i="1"/>
  <c r="S83" i="1" s="1"/>
  <c r="AK214" i="1"/>
  <c r="R73" i="1"/>
  <c r="O82" i="1"/>
  <c r="O73" i="1"/>
  <c r="O75" i="1"/>
  <c r="O83" i="1" s="1"/>
  <c r="N73" i="1"/>
  <c r="N75" i="1"/>
  <c r="M75" i="1"/>
  <c r="AE214" i="1" s="1"/>
  <c r="L82" i="1"/>
  <c r="K82" i="1"/>
  <c r="J82" i="1"/>
  <c r="G75" i="1"/>
  <c r="G7" i="1" s="1"/>
  <c r="AH76" i="1"/>
  <c r="E75" i="1"/>
  <c r="E7" i="1" s="1"/>
  <c r="G73" i="1"/>
  <c r="F73" i="1"/>
  <c r="AI76" i="1"/>
  <c r="AH77" i="1"/>
  <c r="J73" i="1"/>
  <c r="F75" i="1"/>
  <c r="X214" i="1" s="1"/>
  <c r="L75" i="1"/>
  <c r="L7" i="1" s="1"/>
  <c r="D75" i="1"/>
  <c r="V214" i="1" s="1"/>
  <c r="K75" i="1"/>
  <c r="AC214" i="1" s="1"/>
  <c r="C73" i="1"/>
  <c r="C75" i="1" s="1"/>
  <c r="U214" i="1" s="1"/>
  <c r="J75" i="1"/>
  <c r="K73" i="1"/>
  <c r="AH38" i="1"/>
  <c r="R75" i="1"/>
  <c r="R83" i="1" s="1"/>
  <c r="AI82" i="2"/>
  <c r="AH82" i="2"/>
  <c r="AJ214" i="2"/>
  <c r="R7" i="2"/>
  <c r="AA214" i="2"/>
  <c r="I7" i="2"/>
  <c r="C209" i="2"/>
  <c r="R83" i="2"/>
  <c r="AB214" i="2"/>
  <c r="J7" i="2"/>
  <c r="F93" i="2"/>
  <c r="F235" i="2"/>
  <c r="H199" i="2"/>
  <c r="AL214" i="2"/>
  <c r="T7" i="2"/>
  <c r="T83" i="2"/>
  <c r="H103" i="2"/>
  <c r="F194" i="2"/>
  <c r="E200" i="2"/>
  <c r="AD214" i="2"/>
  <c r="L7" i="2"/>
  <c r="L83" i="2"/>
  <c r="V214" i="2"/>
  <c r="D7" i="2"/>
  <c r="D83" i="2"/>
  <c r="U214" i="2"/>
  <c r="C7" i="2"/>
  <c r="G192" i="2"/>
  <c r="H102" i="2"/>
  <c r="AR214" i="2"/>
  <c r="Z7" i="2"/>
  <c r="AI214" i="2"/>
  <c r="Q7" i="2"/>
  <c r="B209" i="2"/>
  <c r="K6" i="2" s="1"/>
  <c r="E235" i="1"/>
  <c r="G199" i="1"/>
  <c r="F194" i="1"/>
  <c r="E200" i="1"/>
  <c r="AA137" i="1"/>
  <c r="AB137" i="1" s="1"/>
  <c r="AC137" i="1" s="1"/>
  <c r="AD137" i="1" s="1"/>
  <c r="AE137" i="1" s="1"/>
  <c r="AF137" i="1" s="1"/>
  <c r="B137" i="1" s="1"/>
  <c r="D93" i="1"/>
  <c r="E103" i="1"/>
  <c r="AH78" i="1"/>
  <c r="G82" i="1"/>
  <c r="AH37" i="1"/>
  <c r="S7" i="1"/>
  <c r="AD82" i="1"/>
  <c r="V82" i="1"/>
  <c r="N82" i="1"/>
  <c r="N83" i="1" s="1"/>
  <c r="AH79" i="1"/>
  <c r="F82" i="1"/>
  <c r="AI78" i="1"/>
  <c r="AH56" i="1"/>
  <c r="AI56" i="1"/>
  <c r="AI38" i="1"/>
  <c r="E82" i="1"/>
  <c r="AI80" i="1"/>
  <c r="AG73" i="1"/>
  <c r="AG83" i="1" s="1"/>
  <c r="X5" i="1"/>
  <c r="P5" i="1"/>
  <c r="Q73" i="1"/>
  <c r="H5" i="1"/>
  <c r="I73" i="1"/>
  <c r="AG6" i="1"/>
  <c r="AI79" i="1"/>
  <c r="AE5" i="1"/>
  <c r="W5" i="1"/>
  <c r="O5" i="1"/>
  <c r="P73" i="1"/>
  <c r="G5" i="1"/>
  <c r="AH68" i="1"/>
  <c r="H73" i="1"/>
  <c r="AI68" i="1"/>
  <c r="Y82" i="1"/>
  <c r="Q82" i="1"/>
  <c r="I82" i="1"/>
  <c r="AG75" i="1"/>
  <c r="Q75" i="1"/>
  <c r="I75" i="1"/>
  <c r="AH80" i="1"/>
  <c r="AF82" i="1"/>
  <c r="AI77" i="1"/>
  <c r="X82" i="1"/>
  <c r="P82" i="1"/>
  <c r="H82" i="1"/>
  <c r="P75" i="1"/>
  <c r="AH72" i="1"/>
  <c r="H75" i="1"/>
  <c r="M73" i="1"/>
  <c r="E73" i="1"/>
  <c r="E83" i="1" s="1"/>
  <c r="T73" i="1"/>
  <c r="L73" i="1"/>
  <c r="D73" i="1"/>
  <c r="Z73" i="1"/>
  <c r="T83" i="1" l="1"/>
  <c r="AL214" i="1"/>
  <c r="Z75" i="1"/>
  <c r="Z83" i="1" s="1"/>
  <c r="O7" i="1"/>
  <c r="AG214" i="1"/>
  <c r="N7" i="1"/>
  <c r="AF214" i="1"/>
  <c r="M83" i="1"/>
  <c r="M7" i="1"/>
  <c r="L83" i="1"/>
  <c r="J83" i="1"/>
  <c r="G83" i="1"/>
  <c r="Y214" i="1"/>
  <c r="F7" i="1"/>
  <c r="F83" i="1"/>
  <c r="W214" i="1"/>
  <c r="AD214" i="1"/>
  <c r="D83" i="1"/>
  <c r="K83" i="1"/>
  <c r="K7" i="1"/>
  <c r="D7" i="1"/>
  <c r="C7" i="1"/>
  <c r="C83" i="1"/>
  <c r="J7" i="1"/>
  <c r="AB214" i="1"/>
  <c r="P83" i="1"/>
  <c r="H83" i="1"/>
  <c r="R7" i="1"/>
  <c r="AJ214" i="1"/>
  <c r="G235" i="2"/>
  <c r="I199" i="2"/>
  <c r="H192" i="2"/>
  <c r="I102" i="2"/>
  <c r="F200" i="2"/>
  <c r="G194" i="2"/>
  <c r="I103" i="2"/>
  <c r="I7" i="1"/>
  <c r="AA214" i="1"/>
  <c r="F103" i="1"/>
  <c r="E93" i="1"/>
  <c r="E192" i="1"/>
  <c r="I83" i="1"/>
  <c r="H7" i="1"/>
  <c r="B209" i="1"/>
  <c r="C209" i="1"/>
  <c r="Z214" i="1"/>
  <c r="AH82" i="1"/>
  <c r="AI82" i="1"/>
  <c r="G194" i="1"/>
  <c r="F200" i="1"/>
  <c r="Q7" i="1"/>
  <c r="AI214" i="1"/>
  <c r="Q83" i="1"/>
  <c r="H199" i="1"/>
  <c r="F235" i="1"/>
  <c r="P7" i="1"/>
  <c r="AH214" i="1"/>
  <c r="Z7" i="1" l="1"/>
  <c r="AR214" i="1"/>
  <c r="K6" i="1"/>
  <c r="H194" i="2"/>
  <c r="G200" i="2"/>
  <c r="G93" i="2"/>
  <c r="I192" i="2"/>
  <c r="J102" i="2"/>
  <c r="H235" i="2"/>
  <c r="J199" i="2"/>
  <c r="J103" i="2"/>
  <c r="H194" i="1"/>
  <c r="G200" i="1"/>
  <c r="I199" i="1"/>
  <c r="G235" i="1"/>
  <c r="G103" i="1"/>
  <c r="F93" i="1"/>
  <c r="F192" i="1"/>
  <c r="K199" i="2" l="1"/>
  <c r="I235" i="2"/>
  <c r="J192" i="2"/>
  <c r="K102" i="2"/>
  <c r="K103" i="2"/>
  <c r="I194" i="2"/>
  <c r="H200" i="2"/>
  <c r="H93" i="2"/>
  <c r="H103" i="1"/>
  <c r="G93" i="1"/>
  <c r="G192" i="1"/>
  <c r="J199" i="1"/>
  <c r="H235" i="1"/>
  <c r="I194" i="1"/>
  <c r="H200" i="1"/>
  <c r="L103" i="2" l="1"/>
  <c r="I200" i="2"/>
  <c r="J194" i="2"/>
  <c r="I93" i="2"/>
  <c r="K192" i="2"/>
  <c r="L102" i="2"/>
  <c r="J235" i="2"/>
  <c r="L199" i="2"/>
  <c r="I235" i="1"/>
  <c r="K199" i="1"/>
  <c r="H93" i="1"/>
  <c r="I103" i="1"/>
  <c r="H192" i="1"/>
  <c r="I200" i="1"/>
  <c r="J194" i="1"/>
  <c r="L192" i="2" l="1"/>
  <c r="M102" i="2"/>
  <c r="J200" i="2"/>
  <c r="K194" i="2"/>
  <c r="J93" i="2"/>
  <c r="K235" i="2"/>
  <c r="M199" i="2"/>
  <c r="M103" i="2"/>
  <c r="J200" i="1"/>
  <c r="K194" i="1"/>
  <c r="I93" i="1"/>
  <c r="J103" i="1"/>
  <c r="I192" i="1"/>
  <c r="L199" i="1"/>
  <c r="J235" i="1"/>
  <c r="L235" i="2" l="1"/>
  <c r="N199" i="2"/>
  <c r="M192" i="2"/>
  <c r="N102" i="2"/>
  <c r="N103" i="2"/>
  <c r="K200" i="2"/>
  <c r="L194" i="2"/>
  <c r="K93" i="2"/>
  <c r="M199" i="1"/>
  <c r="K235" i="1"/>
  <c r="J93" i="1"/>
  <c r="K103" i="1"/>
  <c r="J192" i="1"/>
  <c r="K200" i="1"/>
  <c r="L194" i="1"/>
  <c r="N192" i="2" l="1"/>
  <c r="O102" i="2"/>
  <c r="M235" i="2"/>
  <c r="O199" i="2"/>
  <c r="L200" i="2"/>
  <c r="M194" i="2"/>
  <c r="L93" i="2"/>
  <c r="O103" i="2"/>
  <c r="M194" i="1"/>
  <c r="L200" i="1"/>
  <c r="K93" i="1"/>
  <c r="L103" i="1"/>
  <c r="K192" i="1"/>
  <c r="L235" i="1"/>
  <c r="N199" i="1"/>
  <c r="N235" i="2" l="1"/>
  <c r="P199" i="2"/>
  <c r="N194" i="2"/>
  <c r="M200" i="2"/>
  <c r="M93" i="2"/>
  <c r="O192" i="2"/>
  <c r="P102" i="2"/>
  <c r="P103" i="2"/>
  <c r="L93" i="1"/>
  <c r="M103" i="1"/>
  <c r="L192" i="1"/>
  <c r="M235" i="1"/>
  <c r="O199" i="1"/>
  <c r="N194" i="1"/>
  <c r="M200" i="1"/>
  <c r="Q103" i="2" l="1"/>
  <c r="P192" i="2"/>
  <c r="Q102" i="2"/>
  <c r="N200" i="2"/>
  <c r="O194" i="2"/>
  <c r="N93" i="2"/>
  <c r="O235" i="2"/>
  <c r="Q199" i="2"/>
  <c r="O194" i="1"/>
  <c r="N200" i="1"/>
  <c r="N103" i="1"/>
  <c r="M93" i="1"/>
  <c r="M192" i="1"/>
  <c r="P199" i="1"/>
  <c r="N235" i="1"/>
  <c r="R103" i="2" l="1"/>
  <c r="P194" i="2"/>
  <c r="O200" i="2"/>
  <c r="O93" i="2"/>
  <c r="Q192" i="2"/>
  <c r="R102" i="2"/>
  <c r="P235" i="2"/>
  <c r="R199" i="2"/>
  <c r="Q199" i="1"/>
  <c r="O235" i="1"/>
  <c r="N93" i="1"/>
  <c r="O103" i="1"/>
  <c r="N192" i="1"/>
  <c r="P194" i="1"/>
  <c r="O200" i="1"/>
  <c r="S199" i="2" l="1"/>
  <c r="Q235" i="2"/>
  <c r="R192" i="2"/>
  <c r="S102" i="2"/>
  <c r="Q194" i="2"/>
  <c r="P200" i="2"/>
  <c r="P93" i="2"/>
  <c r="S103" i="2"/>
  <c r="Q194" i="1"/>
  <c r="P200" i="1"/>
  <c r="P103" i="1"/>
  <c r="O93" i="1"/>
  <c r="O192" i="1"/>
  <c r="R199" i="1"/>
  <c r="P235" i="1"/>
  <c r="T103" i="2" l="1"/>
  <c r="Q200" i="2"/>
  <c r="R194" i="2"/>
  <c r="Q93" i="2"/>
  <c r="S192" i="2"/>
  <c r="T102" i="2"/>
  <c r="R235" i="2"/>
  <c r="T199" i="2"/>
  <c r="Q235" i="1"/>
  <c r="S199" i="1"/>
  <c r="P93" i="1"/>
  <c r="Q103" i="1"/>
  <c r="P192" i="1"/>
  <c r="Q200" i="1"/>
  <c r="R194" i="1"/>
  <c r="T192" i="2" l="1"/>
  <c r="U102" i="2"/>
  <c r="R200" i="2"/>
  <c r="S194" i="2"/>
  <c r="R93" i="2"/>
  <c r="S235" i="2"/>
  <c r="U199" i="2"/>
  <c r="U103" i="2"/>
  <c r="R200" i="1"/>
  <c r="S194" i="1"/>
  <c r="Q93" i="1"/>
  <c r="R103" i="1"/>
  <c r="Q192" i="1"/>
  <c r="T199" i="1"/>
  <c r="R235" i="1"/>
  <c r="V103" i="2" l="1"/>
  <c r="T235" i="2"/>
  <c r="V199" i="2"/>
  <c r="S200" i="2"/>
  <c r="T194" i="2"/>
  <c r="S93" i="2"/>
  <c r="U192" i="2"/>
  <c r="V102" i="2"/>
  <c r="U199" i="1"/>
  <c r="S235" i="1"/>
  <c r="R93" i="1"/>
  <c r="S103" i="1"/>
  <c r="R192" i="1"/>
  <c r="S200" i="1"/>
  <c r="T194" i="1"/>
  <c r="T200" i="2" l="1"/>
  <c r="U194" i="2"/>
  <c r="T93" i="2"/>
  <c r="U235" i="2"/>
  <c r="W199" i="2"/>
  <c r="V192" i="2"/>
  <c r="W102" i="2"/>
  <c r="W103" i="2"/>
  <c r="T200" i="1"/>
  <c r="U194" i="1"/>
  <c r="T103" i="1"/>
  <c r="S93" i="1"/>
  <c r="S192" i="1"/>
  <c r="V199" i="1"/>
  <c r="T235" i="1"/>
  <c r="W192" i="2" l="1"/>
  <c r="X102" i="2"/>
  <c r="V194" i="2"/>
  <c r="U200" i="2"/>
  <c r="U51" i="2" s="1"/>
  <c r="U52" i="2" s="1"/>
  <c r="U93" i="2"/>
  <c r="V235" i="2"/>
  <c r="X199" i="2"/>
  <c r="X103" i="2"/>
  <c r="U235" i="1"/>
  <c r="W199" i="1"/>
  <c r="V194" i="1"/>
  <c r="U200" i="1"/>
  <c r="U51" i="1" s="1"/>
  <c r="U52" i="1" s="1"/>
  <c r="T93" i="1"/>
  <c r="U103" i="1"/>
  <c r="T192" i="1"/>
  <c r="W235" i="2" l="1"/>
  <c r="Y199" i="2"/>
  <c r="Y103" i="2"/>
  <c r="U73" i="2"/>
  <c r="U75" i="2"/>
  <c r="V200" i="2"/>
  <c r="V51" i="2" s="1"/>
  <c r="V52" i="2" s="1"/>
  <c r="W194" i="2"/>
  <c r="V93" i="2"/>
  <c r="X192" i="2"/>
  <c r="Y102" i="2"/>
  <c r="V103" i="1"/>
  <c r="U93" i="1"/>
  <c r="U192" i="1"/>
  <c r="U75" i="1"/>
  <c r="U73" i="1"/>
  <c r="X199" i="1"/>
  <c r="V235" i="1"/>
  <c r="W194" i="1"/>
  <c r="V200" i="1"/>
  <c r="V51" i="1" s="1"/>
  <c r="V52" i="1" s="1"/>
  <c r="U83" i="1" l="1"/>
  <c r="X194" i="2"/>
  <c r="W200" i="2"/>
  <c r="W51" i="2" s="1"/>
  <c r="W52" i="2" s="1"/>
  <c r="W93" i="2"/>
  <c r="U83" i="2"/>
  <c r="V75" i="2"/>
  <c r="V73" i="2"/>
  <c r="V83" i="2" s="1"/>
  <c r="Y192" i="2"/>
  <c r="Z102" i="2"/>
  <c r="Z103" i="2"/>
  <c r="X235" i="2"/>
  <c r="Z199" i="2"/>
  <c r="AM214" i="2"/>
  <c r="U7" i="2"/>
  <c r="U7" i="1"/>
  <c r="AM214" i="1"/>
  <c r="X194" i="1"/>
  <c r="W200" i="1"/>
  <c r="W51" i="1" s="1"/>
  <c r="W52" i="1" s="1"/>
  <c r="Y199" i="1"/>
  <c r="W235" i="1"/>
  <c r="V75" i="1"/>
  <c r="V73" i="1"/>
  <c r="W103" i="1"/>
  <c r="V93" i="1"/>
  <c r="V192" i="1"/>
  <c r="Z192" i="2" l="1"/>
  <c r="AA102" i="2"/>
  <c r="AN214" i="2"/>
  <c r="V7" i="2"/>
  <c r="AA199" i="2"/>
  <c r="Y235" i="2"/>
  <c r="W73" i="2"/>
  <c r="W83" i="2" s="1"/>
  <c r="W75" i="2"/>
  <c r="AA103" i="2"/>
  <c r="Y194" i="2"/>
  <c r="X200" i="2"/>
  <c r="X51" i="2" s="1"/>
  <c r="X52" i="2" s="1"/>
  <c r="X93" i="2"/>
  <c r="V83" i="1"/>
  <c r="V7" i="1"/>
  <c r="AN214" i="1"/>
  <c r="Z199" i="1"/>
  <c r="X235" i="1"/>
  <c r="Y194" i="1"/>
  <c r="X200" i="1"/>
  <c r="X51" i="1" s="1"/>
  <c r="X52" i="1" s="1"/>
  <c r="W75" i="1"/>
  <c r="W73" i="1"/>
  <c r="X103" i="1"/>
  <c r="W93" i="1"/>
  <c r="W192" i="1"/>
  <c r="Z235" i="2" l="1"/>
  <c r="AB199" i="2"/>
  <c r="X73" i="2"/>
  <c r="X75" i="2"/>
  <c r="Y200" i="2"/>
  <c r="Y51" i="2" s="1"/>
  <c r="Y52" i="2" s="1"/>
  <c r="Z194" i="2"/>
  <c r="Y93" i="2"/>
  <c r="AO214" i="2"/>
  <c r="W7" i="2"/>
  <c r="AA192" i="2"/>
  <c r="AB102" i="2"/>
  <c r="AB103" i="2"/>
  <c r="Y200" i="1"/>
  <c r="Y51" i="1" s="1"/>
  <c r="Y52" i="1" s="1"/>
  <c r="Z194" i="1"/>
  <c r="W7" i="1"/>
  <c r="AO214" i="1"/>
  <c r="Y235" i="1"/>
  <c r="AA199" i="1"/>
  <c r="X75" i="1"/>
  <c r="X73" i="1"/>
  <c r="X93" i="1"/>
  <c r="Y103" i="1"/>
  <c r="X192" i="1"/>
  <c r="W83" i="1"/>
  <c r="X83" i="1" l="1"/>
  <c r="Y73" i="2"/>
  <c r="Y83" i="2" s="1"/>
  <c r="Y75" i="2"/>
  <c r="Z200" i="2"/>
  <c r="AA194" i="2"/>
  <c r="Z93" i="2"/>
  <c r="AP214" i="2"/>
  <c r="X7" i="2"/>
  <c r="AB192" i="2"/>
  <c r="AC102" i="2"/>
  <c r="AA235" i="2"/>
  <c r="AC199" i="2"/>
  <c r="AC103" i="2"/>
  <c r="X83" i="2"/>
  <c r="X7" i="1"/>
  <c r="AP214" i="1"/>
  <c r="Y93" i="1"/>
  <c r="Z103" i="1"/>
  <c r="Y192" i="1"/>
  <c r="Z200" i="1"/>
  <c r="AA194" i="1"/>
  <c r="AB199" i="1"/>
  <c r="Z235" i="1"/>
  <c r="Y73" i="1"/>
  <c r="Y75" i="1"/>
  <c r="AD103" i="2" l="1"/>
  <c r="AB235" i="2"/>
  <c r="AD199" i="2"/>
  <c r="AA200" i="2"/>
  <c r="AA51" i="2" s="1"/>
  <c r="AA52" i="2" s="1"/>
  <c r="AB194" i="2"/>
  <c r="AA93" i="2"/>
  <c r="AQ214" i="2"/>
  <c r="Y7" i="2"/>
  <c r="AC192" i="2"/>
  <c r="AD102" i="2"/>
  <c r="AA200" i="1"/>
  <c r="AA51" i="1" s="1"/>
  <c r="AA52" i="1" s="1"/>
  <c r="AB194" i="1"/>
  <c r="AA103" i="1"/>
  <c r="Z192" i="1"/>
  <c r="Y7" i="1"/>
  <c r="AQ214" i="1"/>
  <c r="AC199" i="1"/>
  <c r="AA235" i="1"/>
  <c r="Y83" i="1"/>
  <c r="AA75" i="2" l="1"/>
  <c r="AA73" i="2"/>
  <c r="AA83" i="2" s="1"/>
  <c r="AC235" i="2"/>
  <c r="AE199" i="2"/>
  <c r="AD192" i="2"/>
  <c r="AE102" i="2"/>
  <c r="AB200" i="2"/>
  <c r="AB51" i="2" s="1"/>
  <c r="AB52" i="2" s="1"/>
  <c r="AC194" i="2"/>
  <c r="AB93" i="2"/>
  <c r="AE103" i="2"/>
  <c r="AB235" i="1"/>
  <c r="AD199" i="1"/>
  <c r="AA93" i="1"/>
  <c r="AB103" i="1"/>
  <c r="AA192" i="1"/>
  <c r="AB200" i="1"/>
  <c r="AB51" i="1" s="1"/>
  <c r="AB52" i="1" s="1"/>
  <c r="AC194" i="1"/>
  <c r="AA75" i="1"/>
  <c r="AA83" i="1" l="1"/>
  <c r="AD235" i="2"/>
  <c r="AF199" i="2"/>
  <c r="AF103" i="2"/>
  <c r="AD194" i="2"/>
  <c r="AC200" i="2"/>
  <c r="AC51" i="2" s="1"/>
  <c r="AC52" i="2" s="1"/>
  <c r="AC93" i="2"/>
  <c r="AB73" i="2"/>
  <c r="AB83" i="2" s="1"/>
  <c r="AB75" i="2"/>
  <c r="AE192" i="2"/>
  <c r="AF102" i="2"/>
  <c r="AS214" i="2"/>
  <c r="AA7" i="2"/>
  <c r="AB75" i="1"/>
  <c r="AB73" i="1"/>
  <c r="AB93" i="1"/>
  <c r="AC103" i="1"/>
  <c r="AB192" i="1"/>
  <c r="AD194" i="1"/>
  <c r="AC200" i="1"/>
  <c r="AC51" i="1" s="1"/>
  <c r="AC52" i="1" s="1"/>
  <c r="AC235" i="1"/>
  <c r="AE199" i="1"/>
  <c r="AA7" i="1"/>
  <c r="AS214" i="1"/>
  <c r="AB83" i="1" l="1"/>
  <c r="AC73" i="2"/>
  <c r="AC75" i="2"/>
  <c r="AD200" i="2"/>
  <c r="AD51" i="2" s="1"/>
  <c r="AD52" i="2" s="1"/>
  <c r="AE194" i="2"/>
  <c r="AD93" i="2"/>
  <c r="B103" i="2"/>
  <c r="AF192" i="2"/>
  <c r="B102" i="2"/>
  <c r="B199" i="2"/>
  <c r="AF235" i="2" s="1"/>
  <c r="AE235" i="2"/>
  <c r="AT214" i="2"/>
  <c r="AB7" i="2"/>
  <c r="AD103" i="1"/>
  <c r="AC93" i="1"/>
  <c r="AC192" i="1"/>
  <c r="AC75" i="1"/>
  <c r="AC73" i="1"/>
  <c r="AE194" i="1"/>
  <c r="AD200" i="1"/>
  <c r="AD51" i="1" s="1"/>
  <c r="AD52" i="1" s="1"/>
  <c r="AF199" i="1"/>
  <c r="AD235" i="1"/>
  <c r="AB7" i="1"/>
  <c r="AT214" i="1"/>
  <c r="AC83" i="1" l="1"/>
  <c r="AD75" i="2"/>
  <c r="AD73" i="2"/>
  <c r="AD83" i="2" s="1"/>
  <c r="AF194" i="2"/>
  <c r="AE200" i="2"/>
  <c r="AE51" i="2" s="1"/>
  <c r="AE52" i="2" s="1"/>
  <c r="AE93" i="2"/>
  <c r="AU214" i="2"/>
  <c r="AC7" i="2"/>
  <c r="B192" i="2"/>
  <c r="AC83" i="2"/>
  <c r="AE235" i="1"/>
  <c r="B199" i="1"/>
  <c r="AF235" i="1" s="1"/>
  <c r="AC7" i="1"/>
  <c r="AU214" i="1"/>
  <c r="AF194" i="1"/>
  <c r="AE200" i="1"/>
  <c r="AE51" i="1" s="1"/>
  <c r="AE52" i="1" s="1"/>
  <c r="AD75" i="1"/>
  <c r="AD73" i="1"/>
  <c r="AD83" i="1" s="1"/>
  <c r="AD93" i="1"/>
  <c r="AE103" i="1"/>
  <c r="AD192" i="1"/>
  <c r="AF200" i="2" l="1"/>
  <c r="AF51" i="2" s="1"/>
  <c r="AF52" i="2" s="1"/>
  <c r="B194" i="2"/>
  <c r="AF93" i="2"/>
  <c r="AE75" i="2"/>
  <c r="AE73" i="2"/>
  <c r="AE83" i="2" s="1"/>
  <c r="AV214" i="2"/>
  <c r="AD7" i="2"/>
  <c r="AD7" i="1"/>
  <c r="AV214" i="1"/>
  <c r="B194" i="1"/>
  <c r="B200" i="1" s="1"/>
  <c r="B51" i="1" s="1"/>
  <c r="AF200" i="1"/>
  <c r="AF51" i="1" s="1"/>
  <c r="AF52" i="1" s="1"/>
  <c r="AE75" i="1"/>
  <c r="AE73" i="1"/>
  <c r="AF103" i="1"/>
  <c r="AE93" i="1"/>
  <c r="AE192" i="1"/>
  <c r="AE83" i="1" l="1"/>
  <c r="AW214" i="2"/>
  <c r="AE7" i="2"/>
  <c r="AI93" i="2"/>
  <c r="AH93" i="2"/>
  <c r="B200" i="2"/>
  <c r="B51" i="2" s="1"/>
  <c r="B93" i="2"/>
  <c r="AF73" i="2"/>
  <c r="AF83" i="2" s="1"/>
  <c r="AF75" i="2"/>
  <c r="AF73" i="1"/>
  <c r="AF75" i="1"/>
  <c r="B52" i="1"/>
  <c r="AI51" i="1"/>
  <c r="AH51" i="1"/>
  <c r="AF93" i="1"/>
  <c r="B103" i="1"/>
  <c r="AF192" i="1"/>
  <c r="AE7" i="1"/>
  <c r="AW214" i="1"/>
  <c r="AX214" i="2" l="1"/>
  <c r="AF7" i="2"/>
  <c r="B52" i="2"/>
  <c r="AI51" i="2"/>
  <c r="AH51" i="2"/>
  <c r="AH93" i="1"/>
  <c r="AI93" i="1"/>
  <c r="AH52" i="1"/>
  <c r="AI52" i="1"/>
  <c r="B73" i="1"/>
  <c r="B75" i="1"/>
  <c r="AF7" i="1"/>
  <c r="AX214" i="1"/>
  <c r="B93" i="1"/>
  <c r="B192" i="1"/>
  <c r="AF83" i="1"/>
  <c r="B73" i="2" l="1"/>
  <c r="AI52" i="2"/>
  <c r="AH52" i="2"/>
  <c r="B75" i="2"/>
  <c r="B7" i="1"/>
  <c r="A7" i="1" s="1"/>
  <c r="AH75" i="1"/>
  <c r="AI75" i="1"/>
  <c r="T214" i="1"/>
  <c r="B83" i="1"/>
  <c r="AH73" i="1"/>
  <c r="AI73" i="1"/>
  <c r="T214" i="2" l="1"/>
  <c r="B7" i="2"/>
  <c r="A7" i="2" s="1"/>
  <c r="AI75" i="2"/>
  <c r="AH75" i="2"/>
  <c r="AI73" i="2"/>
  <c r="AH73" i="2"/>
  <c r="B83" i="2"/>
  <c r="AH83" i="1"/>
  <c r="AI83" i="1"/>
  <c r="AI83" i="2" l="1"/>
  <c r="AH83" i="2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<sst xmlns="http://schemas.openxmlformats.org/spreadsheetml/2006/main" count="7198" uniqueCount="236">
  <si>
    <t>Water Level</t>
  </si>
  <si>
    <t>Frequency</t>
  </si>
  <si>
    <t>Time</t>
  </si>
  <si>
    <t>Total</t>
  </si>
  <si>
    <t>Export</t>
  </si>
  <si>
    <t>Import</t>
  </si>
  <si>
    <t>T_Load</t>
  </si>
  <si>
    <t>KL1+KL2+KL3</t>
  </si>
  <si>
    <t xml:space="preserve"> Hrs.</t>
  </si>
  <si>
    <t>NEA(RoR+PRoR)</t>
  </si>
  <si>
    <t>IPP</t>
  </si>
  <si>
    <t>PEAK SUMMARY</t>
  </si>
  <si>
    <t>Morning Peak</t>
  </si>
  <si>
    <t>KL 1</t>
  </si>
  <si>
    <t>MRS</t>
  </si>
  <si>
    <t>MMRS</t>
  </si>
  <si>
    <t>KGA</t>
  </si>
  <si>
    <t>Other NEA Small</t>
  </si>
  <si>
    <t>SUNDARIJAL(0.66)</t>
  </si>
  <si>
    <t>TINAU(1)</t>
  </si>
  <si>
    <t>FEWA(1)</t>
  </si>
  <si>
    <t>SETI(1.5)</t>
  </si>
  <si>
    <t>TATOPANI(2)</t>
  </si>
  <si>
    <t>PANAUTI(2.4)</t>
  </si>
  <si>
    <t>Others IPP Total</t>
  </si>
  <si>
    <t>Syauri Bhumey (0.023)</t>
  </si>
  <si>
    <t>Leguwa Khola (0.04)</t>
  </si>
  <si>
    <t>Sobuwa Khola-2 MHP (0.09)</t>
  </si>
  <si>
    <t>Midim Khola (0.1)</t>
  </si>
  <si>
    <t>Syange Khola (0.183)</t>
  </si>
  <si>
    <t>Sali Nadi (0.25)</t>
  </si>
  <si>
    <t>Rairang Khola (0.5)</t>
  </si>
  <si>
    <t>Belkhu (0.518)</t>
  </si>
  <si>
    <t>Jhankre Khola Small (0.6)</t>
  </si>
  <si>
    <t>Dhunge-Jiri (0.6)</t>
  </si>
  <si>
    <t>Solar KUKL (0.6804)</t>
  </si>
  <si>
    <t>Sisne Khola Small (0.75)</t>
  </si>
  <si>
    <t>Bishnu Priya Solar Farm Project (0.96)</t>
  </si>
  <si>
    <t>Idi Khola (0.975)</t>
  </si>
  <si>
    <t>Seti-II (0.979)</t>
  </si>
  <si>
    <t>Lower Piluwa Small (0.99)</t>
  </si>
  <si>
    <t>Chhote Khola (0.993)</t>
  </si>
  <si>
    <t>Pheme Khola (0.995)</t>
  </si>
  <si>
    <t>Pati Khola Small (0.996)</t>
  </si>
  <si>
    <t>Miya Khola (0.996)</t>
  </si>
  <si>
    <t>Jeuligad Small Hydropower Project (0.996)</t>
  </si>
  <si>
    <t>Tallo Chhote Khola (0.997)</t>
  </si>
  <si>
    <t>Hadi Khola Sunkoshi A (0.997)</t>
  </si>
  <si>
    <t>Kuthali(Suspa) Bukhari (0.998)</t>
  </si>
  <si>
    <t>Theule Khola (1.5)</t>
  </si>
  <si>
    <t>Thoppal Khola (1.65)</t>
  </si>
  <si>
    <t>Middle Chaku (1.8)</t>
  </si>
  <si>
    <t>Lower Chaku Khola (1.8)</t>
  </si>
  <si>
    <t>Khani Khola (2)</t>
  </si>
  <si>
    <t>Jhyadi Khola (2)</t>
  </si>
  <si>
    <t>Chhandi (2)</t>
  </si>
  <si>
    <t>Jiri Khola Small (2.2)</t>
  </si>
  <si>
    <t>Ridi Khola (2.4)</t>
  </si>
  <si>
    <t>Sunkoshi Small (2.5)</t>
  </si>
  <si>
    <t>Daram Khola A (2.5)</t>
  </si>
  <si>
    <t>Chake Khola (2.83)</t>
  </si>
  <si>
    <t>Upper Rawa (3)</t>
  </si>
  <si>
    <t>Upper Puwa -1 (3)</t>
  </si>
  <si>
    <t>Super Mai Cascade (3)</t>
  </si>
  <si>
    <t>Piluwa Khola Small (3)</t>
  </si>
  <si>
    <t>Midim Karapu (3)</t>
  </si>
  <si>
    <t>Everest Sugar &amp; Chemical Inds. Ltd. (3)</t>
  </si>
  <si>
    <t>Chaku Khola (3)</t>
  </si>
  <si>
    <t>Bhairab Kunda (3)</t>
  </si>
  <si>
    <t>Gelun  (3.2)</t>
  </si>
  <si>
    <t>Kapadi Gad (3.33)</t>
  </si>
  <si>
    <t>Charanawati Khola (3.52)</t>
  </si>
  <si>
    <t>Dwari Khola (3.75)</t>
  </si>
  <si>
    <t>Sardi Khola (4)</t>
  </si>
  <si>
    <t>Sabha Khola (4)</t>
  </si>
  <si>
    <t>Puwa Khola -1 (4)</t>
  </si>
  <si>
    <t>Khudi Khola (4)</t>
  </si>
  <si>
    <t>Chandranigahpur Solar (4)</t>
  </si>
  <si>
    <t>Baramchi Khola (4.2)</t>
  </si>
  <si>
    <t>Tungun-Thosne (4.36)</t>
  </si>
  <si>
    <t>Radhi Khola (4.4)</t>
  </si>
  <si>
    <t>Bijayapur-1 (4.41)</t>
  </si>
  <si>
    <t>Hewa Khola (4.455)</t>
  </si>
  <si>
    <t>Mai Khola Small (4.5)</t>
  </si>
  <si>
    <t>Padam Khola (4.8)</t>
  </si>
  <si>
    <t>Mardi Khola (4.8)</t>
  </si>
  <si>
    <t>Khorunga Khola (4.8)</t>
  </si>
  <si>
    <t>Siuri Khola (4.95)</t>
  </si>
  <si>
    <t>Phawa Khola (4.95)</t>
  </si>
  <si>
    <t>Upper Hugdi Khola (5)</t>
  </si>
  <si>
    <t>Tadi Khola (Thaprek) (5)</t>
  </si>
  <si>
    <t>Pikhuwa Khola (5)</t>
  </si>
  <si>
    <t>Mailung Khola (5)</t>
  </si>
  <si>
    <t>Ghalemdi Khola (5)</t>
  </si>
  <si>
    <t>Upper Mai C (5.1)</t>
  </si>
  <si>
    <t>Daraudi Khola A (6)</t>
  </si>
  <si>
    <t>Rudi Khola B (6.6)</t>
  </si>
  <si>
    <t>Upper Mardi (7)</t>
  </si>
  <si>
    <t>Sanima Mai Cascade (7)</t>
  </si>
  <si>
    <t>Molung Khola (7)</t>
  </si>
  <si>
    <t>Upper Khorunga (7.5)</t>
  </si>
  <si>
    <t>Indrawati - III (7.5)</t>
  </si>
  <si>
    <t>Jogmai (7.6)</t>
  </si>
  <si>
    <t>Super Mai (7.8)</t>
  </si>
  <si>
    <t>Upper Naugad Gad (8)</t>
  </si>
  <si>
    <t>Taksar Pikhuwa (8)</t>
  </si>
  <si>
    <t>Mai Sana Cascade (8)</t>
  </si>
  <si>
    <t>Ankhu Khola - 1 (8.4)</t>
  </si>
  <si>
    <t>Butwal Solar Project (8.5)</t>
  </si>
  <si>
    <t>Api (Naugadh gad Khola) (8.5)</t>
  </si>
  <si>
    <t>Rudi Khola A (8.8)</t>
  </si>
  <si>
    <t>Andhi Khola (9.4)</t>
  </si>
  <si>
    <t>Super Mai A (9.6)</t>
  </si>
  <si>
    <t>Sipring Khola (9.658)</t>
  </si>
  <si>
    <t>Iwa Khola (9.9)</t>
  </si>
  <si>
    <t>Others IPP Detail</t>
  </si>
  <si>
    <t>DHALKE-MIRCHYA</t>
  </si>
  <si>
    <t>BHARATPUR - KAWASOTI</t>
  </si>
  <si>
    <t>DHALKE-CHAPUR I</t>
  </si>
  <si>
    <t>KHIMTI-LAMOSAGU</t>
  </si>
  <si>
    <t>KL1-SYU</t>
  </si>
  <si>
    <t>KL2-MATA</t>
  </si>
  <si>
    <t>MRS-SYU</t>
  </si>
  <si>
    <t>Kathmandu Load</t>
  </si>
  <si>
    <t xml:space="preserve">SUI 66KV </t>
  </si>
  <si>
    <t xml:space="preserve">KOHALPUR 132KV </t>
  </si>
  <si>
    <t xml:space="preserve">KG-A 132KV </t>
  </si>
  <si>
    <t xml:space="preserve">ANAMANI 132KV </t>
  </si>
  <si>
    <t xml:space="preserve">DUBI 132KV </t>
  </si>
  <si>
    <t xml:space="preserve">SUI 132KV </t>
  </si>
  <si>
    <t>HTD 132KV</t>
  </si>
  <si>
    <t>HZ</t>
  </si>
  <si>
    <t>NET IMPORT</t>
  </si>
  <si>
    <t>Total EXPORT</t>
  </si>
  <si>
    <t>OTHERS EXPORT</t>
  </si>
  <si>
    <t>TANAKPUR</t>
  </si>
  <si>
    <t>MUZAFFARPUR</t>
  </si>
  <si>
    <t>RAXAUL</t>
  </si>
  <si>
    <t>KATAIYA</t>
  </si>
  <si>
    <t>RAMNAGAR</t>
  </si>
  <si>
    <t>TOTAL SYSTEM LOAD (EXPECTED)</t>
  </si>
  <si>
    <t>Interruption/Tripping</t>
  </si>
  <si>
    <t>TOTAL SYSTEM LOAD (ACTUAL)</t>
  </si>
  <si>
    <t>Total THERMAL</t>
  </si>
  <si>
    <t>MRS DI()</t>
  </si>
  <si>
    <t>HTD DIE(14.41)</t>
  </si>
  <si>
    <t>MULTI F(39)</t>
  </si>
  <si>
    <t>Total IMPORT</t>
  </si>
  <si>
    <t>OTHERS IMPORT</t>
  </si>
  <si>
    <t>RAXAUL(33kV)</t>
  </si>
  <si>
    <t>RAJBIRAJ(33kV)</t>
  </si>
  <si>
    <t>JALESHWOR(33kV)</t>
  </si>
  <si>
    <t>BISHANPUR(33kV)</t>
  </si>
  <si>
    <t>NANPARA(33kV)</t>
  </si>
  <si>
    <t>RAXAUL 132</t>
  </si>
  <si>
    <t>MUJAFFARPUR</t>
  </si>
  <si>
    <t>Total STORGE</t>
  </si>
  <si>
    <t>KL3(14)</t>
  </si>
  <si>
    <t>KL2(32)</t>
  </si>
  <si>
    <t>KL1(60)</t>
  </si>
  <si>
    <t>Total ROR</t>
  </si>
  <si>
    <t>PUWA(6.2)</t>
  </si>
  <si>
    <t>SUN(10.05)</t>
  </si>
  <si>
    <t>MODI(14)</t>
  </si>
  <si>
    <t>DEVI(14.1)</t>
  </si>
  <si>
    <t>GDK(15)</t>
  </si>
  <si>
    <t>TRI(24)</t>
  </si>
  <si>
    <t>NEA  SOLAR(25)</t>
  </si>
  <si>
    <t>CHM(30)</t>
  </si>
  <si>
    <t>U Trisuli 3A(60)</t>
  </si>
  <si>
    <t>MRS(69)</t>
  </si>
  <si>
    <t>Middle MRS(70)</t>
  </si>
  <si>
    <t>KGA(144)</t>
  </si>
  <si>
    <t>Total IPP</t>
  </si>
  <si>
    <t>Kabeli Corridor</t>
  </si>
  <si>
    <t>Other IPP Total</t>
  </si>
  <si>
    <t>Mithila Solar PV Electric Project (10)</t>
  </si>
  <si>
    <t>Lower Modi 1 (10)</t>
  </si>
  <si>
    <t>Tallo Khare Khola(11)</t>
  </si>
  <si>
    <t>Namarjun Madi (11.8)</t>
  </si>
  <si>
    <t>Upper Mai Khola (12)</t>
  </si>
  <si>
    <t>Jhimruk Khola (12)</t>
  </si>
  <si>
    <t>Sikles Khola (13)</t>
  </si>
  <si>
    <t>Thapa Khola (13.6)</t>
  </si>
  <si>
    <t>Hewa Khola A (14.9)</t>
  </si>
  <si>
    <t>Lower Modi (20)</t>
  </si>
  <si>
    <t>Sanima Mai Khola (22)</t>
  </si>
  <si>
    <t>Bagmati KholaSmall (22)</t>
  </si>
  <si>
    <t>Lower Hewa Khola (22.1)</t>
  </si>
  <si>
    <t>Chilime (22.1)</t>
  </si>
  <si>
    <t>Upper Chaku A (22.2)</t>
  </si>
  <si>
    <t>Solu Khola (23.5)</t>
  </si>
  <si>
    <t>Upper Madi (25)</t>
  </si>
  <si>
    <t>Singati Khola (25)</t>
  </si>
  <si>
    <t>Kabeli B-1 (25)</t>
  </si>
  <si>
    <t>Mistri Khola (42)</t>
  </si>
  <si>
    <t>Bhotekoshi Khola (45)</t>
  </si>
  <si>
    <t>Upper Marsyangdi "A" (50)</t>
  </si>
  <si>
    <t>Likhu IV (52.4)</t>
  </si>
  <si>
    <t>Khimti Khola (60)</t>
  </si>
  <si>
    <t>Upper Tama Koshi (456)</t>
  </si>
  <si>
    <t>Installed Capacity (MW)</t>
  </si>
  <si>
    <t xml:space="preserve">                              Hrs.               Source</t>
  </si>
  <si>
    <t>Night Shift</t>
  </si>
  <si>
    <t>Day Shift</t>
  </si>
  <si>
    <t>Morning Shift</t>
  </si>
  <si>
    <t>Night Shift(Contd..)</t>
  </si>
  <si>
    <t>Total Hydro</t>
  </si>
  <si>
    <t>NEA Storage</t>
  </si>
  <si>
    <t>Nepali Date:</t>
  </si>
  <si>
    <t>NEA RoR</t>
  </si>
  <si>
    <t>llkkjmj</t>
  </si>
  <si>
    <t>* other ipp reduced to 210 due to addition of rudi khola a in log sheet</t>
  </si>
  <si>
    <t>Brt</t>
  </si>
  <si>
    <t>Ktm</t>
  </si>
  <si>
    <t>Sim</t>
  </si>
  <si>
    <t>Bhai</t>
  </si>
  <si>
    <t>Rainfall</t>
  </si>
  <si>
    <t xml:space="preserve">LOAD DISPATCH  CENTRE,  NEPAL   ELECTRICITY   AUTHORITY
DAILY SYSTEM OPERATION LOG  FOR INPS </t>
  </si>
  <si>
    <t>S</t>
  </si>
  <si>
    <t>Y</t>
  </si>
  <si>
    <t>T</t>
  </si>
  <si>
    <t>E</t>
  </si>
  <si>
    <t>M</t>
  </si>
  <si>
    <t>D</t>
  </si>
  <si>
    <t>I</t>
  </si>
  <si>
    <t>R</t>
  </si>
  <si>
    <t>U</t>
  </si>
  <si>
    <t>B</t>
  </si>
  <si>
    <t>50.0.</t>
  </si>
  <si>
    <t xml:space="preserve"> </t>
  </si>
  <si>
    <t xml:space="preserve">   </t>
  </si>
  <si>
    <t>N/A</t>
  </si>
  <si>
    <t>22..3</t>
  </si>
  <si>
    <t xml:space="preserve">  </t>
  </si>
  <si>
    <t>32..2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</si>
</sst>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"/>
    <numFmt numFmtId="165" formatCode="h:mm;@"/>
    <numFmt numFmtId="166" formatCode="[hh]:mm"/>
    <numFmt numFmtId="167" formatCode="0.000"/>
    <numFmt numFmtId="168" formatCode="00.00"/>
    <numFmt numFmtId="169" formatCode="[$-F800]dddd\,\ mmmm\ dd\,\ yyyy"/>
    <numFmt numFmtId="170" formatCode="[$-409]d\-mmm\-yyyy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8"/>
      <name val="Arial Narrow"/>
      <family val="2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9"/>
      <color rgb="FF7030A0"/>
      <name val="Calibri"/>
      <family val="2"/>
      <scheme val="minor"/>
    </font>
    <font>
      <b/>
      <sz val="9"/>
      <name val="Times New Roman"/>
      <family val="1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b/>
      <sz val="12"/>
      <name val="Calibri"/>
      <family val="2"/>
      <scheme val="minor"/>
    </font>
    <font>
      <b/>
      <sz val="8"/>
      <name val="Times New Roman"/>
      <family val="1"/>
    </font>
    <font>
      <b/>
      <sz val="12"/>
      <color rgb="FFFF0000"/>
      <name val="Times New Roman"/>
      <family val="1"/>
    </font>
    <font>
      <sz val="12"/>
      <name val="Calibri"/>
      <family val="2"/>
      <scheme val="minor"/>
    </font>
    <font>
      <b/>
      <i/>
      <sz val="10"/>
      <color indexed="12"/>
      <name val="Times New Roman"/>
      <family val="1"/>
    </font>
    <font>
      <b/>
      <sz val="14"/>
      <name val="Times New Roman"/>
      <family val="1"/>
    </font>
    <font>
      <b/>
      <i/>
      <sz val="12"/>
      <color indexed="12"/>
      <name val="Times New Roman"/>
      <family val="1"/>
    </font>
    <font>
      <sz val="12"/>
      <color theme="1"/>
      <name val="Calibri"/>
      <family val="2"/>
      <scheme val="minor"/>
    </font>
    <font>
      <sz val="14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7030A0"/>
      <name val="Times New Roman"/>
      <family val="1"/>
    </font>
    <font>
      <b/>
      <sz val="16"/>
      <color rgb="FF002060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0" xfId="0" applyFill="1" applyProtection="1">
      <protection locked="0"/>
    </xf>
    <xf numFmtId="0" fontId="4" fillId="3" borderId="0" xfId="0" applyFont="1" applyFill="1"/>
    <xf numFmtId="165" fontId="0" fillId="2" borderId="0" xfId="0" applyNumberFormat="1" applyFill="1" applyProtection="1">
      <protection locked="0"/>
    </xf>
    <xf numFmtId="1" fontId="0" fillId="0" borderId="0" xfId="0" applyNumberFormat="1" applyAlignment="1">
      <alignment horizontal="center"/>
    </xf>
    <xf numFmtId="166" fontId="5" fillId="0" borderId="2" xfId="0" applyNumberFormat="1" applyFont="1" applyBorder="1" applyAlignment="1">
      <alignment vertical="center"/>
    </xf>
    <xf numFmtId="166" fontId="5" fillId="0" borderId="3" xfId="0" applyNumberFormat="1" applyFont="1" applyBorder="1" applyAlignment="1">
      <alignment vertical="center"/>
    </xf>
    <xf numFmtId="166" fontId="5" fillId="0" borderId="4" xfId="0" applyNumberFormat="1" applyFont="1" applyBorder="1" applyAlignment="1">
      <alignment vertical="center"/>
    </xf>
    <xf numFmtId="20" fontId="5" fillId="0" borderId="2" xfId="0" applyNumberFormat="1" applyFont="1" applyBorder="1" applyAlignment="1">
      <alignment vertical="center"/>
    </xf>
    <xf numFmtId="0" fontId="6" fillId="0" borderId="0" xfId="0" applyFont="1" applyBorder="1" applyAlignment="1">
      <alignment vertical="top" wrapText="1"/>
    </xf>
    <xf numFmtId="0" fontId="0" fillId="0" borderId="0" xfId="0" applyAlignment="1"/>
    <xf numFmtId="0" fontId="0" fillId="0" borderId="0" xfId="0" applyAlignment="1">
      <alignment horizontal="left"/>
    </xf>
    <xf numFmtId="20" fontId="7" fillId="5" borderId="1" xfId="0" applyNumberFormat="1" applyFont="1" applyFill="1" applyBorder="1" applyAlignment="1">
      <alignment horizontal="center"/>
    </xf>
    <xf numFmtId="1" fontId="0" fillId="5" borderId="1" xfId="0" applyNumberFormat="1" applyFill="1" applyBorder="1"/>
    <xf numFmtId="0" fontId="5" fillId="5" borderId="1" xfId="0" applyFont="1" applyFill="1" applyBorder="1" applyAlignment="1">
      <alignment vertical="center"/>
    </xf>
    <xf numFmtId="164" fontId="0" fillId="0" borderId="0" xfId="0" applyNumberFormat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5" xfId="0" applyBorder="1" applyAlignment="1">
      <alignment horizont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2" fontId="8" fillId="0" borderId="11" xfId="0" applyNumberFormat="1" applyFont="1" applyBorder="1" applyAlignment="1">
      <alignment horizontal="center" vertical="center"/>
    </xf>
    <xf numFmtId="2" fontId="8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2" fontId="0" fillId="0" borderId="17" xfId="0" applyNumberFormat="1" applyBorder="1" applyAlignment="1">
      <alignment horizontal="center"/>
    </xf>
    <xf numFmtId="2" fontId="5" fillId="0" borderId="1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2" fontId="9" fillId="0" borderId="20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20" fontId="0" fillId="0" borderId="0" xfId="0" applyNumberFormat="1"/>
    <xf numFmtId="2" fontId="9" fillId="0" borderId="9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2" fontId="9" fillId="0" borderId="14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6" fillId="0" borderId="0" xfId="0" applyFont="1" applyAlignment="1">
      <alignment vertical="center"/>
    </xf>
    <xf numFmtId="2" fontId="10" fillId="0" borderId="6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67" fontId="10" fillId="0" borderId="20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167" fontId="10" fillId="0" borderId="9" xfId="0" applyNumberFormat="1" applyFont="1" applyBorder="1" applyAlignment="1">
      <alignment horizontal="center" vertical="center"/>
    </xf>
    <xf numFmtId="167" fontId="10" fillId="0" borderId="11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164" fontId="0" fillId="0" borderId="0" xfId="0" applyNumberFormat="1" applyBorder="1" applyAlignment="1" applyProtection="1">
      <alignment horizontal="center"/>
      <protection locked="0"/>
    </xf>
    <xf numFmtId="2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25" xfId="0" applyFont="1" applyBorder="1" applyAlignment="1">
      <alignment vertical="center"/>
    </xf>
    <xf numFmtId="165" fontId="0" fillId="0" borderId="0" xfId="0" applyNumberFormat="1" applyProtection="1">
      <protection locked="0"/>
    </xf>
    <xf numFmtId="2" fontId="0" fillId="0" borderId="0" xfId="0" applyNumberFormat="1" applyBorder="1" applyAlignment="1">
      <alignment horizontal="center"/>
    </xf>
    <xf numFmtId="164" fontId="5" fillId="0" borderId="1" xfId="0" applyNumberFormat="1" applyFont="1" applyBorder="1" applyAlignment="1" applyProtection="1">
      <alignment horizontal="center"/>
      <protection locked="0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2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>
      <alignment horizontal="center" vertical="center"/>
    </xf>
    <xf numFmtId="164" fontId="5" fillId="0" borderId="26" xfId="0" applyNumberFormat="1" applyFont="1" applyBorder="1" applyAlignment="1" applyProtection="1">
      <alignment horizontal="center"/>
      <protection locked="0"/>
    </xf>
    <xf numFmtId="2" fontId="0" fillId="0" borderId="2" xfId="0" applyNumberFormat="1" applyBorder="1" applyAlignment="1">
      <alignment horizontal="center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27" xfId="0" applyNumberFormat="1" applyFont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28" xfId="0" applyNumberFormat="1" applyFont="1" applyBorder="1" applyAlignment="1" applyProtection="1">
      <alignment horizontal="center" vertical="center"/>
      <protection locked="0"/>
    </xf>
    <xf numFmtId="2" fontId="0" fillId="0" borderId="0" xfId="0" applyNumberFormat="1"/>
    <xf numFmtId="164" fontId="6" fillId="0" borderId="29" xfId="0" applyNumberFormat="1" applyFont="1" applyBorder="1" applyAlignment="1">
      <alignment horizontal="center" vertical="center"/>
    </xf>
    <xf numFmtId="2" fontId="11" fillId="0" borderId="18" xfId="0" applyNumberFormat="1" applyFont="1" applyBorder="1"/>
    <xf numFmtId="164" fontId="6" fillId="0" borderId="1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vertical="center"/>
    </xf>
    <xf numFmtId="2" fontId="5" fillId="0" borderId="3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 applyProtection="1">
      <alignment horizontal="center" vertic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2" fontId="5" fillId="0" borderId="32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 applyProtection="1">
      <alignment horizontal="center" vertical="center"/>
      <protection locked="0"/>
    </xf>
    <xf numFmtId="2" fontId="5" fillId="0" borderId="32" xfId="0" applyNumberFormat="1" applyFont="1" applyBorder="1" applyAlignment="1">
      <alignment horizontal="center"/>
    </xf>
    <xf numFmtId="164" fontId="5" fillId="0" borderId="9" xfId="0" applyNumberFormat="1" applyFont="1" applyBorder="1" applyAlignment="1" applyProtection="1">
      <alignment horizontal="center"/>
      <protection locked="0"/>
    </xf>
    <xf numFmtId="0" fontId="6" fillId="0" borderId="33" xfId="0" applyFont="1" applyBorder="1" applyAlignment="1">
      <alignment vertical="center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2" fontId="5" fillId="0" borderId="34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 applyProtection="1">
      <alignment horizontal="center" vertical="center"/>
      <protection locked="0"/>
    </xf>
    <xf numFmtId="2" fontId="5" fillId="0" borderId="14" xfId="0" applyNumberFormat="1" applyFont="1" applyBorder="1" applyAlignment="1" applyProtection="1">
      <alignment horizontal="center" vertical="center"/>
      <protection locked="0"/>
    </xf>
    <xf numFmtId="2" fontId="6" fillId="0" borderId="35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36" xfId="0" applyFont="1" applyBorder="1" applyAlignment="1">
      <alignment horizontal="center" vertical="center"/>
    </xf>
    <xf numFmtId="2" fontId="5" fillId="0" borderId="37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38" xfId="0" applyFont="1" applyBorder="1" applyAlignment="1">
      <alignment horizontal="right" vertical="center"/>
    </xf>
    <xf numFmtId="2" fontId="10" fillId="0" borderId="37" xfId="0" applyNumberFormat="1" applyFont="1" applyBorder="1" applyAlignment="1">
      <alignment horizontal="center" vertical="center"/>
    </xf>
    <xf numFmtId="2" fontId="10" fillId="0" borderId="39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right" vertical="center"/>
    </xf>
    <xf numFmtId="2" fontId="10" fillId="0" borderId="41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right" vertical="center"/>
    </xf>
    <xf numFmtId="1" fontId="6" fillId="0" borderId="18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 applyProtection="1">
      <alignment horizontal="center" vertical="center"/>
      <protection locked="0"/>
    </xf>
    <xf numFmtId="0" fontId="6" fillId="6" borderId="36" xfId="0" applyFont="1" applyFill="1" applyBorder="1" applyAlignment="1">
      <alignment vertical="center" wrapText="1"/>
    </xf>
    <xf numFmtId="2" fontId="5" fillId="0" borderId="39" xfId="0" applyNumberFormat="1" applyFont="1" applyBorder="1" applyAlignment="1">
      <alignment horizontal="center" vertical="center"/>
    </xf>
    <xf numFmtId="2" fontId="5" fillId="0" borderId="4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5" fillId="4" borderId="12" xfId="0" applyNumberFormat="1" applyFont="1" applyFill="1" applyBorder="1" applyAlignment="1" applyProtection="1">
      <alignment horizontal="center" vertical="center"/>
      <protection locked="0"/>
    </xf>
    <xf numFmtId="2" fontId="10" fillId="0" borderId="43" xfId="0" applyNumberFormat="1" applyFont="1" applyBorder="1" applyAlignment="1">
      <alignment horizontal="center" vertical="center"/>
    </xf>
    <xf numFmtId="164" fontId="5" fillId="0" borderId="44" xfId="0" applyNumberFormat="1" applyFont="1" applyBorder="1" applyAlignment="1" applyProtection="1">
      <alignment horizontal="center" vertical="center"/>
      <protection locked="0"/>
    </xf>
    <xf numFmtId="164" fontId="5" fillId="7" borderId="44" xfId="0" applyNumberFormat="1" applyFont="1" applyFill="1" applyBorder="1" applyAlignment="1" applyProtection="1">
      <alignment horizontal="center" vertical="center"/>
      <protection locked="0"/>
    </xf>
    <xf numFmtId="164" fontId="5" fillId="8" borderId="44" xfId="0" applyNumberFormat="1" applyFont="1" applyFill="1" applyBorder="1" applyAlignment="1" applyProtection="1">
      <alignment horizontal="center" vertical="center"/>
      <protection locked="0"/>
    </xf>
    <xf numFmtId="0" fontId="5" fillId="0" borderId="45" xfId="0" applyFont="1" applyBorder="1" applyAlignment="1">
      <alignment horizontal="right" vertical="center"/>
    </xf>
    <xf numFmtId="164" fontId="5" fillId="7" borderId="1" xfId="0" applyNumberFormat="1" applyFont="1" applyFill="1" applyBorder="1" applyAlignment="1" applyProtection="1">
      <alignment horizontal="center" vertical="center"/>
      <protection locked="0"/>
    </xf>
    <xf numFmtId="164" fontId="5" fillId="8" borderId="1" xfId="0" applyNumberFormat="1" applyFont="1" applyFill="1" applyBorder="1" applyAlignment="1" applyProtection="1">
      <alignment horizontal="center" vertical="center"/>
      <protection locked="0"/>
    </xf>
    <xf numFmtId="2" fontId="12" fillId="0" borderId="2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right" vertical="center"/>
    </xf>
    <xf numFmtId="0" fontId="13" fillId="0" borderId="0" xfId="0" applyFont="1"/>
    <xf numFmtId="164" fontId="5" fillId="8" borderId="12" xfId="0" applyNumberFormat="1" applyFont="1" applyFill="1" applyBorder="1" applyAlignment="1" applyProtection="1">
      <alignment horizontal="center" vertical="center"/>
      <protection locked="0"/>
    </xf>
    <xf numFmtId="164" fontId="5" fillId="9" borderId="12" xfId="0" applyNumberFormat="1" applyFont="1" applyFill="1" applyBorder="1" applyAlignment="1" applyProtection="1">
      <alignment horizontal="center" vertical="center"/>
      <protection locked="0"/>
    </xf>
    <xf numFmtId="0" fontId="6" fillId="0" borderId="42" xfId="0" applyFont="1" applyBorder="1" applyAlignment="1">
      <alignment horizontal="right" vertical="center"/>
    </xf>
    <xf numFmtId="165" fontId="14" fillId="0" borderId="0" xfId="0" applyNumberFormat="1" applyFont="1" applyFill="1" applyBorder="1" applyAlignment="1"/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2" fontId="5" fillId="0" borderId="46" xfId="0" applyNumberFormat="1" applyFont="1" applyBorder="1" applyAlignment="1" applyProtection="1">
      <alignment horizontal="center" vertical="center"/>
      <protection locked="0"/>
    </xf>
    <xf numFmtId="164" fontId="5" fillId="0" borderId="46" xfId="0" applyNumberFormat="1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>
      <alignment horizontal="right" vertic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/>
    </xf>
    <xf numFmtId="2" fontId="5" fillId="11" borderId="52" xfId="0" applyNumberFormat="1" applyFont="1" applyFill="1" applyBorder="1" applyAlignment="1">
      <alignment horizontal="center" vertical="center"/>
    </xf>
    <xf numFmtId="0" fontId="5" fillId="0" borderId="56" xfId="0" applyFont="1" applyBorder="1" applyAlignment="1">
      <alignment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43" fontId="18" fillId="0" borderId="0" xfId="1" applyFont="1" applyFill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12" borderId="0" xfId="0" applyFill="1"/>
    <xf numFmtId="0" fontId="11" fillId="12" borderId="0" xfId="0" applyFont="1" applyFill="1"/>
    <xf numFmtId="43" fontId="21" fillId="12" borderId="0" xfId="1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9" fontId="24" fillId="13" borderId="0" xfId="0" applyNumberFormat="1" applyFont="1" applyFill="1" applyAlignment="1">
      <alignment horizontal="left" vertical="center"/>
    </xf>
    <xf numFmtId="0" fontId="24" fillId="13" borderId="0" xfId="0" applyFont="1" applyFill="1" applyAlignment="1">
      <alignment vertical="center"/>
    </xf>
    <xf numFmtId="0" fontId="0" fillId="7" borderId="0" xfId="0" applyFill="1"/>
    <xf numFmtId="0" fontId="25" fillId="12" borderId="0" xfId="0" applyFont="1" applyFill="1"/>
    <xf numFmtId="164" fontId="0" fillId="7" borderId="0" xfId="0" applyNumberFormat="1" applyFill="1"/>
    <xf numFmtId="0" fontId="24" fillId="13" borderId="0" xfId="0" applyFont="1" applyFill="1" applyAlignment="1">
      <alignment horizontal="right" vertical="center"/>
    </xf>
    <xf numFmtId="20" fontId="0" fillId="0" borderId="0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7" fillId="0" borderId="0" xfId="0" applyFont="1"/>
    <xf numFmtId="0" fontId="28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43" fontId="25" fillId="12" borderId="0" xfId="1" applyFont="1" applyFill="1" applyAlignment="1">
      <alignment horizontal="center"/>
    </xf>
    <xf numFmtId="14" fontId="29" fillId="0" borderId="0" xfId="0" applyNumberFormat="1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0" fillId="0" borderId="0" xfId="0" applyFill="1" applyBorder="1" applyProtection="1">
      <protection locked="0"/>
    </xf>
    <xf numFmtId="164" fontId="5" fillId="0" borderId="60" xfId="0" applyNumberFormat="1" applyFont="1" applyBorder="1" applyAlignment="1" applyProtection="1">
      <alignment horizontal="center" vertical="center"/>
      <protection locked="0"/>
    </xf>
    <xf numFmtId="164" fontId="5" fillId="15" borderId="1" xfId="0" applyNumberFormat="1" applyFont="1" applyFill="1" applyBorder="1" applyAlignment="1" applyProtection="1">
      <alignment horizontal="center" vertical="center"/>
      <protection locked="0"/>
    </xf>
    <xf numFmtId="164" fontId="5" fillId="2" borderId="12" xfId="0" applyNumberFormat="1" applyFont="1" applyFill="1" applyBorder="1" applyAlignment="1" applyProtection="1">
      <alignment horizontal="center" vertical="center"/>
      <protection locked="0"/>
    </xf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164" fontId="5" fillId="7" borderId="12" xfId="0" applyNumberFormat="1" applyFont="1" applyFill="1" applyBorder="1" applyAlignment="1" applyProtection="1">
      <alignment horizontal="center" vertical="center"/>
      <protection locked="0"/>
    </xf>
    <xf numFmtId="164" fontId="5" fillId="7" borderId="1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1" fillId="14" borderId="0" xfId="0" applyFont="1" applyFill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0" fillId="0" borderId="58" xfId="0" applyBorder="1" applyAlignment="1">
      <alignment horizontal="center" textRotation="90"/>
    </xf>
    <xf numFmtId="0" fontId="24" fillId="13" borderId="57" xfId="0" applyFont="1" applyFill="1" applyBorder="1" applyAlignment="1">
      <alignment horizontal="left" vertical="center"/>
    </xf>
    <xf numFmtId="170" fontId="24" fillId="13" borderId="57" xfId="0" applyNumberFormat="1" applyFont="1" applyFill="1" applyBorder="1" applyAlignment="1">
      <alignment horizontal="center" vertical="center"/>
    </xf>
    <xf numFmtId="169" fontId="24" fillId="13" borderId="57" xfId="0" applyNumberFormat="1" applyFont="1" applyFill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 vertical="center"/>
    </xf>
    <xf numFmtId="2" fontId="17" fillId="0" borderId="54" xfId="0" applyNumberFormat="1" applyFont="1" applyBorder="1" applyAlignment="1">
      <alignment horizontal="center" vertical="center"/>
    </xf>
    <xf numFmtId="2" fontId="17" fillId="0" borderId="53" xfId="0" applyNumberFormat="1" applyFont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2" fontId="16" fillId="0" borderId="54" xfId="0" applyNumberFormat="1" applyFont="1" applyBorder="1" applyAlignment="1">
      <alignment horizontal="center" vertical="center"/>
    </xf>
    <xf numFmtId="2" fontId="16" fillId="0" borderId="53" xfId="0" applyNumberFormat="1" applyFont="1" applyBorder="1" applyAlignment="1">
      <alignment horizontal="center" vertical="center"/>
    </xf>
    <xf numFmtId="0" fontId="6" fillId="0" borderId="51" xfId="0" applyFont="1" applyBorder="1" applyAlignment="1">
      <alignment horizontal="left" vertical="top" wrapText="1"/>
    </xf>
    <xf numFmtId="0" fontId="6" fillId="0" borderId="49" xfId="0" applyFont="1" applyBorder="1" applyAlignment="1">
      <alignment horizontal="left" vertical="top" wrapText="1"/>
    </xf>
    <xf numFmtId="20" fontId="5" fillId="0" borderId="3" xfId="0" applyNumberFormat="1" applyFont="1" applyBorder="1" applyAlignment="1">
      <alignment horizontal="center" vertical="center"/>
    </xf>
    <xf numFmtId="0" fontId="5" fillId="0" borderId="48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48" xfId="0" applyNumberFormat="1" applyFont="1" applyBorder="1" applyAlignment="1">
      <alignment horizontal="center" vertical="center"/>
    </xf>
    <xf numFmtId="168" fontId="15" fillId="10" borderId="50" xfId="0" applyNumberFormat="1" applyFont="1" applyFill="1" applyBorder="1" applyAlignment="1">
      <alignment horizontal="center" vertical="center" wrapText="1"/>
    </xf>
    <xf numFmtId="168" fontId="15" fillId="10" borderId="43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8772"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'1'!$T$212:$AX$212</c:f>
              <c:numCache>
                <c:formatCode>General</c:formatCode>
                <c:ptCount val="31"/>
              </c:numCache>
            </c:numRef>
          </c:cat>
          <c:val>
            <c:numRef>
              <c:f>'1'!$U$213:$AX$213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65440"/>
        <c:axId val="209967360"/>
      </c:lineChart>
      <c:catAx>
        <c:axId val="209965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7360"/>
        <c:crosses val="autoZero"/>
        <c:auto val="1"/>
        <c:lblAlgn val="ctr"/>
        <c:lblOffset val="100"/>
        <c:noMultiLvlLbl val="0"/>
      </c:catAx>
      <c:valAx>
        <c:axId val="209967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'2'!$T$212:$AX$212</c:f>
              <c:numCache>
                <c:formatCode>General</c:formatCode>
                <c:ptCount val="31"/>
              </c:numCache>
            </c:numRef>
          </c:cat>
          <c:val>
            <c:numRef>
              <c:f>'2'!$U$213:$AX$213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183808"/>
        <c:axId val="328185728"/>
      </c:lineChart>
      <c:catAx>
        <c:axId val="328183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85728"/>
        <c:crosses val="autoZero"/>
        <c:auto val="1"/>
        <c:lblAlgn val="ctr"/>
        <c:lblOffset val="100"/>
        <c:noMultiLvlLbl val="0"/>
      </c:catAx>
      <c:valAx>
        <c:axId val="328185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8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'3'!$T$212:$AX$212</c:f>
              <c:numCache>
                <c:formatCode>General</c:formatCode>
                <c:ptCount val="31"/>
              </c:numCache>
            </c:numRef>
          </c:cat>
          <c:val>
            <c:numRef>
              <c:f>'3'!$U$213:$AX$213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70144"/>
        <c:axId val="209672064"/>
      </c:lineChart>
      <c:catAx>
        <c:axId val="209670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2064"/>
        <c:crosses val="autoZero"/>
        <c:auto val="1"/>
        <c:lblAlgn val="ctr"/>
        <c:lblOffset val="100"/>
        <c:noMultiLvlLbl val="0"/>
      </c:catAx>
      <c:valAx>
        <c:axId val="209672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'4'!$T$212:$AX$212</c:f>
              <c:numCache>
                <c:formatCode>General</c:formatCode>
                <c:ptCount val="31"/>
              </c:numCache>
            </c:numRef>
          </c:cat>
          <c:val>
            <c:numRef>
              <c:f>'4'!$U$213:$AX$213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440192"/>
        <c:axId val="338442112"/>
      </c:lineChart>
      <c:catAx>
        <c:axId val="338440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442112"/>
        <c:crosses val="autoZero"/>
        <c:auto val="1"/>
        <c:lblAlgn val="ctr"/>
        <c:lblOffset val="100"/>
        <c:noMultiLvlLbl val="0"/>
      </c:catAx>
      <c:valAx>
        <c:axId val="338442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44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'5'!$T$212:$AX$212</c:f>
              <c:numCache>
                <c:formatCode>General</c:formatCode>
                <c:ptCount val="31"/>
              </c:numCache>
            </c:numRef>
          </c:cat>
          <c:val>
            <c:numRef>
              <c:f>'5'!$U$213:$AX$213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719680"/>
        <c:axId val="337721600"/>
      </c:lineChart>
      <c:catAx>
        <c:axId val="337719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21600"/>
        <c:crosses val="autoZero"/>
        <c:auto val="1"/>
        <c:lblAlgn val="ctr"/>
        <c:lblOffset val="100"/>
        <c:noMultiLvlLbl val="0"/>
      </c:catAx>
      <c:valAx>
        <c:axId val="337721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1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'6'!$T$212:$AX$212</c:f>
              <c:numCache>
                <c:formatCode>General</c:formatCode>
                <c:ptCount val="31"/>
              </c:numCache>
            </c:numRef>
          </c:cat>
          <c:val>
            <c:numRef>
              <c:f>'6'!$U$213:$AX$213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830336"/>
        <c:axId val="339383808"/>
      </c:lineChart>
      <c:catAx>
        <c:axId val="328830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83808"/>
        <c:crosses val="autoZero"/>
        <c:auto val="1"/>
        <c:lblAlgn val="ctr"/>
        <c:lblOffset val="100"/>
        <c:noMultiLvlLbl val="0"/>
      </c:catAx>
      <c:valAx>
        <c:axId val="339383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3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'7'!$T$212:$AX$212</c:f>
              <c:numCache>
                <c:formatCode>General</c:formatCode>
                <c:ptCount val="31"/>
              </c:numCache>
            </c:numRef>
          </c:cat>
          <c:val>
            <c:numRef>
              <c:f>'7'!$U$213:$AX$213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967552"/>
        <c:axId val="340018304"/>
      </c:lineChart>
      <c:catAx>
        <c:axId val="338967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18304"/>
        <c:crosses val="autoZero"/>
        <c:auto val="1"/>
        <c:lblAlgn val="ctr"/>
        <c:lblOffset val="100"/>
        <c:noMultiLvlLbl val="0"/>
      </c:catAx>
      <c:valAx>
        <c:axId val="340018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6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'8'!$T$212:$AX$212</c:f>
              <c:numCache>
                <c:formatCode>General</c:formatCode>
                <c:ptCount val="31"/>
              </c:numCache>
            </c:numRef>
          </c:cat>
          <c:val>
            <c:numRef>
              <c:f>'8'!$U$213:$AX$213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723200"/>
        <c:axId val="340725120"/>
      </c:lineChart>
      <c:catAx>
        <c:axId val="340723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25120"/>
        <c:crosses val="autoZero"/>
        <c:auto val="1"/>
        <c:lblAlgn val="ctr"/>
        <c:lblOffset val="100"/>
        <c:noMultiLvlLbl val="0"/>
      </c:catAx>
      <c:valAx>
        <c:axId val="340725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2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'9'!$T$212:$AX$212</c:f>
              <c:numCache>
                <c:formatCode>General</c:formatCode>
                <c:ptCount val="31"/>
              </c:numCache>
            </c:numRef>
          </c:cat>
          <c:val>
            <c:numRef>
              <c:f>'9'!$U$213:$AX$213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468288"/>
        <c:axId val="341470208"/>
      </c:lineChart>
      <c:catAx>
        <c:axId val="341468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70208"/>
        <c:crosses val="autoZero"/>
        <c:auto val="1"/>
        <c:lblAlgn val="ctr"/>
        <c:lblOffset val="100"/>
        <c:noMultiLvlLbl val="0"/>
      </c:catAx>
      <c:valAx>
        <c:axId val="341470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6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'10'!$T$212:$AX$212</c:f>
              <c:numCache>
                <c:formatCode>General</c:formatCode>
                <c:ptCount val="31"/>
              </c:numCache>
            </c:numRef>
          </c:cat>
          <c:val>
            <c:numRef>
              <c:f>'10'!$U$213:$AX$213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207680"/>
        <c:axId val="341275392"/>
      </c:lineChart>
      <c:catAx>
        <c:axId val="341207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75392"/>
        <c:crosses val="autoZero"/>
        <c:auto val="1"/>
        <c:lblAlgn val="ctr"/>
        <c:lblOffset val="100"/>
        <c:noMultiLvlLbl val="0"/>
      </c:catAx>
      <c:valAx>
        <c:axId val="341275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0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'11'!$T$212:$AX$212</c:f>
              <c:numCache>
                <c:formatCode>General</c:formatCode>
                <c:ptCount val="31"/>
              </c:numCache>
            </c:numRef>
          </c:cat>
          <c:val>
            <c:numRef>
              <c:f>'11'!$U$213:$AX$213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130496"/>
        <c:axId val="343132416"/>
      </c:lineChart>
      <c:catAx>
        <c:axId val="343130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32416"/>
        <c:crosses val="autoZero"/>
        <c:auto val="1"/>
        <c:lblAlgn val="ctr"/>
        <c:lblOffset val="100"/>
        <c:noMultiLvlLbl val="0"/>
      </c:catAx>
      <c:valAx>
        <c:axId val="343132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'12'!$T$212:$AX$212</c:f>
              <c:numCache>
                <c:formatCode>General</c:formatCode>
                <c:ptCount val="31"/>
              </c:numCache>
            </c:numRef>
          </c:cat>
          <c:val>
            <c:numRef>
              <c:f>'12'!$U$213:$AX$213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500288"/>
        <c:axId val="343502208"/>
      </c:lineChart>
      <c:catAx>
        <c:axId val="343500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02208"/>
        <c:crosses val="autoZero"/>
        <c:auto val="1"/>
        <c:lblAlgn val="ctr"/>
        <c:lblOffset val="100"/>
        <c:noMultiLvlLbl val="0"/>
      </c:catAx>
      <c:valAx>
        <c:axId val="3435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0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'13'!$T$212:$AX$212</c:f>
              <c:numCache>
                <c:formatCode>General</c:formatCode>
                <c:ptCount val="31"/>
              </c:numCache>
            </c:numRef>
          </c:cat>
          <c:val>
            <c:numRef>
              <c:f>'13'!$U$213:$AX$213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367104"/>
        <c:axId val="344369024"/>
      </c:lineChart>
      <c:catAx>
        <c:axId val="34436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69024"/>
        <c:crosses val="autoZero"/>
        <c:auto val="1"/>
        <c:lblAlgn val="ctr"/>
        <c:lblOffset val="100"/>
        <c:noMultiLvlLbl val="0"/>
      </c:catAx>
      <c:valAx>
        <c:axId val="34436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6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'14'!$T$212:$AX$212</c:f>
              <c:numCache>
                <c:formatCode>General</c:formatCode>
                <c:ptCount val="31"/>
              </c:numCache>
            </c:numRef>
          </c:cat>
          <c:val>
            <c:numRef>
              <c:f>'14'!$U$213:$AX$213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784896"/>
        <c:axId val="344786816"/>
      </c:lineChart>
      <c:catAx>
        <c:axId val="344784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86816"/>
        <c:crosses val="autoZero"/>
        <c:auto val="1"/>
        <c:lblAlgn val="ctr"/>
        <c:lblOffset val="100"/>
        <c:noMultiLvlLbl val="0"/>
      </c:catAx>
      <c:valAx>
        <c:axId val="344786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'15'!$T$212:$AX$212</c:f>
              <c:numCache>
                <c:formatCode>General</c:formatCode>
                <c:ptCount val="31"/>
              </c:numCache>
            </c:numRef>
          </c:cat>
          <c:val>
            <c:numRef>
              <c:f>'15'!$U$213:$AX$213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694592"/>
        <c:axId val="345696512"/>
      </c:lineChart>
      <c:catAx>
        <c:axId val="345694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96512"/>
        <c:crosses val="autoZero"/>
        <c:auto val="1"/>
        <c:lblAlgn val="ctr"/>
        <c:lblOffset val="100"/>
        <c:noMultiLvlLbl val="0"/>
      </c:catAx>
      <c:valAx>
        <c:axId val="345696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9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'16'!$T$212:$AX$212</c:f>
              <c:numCache>
                <c:formatCode>General</c:formatCode>
                <c:ptCount val="31"/>
              </c:numCache>
            </c:numRef>
          </c:cat>
          <c:val>
            <c:numRef>
              <c:f>'16'!$U$213:$AX$213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761664"/>
        <c:axId val="345763840"/>
      </c:lineChart>
      <c:catAx>
        <c:axId val="345761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63840"/>
        <c:crosses val="autoZero"/>
        <c:auto val="1"/>
        <c:lblAlgn val="ctr"/>
        <c:lblOffset val="100"/>
        <c:noMultiLvlLbl val="0"/>
      </c:catAx>
      <c:valAx>
        <c:axId val="345763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6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'17'!$T$212:$AX$212</c:f>
              <c:numCache>
                <c:formatCode>General</c:formatCode>
                <c:ptCount val="31"/>
              </c:numCache>
            </c:numRef>
          </c:cat>
          <c:val>
            <c:numRef>
              <c:f>'17'!$U$213:$AX$213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306432"/>
        <c:axId val="346312704"/>
      </c:lineChart>
      <c:catAx>
        <c:axId val="346306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12704"/>
        <c:crosses val="autoZero"/>
        <c:auto val="1"/>
        <c:lblAlgn val="ctr"/>
        <c:lblOffset val="100"/>
        <c:noMultiLvlLbl val="0"/>
      </c:catAx>
      <c:valAx>
        <c:axId val="346312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'18'!$T$212:$AX$212</c:f>
              <c:numCache>
                <c:formatCode>General</c:formatCode>
                <c:ptCount val="31"/>
              </c:numCache>
            </c:numRef>
          </c:cat>
          <c:val>
            <c:numRef>
              <c:f>'18'!$U$213:$AX$213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815488"/>
        <c:axId val="346887296"/>
      </c:lineChart>
      <c:catAx>
        <c:axId val="346815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87296"/>
        <c:crosses val="autoZero"/>
        <c:auto val="1"/>
        <c:lblAlgn val="ctr"/>
        <c:lblOffset val="100"/>
        <c:noMultiLvlLbl val="0"/>
      </c:catAx>
      <c:valAx>
        <c:axId val="346887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'19'!$T$212:$AX$212</c:f>
              <c:numCache>
                <c:formatCode>General</c:formatCode>
                <c:ptCount val="31"/>
              </c:numCache>
            </c:numRef>
          </c:cat>
          <c:val>
            <c:numRef>
              <c:f>'19'!$U$213:$AX$213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449408"/>
        <c:axId val="342102784"/>
      </c:lineChart>
      <c:catAx>
        <c:axId val="348449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02784"/>
        <c:crosses val="autoZero"/>
        <c:auto val="1"/>
        <c:lblAlgn val="ctr"/>
        <c:lblOffset val="100"/>
        <c:noMultiLvlLbl val="0"/>
      </c:catAx>
      <c:valAx>
        <c:axId val="342102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4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'20'!$T$212:$AX$212</c:f>
              <c:numCache>
                <c:formatCode>General</c:formatCode>
                <c:ptCount val="31"/>
              </c:numCache>
            </c:numRef>
          </c:cat>
          <c:val>
            <c:numRef>
              <c:f>'20'!$U$213:$AX$213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781568"/>
        <c:axId val="348992640"/>
      </c:lineChart>
      <c:catAx>
        <c:axId val="348781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92640"/>
        <c:crosses val="autoZero"/>
        <c:auto val="1"/>
        <c:lblAlgn val="ctr"/>
        <c:lblOffset val="100"/>
        <c:noMultiLvlLbl val="0"/>
      </c:catAx>
      <c:valAx>
        <c:axId val="348992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78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'21'!$T$212:$AX$212</c:f>
              <c:numCache>
                <c:formatCode>General</c:formatCode>
                <c:ptCount val="31"/>
              </c:numCache>
            </c:numRef>
          </c:cat>
          <c:val>
            <c:numRef>
              <c:f>'21'!$U$213:$AX$213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506944"/>
        <c:axId val="349529600"/>
      </c:lineChart>
      <c:catAx>
        <c:axId val="349506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9600"/>
        <c:crosses val="autoZero"/>
        <c:auto val="1"/>
        <c:lblAlgn val="ctr"/>
        <c:lblOffset val="100"/>
        <c:noMultiLvlLbl val="0"/>
      </c:catAx>
      <c:valAx>
        <c:axId val="349529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0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'22'!$T$212:$AX$212</c:f>
              <c:numCache>
                <c:formatCode>General</c:formatCode>
                <c:ptCount val="31"/>
              </c:numCache>
            </c:numRef>
          </c:cat>
          <c:val>
            <c:numRef>
              <c:f>'22'!$U$213:$AX$213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547904"/>
        <c:axId val="343549824"/>
      </c:lineChart>
      <c:catAx>
        <c:axId val="343547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49824"/>
        <c:crosses val="autoZero"/>
        <c:auto val="1"/>
        <c:lblAlgn val="ctr"/>
        <c:lblOffset val="100"/>
        <c:noMultiLvlLbl val="0"/>
      </c:catAx>
      <c:valAx>
        <c:axId val="343549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4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'23'!$T$212:$AX$212</c:f>
              <c:numCache>
                <c:formatCode>General</c:formatCode>
                <c:ptCount val="31"/>
              </c:numCache>
            </c:numRef>
          </c:cat>
          <c:val>
            <c:numRef>
              <c:f>'23'!$U$213:$AX$213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175040"/>
        <c:axId val="351176960"/>
      </c:lineChart>
      <c:catAx>
        <c:axId val="351175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76960"/>
        <c:crosses val="autoZero"/>
        <c:auto val="1"/>
        <c:lblAlgn val="ctr"/>
        <c:lblOffset val="100"/>
        <c:noMultiLvlLbl val="0"/>
      </c:catAx>
      <c:valAx>
        <c:axId val="351176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7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'24'!$T$212:$AX$212</c:f>
              <c:numCache>
                <c:formatCode>General</c:formatCode>
                <c:ptCount val="31"/>
              </c:numCache>
            </c:numRef>
          </c:cat>
          <c:val>
            <c:numRef>
              <c:f>'24'!$U$213:$AX$213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793152"/>
        <c:axId val="351795072"/>
      </c:lineChart>
      <c:catAx>
        <c:axId val="351793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95072"/>
        <c:crosses val="autoZero"/>
        <c:auto val="1"/>
        <c:lblAlgn val="ctr"/>
        <c:lblOffset val="100"/>
        <c:noMultiLvlLbl val="0"/>
      </c:catAx>
      <c:valAx>
        <c:axId val="351795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9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'25'!$T$212:$AX$212</c:f>
              <c:numCache>
                <c:formatCode>General</c:formatCode>
                <c:ptCount val="31"/>
              </c:numCache>
            </c:numRef>
          </c:cat>
          <c:val>
            <c:numRef>
              <c:f>'25'!$U$213:$AX$213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543104"/>
        <c:axId val="352545024"/>
      </c:lineChart>
      <c:catAx>
        <c:axId val="352543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45024"/>
        <c:crosses val="autoZero"/>
        <c:auto val="1"/>
        <c:lblAlgn val="ctr"/>
        <c:lblOffset val="100"/>
        <c:noMultiLvlLbl val="0"/>
      </c:catAx>
      <c:valAx>
        <c:axId val="352545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4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'26'!$T$212:$AX$212</c:f>
              <c:numCache>
                <c:formatCode>General</c:formatCode>
                <c:ptCount val="31"/>
              </c:numCache>
            </c:numRef>
          </c:cat>
          <c:val>
            <c:numRef>
              <c:f>'26'!$U$213:$AX$213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866688"/>
        <c:axId val="352868608"/>
      </c:lineChart>
      <c:catAx>
        <c:axId val="352866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68608"/>
        <c:crosses val="autoZero"/>
        <c:auto val="1"/>
        <c:lblAlgn val="ctr"/>
        <c:lblOffset val="100"/>
        <c:noMultiLvlLbl val="0"/>
      </c:catAx>
      <c:valAx>
        <c:axId val="352868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6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'27'!$T$212:$AX$212</c:f>
              <c:numCache>
                <c:formatCode>General</c:formatCode>
                <c:ptCount val="31"/>
              </c:numCache>
            </c:numRef>
          </c:cat>
          <c:val>
            <c:numRef>
              <c:f>'27'!$U$213:$AX$213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144256"/>
        <c:axId val="354146176"/>
      </c:lineChart>
      <c:catAx>
        <c:axId val="354144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46176"/>
        <c:crosses val="autoZero"/>
        <c:auto val="1"/>
        <c:lblAlgn val="ctr"/>
        <c:lblOffset val="100"/>
        <c:noMultiLvlLbl val="0"/>
      </c:catAx>
      <c:valAx>
        <c:axId val="354146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4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'28'!$T$212:$AX$212</c:f>
              <c:numCache>
                <c:formatCode>General</c:formatCode>
                <c:ptCount val="31"/>
              </c:numCache>
            </c:numRef>
          </c:cat>
          <c:val>
            <c:numRef>
              <c:f>'28'!$U$213:$AX$213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946368"/>
        <c:axId val="349722112"/>
      </c:lineChart>
      <c:catAx>
        <c:axId val="3479463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22112"/>
        <c:crosses val="autoZero"/>
        <c:auto val="1"/>
        <c:lblAlgn val="ctr"/>
        <c:lblOffset val="100"/>
        <c:noMultiLvlLbl val="0"/>
      </c:catAx>
      <c:valAx>
        <c:axId val="349722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4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'29'!$T$212:$AX$212</c:f>
              <c:numCache>
                <c:formatCode>General</c:formatCode>
                <c:ptCount val="31"/>
              </c:numCache>
            </c:numRef>
          </c:cat>
          <c:val>
            <c:numRef>
              <c:f>'29'!$U$213:$AX$213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422976"/>
        <c:axId val="355424896"/>
      </c:lineChart>
      <c:catAx>
        <c:axId val="355422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24896"/>
        <c:crosses val="autoZero"/>
        <c:auto val="1"/>
        <c:lblAlgn val="ctr"/>
        <c:lblOffset val="100"/>
        <c:noMultiLvlLbl val="0"/>
      </c:catAx>
      <c:valAx>
        <c:axId val="355424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2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'30'!$T$212:$AX$212</c:f>
              <c:numCache>
                <c:formatCode>General</c:formatCode>
                <c:ptCount val="31"/>
              </c:numCache>
            </c:numRef>
          </c:cat>
          <c:val>
            <c:numRef>
              <c:f>'30'!$U$213:$AX$213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06208"/>
        <c:axId val="355828864"/>
      </c:lineChart>
      <c:catAx>
        <c:axId val="3558062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28864"/>
        <c:crosses val="autoZero"/>
        <c:auto val="1"/>
        <c:lblAlgn val="ctr"/>
        <c:lblOffset val="100"/>
        <c:noMultiLvlLbl val="0"/>
      </c:catAx>
      <c:valAx>
        <c:axId val="355828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0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sample!$T$212:$AX$212</c:f>
              <c:numCache>
                <c:formatCode>General</c:formatCode>
                <c:ptCount val="31"/>
              </c:numCache>
            </c:numRef>
          </c:cat>
          <c:val>
            <c:numRef>
              <c:f>sample!$U$213:$AX$213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566144"/>
        <c:axId val="354568064"/>
      </c:lineChart>
      <c:catAx>
        <c:axId val="35456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68064"/>
        <c:crosses val="autoZero"/>
        <c:auto val="1"/>
        <c:lblAlgn val="ctr"/>
        <c:lblOffset val="100"/>
        <c:noMultiLvlLbl val="0"/>
      </c:catAx>
      <c:valAx>
        <c:axId val="354568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Sheet5!$A$7:$A$30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Sheet5!$B$7:$B$30</c:f>
              <c:numCache>
                <c:formatCode>General</c:formatCode>
                <c:ptCount val="24"/>
                <c:pt idx="0">
                  <c:v>1205.06</c:v>
                </c:pt>
                <c:pt idx="1">
                  <c:v>1165.44</c:v>
                </c:pt>
                <c:pt idx="2">
                  <c:v>1143.24</c:v>
                </c:pt>
                <c:pt idx="3">
                  <c:v>1094.4199999999998</c:v>
                </c:pt>
                <c:pt idx="4">
                  <c:v>1083.1100000000001</c:v>
                </c:pt>
                <c:pt idx="5">
                  <c:v>1141.74</c:v>
                </c:pt>
                <c:pt idx="6">
                  <c:v>1261.04</c:v>
                </c:pt>
                <c:pt idx="7">
                  <c:v>1375.5100000000002</c:v>
                </c:pt>
                <c:pt idx="8">
                  <c:v>1369.94</c:v>
                </c:pt>
                <c:pt idx="9">
                  <c:v>1360.74</c:v>
                </c:pt>
                <c:pt idx="10">
                  <c:v>1297.44</c:v>
                </c:pt>
                <c:pt idx="11">
                  <c:v>1335.7400000000002</c:v>
                </c:pt>
                <c:pt idx="12">
                  <c:v>1321.24</c:v>
                </c:pt>
                <c:pt idx="13">
                  <c:v>1321.3400000000001</c:v>
                </c:pt>
                <c:pt idx="14">
                  <c:v>1431.44</c:v>
                </c:pt>
                <c:pt idx="15">
                  <c:v>1413.7400000000002</c:v>
                </c:pt>
                <c:pt idx="16">
                  <c:v>1349.2400000000002</c:v>
                </c:pt>
                <c:pt idx="17">
                  <c:v>1317.2400000000002</c:v>
                </c:pt>
                <c:pt idx="18">
                  <c:v>1515.3400000000001</c:v>
                </c:pt>
                <c:pt idx="19">
                  <c:v>1588.8400000000001</c:v>
                </c:pt>
                <c:pt idx="20">
                  <c:v>1497.14</c:v>
                </c:pt>
                <c:pt idx="21">
                  <c:v>1453.14</c:v>
                </c:pt>
                <c:pt idx="22">
                  <c:v>1295.7800000000002</c:v>
                </c:pt>
                <c:pt idx="23">
                  <c:v>1220.1400000000001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757824"/>
        <c:axId val="349759360"/>
      </c:lineChart>
      <c:catAx>
        <c:axId val="349757824"/>
        <c:scaling>
          <c:orientation val="minMax"/>
        </c:scaling>
        <c:delete val="0"/>
        <c:axPos val="b"/>
        <c:majorTickMark val="out"/>
        <c:minorTickMark val="none"/>
        <c:tickLblPos val="nextTo"/>
        <c:crossAx val="349759360"/>
        <c:crosses val="autoZero"/>
        <c:auto val="1"/>
        <c:lblAlgn val="ctr"/>
        <c:lblOffset val="100"/>
        <c:noMultiLvlLbl val="0"/>
      </c:catAx>
      <c:valAx>
        <c:axId val="34975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9757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13</xdr:row>
      <xdr:rowOff>95250</xdr:rowOff>
    </xdr:from>
    <xdr:to>
      <xdr:col>18</xdr:col>
      <xdr:colOff>381000</xdr:colOff>
      <xdr:row>27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8-08-Mang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new_sample"/>
      <sheetName val="Sheet1"/>
      <sheetName val="Sheet2"/>
      <sheetName val="Sheet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1">
          <cell r="A211" t="str">
            <v>IPP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J472"/>
  <sheetViews>
    <sheetView zoomScale="90" zoomScaleNormal="90" workbookViewId="0">
      <pane xSplit="1" ySplit="10" topLeftCell="B47" activePane="bottomRight" state="frozen"/>
      <selection activeCell="AK51" sqref="AK51"/>
      <selection pane="topRight" activeCell="AK51" sqref="AK51"/>
      <selection pane="bottomLeft" activeCell="AK51" sqref="AK51"/>
      <selection pane="bottomRight" activeCell="AK51" sqref="AK5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5" width="6.85546875" customWidth="1"/>
    <col min="26" max="26" width="7.42578125" customWidth="1"/>
    <col min="27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427.49999999999994</v>
      </c>
      <c r="C5" s="157">
        <f t="shared" si="0"/>
        <v>493.2</v>
      </c>
      <c r="D5" s="157">
        <f t="shared" si="0"/>
        <v>503.09999999999997</v>
      </c>
      <c r="E5" s="157">
        <f t="shared" si="0"/>
        <v>509.29999999999995</v>
      </c>
      <c r="F5" s="157">
        <f t="shared" si="0"/>
        <v>515.29999999999995</v>
      </c>
      <c r="G5" s="157">
        <f t="shared" si="0"/>
        <v>315.60000000000002</v>
      </c>
      <c r="H5" s="157">
        <f t="shared" si="0"/>
        <v>530.20000000000005</v>
      </c>
      <c r="I5" s="157">
        <f t="shared" si="0"/>
        <v>341</v>
      </c>
      <c r="J5" s="157">
        <f t="shared" si="0"/>
        <v>317.89999999999998</v>
      </c>
      <c r="K5" s="157">
        <f t="shared" si="0"/>
        <v>325.53999999999996</v>
      </c>
      <c r="L5" s="157">
        <f t="shared" si="0"/>
        <v>365</v>
      </c>
      <c r="M5" s="157">
        <f t="shared" si="0"/>
        <v>672.30000000000007</v>
      </c>
      <c r="N5" s="157">
        <f t="shared" si="0"/>
        <v>659.19999999999993</v>
      </c>
      <c r="O5" s="157">
        <f t="shared" si="0"/>
        <v>653.30000000000007</v>
      </c>
      <c r="P5" s="157">
        <f t="shared" si="0"/>
        <v>556.70000000000005</v>
      </c>
      <c r="Q5" s="157">
        <f t="shared" si="0"/>
        <v>626.9</v>
      </c>
      <c r="R5" s="157">
        <f t="shared" si="0"/>
        <v>656.1</v>
      </c>
      <c r="S5" s="157">
        <f t="shared" si="0"/>
        <v>662.7</v>
      </c>
      <c r="T5" s="157">
        <f t="shared" si="0"/>
        <v>554.29999999999995</v>
      </c>
      <c r="U5" s="157">
        <f t="shared" si="0"/>
        <v>445.8</v>
      </c>
      <c r="V5" s="157">
        <f t="shared" si="0"/>
        <v>567.90000000000009</v>
      </c>
      <c r="W5" s="157">
        <f t="shared" si="0"/>
        <v>592.70000000000005</v>
      </c>
      <c r="X5" s="157">
        <f t="shared" si="0"/>
        <v>574.6</v>
      </c>
      <c r="Y5" s="157">
        <f t="shared" si="0"/>
        <v>556</v>
      </c>
      <c r="Z5" s="157">
        <f t="shared" si="0"/>
        <v>341.5</v>
      </c>
      <c r="AA5" s="157">
        <f t="shared" si="0"/>
        <v>301</v>
      </c>
      <c r="AB5" s="157">
        <f t="shared" si="0"/>
        <v>499</v>
      </c>
      <c r="AC5" s="157">
        <f t="shared" si="0"/>
        <v>511</v>
      </c>
      <c r="AD5" s="157">
        <f t="shared" si="0"/>
        <v>290</v>
      </c>
      <c r="AE5" s="157">
        <f t="shared" si="0"/>
        <v>297</v>
      </c>
      <c r="AF5" s="157">
        <f>B68</f>
        <v>471.73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1442MW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Load=1030</v>
      </c>
      <c r="B7" s="146">
        <f t="shared" ref="B7:AF7" si="1">B75</f>
        <v>1070.67</v>
      </c>
      <c r="C7" s="146">
        <f t="shared" si="1"/>
        <v>1031.1399999999999</v>
      </c>
      <c r="D7" s="146">
        <f t="shared" si="1"/>
        <v>1030.6399999999999</v>
      </c>
      <c r="E7" s="146">
        <f t="shared" si="1"/>
        <v>1042.24</v>
      </c>
      <c r="F7" s="146">
        <f t="shared" si="1"/>
        <v>1029.74</v>
      </c>
      <c r="G7" s="146">
        <f t="shared" si="1"/>
        <v>1052.44</v>
      </c>
      <c r="H7" s="146">
        <f t="shared" si="1"/>
        <v>1138.24</v>
      </c>
      <c r="I7" s="146">
        <f t="shared" si="1"/>
        <v>1208.04</v>
      </c>
      <c r="J7" s="146">
        <f t="shared" si="1"/>
        <v>1295.1399999999999</v>
      </c>
      <c r="K7" s="146">
        <f t="shared" si="1"/>
        <v>1368.94</v>
      </c>
      <c r="L7" s="146">
        <f t="shared" si="1"/>
        <v>1441.88</v>
      </c>
      <c r="M7" s="146">
        <f t="shared" si="1"/>
        <v>1426.3400000000001</v>
      </c>
      <c r="N7" s="146">
        <f t="shared" si="1"/>
        <v>1379.7400000000002</v>
      </c>
      <c r="O7" s="146">
        <f t="shared" si="1"/>
        <v>1355.84</v>
      </c>
      <c r="P7" s="146">
        <f t="shared" si="1"/>
        <v>1322.04</v>
      </c>
      <c r="Q7" s="146">
        <f t="shared" si="1"/>
        <v>1323.2400000000002</v>
      </c>
      <c r="R7" s="146">
        <f t="shared" si="1"/>
        <v>1284.6399999999999</v>
      </c>
      <c r="S7" s="146">
        <f t="shared" si="1"/>
        <v>1301.3400000000001</v>
      </c>
      <c r="T7" s="146">
        <f t="shared" si="1"/>
        <v>1317.8400000000001</v>
      </c>
      <c r="U7" s="146">
        <f t="shared" si="1"/>
        <v>1240.24</v>
      </c>
      <c r="V7" s="146">
        <f t="shared" si="1"/>
        <v>1273.54</v>
      </c>
      <c r="W7" s="146">
        <f t="shared" si="1"/>
        <v>1295.5400000000002</v>
      </c>
      <c r="X7" s="146">
        <f t="shared" si="1"/>
        <v>1318.7400000000002</v>
      </c>
      <c r="Y7" s="146">
        <f t="shared" si="1"/>
        <v>1392.0400000000002</v>
      </c>
      <c r="Z7" s="146">
        <f t="shared" si="1"/>
        <v>1576.3400000000001</v>
      </c>
      <c r="AA7" s="146">
        <f t="shared" si="1"/>
        <v>1519.0400000000002</v>
      </c>
      <c r="AB7" s="146">
        <f t="shared" si="1"/>
        <v>1467.0400000000002</v>
      </c>
      <c r="AC7" s="146">
        <f t="shared" si="1"/>
        <v>1436.3400000000001</v>
      </c>
      <c r="AD7" s="146">
        <f t="shared" si="1"/>
        <v>1378.54</v>
      </c>
      <c r="AE7" s="146">
        <f t="shared" si="1"/>
        <v>1273.0400000000002</v>
      </c>
      <c r="AF7" s="146">
        <f t="shared" si="1"/>
        <v>1199.7400000000002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10</v>
      </c>
      <c r="C11" s="127">
        <v>10</v>
      </c>
      <c r="D11" s="127">
        <v>30</v>
      </c>
      <c r="E11" s="127">
        <v>30</v>
      </c>
      <c r="F11" s="127">
        <v>12</v>
      </c>
      <c r="G11" s="127">
        <v>12</v>
      </c>
      <c r="H11" s="127">
        <v>200</v>
      </c>
      <c r="I11" s="127">
        <v>80</v>
      </c>
      <c r="J11" s="127">
        <v>200</v>
      </c>
      <c r="K11" s="127">
        <v>270</v>
      </c>
      <c r="L11" s="127">
        <v>304</v>
      </c>
      <c r="M11" s="103">
        <v>230</v>
      </c>
      <c r="N11" s="103">
        <v>12</v>
      </c>
      <c r="O11" s="103">
        <v>12</v>
      </c>
      <c r="P11" s="103">
        <v>12</v>
      </c>
      <c r="Q11" s="103">
        <v>65</v>
      </c>
      <c r="R11" s="135">
        <v>12</v>
      </c>
      <c r="S11" s="135">
        <v>9.8000000000000007</v>
      </c>
      <c r="T11" s="135">
        <v>9.8000000000000007</v>
      </c>
      <c r="U11" s="135">
        <v>9.8000000000000007</v>
      </c>
      <c r="V11" s="135">
        <v>40</v>
      </c>
      <c r="W11" s="135">
        <v>40</v>
      </c>
      <c r="X11" s="135">
        <v>40</v>
      </c>
      <c r="Y11" s="135">
        <v>80</v>
      </c>
      <c r="Z11" s="73">
        <v>150</v>
      </c>
      <c r="AA11" s="73">
        <v>350</v>
      </c>
      <c r="AB11" s="103">
        <v>330</v>
      </c>
      <c r="AC11" s="103">
        <v>230</v>
      </c>
      <c r="AD11" s="103">
        <v>170</v>
      </c>
      <c r="AE11" s="103">
        <v>250</v>
      </c>
      <c r="AF11" s="127">
        <v>160</v>
      </c>
      <c r="AG11" s="54">
        <v>456</v>
      </c>
      <c r="AH11" s="21">
        <f t="shared" ref="AH11:AH42" si="2">MAX(B11:AF11)</f>
        <v>350</v>
      </c>
      <c r="AI11" s="20">
        <f t="shared" ref="AI11:AI42" si="3">MIN(B11:AF11)</f>
        <v>9.8000000000000007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31</v>
      </c>
      <c r="C12" s="127">
        <v>31</v>
      </c>
      <c r="D12" s="127">
        <v>31</v>
      </c>
      <c r="E12" s="127">
        <v>31</v>
      </c>
      <c r="F12" s="127">
        <v>31</v>
      </c>
      <c r="G12" s="127">
        <v>31</v>
      </c>
      <c r="H12" s="127">
        <v>31</v>
      </c>
      <c r="I12" s="127">
        <v>31</v>
      </c>
      <c r="J12" s="127">
        <v>31</v>
      </c>
      <c r="K12" s="127">
        <v>31</v>
      </c>
      <c r="L12" s="127">
        <v>31</v>
      </c>
      <c r="M12" s="127">
        <v>31</v>
      </c>
      <c r="N12" s="127">
        <v>31</v>
      </c>
      <c r="O12" s="127">
        <v>31</v>
      </c>
      <c r="P12" s="127">
        <v>31</v>
      </c>
      <c r="Q12" s="127">
        <v>31</v>
      </c>
      <c r="R12" s="127">
        <v>31</v>
      </c>
      <c r="S12" s="127">
        <v>31</v>
      </c>
      <c r="T12" s="127">
        <v>31</v>
      </c>
      <c r="U12" s="127">
        <v>31</v>
      </c>
      <c r="V12" s="127">
        <v>31</v>
      </c>
      <c r="W12" s="127">
        <v>31</v>
      </c>
      <c r="X12" s="127">
        <v>31</v>
      </c>
      <c r="Y12" s="127">
        <v>31</v>
      </c>
      <c r="Z12" s="73">
        <v>31</v>
      </c>
      <c r="AA12" s="73">
        <v>31</v>
      </c>
      <c r="AB12" s="73">
        <v>31</v>
      </c>
      <c r="AC12" s="73">
        <v>31</v>
      </c>
      <c r="AD12" s="73">
        <v>31</v>
      </c>
      <c r="AE12" s="73">
        <v>31</v>
      </c>
      <c r="AF12" s="73">
        <v>31</v>
      </c>
      <c r="AG12" s="134">
        <v>60</v>
      </c>
      <c r="AH12" s="21">
        <f t="shared" si="2"/>
        <v>31</v>
      </c>
      <c r="AI12" s="20">
        <f t="shared" si="3"/>
        <v>31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16</v>
      </c>
      <c r="C13" s="127">
        <v>16.100000000000001</v>
      </c>
      <c r="D13" s="127">
        <v>16.899999999999999</v>
      </c>
      <c r="E13" s="127">
        <v>16.899999999999999</v>
      </c>
      <c r="F13" s="127">
        <v>16.899999999999999</v>
      </c>
      <c r="G13" s="127">
        <v>19.2</v>
      </c>
      <c r="H13" s="127">
        <v>19.2</v>
      </c>
      <c r="I13" s="127">
        <v>19.2</v>
      </c>
      <c r="J13" s="127">
        <v>19.2</v>
      </c>
      <c r="K13" s="127">
        <v>17.7</v>
      </c>
      <c r="L13" s="127">
        <v>17.600000000000001</v>
      </c>
      <c r="M13" s="127">
        <v>17.600000000000001</v>
      </c>
      <c r="N13" s="127">
        <v>16.399999999999999</v>
      </c>
      <c r="O13" s="127">
        <v>16.399999999999999</v>
      </c>
      <c r="P13" s="127">
        <v>14.5</v>
      </c>
      <c r="Q13" s="127">
        <v>14.4</v>
      </c>
      <c r="R13" s="127">
        <v>14.4</v>
      </c>
      <c r="S13" s="127">
        <v>14.4</v>
      </c>
      <c r="T13" s="127">
        <v>14.4</v>
      </c>
      <c r="U13" s="127">
        <v>14.4</v>
      </c>
      <c r="V13" s="127">
        <v>14.4</v>
      </c>
      <c r="W13" s="127">
        <v>14.4</v>
      </c>
      <c r="X13" s="127">
        <v>14.4</v>
      </c>
      <c r="Y13" s="127">
        <v>14.4</v>
      </c>
      <c r="Z13" s="73">
        <v>14.4</v>
      </c>
      <c r="AA13" s="73">
        <v>14.4</v>
      </c>
      <c r="AB13" s="73">
        <v>14.4</v>
      </c>
      <c r="AC13" s="73">
        <v>14.4</v>
      </c>
      <c r="AD13" s="73">
        <v>14.4</v>
      </c>
      <c r="AE13" s="73">
        <v>14.4</v>
      </c>
      <c r="AF13" s="73">
        <v>14.4</v>
      </c>
      <c r="AG13" s="134">
        <v>52.4</v>
      </c>
      <c r="AH13" s="21">
        <f t="shared" si="2"/>
        <v>19.2</v>
      </c>
      <c r="AI13" s="20">
        <f t="shared" si="3"/>
        <v>14.4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37.700000000000003</v>
      </c>
      <c r="C14" s="127">
        <v>37.799999999999997</v>
      </c>
      <c r="D14" s="127">
        <v>38.1</v>
      </c>
      <c r="E14" s="127">
        <v>40</v>
      </c>
      <c r="F14" s="127">
        <v>40</v>
      </c>
      <c r="G14" s="127">
        <v>39.5</v>
      </c>
      <c r="H14" s="127">
        <v>39.299999999999997</v>
      </c>
      <c r="I14" s="127">
        <v>39.6</v>
      </c>
      <c r="J14" s="127">
        <v>39.6</v>
      </c>
      <c r="K14" s="127">
        <v>39.799999999999997</v>
      </c>
      <c r="L14" s="127">
        <v>39.5</v>
      </c>
      <c r="M14" s="103">
        <v>39.5</v>
      </c>
      <c r="N14" s="103">
        <v>25.4</v>
      </c>
      <c r="O14" s="103">
        <v>25.4</v>
      </c>
      <c r="P14" s="103">
        <v>25.4</v>
      </c>
      <c r="Q14" s="103">
        <v>25.3</v>
      </c>
      <c r="R14" s="103">
        <v>25.3</v>
      </c>
      <c r="S14" s="103">
        <v>25.3</v>
      </c>
      <c r="T14" s="103">
        <v>25.3</v>
      </c>
      <c r="U14" s="103">
        <v>25.3</v>
      </c>
      <c r="V14" s="103">
        <v>25.3</v>
      </c>
      <c r="W14" s="103">
        <v>25.3</v>
      </c>
      <c r="X14" s="103">
        <v>25.3</v>
      </c>
      <c r="Y14" s="103">
        <v>25.3</v>
      </c>
      <c r="Z14" s="73">
        <v>25.3</v>
      </c>
      <c r="AA14" s="73">
        <v>25.3</v>
      </c>
      <c r="AB14" s="73">
        <v>25.3</v>
      </c>
      <c r="AC14" s="73">
        <v>25.3</v>
      </c>
      <c r="AD14" s="73">
        <v>25.3</v>
      </c>
      <c r="AE14" s="73">
        <v>25.3</v>
      </c>
      <c r="AF14" s="73">
        <v>25.3</v>
      </c>
      <c r="AG14" s="134">
        <v>50</v>
      </c>
      <c r="AH14" s="21">
        <f t="shared" si="2"/>
        <v>40</v>
      </c>
      <c r="AI14" s="20">
        <f t="shared" si="3"/>
        <v>25.3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23.7</v>
      </c>
      <c r="C15" s="123">
        <v>23.9</v>
      </c>
      <c r="D15" s="123">
        <v>23.6</v>
      </c>
      <c r="E15" s="123">
        <v>23.6</v>
      </c>
      <c r="F15" s="123">
        <v>23.6</v>
      </c>
      <c r="G15" s="123">
        <v>23.6</v>
      </c>
      <c r="H15" s="123">
        <v>23.7</v>
      </c>
      <c r="I15" s="123">
        <v>23.9</v>
      </c>
      <c r="J15" s="123">
        <v>23.9</v>
      </c>
      <c r="K15" s="123">
        <v>23.7</v>
      </c>
      <c r="L15" s="123">
        <v>23.9</v>
      </c>
      <c r="M15" s="103">
        <v>23.9</v>
      </c>
      <c r="N15" s="103">
        <v>22.3</v>
      </c>
      <c r="O15" s="103">
        <v>22.3</v>
      </c>
      <c r="P15" s="103">
        <v>22.3</v>
      </c>
      <c r="Q15" s="103">
        <v>21.4</v>
      </c>
      <c r="R15" s="103">
        <v>21.4</v>
      </c>
      <c r="S15" s="103">
        <v>21.2</v>
      </c>
      <c r="T15" s="103">
        <v>21.2</v>
      </c>
      <c r="U15" s="103">
        <v>21.2</v>
      </c>
      <c r="V15" s="103">
        <v>23</v>
      </c>
      <c r="W15" s="103">
        <v>23</v>
      </c>
      <c r="X15" s="103">
        <v>23</v>
      </c>
      <c r="Y15" s="103">
        <v>23</v>
      </c>
      <c r="Z15" s="73">
        <v>23</v>
      </c>
      <c r="AA15" s="73">
        <v>23</v>
      </c>
      <c r="AB15" s="73">
        <v>23</v>
      </c>
      <c r="AC15" s="73">
        <v>23</v>
      </c>
      <c r="AD15" s="73">
        <v>23</v>
      </c>
      <c r="AE15" s="73">
        <v>23</v>
      </c>
      <c r="AF15" s="73">
        <v>23</v>
      </c>
      <c r="AG15" s="108">
        <v>45</v>
      </c>
      <c r="AH15" s="21">
        <f t="shared" si="2"/>
        <v>23.9</v>
      </c>
      <c r="AI15" s="20">
        <f t="shared" si="3"/>
        <v>21.2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73">
        <v>14</v>
      </c>
      <c r="AA16" s="73">
        <v>14</v>
      </c>
      <c r="AB16" s="73">
        <v>14</v>
      </c>
      <c r="AC16" s="73">
        <v>14</v>
      </c>
      <c r="AD16" s="73">
        <v>14</v>
      </c>
      <c r="AE16" s="73">
        <v>14</v>
      </c>
      <c r="AF16" s="7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73">
        <v>6.5</v>
      </c>
      <c r="AA17" s="73">
        <v>6.5</v>
      </c>
      <c r="AB17" s="73">
        <v>6.5</v>
      </c>
      <c r="AC17" s="73">
        <v>6.5</v>
      </c>
      <c r="AD17" s="73">
        <v>6.5</v>
      </c>
      <c r="AE17" s="73">
        <v>6.5</v>
      </c>
      <c r="AF17" s="7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73">
        <v>8</v>
      </c>
      <c r="AA18" s="73">
        <v>8</v>
      </c>
      <c r="AB18" s="73">
        <v>8</v>
      </c>
      <c r="AC18" s="73">
        <v>8</v>
      </c>
      <c r="AD18" s="73">
        <v>8</v>
      </c>
      <c r="AE18" s="73">
        <v>8</v>
      </c>
      <c r="AF18" s="7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13.2</v>
      </c>
      <c r="C19" s="127">
        <v>13.1</v>
      </c>
      <c r="D19" s="127">
        <v>12.9</v>
      </c>
      <c r="E19" s="127">
        <v>12.9</v>
      </c>
      <c r="F19" s="127">
        <v>12.9</v>
      </c>
      <c r="G19" s="127">
        <v>12.2</v>
      </c>
      <c r="H19" s="127">
        <v>12.2</v>
      </c>
      <c r="I19" s="127">
        <v>12</v>
      </c>
      <c r="J19" s="127">
        <v>12</v>
      </c>
      <c r="K19" s="127">
        <v>12</v>
      </c>
      <c r="L19" s="127">
        <v>12.1</v>
      </c>
      <c r="M19" s="103">
        <v>12.1</v>
      </c>
      <c r="N19" s="103">
        <v>12.1</v>
      </c>
      <c r="O19" s="103">
        <v>12.1</v>
      </c>
      <c r="P19" s="103">
        <v>12.1</v>
      </c>
      <c r="Q19" s="103">
        <v>11.3</v>
      </c>
      <c r="R19" s="103">
        <v>11.3</v>
      </c>
      <c r="S19" s="103">
        <v>11.3</v>
      </c>
      <c r="T19" s="103">
        <v>11.3</v>
      </c>
      <c r="U19" s="103">
        <v>11.3</v>
      </c>
      <c r="V19" s="103">
        <v>11.3</v>
      </c>
      <c r="W19" s="103">
        <v>11.3</v>
      </c>
      <c r="X19" s="103">
        <v>11.3</v>
      </c>
      <c r="Y19" s="103">
        <v>11.3</v>
      </c>
      <c r="Z19" s="73">
        <v>11.3</v>
      </c>
      <c r="AA19" s="73">
        <v>11.3</v>
      </c>
      <c r="AB19" s="73">
        <v>11.3</v>
      </c>
      <c r="AC19" s="73">
        <v>11.3</v>
      </c>
      <c r="AD19" s="73">
        <v>11.3</v>
      </c>
      <c r="AE19" s="73">
        <v>11.3</v>
      </c>
      <c r="AF19" s="73">
        <v>11.3</v>
      </c>
      <c r="AG19" s="134">
        <v>30</v>
      </c>
      <c r="AH19" s="21">
        <f t="shared" si="2"/>
        <v>13.2</v>
      </c>
      <c r="AI19" s="20">
        <f t="shared" si="3"/>
        <v>11.3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7.6</v>
      </c>
      <c r="C20" s="127">
        <v>7.5</v>
      </c>
      <c r="D20" s="127">
        <v>7.7</v>
      </c>
      <c r="E20" s="127">
        <v>7.7</v>
      </c>
      <c r="F20" s="127">
        <v>7.7</v>
      </c>
      <c r="G20" s="127">
        <v>8.6999999999999993</v>
      </c>
      <c r="H20" s="127">
        <v>8.6999999999999993</v>
      </c>
      <c r="I20" s="127">
        <v>8.4</v>
      </c>
      <c r="J20" s="127">
        <v>8.4</v>
      </c>
      <c r="K20" s="127">
        <v>8.1</v>
      </c>
      <c r="L20" s="127">
        <v>8.1</v>
      </c>
      <c r="M20" s="103">
        <v>8.1</v>
      </c>
      <c r="N20" s="103">
        <v>8.1</v>
      </c>
      <c r="O20" s="103">
        <v>8.1</v>
      </c>
      <c r="P20" s="103">
        <v>8.1</v>
      </c>
      <c r="Q20" s="103">
        <v>8.1</v>
      </c>
      <c r="R20" s="103">
        <v>8.1</v>
      </c>
      <c r="S20" s="103">
        <v>8.1</v>
      </c>
      <c r="T20" s="103">
        <v>8.1</v>
      </c>
      <c r="U20" s="103">
        <v>8.1</v>
      </c>
      <c r="V20" s="103">
        <v>8.1</v>
      </c>
      <c r="W20" s="103">
        <v>8.1</v>
      </c>
      <c r="X20" s="103">
        <v>8.1</v>
      </c>
      <c r="Y20" s="103">
        <v>8.1</v>
      </c>
      <c r="Z20" s="73">
        <v>8.1</v>
      </c>
      <c r="AA20" s="73">
        <v>8.1</v>
      </c>
      <c r="AB20" s="73">
        <v>8.1</v>
      </c>
      <c r="AC20" s="73">
        <v>8.1</v>
      </c>
      <c r="AD20" s="73">
        <v>8.1</v>
      </c>
      <c r="AE20" s="73">
        <v>8.1</v>
      </c>
      <c r="AF20" s="73">
        <v>8.1</v>
      </c>
      <c r="AG20" s="134">
        <v>27</v>
      </c>
      <c r="AH20" s="21">
        <f t="shared" si="2"/>
        <v>8.6999999999999993</v>
      </c>
      <c r="AI20" s="20">
        <f t="shared" si="3"/>
        <v>7.5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73">
        <v>3.5</v>
      </c>
      <c r="AA21" s="73">
        <v>3.5</v>
      </c>
      <c r="AB21" s="73">
        <v>3.5</v>
      </c>
      <c r="AC21" s="73">
        <v>3.5</v>
      </c>
      <c r="AD21" s="73">
        <v>3.5</v>
      </c>
      <c r="AE21" s="73">
        <v>3.5</v>
      </c>
      <c r="AF21" s="7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19.100000000000001</v>
      </c>
      <c r="C22" s="127">
        <v>18</v>
      </c>
      <c r="D22" s="127">
        <v>18</v>
      </c>
      <c r="E22" s="127">
        <v>18.2</v>
      </c>
      <c r="F22" s="127">
        <v>20.3</v>
      </c>
      <c r="G22" s="127">
        <v>20.2</v>
      </c>
      <c r="H22" s="127">
        <v>20.100000000000001</v>
      </c>
      <c r="I22" s="127">
        <v>20</v>
      </c>
      <c r="J22" s="127">
        <v>20</v>
      </c>
      <c r="K22" s="127">
        <v>19.7</v>
      </c>
      <c r="L22" s="127">
        <v>18.8</v>
      </c>
      <c r="M22" s="103">
        <v>18.8</v>
      </c>
      <c r="N22" s="103">
        <v>10.6</v>
      </c>
      <c r="O22" s="103">
        <v>10.6</v>
      </c>
      <c r="P22" s="103">
        <v>10.6</v>
      </c>
      <c r="Q22" s="103">
        <v>12.7</v>
      </c>
      <c r="R22" s="103">
        <v>12.7</v>
      </c>
      <c r="S22" s="103">
        <v>12.7</v>
      </c>
      <c r="T22" s="103">
        <v>12.7</v>
      </c>
      <c r="U22" s="103">
        <v>12.7</v>
      </c>
      <c r="V22" s="103">
        <v>12.7</v>
      </c>
      <c r="W22" s="103">
        <v>12.7</v>
      </c>
      <c r="X22" s="103">
        <v>12.7</v>
      </c>
      <c r="Y22" s="103">
        <v>12.7</v>
      </c>
      <c r="Z22" s="73">
        <v>16.600000000000001</v>
      </c>
      <c r="AA22" s="73">
        <v>16.600000000000001</v>
      </c>
      <c r="AB22" s="73">
        <v>16.600000000000001</v>
      </c>
      <c r="AC22" s="73">
        <v>16.600000000000001</v>
      </c>
      <c r="AD22" s="73">
        <v>16.600000000000001</v>
      </c>
      <c r="AE22" s="73">
        <v>16.600000000000001</v>
      </c>
      <c r="AF22" s="73">
        <v>16.600000000000001</v>
      </c>
      <c r="AG22" s="134">
        <v>25</v>
      </c>
      <c r="AH22" s="21">
        <f t="shared" si="2"/>
        <v>20.3</v>
      </c>
      <c r="AI22" s="20">
        <f t="shared" si="3"/>
        <v>10.6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73">
        <v>4.8</v>
      </c>
      <c r="AA23" s="73">
        <v>4.8</v>
      </c>
      <c r="AB23" s="73">
        <v>4.8</v>
      </c>
      <c r="AC23" s="73">
        <v>4.8</v>
      </c>
      <c r="AD23" s="73">
        <v>4.8</v>
      </c>
      <c r="AE23" s="73">
        <v>4.8</v>
      </c>
      <c r="AF23" s="7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8.9</v>
      </c>
      <c r="C24" s="127">
        <v>8.9</v>
      </c>
      <c r="D24" s="127">
        <v>9.4</v>
      </c>
      <c r="E24" s="127">
        <v>9</v>
      </c>
      <c r="F24" s="127">
        <v>8.3000000000000007</v>
      </c>
      <c r="G24" s="127">
        <v>8.3000000000000007</v>
      </c>
      <c r="H24" s="127">
        <v>7.8</v>
      </c>
      <c r="I24" s="127">
        <v>7.7</v>
      </c>
      <c r="J24" s="127">
        <v>7.7</v>
      </c>
      <c r="K24" s="127">
        <v>6.8</v>
      </c>
      <c r="L24" s="127">
        <v>10</v>
      </c>
      <c r="M24" s="103">
        <v>8</v>
      </c>
      <c r="N24" s="103">
        <v>7.8</v>
      </c>
      <c r="O24" s="103">
        <v>7.8</v>
      </c>
      <c r="P24" s="103">
        <v>7.8</v>
      </c>
      <c r="Q24" s="103">
        <v>6.4</v>
      </c>
      <c r="R24" s="103">
        <v>6.4</v>
      </c>
      <c r="S24" s="103">
        <v>6.4</v>
      </c>
      <c r="T24" s="103">
        <v>6.4</v>
      </c>
      <c r="U24" s="103">
        <v>6.4</v>
      </c>
      <c r="V24" s="103">
        <v>6.4</v>
      </c>
      <c r="W24" s="103">
        <v>6.4</v>
      </c>
      <c r="X24" s="103">
        <v>6.4</v>
      </c>
      <c r="Y24" s="103">
        <v>6.4</v>
      </c>
      <c r="Z24" s="73">
        <v>6.4</v>
      </c>
      <c r="AA24" s="73">
        <v>6.4</v>
      </c>
      <c r="AB24" s="73">
        <v>6.4</v>
      </c>
      <c r="AC24" s="73">
        <v>6.4</v>
      </c>
      <c r="AD24" s="73">
        <v>6.4</v>
      </c>
      <c r="AE24" s="73">
        <v>6.4</v>
      </c>
      <c r="AF24" s="73">
        <v>6.4</v>
      </c>
      <c r="AG24" s="134">
        <v>25</v>
      </c>
      <c r="AH24" s="21">
        <f t="shared" si="2"/>
        <v>10</v>
      </c>
      <c r="AI24" s="20">
        <f t="shared" si="3"/>
        <v>6.4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73">
        <v>5</v>
      </c>
      <c r="AA25" s="73">
        <v>5</v>
      </c>
      <c r="AB25" s="73">
        <v>5</v>
      </c>
      <c r="AC25" s="73">
        <v>5</v>
      </c>
      <c r="AD25" s="73">
        <v>5</v>
      </c>
      <c r="AE25" s="73">
        <v>5</v>
      </c>
      <c r="AF25" s="7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73">
        <v>6.7</v>
      </c>
      <c r="C26" s="73">
        <v>6.7</v>
      </c>
      <c r="D26" s="73">
        <v>6.7</v>
      </c>
      <c r="E26" s="73">
        <v>6.7</v>
      </c>
      <c r="F26" s="73">
        <v>6.7</v>
      </c>
      <c r="G26" s="73">
        <v>6.7</v>
      </c>
      <c r="H26" s="73">
        <v>6.7</v>
      </c>
      <c r="I26" s="73">
        <v>6.7</v>
      </c>
      <c r="J26" s="73">
        <v>6.7</v>
      </c>
      <c r="K26" s="73">
        <v>6.7</v>
      </c>
      <c r="L26" s="73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73">
        <v>6.7</v>
      </c>
      <c r="AA26" s="73">
        <v>6.7</v>
      </c>
      <c r="AB26" s="73">
        <v>6.7</v>
      </c>
      <c r="AC26" s="73">
        <v>6.7</v>
      </c>
      <c r="AD26" s="73">
        <v>6.7</v>
      </c>
      <c r="AE26" s="73">
        <v>6.7</v>
      </c>
      <c r="AF26" s="7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73">
        <v>2.5</v>
      </c>
      <c r="C27" s="73">
        <v>2.5</v>
      </c>
      <c r="D27" s="73">
        <v>2.5</v>
      </c>
      <c r="E27" s="73">
        <v>2.5</v>
      </c>
      <c r="F27" s="73">
        <v>2.5</v>
      </c>
      <c r="G27" s="73">
        <v>2.5</v>
      </c>
      <c r="H27" s="73">
        <v>2.5</v>
      </c>
      <c r="I27" s="73">
        <v>2.5</v>
      </c>
      <c r="J27" s="73">
        <v>2.5</v>
      </c>
      <c r="K27" s="73">
        <v>2.5</v>
      </c>
      <c r="L27" s="73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73">
        <v>2.5</v>
      </c>
      <c r="AA27" s="73">
        <v>2.5</v>
      </c>
      <c r="AB27" s="73">
        <v>2.5</v>
      </c>
      <c r="AC27" s="73">
        <v>2.5</v>
      </c>
      <c r="AD27" s="73">
        <v>2.5</v>
      </c>
      <c r="AE27" s="73">
        <v>2.5</v>
      </c>
      <c r="AF27" s="7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73">
        <v>0</v>
      </c>
      <c r="C28" s="73">
        <v>0</v>
      </c>
      <c r="D28" s="73">
        <v>0</v>
      </c>
      <c r="E28" s="73">
        <v>0</v>
      </c>
      <c r="F28" s="73">
        <v>0</v>
      </c>
      <c r="G28" s="73">
        <v>0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  <c r="Z28" s="73">
        <v>0</v>
      </c>
      <c r="AA28" s="73">
        <v>0</v>
      </c>
      <c r="AB28" s="73">
        <v>0</v>
      </c>
      <c r="AC28" s="73">
        <v>0</v>
      </c>
      <c r="AD28" s="73">
        <v>0</v>
      </c>
      <c r="AE28" s="73">
        <v>0</v>
      </c>
      <c r="AF28" s="73">
        <v>0</v>
      </c>
      <c r="AG28" s="134">
        <v>22.2</v>
      </c>
      <c r="AH28" s="21">
        <f t="shared" si="2"/>
        <v>0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73">
        <v>4.5999999999999996</v>
      </c>
      <c r="C29" s="73">
        <v>4.5999999999999996</v>
      </c>
      <c r="D29" s="73">
        <v>4.5999999999999996</v>
      </c>
      <c r="E29" s="73">
        <v>4.5999999999999996</v>
      </c>
      <c r="F29" s="73">
        <v>4.5999999999999996</v>
      </c>
      <c r="G29" s="73">
        <v>4.5999999999999996</v>
      </c>
      <c r="H29" s="73">
        <v>4.5999999999999996</v>
      </c>
      <c r="I29" s="73">
        <v>4.5999999999999996</v>
      </c>
      <c r="J29" s="73">
        <v>4.5999999999999996</v>
      </c>
      <c r="K29" s="73">
        <v>4.5999999999999996</v>
      </c>
      <c r="L29" s="73">
        <v>4.5999999999999996</v>
      </c>
      <c r="M29" s="73">
        <v>4.5999999999999996</v>
      </c>
      <c r="N29" s="73">
        <v>4.5999999999999996</v>
      </c>
      <c r="O29" s="73">
        <v>4.5999999999999996</v>
      </c>
      <c r="P29" s="73">
        <v>4.5999999999999996</v>
      </c>
      <c r="Q29" s="73">
        <v>4.5999999999999996</v>
      </c>
      <c r="R29" s="73">
        <v>4.5999999999999996</v>
      </c>
      <c r="S29" s="73">
        <v>4.5999999999999996</v>
      </c>
      <c r="T29" s="73">
        <v>4.5999999999999996</v>
      </c>
      <c r="U29" s="73">
        <v>4.5999999999999996</v>
      </c>
      <c r="V29" s="73">
        <v>4.5999999999999996</v>
      </c>
      <c r="W29" s="73">
        <v>4.5999999999999996</v>
      </c>
      <c r="X29" s="73">
        <v>4.5999999999999996</v>
      </c>
      <c r="Y29" s="73">
        <v>4.5999999999999996</v>
      </c>
      <c r="Z29" s="73">
        <v>4.5999999999999996</v>
      </c>
      <c r="AA29" s="73">
        <v>4.5999999999999996</v>
      </c>
      <c r="AB29" s="73">
        <v>4.5999999999999996</v>
      </c>
      <c r="AC29" s="73">
        <v>4.5999999999999996</v>
      </c>
      <c r="AD29" s="73">
        <v>4.5999999999999996</v>
      </c>
      <c r="AE29" s="73">
        <v>4.5999999999999996</v>
      </c>
      <c r="AF29" s="7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73">
        <v>10</v>
      </c>
      <c r="C30" s="73">
        <v>10</v>
      </c>
      <c r="D30" s="73">
        <v>10</v>
      </c>
      <c r="E30" s="73">
        <v>10</v>
      </c>
      <c r="F30" s="73">
        <v>10</v>
      </c>
      <c r="G30" s="73">
        <v>10</v>
      </c>
      <c r="H30" s="73">
        <v>10</v>
      </c>
      <c r="I30" s="73">
        <v>10</v>
      </c>
      <c r="J30" s="73">
        <v>10</v>
      </c>
      <c r="K30" s="73">
        <v>10</v>
      </c>
      <c r="L30" s="73">
        <v>10</v>
      </c>
      <c r="M30" s="73">
        <v>10</v>
      </c>
      <c r="N30" s="73">
        <v>10</v>
      </c>
      <c r="O30" s="73">
        <v>10</v>
      </c>
      <c r="P30" s="73">
        <v>10</v>
      </c>
      <c r="Q30" s="73">
        <v>10</v>
      </c>
      <c r="R30" s="73">
        <v>10</v>
      </c>
      <c r="S30" s="73">
        <v>10</v>
      </c>
      <c r="T30" s="73">
        <v>10</v>
      </c>
      <c r="U30" s="73">
        <v>10</v>
      </c>
      <c r="V30" s="73">
        <v>10</v>
      </c>
      <c r="W30" s="73">
        <v>10</v>
      </c>
      <c r="X30" s="73">
        <v>10</v>
      </c>
      <c r="Y30" s="73">
        <v>10</v>
      </c>
      <c r="Z30" s="73">
        <v>10</v>
      </c>
      <c r="AA30" s="73">
        <v>10</v>
      </c>
      <c r="AB30" s="73">
        <v>10</v>
      </c>
      <c r="AC30" s="73">
        <v>10</v>
      </c>
      <c r="AD30" s="73">
        <v>10</v>
      </c>
      <c r="AE30" s="73">
        <v>10</v>
      </c>
      <c r="AF30" s="7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73">
        <v>6</v>
      </c>
      <c r="C31" s="73">
        <v>6</v>
      </c>
      <c r="D31" s="73">
        <v>6</v>
      </c>
      <c r="E31" s="73">
        <v>6</v>
      </c>
      <c r="F31" s="73">
        <v>6</v>
      </c>
      <c r="G31" s="73">
        <v>6</v>
      </c>
      <c r="H31" s="73">
        <v>6</v>
      </c>
      <c r="I31" s="73">
        <v>6</v>
      </c>
      <c r="J31" s="73">
        <v>6</v>
      </c>
      <c r="K31" s="73">
        <v>6</v>
      </c>
      <c r="L31" s="73">
        <v>6</v>
      </c>
      <c r="M31" s="73">
        <v>6</v>
      </c>
      <c r="N31" s="73">
        <v>6</v>
      </c>
      <c r="O31" s="73">
        <v>6</v>
      </c>
      <c r="P31" s="73">
        <v>6</v>
      </c>
      <c r="Q31" s="73">
        <v>6</v>
      </c>
      <c r="R31" s="73">
        <v>6</v>
      </c>
      <c r="S31" s="73">
        <v>6</v>
      </c>
      <c r="T31" s="73">
        <v>6</v>
      </c>
      <c r="U31" s="73">
        <v>6</v>
      </c>
      <c r="V31" s="73">
        <v>6</v>
      </c>
      <c r="W31" s="73">
        <v>6</v>
      </c>
      <c r="X31" s="73">
        <v>6</v>
      </c>
      <c r="Y31" s="73">
        <v>6</v>
      </c>
      <c r="Z31" s="73">
        <v>6</v>
      </c>
      <c r="AA31" s="73">
        <v>6</v>
      </c>
      <c r="AB31" s="73">
        <v>6</v>
      </c>
      <c r="AC31" s="73">
        <v>6</v>
      </c>
      <c r="AD31" s="73">
        <v>6</v>
      </c>
      <c r="AE31" s="73">
        <v>6</v>
      </c>
      <c r="AF31" s="7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73">
        <v>3.7</v>
      </c>
      <c r="C32" s="73">
        <v>3.7</v>
      </c>
      <c r="D32" s="73">
        <v>3.7</v>
      </c>
      <c r="E32" s="73">
        <v>3.7</v>
      </c>
      <c r="F32" s="73">
        <v>3.7</v>
      </c>
      <c r="G32" s="73">
        <v>3.7</v>
      </c>
      <c r="H32" s="73">
        <v>3.7</v>
      </c>
      <c r="I32" s="73">
        <v>3.7</v>
      </c>
      <c r="J32" s="73">
        <v>3.7</v>
      </c>
      <c r="K32" s="73">
        <v>3.7</v>
      </c>
      <c r="L32" s="73">
        <v>3.7</v>
      </c>
      <c r="M32" s="73">
        <v>3.7</v>
      </c>
      <c r="N32" s="73">
        <v>3.7</v>
      </c>
      <c r="O32" s="73">
        <v>3.7</v>
      </c>
      <c r="P32" s="73">
        <v>3.7</v>
      </c>
      <c r="Q32" s="73">
        <v>3.7</v>
      </c>
      <c r="R32" s="73">
        <v>3.7</v>
      </c>
      <c r="S32" s="73">
        <v>3.7</v>
      </c>
      <c r="T32" s="73">
        <v>3.7</v>
      </c>
      <c r="U32" s="73">
        <v>3.7</v>
      </c>
      <c r="V32" s="73">
        <v>3.7</v>
      </c>
      <c r="W32" s="73">
        <v>3.7</v>
      </c>
      <c r="X32" s="73">
        <v>3.7</v>
      </c>
      <c r="Y32" s="73">
        <v>3.7</v>
      </c>
      <c r="Z32" s="73">
        <v>3.7</v>
      </c>
      <c r="AA32" s="73">
        <v>3.7</v>
      </c>
      <c r="AB32" s="73">
        <v>3.7</v>
      </c>
      <c r="AC32" s="73">
        <v>3.7</v>
      </c>
      <c r="AD32" s="73">
        <v>3.7</v>
      </c>
      <c r="AE32" s="73">
        <v>3.7</v>
      </c>
      <c r="AF32" s="7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73">
        <v>0</v>
      </c>
      <c r="C33" s="73">
        <v>0</v>
      </c>
      <c r="D33" s="73">
        <v>0</v>
      </c>
      <c r="E33" s="73">
        <v>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3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0</v>
      </c>
      <c r="AF33" s="7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73">
        <v>5</v>
      </c>
      <c r="C34" s="73">
        <v>5</v>
      </c>
      <c r="D34" s="73">
        <v>5</v>
      </c>
      <c r="E34" s="73">
        <v>5</v>
      </c>
      <c r="F34" s="73">
        <v>5</v>
      </c>
      <c r="G34" s="73">
        <v>5</v>
      </c>
      <c r="H34" s="73">
        <v>5</v>
      </c>
      <c r="I34" s="73">
        <v>5</v>
      </c>
      <c r="J34" s="73">
        <v>5</v>
      </c>
      <c r="K34" s="73">
        <v>5</v>
      </c>
      <c r="L34" s="73">
        <v>5</v>
      </c>
      <c r="M34" s="73">
        <v>5</v>
      </c>
      <c r="N34" s="73">
        <v>5</v>
      </c>
      <c r="O34" s="73">
        <v>5</v>
      </c>
      <c r="P34" s="73">
        <v>5</v>
      </c>
      <c r="Q34" s="73">
        <v>5</v>
      </c>
      <c r="R34" s="73">
        <v>5</v>
      </c>
      <c r="S34" s="73">
        <v>5</v>
      </c>
      <c r="T34" s="73">
        <v>5</v>
      </c>
      <c r="U34" s="73">
        <v>5</v>
      </c>
      <c r="V34" s="73">
        <v>5</v>
      </c>
      <c r="W34" s="73">
        <v>5</v>
      </c>
      <c r="X34" s="73">
        <v>5</v>
      </c>
      <c r="Y34" s="73">
        <v>5</v>
      </c>
      <c r="Z34" s="73">
        <v>5</v>
      </c>
      <c r="AA34" s="73">
        <v>5</v>
      </c>
      <c r="AB34" s="73">
        <v>5</v>
      </c>
      <c r="AC34" s="73">
        <v>5</v>
      </c>
      <c r="AD34" s="73">
        <v>5</v>
      </c>
      <c r="AE34" s="73">
        <v>5</v>
      </c>
      <c r="AF34" s="7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73">
        <v>0</v>
      </c>
      <c r="C35" s="73">
        <v>0</v>
      </c>
      <c r="D35" s="73">
        <v>0</v>
      </c>
      <c r="E35" s="73">
        <v>0</v>
      </c>
      <c r="F35" s="73">
        <v>0</v>
      </c>
      <c r="G35" s="73">
        <v>0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130</v>
      </c>
      <c r="C36" s="123">
        <v>130</v>
      </c>
      <c r="D36" s="123">
        <v>130</v>
      </c>
      <c r="E36" s="123">
        <v>130</v>
      </c>
      <c r="F36" s="123">
        <v>130</v>
      </c>
      <c r="G36" s="123">
        <v>130</v>
      </c>
      <c r="H36" s="123">
        <v>130</v>
      </c>
      <c r="I36" s="123">
        <v>130</v>
      </c>
      <c r="J36" s="123">
        <v>130</v>
      </c>
      <c r="K36" s="123">
        <v>130</v>
      </c>
      <c r="L36" s="123">
        <v>130</v>
      </c>
      <c r="M36" s="123">
        <v>130</v>
      </c>
      <c r="N36" s="123">
        <v>130</v>
      </c>
      <c r="O36" s="123">
        <v>130</v>
      </c>
      <c r="P36" s="123">
        <v>130</v>
      </c>
      <c r="Q36" s="123">
        <v>130</v>
      </c>
      <c r="R36" s="123">
        <v>130</v>
      </c>
      <c r="S36" s="123">
        <v>130</v>
      </c>
      <c r="T36" s="123">
        <v>130</v>
      </c>
      <c r="U36" s="123">
        <v>130</v>
      </c>
      <c r="V36" s="123">
        <v>130</v>
      </c>
      <c r="W36" s="123">
        <v>130</v>
      </c>
      <c r="X36" s="123">
        <v>130</v>
      </c>
      <c r="Y36" s="123">
        <v>130</v>
      </c>
      <c r="Z36" s="73">
        <v>160</v>
      </c>
      <c r="AA36" s="73">
        <v>160</v>
      </c>
      <c r="AB36" s="73">
        <v>160</v>
      </c>
      <c r="AC36" s="73">
        <v>160</v>
      </c>
      <c r="AD36" s="73">
        <v>160</v>
      </c>
      <c r="AE36" s="73">
        <v>160</v>
      </c>
      <c r="AF36" s="73">
        <v>160</v>
      </c>
      <c r="AG36" s="106">
        <v>85</v>
      </c>
      <c r="AH36" s="21">
        <f t="shared" si="2"/>
        <v>160</v>
      </c>
      <c r="AI36" s="20">
        <f t="shared" si="3"/>
        <v>130</v>
      </c>
      <c r="AK36" s="42"/>
    </row>
    <row r="37" spans="1:88" ht="15.75" thickBot="1" x14ac:dyDescent="0.3">
      <c r="A37" s="129" t="s">
        <v>174</v>
      </c>
      <c r="B37" s="123">
        <v>27.4</v>
      </c>
      <c r="C37" s="123">
        <v>28.6</v>
      </c>
      <c r="D37" s="123">
        <v>29.1</v>
      </c>
      <c r="E37" s="123">
        <v>29.2</v>
      </c>
      <c r="F37" s="123">
        <v>30.1</v>
      </c>
      <c r="G37" s="123">
        <v>31.8</v>
      </c>
      <c r="H37" s="123">
        <v>31.3</v>
      </c>
      <c r="I37" s="123">
        <v>32.1</v>
      </c>
      <c r="J37" s="123">
        <v>33.200000000000003</v>
      </c>
      <c r="K37" s="123">
        <v>33.4</v>
      </c>
      <c r="L37" s="123">
        <v>31.5</v>
      </c>
      <c r="M37" s="128">
        <f>11.9+18.5</f>
        <v>30.4</v>
      </c>
      <c r="N37" s="128">
        <f>12.8+20.3</f>
        <v>33.1</v>
      </c>
      <c r="O37" s="128">
        <f>13.1+20.9</f>
        <v>34</v>
      </c>
      <c r="P37" s="128">
        <f>11+19.2</f>
        <v>30.2</v>
      </c>
      <c r="Q37" s="128">
        <f>11.9+20.3</f>
        <v>32.200000000000003</v>
      </c>
      <c r="R37" s="128">
        <f>12.7+21.1</f>
        <v>33.799999999999997</v>
      </c>
      <c r="S37" s="128">
        <f>12.7+21.1</f>
        <v>33.799999999999997</v>
      </c>
      <c r="T37" s="128">
        <v>30.4</v>
      </c>
      <c r="U37" s="128">
        <v>24.2</v>
      </c>
      <c r="V37" s="128">
        <f>10.2+15.9</f>
        <v>26.1</v>
      </c>
      <c r="W37" s="128">
        <v>26.5</v>
      </c>
      <c r="X37" s="128">
        <v>26.4</v>
      </c>
      <c r="Y37" s="128">
        <v>25</v>
      </c>
      <c r="Z37" s="73">
        <v>25</v>
      </c>
      <c r="AA37" s="73">
        <v>27.4</v>
      </c>
      <c r="AB37" s="73">
        <v>27.4</v>
      </c>
      <c r="AC37" s="73">
        <v>29</v>
      </c>
      <c r="AD37" s="73">
        <v>29</v>
      </c>
      <c r="AE37" s="73">
        <v>29</v>
      </c>
      <c r="AF37" s="73">
        <v>30</v>
      </c>
      <c r="AG37" s="106">
        <v>240</v>
      </c>
      <c r="AH37" s="21">
        <f t="shared" si="2"/>
        <v>34</v>
      </c>
      <c r="AI37" s="20">
        <f t="shared" si="3"/>
        <v>24.2</v>
      </c>
      <c r="AK37" s="42"/>
    </row>
    <row r="38" spans="1:88" ht="15.75" thickBot="1" x14ac:dyDescent="0.3">
      <c r="A38" s="100" t="s">
        <v>173</v>
      </c>
      <c r="B38" s="99">
        <f t="shared" ref="B38:AF38" si="4">SUM(B11:B36)</f>
        <v>377.5</v>
      </c>
      <c r="C38" s="99">
        <f t="shared" si="4"/>
        <v>376.6</v>
      </c>
      <c r="D38" s="99">
        <f t="shared" si="4"/>
        <v>397.9</v>
      </c>
      <c r="E38" s="99">
        <f t="shared" si="4"/>
        <v>399.59999999999997</v>
      </c>
      <c r="F38" s="99">
        <f t="shared" si="4"/>
        <v>383</v>
      </c>
      <c r="G38" s="99">
        <f t="shared" si="4"/>
        <v>385</v>
      </c>
      <c r="H38" s="99">
        <f t="shared" si="4"/>
        <v>572.29999999999995</v>
      </c>
      <c r="I38" s="99">
        <f t="shared" si="4"/>
        <v>452.1</v>
      </c>
      <c r="J38" s="99">
        <f t="shared" si="4"/>
        <v>572.09999999999991</v>
      </c>
      <c r="K38" s="99">
        <f t="shared" si="4"/>
        <v>639.1</v>
      </c>
      <c r="L38" s="99">
        <f t="shared" si="4"/>
        <v>675.30000000000018</v>
      </c>
      <c r="M38" s="99">
        <f t="shared" si="4"/>
        <v>599.30000000000007</v>
      </c>
      <c r="N38" s="99">
        <f t="shared" si="4"/>
        <v>356</v>
      </c>
      <c r="O38" s="99">
        <f t="shared" si="4"/>
        <v>356</v>
      </c>
      <c r="P38" s="99">
        <f t="shared" si="4"/>
        <v>354.09999999999997</v>
      </c>
      <c r="Q38" s="99">
        <f t="shared" si="4"/>
        <v>405.90000000000003</v>
      </c>
      <c r="R38" s="99">
        <f t="shared" si="4"/>
        <v>352.9</v>
      </c>
      <c r="S38" s="99">
        <f t="shared" si="4"/>
        <v>350.5</v>
      </c>
      <c r="T38" s="99">
        <f t="shared" si="4"/>
        <v>350.5</v>
      </c>
      <c r="U38" s="99">
        <f t="shared" si="4"/>
        <v>350.5</v>
      </c>
      <c r="V38" s="99">
        <f t="shared" si="4"/>
        <v>382.5</v>
      </c>
      <c r="W38" s="99">
        <f t="shared" si="4"/>
        <v>382.5</v>
      </c>
      <c r="X38" s="99">
        <f t="shared" si="4"/>
        <v>382.5</v>
      </c>
      <c r="Y38" s="99">
        <f t="shared" si="4"/>
        <v>422.50000000000006</v>
      </c>
      <c r="Z38" s="99">
        <f t="shared" si="4"/>
        <v>526.40000000000009</v>
      </c>
      <c r="AA38" s="99">
        <f t="shared" si="4"/>
        <v>726.40000000000009</v>
      </c>
      <c r="AB38" s="99">
        <f t="shared" si="4"/>
        <v>706.40000000000009</v>
      </c>
      <c r="AC38" s="99">
        <f t="shared" si="4"/>
        <v>606.40000000000009</v>
      </c>
      <c r="AD38" s="99">
        <f t="shared" si="4"/>
        <v>546.40000000000009</v>
      </c>
      <c r="AE38" s="99">
        <f t="shared" si="4"/>
        <v>626.40000000000009</v>
      </c>
      <c r="AF38" s="99">
        <f t="shared" si="4"/>
        <v>536.40000000000009</v>
      </c>
      <c r="AG38" s="106">
        <f>SUM(AG11:AG37)</f>
        <v>1492.8299999999997</v>
      </c>
      <c r="AH38" s="21">
        <f t="shared" si="2"/>
        <v>726.40000000000009</v>
      </c>
      <c r="AI38" s="20">
        <f t="shared" si="3"/>
        <v>350.5</v>
      </c>
      <c r="AK38" s="42"/>
    </row>
    <row r="39" spans="1:88" x14ac:dyDescent="0.25">
      <c r="A39" s="109" t="s">
        <v>172</v>
      </c>
      <c r="B39" s="127">
        <v>32.4</v>
      </c>
      <c r="C39" s="127">
        <v>32.4</v>
      </c>
      <c r="D39" s="127">
        <v>0</v>
      </c>
      <c r="E39" s="127">
        <v>0</v>
      </c>
      <c r="F39" s="127">
        <v>0</v>
      </c>
      <c r="G39" s="127">
        <v>0</v>
      </c>
      <c r="H39" s="123">
        <v>63.4</v>
      </c>
      <c r="I39" s="123">
        <v>60</v>
      </c>
      <c r="J39" s="123">
        <v>145.6</v>
      </c>
      <c r="K39" s="123">
        <v>145.5</v>
      </c>
      <c r="L39" s="123">
        <v>145.4</v>
      </c>
      <c r="M39" s="103">
        <v>145.6</v>
      </c>
      <c r="N39" s="103">
        <v>99.6</v>
      </c>
      <c r="O39" s="103">
        <v>81.2</v>
      </c>
      <c r="P39" s="103">
        <v>62</v>
      </c>
      <c r="Q39" s="103">
        <v>91.1</v>
      </c>
      <c r="R39" s="103">
        <v>62</v>
      </c>
      <c r="S39" s="103">
        <v>70.900000000000006</v>
      </c>
      <c r="T39" s="103">
        <v>81.5</v>
      </c>
      <c r="U39" s="103">
        <v>81.5</v>
      </c>
      <c r="V39" s="103">
        <v>121.4</v>
      </c>
      <c r="W39" s="103">
        <v>121.4</v>
      </c>
      <c r="X39" s="103">
        <v>121.4</v>
      </c>
      <c r="Y39" s="103">
        <v>145</v>
      </c>
      <c r="Z39" s="103">
        <v>145</v>
      </c>
      <c r="AA39" s="103">
        <v>145</v>
      </c>
      <c r="AB39" s="103">
        <v>144</v>
      </c>
      <c r="AC39" s="103">
        <v>70</v>
      </c>
      <c r="AD39" s="103">
        <v>60</v>
      </c>
      <c r="AE39" s="103">
        <v>45</v>
      </c>
      <c r="AF39" s="127">
        <v>45</v>
      </c>
      <c r="AG39" s="108">
        <v>144</v>
      </c>
      <c r="AH39" s="21">
        <f t="shared" si="2"/>
        <v>145.6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22.9</v>
      </c>
      <c r="C40" s="123">
        <v>0</v>
      </c>
      <c r="D40" s="123">
        <v>0</v>
      </c>
      <c r="E40" s="123">
        <v>0</v>
      </c>
      <c r="F40" s="123">
        <v>0</v>
      </c>
      <c r="G40" s="123">
        <v>0</v>
      </c>
      <c r="H40" s="123">
        <v>35.5</v>
      </c>
      <c r="I40" s="123">
        <v>23.5</v>
      </c>
      <c r="J40" s="123">
        <v>56.2</v>
      </c>
      <c r="K40" s="123">
        <v>56.5</v>
      </c>
      <c r="L40" s="123">
        <v>71.099999999999994</v>
      </c>
      <c r="M40" s="73">
        <v>69</v>
      </c>
      <c r="N40" s="73">
        <v>49.6</v>
      </c>
      <c r="O40" s="73">
        <v>50.5</v>
      </c>
      <c r="P40" s="73">
        <v>29.8</v>
      </c>
      <c r="Q40" s="73">
        <v>34.299999999999997</v>
      </c>
      <c r="R40" s="73">
        <v>23.4</v>
      </c>
      <c r="S40" s="73">
        <v>30.3</v>
      </c>
      <c r="T40" s="73">
        <v>30.3</v>
      </c>
      <c r="U40" s="73">
        <v>47.9</v>
      </c>
      <c r="V40" s="73">
        <v>47.9</v>
      </c>
      <c r="W40" s="73">
        <v>47.9</v>
      </c>
      <c r="X40" s="73">
        <v>47.9</v>
      </c>
      <c r="Y40" s="73">
        <v>48.7</v>
      </c>
      <c r="Z40" s="73">
        <v>70.3</v>
      </c>
      <c r="AA40" s="73">
        <v>70.3</v>
      </c>
      <c r="AB40" s="73">
        <v>70</v>
      </c>
      <c r="AC40" s="73">
        <v>23</v>
      </c>
      <c r="AD40" s="73">
        <v>22</v>
      </c>
      <c r="AE40" s="73">
        <v>25</v>
      </c>
      <c r="AF40" s="123">
        <v>35</v>
      </c>
      <c r="AG40" s="106">
        <v>70</v>
      </c>
      <c r="AH40" s="21">
        <f t="shared" si="2"/>
        <v>71.099999999999994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32.5</v>
      </c>
      <c r="C41" s="123">
        <v>47.7</v>
      </c>
      <c r="D41" s="123">
        <v>47.5</v>
      </c>
      <c r="E41" s="123">
        <v>47.5</v>
      </c>
      <c r="F41" s="123">
        <v>35.200000000000003</v>
      </c>
      <c r="G41" s="123">
        <v>44.9</v>
      </c>
      <c r="H41" s="123">
        <v>44.2</v>
      </c>
      <c r="I41" s="123">
        <v>33.200000000000003</v>
      </c>
      <c r="J41" s="123">
        <v>48.3</v>
      </c>
      <c r="K41" s="123">
        <v>50.5</v>
      </c>
      <c r="L41" s="123">
        <v>67.900000000000006</v>
      </c>
      <c r="M41" s="73">
        <v>67.400000000000006</v>
      </c>
      <c r="N41" s="73">
        <v>34.700000000000003</v>
      </c>
      <c r="O41" s="73">
        <v>34.6</v>
      </c>
      <c r="P41" s="73">
        <v>37</v>
      </c>
      <c r="Q41" s="73">
        <v>46.8</v>
      </c>
      <c r="R41" s="73">
        <v>34.5</v>
      </c>
      <c r="S41" s="73">
        <v>34.6</v>
      </c>
      <c r="T41" s="73">
        <v>34.6</v>
      </c>
      <c r="U41" s="73">
        <v>34.6</v>
      </c>
      <c r="V41" s="73">
        <v>32.700000000000003</v>
      </c>
      <c r="W41" s="73">
        <v>34</v>
      </c>
      <c r="X41" s="73">
        <v>34</v>
      </c>
      <c r="Y41" s="73">
        <v>50.9</v>
      </c>
      <c r="Z41" s="73">
        <v>68.900000000000006</v>
      </c>
      <c r="AA41" s="73">
        <v>68.900000000000006</v>
      </c>
      <c r="AB41" s="73">
        <v>68</v>
      </c>
      <c r="AC41" s="73">
        <v>53</v>
      </c>
      <c r="AD41" s="73">
        <v>55</v>
      </c>
      <c r="AE41" s="73">
        <v>54</v>
      </c>
      <c r="AF41" s="123">
        <v>54</v>
      </c>
      <c r="AG41" s="106">
        <v>69</v>
      </c>
      <c r="AH41" s="21">
        <f t="shared" si="2"/>
        <v>68.900000000000006</v>
      </c>
      <c r="AI41" s="20">
        <f t="shared" si="3"/>
        <v>32.5</v>
      </c>
      <c r="AK41" s="42"/>
    </row>
    <row r="42" spans="1:88" x14ac:dyDescent="0.25">
      <c r="A42" s="107" t="s">
        <v>169</v>
      </c>
      <c r="B42" s="123">
        <v>56.2</v>
      </c>
      <c r="C42" s="123">
        <v>52.4</v>
      </c>
      <c r="D42" s="123">
        <v>53.2</v>
      </c>
      <c r="E42" s="123">
        <v>53.2</v>
      </c>
      <c r="F42" s="123">
        <v>53.4</v>
      </c>
      <c r="G42" s="123">
        <v>53.4</v>
      </c>
      <c r="H42" s="123">
        <v>53.4</v>
      </c>
      <c r="I42" s="123">
        <v>55.2</v>
      </c>
      <c r="J42" s="123">
        <v>57</v>
      </c>
      <c r="K42" s="123">
        <v>57</v>
      </c>
      <c r="L42" s="123">
        <v>57</v>
      </c>
      <c r="M42" s="103">
        <v>57</v>
      </c>
      <c r="N42" s="73">
        <v>52.6</v>
      </c>
      <c r="O42" s="73">
        <v>54.6</v>
      </c>
      <c r="P42" s="73">
        <v>52.4</v>
      </c>
      <c r="Q42" s="73">
        <v>51.9</v>
      </c>
      <c r="R42" s="73">
        <v>50.4</v>
      </c>
      <c r="S42" s="73">
        <v>50.4</v>
      </c>
      <c r="T42" s="73">
        <v>50.4</v>
      </c>
      <c r="U42" s="73">
        <v>50.4</v>
      </c>
      <c r="V42" s="73">
        <v>50.4</v>
      </c>
      <c r="W42" s="73">
        <v>50.4</v>
      </c>
      <c r="X42" s="73">
        <v>50.4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106">
        <v>60</v>
      </c>
      <c r="AH42" s="21">
        <f t="shared" si="2"/>
        <v>60.4</v>
      </c>
      <c r="AI42" s="20">
        <f t="shared" si="3"/>
        <v>50.4</v>
      </c>
      <c r="AK42" s="42"/>
    </row>
    <row r="43" spans="1:88" x14ac:dyDescent="0.25">
      <c r="A43" s="107" t="s">
        <v>168</v>
      </c>
      <c r="B43" s="123">
        <v>0</v>
      </c>
      <c r="C43" s="123">
        <v>0</v>
      </c>
      <c r="D43" s="123">
        <v>0</v>
      </c>
      <c r="E43" s="123">
        <v>0</v>
      </c>
      <c r="F43" s="123">
        <v>10</v>
      </c>
      <c r="G43" s="123">
        <v>15</v>
      </c>
      <c r="H43" s="123">
        <v>15</v>
      </c>
      <c r="I43" s="123">
        <v>15</v>
      </c>
      <c r="J43" s="123">
        <v>15</v>
      </c>
      <c r="K43" s="123">
        <v>15</v>
      </c>
      <c r="L43" s="123">
        <v>13.7</v>
      </c>
      <c r="M43" s="120">
        <v>13.7</v>
      </c>
      <c r="N43" s="103">
        <v>21</v>
      </c>
      <c r="O43" s="103">
        <v>19.2</v>
      </c>
      <c r="P43" s="103">
        <v>26.7</v>
      </c>
      <c r="Q43" s="103">
        <v>28</v>
      </c>
      <c r="R43" s="103">
        <v>9.3000000000000007</v>
      </c>
      <c r="S43" s="103">
        <v>0</v>
      </c>
      <c r="T43" s="103">
        <v>0</v>
      </c>
      <c r="U43" s="103">
        <v>13.2</v>
      </c>
      <c r="V43" s="103">
        <v>15</v>
      </c>
      <c r="W43" s="103">
        <v>13.3</v>
      </c>
      <c r="X43" s="103">
        <v>13.3</v>
      </c>
      <c r="Y43" s="103">
        <v>13.4</v>
      </c>
      <c r="Z43" s="73">
        <v>30</v>
      </c>
      <c r="AA43" s="7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30</v>
      </c>
      <c r="AG43" s="106">
        <v>30</v>
      </c>
      <c r="AH43" s="21">
        <f t="shared" ref="AH43:AH74" si="5">MAX(B43:AF43)</f>
        <v>30</v>
      </c>
      <c r="AI43" s="20">
        <f t="shared" ref="AI43:AI74" si="6">MIN(B43:AF43)</f>
        <v>0</v>
      </c>
      <c r="AK43" s="42"/>
    </row>
    <row r="44" spans="1:88" x14ac:dyDescent="0.25">
      <c r="A44" s="107" t="s">
        <v>167</v>
      </c>
      <c r="B44" s="103">
        <v>0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03">
        <v>0</v>
      </c>
      <c r="M44" s="12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73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0</v>
      </c>
      <c r="AG44" s="106">
        <v>25</v>
      </c>
      <c r="AH44" s="21">
        <f t="shared" si="5"/>
        <v>0</v>
      </c>
      <c r="AI44" s="20">
        <f t="shared" si="6"/>
        <v>0</v>
      </c>
      <c r="AK44" s="42"/>
    </row>
    <row r="45" spans="1:88" x14ac:dyDescent="0.25">
      <c r="A45" s="107" t="s">
        <v>166</v>
      </c>
      <c r="B45" s="103">
        <v>13</v>
      </c>
      <c r="C45" s="103">
        <v>13</v>
      </c>
      <c r="D45" s="103">
        <v>13</v>
      </c>
      <c r="E45" s="103">
        <v>13</v>
      </c>
      <c r="F45" s="103">
        <v>13</v>
      </c>
      <c r="G45" s="103">
        <v>13</v>
      </c>
      <c r="H45" s="103">
        <v>13</v>
      </c>
      <c r="I45" s="103">
        <v>13</v>
      </c>
      <c r="J45" s="103">
        <v>13</v>
      </c>
      <c r="K45" s="103">
        <v>13</v>
      </c>
      <c r="L45" s="103">
        <v>13</v>
      </c>
      <c r="M45" s="123">
        <v>13</v>
      </c>
      <c r="N45" s="123">
        <v>13</v>
      </c>
      <c r="O45" s="123">
        <v>13</v>
      </c>
      <c r="P45" s="123">
        <v>13</v>
      </c>
      <c r="Q45" s="123">
        <v>13</v>
      </c>
      <c r="R45" s="123">
        <v>13</v>
      </c>
      <c r="S45" s="123">
        <v>13</v>
      </c>
      <c r="T45" s="123">
        <v>13</v>
      </c>
      <c r="U45" s="123">
        <v>13</v>
      </c>
      <c r="V45" s="123">
        <v>13</v>
      </c>
      <c r="W45" s="123">
        <v>13</v>
      </c>
      <c r="X45" s="123">
        <v>13</v>
      </c>
      <c r="Y45" s="123">
        <v>13</v>
      </c>
      <c r="Z45" s="73">
        <v>13</v>
      </c>
      <c r="AA45" s="73">
        <v>13</v>
      </c>
      <c r="AB45" s="73">
        <v>13</v>
      </c>
      <c r="AC45" s="73">
        <v>13</v>
      </c>
      <c r="AD45" s="73">
        <v>13</v>
      </c>
      <c r="AE45" s="73">
        <v>13</v>
      </c>
      <c r="AF45" s="73">
        <v>13</v>
      </c>
      <c r="AG45" s="106">
        <v>24</v>
      </c>
      <c r="AH45" s="21">
        <f t="shared" si="5"/>
        <v>13</v>
      </c>
      <c r="AI45" s="20">
        <f t="shared" si="6"/>
        <v>13</v>
      </c>
      <c r="AK45" s="42"/>
    </row>
    <row r="46" spans="1:88" x14ac:dyDescent="0.25">
      <c r="A46" s="107" t="s">
        <v>165</v>
      </c>
      <c r="B46" s="103">
        <v>4</v>
      </c>
      <c r="C46" s="103">
        <v>4</v>
      </c>
      <c r="D46" s="103">
        <v>4</v>
      </c>
      <c r="E46" s="103">
        <v>4</v>
      </c>
      <c r="F46" s="103">
        <v>4</v>
      </c>
      <c r="G46" s="103">
        <v>4</v>
      </c>
      <c r="H46" s="103">
        <v>4</v>
      </c>
      <c r="I46" s="103">
        <v>4</v>
      </c>
      <c r="J46" s="103">
        <v>4</v>
      </c>
      <c r="K46" s="103">
        <v>4</v>
      </c>
      <c r="L46" s="103">
        <v>4</v>
      </c>
      <c r="M46" s="123">
        <v>4</v>
      </c>
      <c r="N46" s="123">
        <v>4</v>
      </c>
      <c r="O46" s="123">
        <v>4</v>
      </c>
      <c r="P46" s="123">
        <v>4</v>
      </c>
      <c r="Q46" s="123">
        <v>4</v>
      </c>
      <c r="R46" s="123">
        <v>4</v>
      </c>
      <c r="S46" s="123">
        <v>4</v>
      </c>
      <c r="T46" s="123">
        <v>4</v>
      </c>
      <c r="U46" s="123">
        <v>4</v>
      </c>
      <c r="V46" s="123">
        <v>4</v>
      </c>
      <c r="W46" s="123">
        <v>4</v>
      </c>
      <c r="X46" s="123">
        <v>4</v>
      </c>
      <c r="Y46" s="123">
        <v>4</v>
      </c>
      <c r="Z46" s="73">
        <v>4</v>
      </c>
      <c r="AA46" s="73">
        <v>4</v>
      </c>
      <c r="AB46" s="73">
        <v>4</v>
      </c>
      <c r="AC46" s="73">
        <v>4</v>
      </c>
      <c r="AD46" s="73">
        <v>4</v>
      </c>
      <c r="AE46" s="73">
        <v>4</v>
      </c>
      <c r="AF46" s="73">
        <v>4</v>
      </c>
      <c r="AG46" s="106">
        <v>15</v>
      </c>
      <c r="AH46" s="21">
        <f t="shared" si="5"/>
        <v>4</v>
      </c>
      <c r="AI46" s="20">
        <f t="shared" si="6"/>
        <v>4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10</v>
      </c>
      <c r="C47" s="103">
        <v>10</v>
      </c>
      <c r="D47" s="103">
        <v>10</v>
      </c>
      <c r="E47" s="103">
        <v>10</v>
      </c>
      <c r="F47" s="103">
        <v>10</v>
      </c>
      <c r="G47" s="103">
        <v>10</v>
      </c>
      <c r="H47" s="103">
        <v>10</v>
      </c>
      <c r="I47" s="103">
        <v>10</v>
      </c>
      <c r="J47" s="103">
        <v>10</v>
      </c>
      <c r="K47" s="103">
        <v>10</v>
      </c>
      <c r="L47" s="103">
        <v>10</v>
      </c>
      <c r="M47" s="123">
        <v>10</v>
      </c>
      <c r="N47" s="123">
        <v>10</v>
      </c>
      <c r="O47" s="123">
        <v>10</v>
      </c>
      <c r="P47" s="123">
        <v>10</v>
      </c>
      <c r="Q47" s="123">
        <v>10</v>
      </c>
      <c r="R47" s="123">
        <v>10</v>
      </c>
      <c r="S47" s="123">
        <v>10</v>
      </c>
      <c r="T47" s="123">
        <v>10</v>
      </c>
      <c r="U47" s="123">
        <v>10</v>
      </c>
      <c r="V47" s="123">
        <v>10</v>
      </c>
      <c r="W47" s="123">
        <v>10</v>
      </c>
      <c r="X47" s="123">
        <v>10</v>
      </c>
      <c r="Y47" s="123">
        <v>10</v>
      </c>
      <c r="Z47" s="73">
        <v>10</v>
      </c>
      <c r="AA47" s="73">
        <v>10</v>
      </c>
      <c r="AB47" s="73">
        <v>10</v>
      </c>
      <c r="AC47" s="73">
        <v>10</v>
      </c>
      <c r="AD47" s="73">
        <v>10</v>
      </c>
      <c r="AE47" s="73">
        <v>10</v>
      </c>
      <c r="AF47" s="73">
        <v>10</v>
      </c>
      <c r="AG47" s="106">
        <v>14.1</v>
      </c>
      <c r="AH47" s="21">
        <f t="shared" si="5"/>
        <v>10</v>
      </c>
      <c r="AI47" s="20">
        <f t="shared" si="6"/>
        <v>10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0</v>
      </c>
      <c r="C48" s="103">
        <v>0</v>
      </c>
      <c r="D48" s="103">
        <v>0</v>
      </c>
      <c r="E48" s="103">
        <v>0</v>
      </c>
      <c r="F48" s="103">
        <v>0</v>
      </c>
      <c r="G48" s="103">
        <v>0</v>
      </c>
      <c r="H48" s="103">
        <v>0</v>
      </c>
      <c r="I48" s="103">
        <v>0</v>
      </c>
      <c r="J48" s="103">
        <v>0</v>
      </c>
      <c r="K48" s="103">
        <v>0</v>
      </c>
      <c r="L48" s="103">
        <v>0</v>
      </c>
      <c r="M48" s="120">
        <v>6.1</v>
      </c>
      <c r="N48" s="120">
        <v>6.1</v>
      </c>
      <c r="O48" s="120">
        <v>6.1</v>
      </c>
      <c r="P48" s="120">
        <v>6.1</v>
      </c>
      <c r="Q48" s="120">
        <v>6.1</v>
      </c>
      <c r="R48" s="120">
        <v>6.1</v>
      </c>
      <c r="S48" s="120">
        <v>6.1</v>
      </c>
      <c r="T48" s="120">
        <v>6.1</v>
      </c>
      <c r="U48" s="120">
        <v>6.1</v>
      </c>
      <c r="V48" s="120">
        <v>6.1</v>
      </c>
      <c r="W48" s="120">
        <v>6.1</v>
      </c>
      <c r="X48" s="120">
        <v>6.1</v>
      </c>
      <c r="Y48" s="120">
        <v>6.1</v>
      </c>
      <c r="Z48" s="73">
        <v>6.1</v>
      </c>
      <c r="AA48" s="73">
        <v>6.1</v>
      </c>
      <c r="AB48" s="73">
        <v>6.1</v>
      </c>
      <c r="AC48" s="73">
        <v>6.1</v>
      </c>
      <c r="AD48" s="73">
        <v>6.1</v>
      </c>
      <c r="AE48" s="73">
        <v>6.1</v>
      </c>
      <c r="AF48" s="73">
        <v>6.1</v>
      </c>
      <c r="AG48" s="106">
        <v>14</v>
      </c>
      <c r="AH48" s="21">
        <f t="shared" si="5"/>
        <v>6.1</v>
      </c>
      <c r="AI48" s="20">
        <f t="shared" si="6"/>
        <v>0</v>
      </c>
      <c r="AK48" s="42"/>
    </row>
    <row r="49" spans="1:37" x14ac:dyDescent="0.25">
      <c r="A49" s="107" t="s">
        <v>162</v>
      </c>
      <c r="B49" s="103">
        <v>5.8</v>
      </c>
      <c r="C49" s="123">
        <v>5.8</v>
      </c>
      <c r="D49" s="123">
        <v>5.8</v>
      </c>
      <c r="E49" s="123">
        <v>5.8</v>
      </c>
      <c r="F49" s="123">
        <v>5.8</v>
      </c>
      <c r="G49" s="123">
        <v>5.8</v>
      </c>
      <c r="H49" s="123">
        <v>5.8</v>
      </c>
      <c r="I49" s="123">
        <v>5.8</v>
      </c>
      <c r="J49" s="123">
        <v>5.8</v>
      </c>
      <c r="K49" s="123">
        <v>5.8</v>
      </c>
      <c r="L49" s="123">
        <v>5.8</v>
      </c>
      <c r="M49" s="123">
        <v>5.8</v>
      </c>
      <c r="N49" s="123">
        <v>5.8</v>
      </c>
      <c r="O49" s="123">
        <v>5.8</v>
      </c>
      <c r="P49" s="123">
        <v>5.8</v>
      </c>
      <c r="Q49" s="123">
        <v>5.8</v>
      </c>
      <c r="R49" s="123">
        <v>5.8</v>
      </c>
      <c r="S49" s="123">
        <v>5.8</v>
      </c>
      <c r="T49" s="123">
        <v>5.8</v>
      </c>
      <c r="U49" s="123">
        <v>5.8</v>
      </c>
      <c r="V49" s="123">
        <v>5.8</v>
      </c>
      <c r="W49" s="123">
        <v>5.8</v>
      </c>
      <c r="X49" s="123">
        <v>5.8</v>
      </c>
      <c r="Y49" s="123">
        <v>5.8</v>
      </c>
      <c r="Z49" s="73">
        <v>5.8</v>
      </c>
      <c r="AA49" s="73">
        <v>5.8</v>
      </c>
      <c r="AB49" s="73">
        <v>5.8</v>
      </c>
      <c r="AC49" s="73">
        <v>5.8</v>
      </c>
      <c r="AD49" s="73">
        <v>5.8</v>
      </c>
      <c r="AE49" s="73">
        <v>5.8</v>
      </c>
      <c r="AF49" s="73">
        <v>5.8</v>
      </c>
      <c r="AG49" s="106">
        <v>10.050000000000001</v>
      </c>
      <c r="AH49" s="21">
        <f t="shared" si="5"/>
        <v>5.8</v>
      </c>
      <c r="AI49" s="20">
        <f t="shared" si="6"/>
        <v>5.8</v>
      </c>
      <c r="AK49" s="42"/>
    </row>
    <row r="50" spans="1:37" x14ac:dyDescent="0.25">
      <c r="A50" s="107" t="s">
        <v>161</v>
      </c>
      <c r="B50" s="10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73">
        <v>2.5</v>
      </c>
      <c r="AA50" s="73">
        <v>2.5</v>
      </c>
      <c r="AB50" s="73">
        <v>2.5</v>
      </c>
      <c r="AC50" s="73">
        <v>2.5</v>
      </c>
      <c r="AD50" s="73">
        <v>2.5</v>
      </c>
      <c r="AE50" s="73">
        <v>2.5</v>
      </c>
      <c r="AF50" s="73">
        <v>2.5</v>
      </c>
      <c r="AG50" s="106">
        <v>6.2</v>
      </c>
      <c r="AH50" s="21">
        <f t="shared" si="5"/>
        <v>2.5</v>
      </c>
      <c r="AI50" s="20">
        <f t="shared" si="6"/>
        <v>2.5</v>
      </c>
      <c r="AK50" s="42"/>
    </row>
    <row r="51" spans="1:37" ht="15.75" thickBot="1" x14ac:dyDescent="0.3">
      <c r="A51" s="125" t="s">
        <v>17</v>
      </c>
      <c r="B51" s="124">
        <f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>U200</f>
        <v>3.54</v>
      </c>
      <c r="V51" s="124">
        <f>V200</f>
        <v>3.54</v>
      </c>
      <c r="W51" s="124">
        <f>W200</f>
        <v>3.54</v>
      </c>
      <c r="X51" s="124">
        <f>X200</f>
        <v>3.54</v>
      </c>
      <c r="Y51" s="124">
        <f>Y200</f>
        <v>3.54</v>
      </c>
      <c r="Z51" s="124">
        <v>3.54</v>
      </c>
      <c r="AA51" s="124">
        <f t="shared" ref="AA51:AG51" si="7">AA200</f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5"/>
        <v>3.54</v>
      </c>
      <c r="AI51" s="20">
        <f t="shared" si="6"/>
        <v>3.54</v>
      </c>
      <c r="AK51" s="42"/>
    </row>
    <row r="52" spans="1:37" ht="15.75" thickBot="1" x14ac:dyDescent="0.3">
      <c r="A52" s="100" t="s">
        <v>160</v>
      </c>
      <c r="B52" s="99">
        <f t="shared" ref="B52:AG52" si="8">SUM(B39:B51)</f>
        <v>182.84</v>
      </c>
      <c r="C52" s="99">
        <f t="shared" si="8"/>
        <v>171.34</v>
      </c>
      <c r="D52" s="99">
        <f t="shared" si="8"/>
        <v>139.54</v>
      </c>
      <c r="E52" s="99">
        <f t="shared" si="8"/>
        <v>139.54</v>
      </c>
      <c r="F52" s="99">
        <f t="shared" si="8"/>
        <v>137.44</v>
      </c>
      <c r="G52" s="99">
        <f t="shared" si="8"/>
        <v>152.14000000000001</v>
      </c>
      <c r="H52" s="99">
        <f t="shared" si="8"/>
        <v>250.34000000000003</v>
      </c>
      <c r="I52" s="99">
        <f t="shared" si="8"/>
        <v>225.74</v>
      </c>
      <c r="J52" s="99">
        <f t="shared" si="8"/>
        <v>360.94000000000005</v>
      </c>
      <c r="K52" s="99">
        <f t="shared" si="8"/>
        <v>363.34000000000003</v>
      </c>
      <c r="L52" s="99">
        <f t="shared" si="8"/>
        <v>393.94</v>
      </c>
      <c r="M52" s="99">
        <f t="shared" si="8"/>
        <v>397.64000000000004</v>
      </c>
      <c r="N52" s="99">
        <f t="shared" si="8"/>
        <v>302.44000000000005</v>
      </c>
      <c r="O52" s="99">
        <f t="shared" si="8"/>
        <v>285.04000000000002</v>
      </c>
      <c r="P52" s="99">
        <f t="shared" si="8"/>
        <v>252.84</v>
      </c>
      <c r="Q52" s="99">
        <f t="shared" si="8"/>
        <v>297.04000000000008</v>
      </c>
      <c r="R52" s="99">
        <f t="shared" si="8"/>
        <v>224.54000000000002</v>
      </c>
      <c r="S52" s="99">
        <f t="shared" si="8"/>
        <v>231.14000000000001</v>
      </c>
      <c r="T52" s="99">
        <f t="shared" si="8"/>
        <v>241.74</v>
      </c>
      <c r="U52" s="99">
        <f t="shared" si="8"/>
        <v>272.54000000000002</v>
      </c>
      <c r="V52" s="99">
        <f t="shared" si="8"/>
        <v>312.34000000000003</v>
      </c>
      <c r="W52" s="99">
        <f t="shared" si="8"/>
        <v>311.94000000000005</v>
      </c>
      <c r="X52" s="99">
        <f t="shared" si="8"/>
        <v>311.94000000000005</v>
      </c>
      <c r="Y52" s="99">
        <f t="shared" si="8"/>
        <v>363.34000000000003</v>
      </c>
      <c r="Z52" s="99">
        <f t="shared" si="8"/>
        <v>419.54000000000008</v>
      </c>
      <c r="AA52" s="99">
        <f t="shared" si="8"/>
        <v>419.54000000000008</v>
      </c>
      <c r="AB52" s="99">
        <f t="shared" si="8"/>
        <v>417.34000000000003</v>
      </c>
      <c r="AC52" s="99">
        <f t="shared" si="8"/>
        <v>281.34000000000003</v>
      </c>
      <c r="AD52" s="99">
        <f t="shared" si="8"/>
        <v>272.34000000000003</v>
      </c>
      <c r="AE52" s="99">
        <f t="shared" si="8"/>
        <v>259.34000000000003</v>
      </c>
      <c r="AF52" s="99">
        <f t="shared" si="8"/>
        <v>269.34000000000003</v>
      </c>
      <c r="AG52" s="98">
        <f t="shared" si="8"/>
        <v>489.91</v>
      </c>
      <c r="AH52" s="21">
        <f t="shared" si="5"/>
        <v>419.54000000000008</v>
      </c>
      <c r="AI52" s="20">
        <f t="shared" si="6"/>
        <v>137.44</v>
      </c>
      <c r="AK52" s="42"/>
    </row>
    <row r="53" spans="1:37" x14ac:dyDescent="0.25">
      <c r="A53" s="109" t="s">
        <v>159</v>
      </c>
      <c r="B53" s="103">
        <v>20.2</v>
      </c>
      <c r="C53" s="103">
        <v>33.4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14</v>
      </c>
      <c r="K53" s="123">
        <v>30</v>
      </c>
      <c r="L53" s="123">
        <v>30</v>
      </c>
      <c r="M53" s="122">
        <v>40</v>
      </c>
      <c r="N53" s="122">
        <v>29.6</v>
      </c>
      <c r="O53" s="122">
        <v>30</v>
      </c>
      <c r="P53" s="122">
        <v>40</v>
      </c>
      <c r="Q53" s="103">
        <v>40</v>
      </c>
      <c r="R53" s="103">
        <v>49.6</v>
      </c>
      <c r="S53" s="103">
        <v>40.4</v>
      </c>
      <c r="T53" s="103">
        <v>39.700000000000003</v>
      </c>
      <c r="U53" s="103">
        <v>39.700000000000003</v>
      </c>
      <c r="V53" s="103">
        <v>39.700000000000003</v>
      </c>
      <c r="W53" s="103">
        <v>19.7</v>
      </c>
      <c r="X53" s="103">
        <v>19.600000000000001</v>
      </c>
      <c r="Y53" s="103">
        <v>19.600000000000001</v>
      </c>
      <c r="Z53" s="73">
        <v>50</v>
      </c>
      <c r="AA53" s="73">
        <v>20</v>
      </c>
      <c r="AB53" s="103">
        <v>30</v>
      </c>
      <c r="AC53" s="103">
        <v>29</v>
      </c>
      <c r="AD53" s="103">
        <v>29.4</v>
      </c>
      <c r="AE53" s="103">
        <v>59</v>
      </c>
      <c r="AF53" s="103">
        <v>59</v>
      </c>
      <c r="AG53" s="108">
        <v>60</v>
      </c>
      <c r="AH53" s="21">
        <f t="shared" si="5"/>
        <v>59</v>
      </c>
      <c r="AI53" s="20">
        <f t="shared" si="6"/>
        <v>0</v>
      </c>
      <c r="AK53" s="42"/>
    </row>
    <row r="54" spans="1:37" x14ac:dyDescent="0.25">
      <c r="A54" s="107" t="s">
        <v>158</v>
      </c>
      <c r="B54" s="73">
        <v>13.5</v>
      </c>
      <c r="C54" s="73">
        <v>16.3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5.2</v>
      </c>
      <c r="K54" s="123">
        <v>13.6</v>
      </c>
      <c r="L54" s="123">
        <v>12.5</v>
      </c>
      <c r="M54" s="122">
        <v>18</v>
      </c>
      <c r="N54" s="122">
        <v>14.2</v>
      </c>
      <c r="O54" s="122">
        <v>15.1</v>
      </c>
      <c r="P54" s="122">
        <v>16</v>
      </c>
      <c r="Q54" s="73">
        <v>17.3</v>
      </c>
      <c r="R54" s="73">
        <v>22.5</v>
      </c>
      <c r="S54" s="103">
        <v>17</v>
      </c>
      <c r="T54" s="103">
        <v>17</v>
      </c>
      <c r="U54" s="103">
        <v>17</v>
      </c>
      <c r="V54" s="103">
        <v>17</v>
      </c>
      <c r="W54" s="103">
        <v>9.9</v>
      </c>
      <c r="X54" s="103">
        <v>8.8000000000000007</v>
      </c>
      <c r="Y54" s="103">
        <v>8.8000000000000007</v>
      </c>
      <c r="Z54" s="73">
        <v>17.899999999999999</v>
      </c>
      <c r="AA54" s="73">
        <v>8.5</v>
      </c>
      <c r="AB54" s="73">
        <v>9</v>
      </c>
      <c r="AC54" s="73">
        <v>15</v>
      </c>
      <c r="AD54" s="73">
        <v>14.2</v>
      </c>
      <c r="AE54" s="73">
        <v>28</v>
      </c>
      <c r="AF54" s="73">
        <v>28</v>
      </c>
      <c r="AG54" s="106">
        <v>32</v>
      </c>
      <c r="AH54" s="21">
        <f t="shared" si="5"/>
        <v>28</v>
      </c>
      <c r="AI54" s="20">
        <f t="shared" si="6"/>
        <v>0</v>
      </c>
      <c r="AK54" s="42"/>
    </row>
    <row r="55" spans="1:37" ht="15.75" thickBot="1" x14ac:dyDescent="0.3">
      <c r="A55" s="121" t="s">
        <v>157</v>
      </c>
      <c r="B55" s="118">
        <v>4.9000000000000004</v>
      </c>
      <c r="C55" s="118">
        <v>6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1.9</v>
      </c>
      <c r="K55" s="120">
        <v>5</v>
      </c>
      <c r="L55" s="120">
        <v>4.5999999999999996</v>
      </c>
      <c r="M55" s="119">
        <v>6.4</v>
      </c>
      <c r="N55" s="119">
        <v>5.2</v>
      </c>
      <c r="O55" s="119">
        <v>5.5</v>
      </c>
      <c r="P55" s="119">
        <v>5.8</v>
      </c>
      <c r="Q55" s="118">
        <v>6.3</v>
      </c>
      <c r="R55" s="118">
        <v>8.1999999999999993</v>
      </c>
      <c r="S55" s="103">
        <v>6.2</v>
      </c>
      <c r="T55" s="103">
        <v>6.2</v>
      </c>
      <c r="U55" s="103">
        <v>6.2</v>
      </c>
      <c r="V55" s="103">
        <v>6.2</v>
      </c>
      <c r="W55" s="103">
        <v>3.6</v>
      </c>
      <c r="X55" s="103">
        <v>3.2</v>
      </c>
      <c r="Y55" s="103">
        <v>3.2</v>
      </c>
      <c r="Z55" s="73">
        <v>6.5</v>
      </c>
      <c r="AA55" s="73">
        <v>3.1</v>
      </c>
      <c r="AB55" s="118">
        <v>3.3</v>
      </c>
      <c r="AC55" s="118">
        <v>5.6</v>
      </c>
      <c r="AD55" s="118">
        <v>5.2</v>
      </c>
      <c r="AE55" s="118">
        <v>10.3</v>
      </c>
      <c r="AF55" s="118">
        <v>10</v>
      </c>
      <c r="AG55" s="117">
        <v>14</v>
      </c>
      <c r="AH55" s="21">
        <f t="shared" si="5"/>
        <v>10.3</v>
      </c>
      <c r="AI55" s="20">
        <f t="shared" si="6"/>
        <v>0</v>
      </c>
      <c r="AK55" s="42"/>
    </row>
    <row r="56" spans="1:37" ht="15.75" thickBot="1" x14ac:dyDescent="0.3">
      <c r="A56" s="100" t="s">
        <v>156</v>
      </c>
      <c r="B56" s="99">
        <f t="shared" ref="B56:AG56" si="9">SUM(B53:B55)</f>
        <v>38.6</v>
      </c>
      <c r="C56" s="99">
        <f t="shared" si="9"/>
        <v>55.7</v>
      </c>
      <c r="D56" s="99">
        <f t="shared" si="9"/>
        <v>0</v>
      </c>
      <c r="E56" s="99">
        <f t="shared" si="9"/>
        <v>0</v>
      </c>
      <c r="F56" s="99">
        <f t="shared" si="9"/>
        <v>0</v>
      </c>
      <c r="G56" s="99">
        <f t="shared" si="9"/>
        <v>0</v>
      </c>
      <c r="H56" s="99">
        <f t="shared" si="9"/>
        <v>0</v>
      </c>
      <c r="I56" s="99">
        <f t="shared" si="9"/>
        <v>0</v>
      </c>
      <c r="J56" s="99">
        <f t="shared" si="9"/>
        <v>21.099999999999998</v>
      </c>
      <c r="K56" s="99">
        <f t="shared" si="9"/>
        <v>48.6</v>
      </c>
      <c r="L56" s="99">
        <f t="shared" si="9"/>
        <v>47.1</v>
      </c>
      <c r="M56" s="99">
        <f t="shared" si="9"/>
        <v>64.400000000000006</v>
      </c>
      <c r="N56" s="99">
        <f t="shared" si="9"/>
        <v>49</v>
      </c>
      <c r="O56" s="99">
        <f t="shared" si="9"/>
        <v>50.6</v>
      </c>
      <c r="P56" s="99">
        <f t="shared" si="9"/>
        <v>61.8</v>
      </c>
      <c r="Q56" s="99">
        <f t="shared" si="9"/>
        <v>63.599999999999994</v>
      </c>
      <c r="R56" s="99">
        <f t="shared" si="9"/>
        <v>80.3</v>
      </c>
      <c r="S56" s="99">
        <f t="shared" si="9"/>
        <v>63.6</v>
      </c>
      <c r="T56" s="99">
        <f t="shared" si="9"/>
        <v>62.900000000000006</v>
      </c>
      <c r="U56" s="99">
        <f t="shared" si="9"/>
        <v>62.900000000000006</v>
      </c>
      <c r="V56" s="99">
        <f t="shared" si="9"/>
        <v>62.900000000000006</v>
      </c>
      <c r="W56" s="99">
        <f t="shared" si="9"/>
        <v>33.200000000000003</v>
      </c>
      <c r="X56" s="99">
        <f t="shared" si="9"/>
        <v>31.6</v>
      </c>
      <c r="Y56" s="99">
        <f t="shared" si="9"/>
        <v>31.6</v>
      </c>
      <c r="Z56" s="99">
        <f t="shared" si="9"/>
        <v>74.400000000000006</v>
      </c>
      <c r="AA56" s="99">
        <f t="shared" si="9"/>
        <v>31.6</v>
      </c>
      <c r="AB56" s="99">
        <f t="shared" si="9"/>
        <v>42.3</v>
      </c>
      <c r="AC56" s="99">
        <f t="shared" si="9"/>
        <v>49.6</v>
      </c>
      <c r="AD56" s="99">
        <f t="shared" si="9"/>
        <v>48.8</v>
      </c>
      <c r="AE56" s="99">
        <f t="shared" si="9"/>
        <v>97.3</v>
      </c>
      <c r="AF56" s="99">
        <f t="shared" si="9"/>
        <v>97</v>
      </c>
      <c r="AG56" s="98">
        <f t="shared" si="9"/>
        <v>106</v>
      </c>
      <c r="AH56" s="21">
        <f t="shared" si="5"/>
        <v>97.3</v>
      </c>
      <c r="AI56" s="20">
        <f t="shared" si="6"/>
        <v>0</v>
      </c>
      <c r="AK56" s="42"/>
    </row>
    <row r="57" spans="1:37" x14ac:dyDescent="0.25">
      <c r="A57" s="109" t="s">
        <v>135</v>
      </c>
      <c r="B57" s="103">
        <v>57.63</v>
      </c>
      <c r="C57" s="103">
        <v>59.4</v>
      </c>
      <c r="D57" s="103">
        <v>68</v>
      </c>
      <c r="E57" s="103">
        <v>69.2</v>
      </c>
      <c r="F57" s="103">
        <v>73.2</v>
      </c>
      <c r="G57" s="103">
        <v>73.3</v>
      </c>
      <c r="H57" s="103">
        <v>61.2</v>
      </c>
      <c r="I57" s="103">
        <v>68.2</v>
      </c>
      <c r="J57" s="103">
        <v>23.5</v>
      </c>
      <c r="K57" s="103">
        <v>17</v>
      </c>
      <c r="L57" s="103">
        <v>17.84</v>
      </c>
      <c r="M57" s="103">
        <v>43</v>
      </c>
      <c r="N57" s="103">
        <v>71.599999999999994</v>
      </c>
      <c r="O57" s="103">
        <v>71.2</v>
      </c>
      <c r="P57" s="103">
        <v>74.400000000000006</v>
      </c>
      <c r="Q57" s="103">
        <v>71</v>
      </c>
      <c r="R57" s="103">
        <v>70.5</v>
      </c>
      <c r="S57" s="103">
        <v>71.2</v>
      </c>
      <c r="T57" s="103">
        <v>74.900000000000006</v>
      </c>
      <c r="U57" s="103">
        <v>75.900000000000006</v>
      </c>
      <c r="V57" s="103">
        <v>70</v>
      </c>
      <c r="W57" s="103">
        <v>71.099999999999994</v>
      </c>
      <c r="X57" s="103">
        <v>72.099999999999994</v>
      </c>
      <c r="Y57" s="103">
        <v>59.1</v>
      </c>
      <c r="Z57" s="73">
        <v>60.2</v>
      </c>
      <c r="AA57" s="73">
        <v>55.4</v>
      </c>
      <c r="AB57" s="103">
        <v>56</v>
      </c>
      <c r="AC57" s="103">
        <v>74</v>
      </c>
      <c r="AD57" s="103">
        <v>74</v>
      </c>
      <c r="AE57" s="103">
        <v>70</v>
      </c>
      <c r="AF57" s="103">
        <v>68</v>
      </c>
      <c r="AG57" s="108"/>
      <c r="AH57" s="21">
        <f t="shared" si="5"/>
        <v>75.900000000000006</v>
      </c>
      <c r="AI57" s="20">
        <f t="shared" si="6"/>
        <v>17</v>
      </c>
      <c r="AK57" s="42"/>
    </row>
    <row r="58" spans="1:37" x14ac:dyDescent="0.25">
      <c r="A58" s="107" t="s">
        <v>138</v>
      </c>
      <c r="B58" s="73">
        <v>0</v>
      </c>
      <c r="C58" s="73">
        <v>70</v>
      </c>
      <c r="D58" s="73">
        <v>0</v>
      </c>
      <c r="E58" s="73">
        <v>0</v>
      </c>
      <c r="F58" s="73">
        <v>0</v>
      </c>
      <c r="G58" s="73">
        <v>0</v>
      </c>
      <c r="H58" s="73">
        <v>80.099999999999994</v>
      </c>
      <c r="I58" s="73">
        <v>94</v>
      </c>
      <c r="J58" s="73">
        <v>101.6</v>
      </c>
      <c r="K58" s="73">
        <v>97</v>
      </c>
      <c r="L58" s="73">
        <v>100</v>
      </c>
      <c r="M58" s="103">
        <v>130</v>
      </c>
      <c r="N58" s="103">
        <v>74.099999999999994</v>
      </c>
      <c r="O58" s="103">
        <v>72.7</v>
      </c>
      <c r="P58" s="103">
        <v>70.599999999999994</v>
      </c>
      <c r="Q58" s="103">
        <v>64.599999999999994</v>
      </c>
      <c r="R58" s="103">
        <v>62.4</v>
      </c>
      <c r="S58" s="103">
        <v>61.6</v>
      </c>
      <c r="T58" s="103">
        <v>62.1</v>
      </c>
      <c r="U58" s="103">
        <v>117</v>
      </c>
      <c r="V58" s="103">
        <v>122</v>
      </c>
      <c r="W58" s="103">
        <v>130</v>
      </c>
      <c r="X58" s="103">
        <v>137</v>
      </c>
      <c r="Y58" s="103">
        <v>137</v>
      </c>
      <c r="Z58" s="73">
        <v>140</v>
      </c>
      <c r="AA58" s="73">
        <v>120</v>
      </c>
      <c r="AB58" s="73">
        <v>104</v>
      </c>
      <c r="AC58" s="73">
        <v>100</v>
      </c>
      <c r="AD58" s="73">
        <v>106</v>
      </c>
      <c r="AE58" s="73">
        <v>97</v>
      </c>
      <c r="AF58" s="73">
        <v>99</v>
      </c>
      <c r="AG58" s="106"/>
      <c r="AH58" s="21">
        <f t="shared" si="5"/>
        <v>140</v>
      </c>
      <c r="AI58" s="20">
        <f t="shared" si="6"/>
        <v>0</v>
      </c>
      <c r="AK58" s="42"/>
    </row>
    <row r="59" spans="1:37" x14ac:dyDescent="0.25">
      <c r="A59" s="107" t="s">
        <v>155</v>
      </c>
      <c r="B59" s="73">
        <v>361</v>
      </c>
      <c r="C59" s="73">
        <v>177</v>
      </c>
      <c r="D59" s="73">
        <v>375</v>
      </c>
      <c r="E59" s="73">
        <v>386</v>
      </c>
      <c r="F59" s="73">
        <v>390.2</v>
      </c>
      <c r="G59" s="73">
        <v>395.5</v>
      </c>
      <c r="H59" s="103">
        <v>45.6</v>
      </c>
      <c r="I59" s="103">
        <v>234.4</v>
      </c>
      <c r="J59" s="103">
        <v>75.400000000000006</v>
      </c>
      <c r="K59" s="103">
        <v>82.1</v>
      </c>
      <c r="L59" s="103">
        <v>79.3</v>
      </c>
      <c r="M59" s="73">
        <v>62.8</v>
      </c>
      <c r="N59" s="73">
        <v>387</v>
      </c>
      <c r="O59" s="73">
        <v>389</v>
      </c>
      <c r="P59" s="73">
        <v>376.7</v>
      </c>
      <c r="Q59" s="73">
        <v>282</v>
      </c>
      <c r="R59" s="73">
        <v>365.4</v>
      </c>
      <c r="S59" s="73">
        <v>386.9</v>
      </c>
      <c r="T59" s="73">
        <v>391</v>
      </c>
      <c r="U59" s="73">
        <v>234</v>
      </c>
      <c r="V59" s="73">
        <v>198</v>
      </c>
      <c r="W59" s="73">
        <v>241</v>
      </c>
      <c r="X59" s="73">
        <v>266</v>
      </c>
      <c r="Y59" s="73">
        <v>255</v>
      </c>
      <c r="Z59" s="73">
        <v>230.8</v>
      </c>
      <c r="AA59" s="73">
        <v>58.1</v>
      </c>
      <c r="AB59" s="73">
        <v>41</v>
      </c>
      <c r="AC59" s="73">
        <v>190</v>
      </c>
      <c r="AD59" s="73">
        <v>200</v>
      </c>
      <c r="AE59" s="73">
        <v>0</v>
      </c>
      <c r="AF59" s="73">
        <v>4</v>
      </c>
      <c r="AG59" s="113"/>
      <c r="AH59" s="21">
        <f t="shared" si="5"/>
        <v>395.5</v>
      </c>
      <c r="AI59" s="20">
        <f t="shared" si="6"/>
        <v>0</v>
      </c>
      <c r="AK59" s="42"/>
    </row>
    <row r="60" spans="1:37" x14ac:dyDescent="0.25">
      <c r="A60" s="107" t="s">
        <v>139</v>
      </c>
      <c r="B60" s="77">
        <v>47.1</v>
      </c>
      <c r="C60" s="77">
        <v>46.9</v>
      </c>
      <c r="D60" s="77">
        <v>50.2</v>
      </c>
      <c r="E60" s="77">
        <v>47.9</v>
      </c>
      <c r="F60" s="77">
        <v>45.9</v>
      </c>
      <c r="G60" s="77">
        <v>46.5</v>
      </c>
      <c r="H60" s="77">
        <v>47.5</v>
      </c>
      <c r="I60" s="77">
        <v>51.5</v>
      </c>
      <c r="J60" s="77">
        <v>52.5</v>
      </c>
      <c r="K60" s="77">
        <v>47</v>
      </c>
      <c r="L60" s="77">
        <v>50.6</v>
      </c>
      <c r="M60" s="73">
        <v>53.5</v>
      </c>
      <c r="N60" s="73">
        <v>52</v>
      </c>
      <c r="O60" s="73">
        <v>47.8</v>
      </c>
      <c r="P60" s="73">
        <v>51</v>
      </c>
      <c r="Q60" s="73">
        <v>50.2</v>
      </c>
      <c r="R60" s="73">
        <v>49.6</v>
      </c>
      <c r="S60" s="73">
        <v>51.3</v>
      </c>
      <c r="T60" s="73">
        <v>54.2</v>
      </c>
      <c r="U60" s="73">
        <v>55.8</v>
      </c>
      <c r="V60" s="73">
        <v>55.8</v>
      </c>
      <c r="W60" s="73">
        <v>55.8</v>
      </c>
      <c r="X60" s="73">
        <v>47.6</v>
      </c>
      <c r="Y60" s="73">
        <v>47.6</v>
      </c>
      <c r="Z60" s="73">
        <v>47.8</v>
      </c>
      <c r="AA60" s="73">
        <v>41.3</v>
      </c>
      <c r="AB60" s="73">
        <v>19</v>
      </c>
      <c r="AC60" s="73">
        <v>45</v>
      </c>
      <c r="AD60" s="73">
        <v>45</v>
      </c>
      <c r="AE60" s="73">
        <v>43</v>
      </c>
      <c r="AF60" s="77">
        <v>51</v>
      </c>
      <c r="AG60" s="113"/>
      <c r="AH60" s="21">
        <f t="shared" si="5"/>
        <v>55.8</v>
      </c>
      <c r="AI60" s="20">
        <f t="shared" si="6"/>
        <v>19</v>
      </c>
      <c r="AK60" s="42"/>
    </row>
    <row r="61" spans="1:37" x14ac:dyDescent="0.25">
      <c r="A61" s="107" t="s">
        <v>154</v>
      </c>
      <c r="B61" s="103">
        <v>0</v>
      </c>
      <c r="C61" s="103">
        <v>68.2</v>
      </c>
      <c r="D61" s="103">
        <v>0</v>
      </c>
      <c r="E61" s="77">
        <v>0</v>
      </c>
      <c r="F61" s="77">
        <v>0</v>
      </c>
      <c r="G61" s="77">
        <v>0</v>
      </c>
      <c r="H61" s="77">
        <v>81.2</v>
      </c>
      <c r="I61" s="77">
        <v>82.1</v>
      </c>
      <c r="J61" s="77">
        <v>88</v>
      </c>
      <c r="K61" s="77">
        <v>74.8</v>
      </c>
      <c r="L61" s="77">
        <v>77.8</v>
      </c>
      <c r="M61" s="103">
        <v>75.7</v>
      </c>
      <c r="N61" s="103">
        <v>87.6</v>
      </c>
      <c r="O61" s="103">
        <v>68.5</v>
      </c>
      <c r="P61" s="103">
        <v>70.599999999999994</v>
      </c>
      <c r="Q61" s="103">
        <v>78.900000000000006</v>
      </c>
      <c r="R61" s="103">
        <v>69</v>
      </c>
      <c r="S61" s="103">
        <v>75.099999999999994</v>
      </c>
      <c r="T61" s="103">
        <v>70.5</v>
      </c>
      <c r="U61" s="103">
        <v>71.599999999999994</v>
      </c>
      <c r="V61" s="103">
        <v>0</v>
      </c>
      <c r="W61" s="103">
        <v>70</v>
      </c>
      <c r="X61" s="103">
        <v>70</v>
      </c>
      <c r="Y61" s="103">
        <v>75.900000000000006</v>
      </c>
      <c r="Z61" s="73">
        <v>77.2</v>
      </c>
      <c r="AA61" s="73">
        <v>66.7</v>
      </c>
      <c r="AB61" s="103">
        <v>81</v>
      </c>
      <c r="AC61" s="103">
        <v>90</v>
      </c>
      <c r="AD61" s="103">
        <v>86</v>
      </c>
      <c r="AE61" s="103">
        <v>80</v>
      </c>
      <c r="AF61" s="103">
        <v>75</v>
      </c>
      <c r="AG61" s="113"/>
      <c r="AH61" s="21">
        <f t="shared" si="5"/>
        <v>90</v>
      </c>
      <c r="AI61" s="20">
        <f t="shared" si="6"/>
        <v>0</v>
      </c>
      <c r="AK61" s="42"/>
    </row>
    <row r="62" spans="1:37" x14ac:dyDescent="0.25">
      <c r="A62" s="107" t="s">
        <v>153</v>
      </c>
      <c r="B62" s="67">
        <v>0</v>
      </c>
      <c r="C62" s="67">
        <v>0</v>
      </c>
      <c r="D62" s="67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7">
        <v>0</v>
      </c>
      <c r="O62" s="67">
        <v>0</v>
      </c>
      <c r="P62" s="67">
        <v>0</v>
      </c>
      <c r="Q62" s="103">
        <v>0</v>
      </c>
      <c r="R62" s="103">
        <v>0</v>
      </c>
      <c r="S62" s="103">
        <v>0</v>
      </c>
      <c r="T62" s="103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113"/>
      <c r="AH62" s="21">
        <f t="shared" si="5"/>
        <v>0</v>
      </c>
      <c r="AI62" s="20">
        <f t="shared" si="6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103">
        <v>0</v>
      </c>
      <c r="N63" s="67">
        <v>0</v>
      </c>
      <c r="O63" s="67">
        <v>0</v>
      </c>
      <c r="P63" s="67">
        <v>0</v>
      </c>
      <c r="Q63" s="103">
        <v>0</v>
      </c>
      <c r="R63" s="103">
        <v>0</v>
      </c>
      <c r="S63" s="103">
        <v>0</v>
      </c>
      <c r="T63" s="103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113"/>
      <c r="AH63" s="21">
        <f t="shared" si="5"/>
        <v>0</v>
      </c>
      <c r="AI63" s="20">
        <f t="shared" si="6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103">
        <v>0</v>
      </c>
      <c r="R64" s="103">
        <v>0</v>
      </c>
      <c r="S64" s="103">
        <v>0</v>
      </c>
      <c r="T64" s="103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113"/>
      <c r="AH64" s="21">
        <f t="shared" si="5"/>
        <v>0</v>
      </c>
      <c r="AI64" s="20">
        <f t="shared" si="6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103">
        <v>0</v>
      </c>
      <c r="R65" s="103">
        <v>0</v>
      </c>
      <c r="S65" s="103">
        <v>0</v>
      </c>
      <c r="T65" s="103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113"/>
      <c r="AH65" s="21">
        <f t="shared" si="5"/>
        <v>0</v>
      </c>
      <c r="AI65" s="20">
        <f t="shared" si="6"/>
        <v>0</v>
      </c>
      <c r="AK65" s="42"/>
    </row>
    <row r="66" spans="1:88" x14ac:dyDescent="0.25">
      <c r="A66" s="104" t="s">
        <v>149</v>
      </c>
      <c r="B66" s="70">
        <v>6</v>
      </c>
      <c r="C66" s="70">
        <v>6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3">
        <v>0</v>
      </c>
      <c r="N66" s="70">
        <v>0</v>
      </c>
      <c r="O66" s="70">
        <v>10</v>
      </c>
      <c r="P66" s="70">
        <v>10</v>
      </c>
      <c r="Q66" s="103">
        <v>10</v>
      </c>
      <c r="R66" s="103">
        <v>10</v>
      </c>
      <c r="S66" s="103">
        <v>10</v>
      </c>
      <c r="T66" s="103">
        <v>10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3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102"/>
      <c r="AH66" s="21">
        <f t="shared" si="5"/>
        <v>10</v>
      </c>
      <c r="AI66" s="20">
        <f t="shared" si="6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103">
        <v>0</v>
      </c>
      <c r="N67" s="70">
        <v>0</v>
      </c>
      <c r="O67" s="70">
        <v>0</v>
      </c>
      <c r="P67" s="70">
        <v>0</v>
      </c>
      <c r="Q67" s="103">
        <v>0</v>
      </c>
      <c r="R67" s="103">
        <v>0</v>
      </c>
      <c r="S67" s="103">
        <v>0</v>
      </c>
      <c r="T67" s="103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3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102"/>
      <c r="AH67" s="21">
        <f t="shared" si="5"/>
        <v>0</v>
      </c>
      <c r="AI67" s="20">
        <f t="shared" si="6"/>
        <v>0</v>
      </c>
      <c r="AK67" s="42"/>
    </row>
    <row r="68" spans="1:88" ht="15.75" thickBot="1" x14ac:dyDescent="0.3">
      <c r="A68" s="100" t="s">
        <v>147</v>
      </c>
      <c r="B68" s="99">
        <f t="shared" ref="B68:Y68" si="10">SUM(B57:B67)</f>
        <v>471.73</v>
      </c>
      <c r="C68" s="99">
        <f t="shared" si="10"/>
        <v>427.49999999999994</v>
      </c>
      <c r="D68" s="99">
        <f t="shared" si="10"/>
        <v>493.2</v>
      </c>
      <c r="E68" s="99">
        <f t="shared" si="10"/>
        <v>503.09999999999997</v>
      </c>
      <c r="F68" s="99">
        <f t="shared" si="10"/>
        <v>509.29999999999995</v>
      </c>
      <c r="G68" s="99">
        <f t="shared" si="10"/>
        <v>515.29999999999995</v>
      </c>
      <c r="H68" s="99">
        <f t="shared" si="10"/>
        <v>315.60000000000002</v>
      </c>
      <c r="I68" s="99">
        <f t="shared" si="10"/>
        <v>530.20000000000005</v>
      </c>
      <c r="J68" s="99">
        <f t="shared" si="10"/>
        <v>341</v>
      </c>
      <c r="K68" s="99">
        <f t="shared" si="10"/>
        <v>317.89999999999998</v>
      </c>
      <c r="L68" s="99">
        <f t="shared" si="10"/>
        <v>325.53999999999996</v>
      </c>
      <c r="M68" s="99">
        <f t="shared" si="10"/>
        <v>365</v>
      </c>
      <c r="N68" s="99">
        <f t="shared" si="10"/>
        <v>672.30000000000007</v>
      </c>
      <c r="O68" s="99">
        <f t="shared" si="10"/>
        <v>659.19999999999993</v>
      </c>
      <c r="P68" s="99">
        <f t="shared" si="10"/>
        <v>653.30000000000007</v>
      </c>
      <c r="Q68" s="99">
        <f t="shared" si="10"/>
        <v>556.70000000000005</v>
      </c>
      <c r="R68" s="99">
        <f t="shared" si="10"/>
        <v>626.9</v>
      </c>
      <c r="S68" s="99">
        <f t="shared" si="10"/>
        <v>656.1</v>
      </c>
      <c r="T68" s="99">
        <f t="shared" si="10"/>
        <v>662.7</v>
      </c>
      <c r="U68" s="99">
        <f t="shared" si="10"/>
        <v>554.29999999999995</v>
      </c>
      <c r="V68" s="99">
        <f t="shared" si="10"/>
        <v>445.8</v>
      </c>
      <c r="W68" s="99">
        <f t="shared" si="10"/>
        <v>567.90000000000009</v>
      </c>
      <c r="X68" s="99">
        <f t="shared" si="10"/>
        <v>592.70000000000005</v>
      </c>
      <c r="Y68" s="99">
        <f t="shared" si="10"/>
        <v>574.6</v>
      </c>
      <c r="Z68" s="99">
        <f>SUMIF(Z57:Z67,"&gt;0")</f>
        <v>556</v>
      </c>
      <c r="AA68" s="99">
        <f t="shared" ref="AA68:AG68" si="11">SUM(AA57:AA67)</f>
        <v>341.5</v>
      </c>
      <c r="AB68" s="99">
        <f t="shared" si="11"/>
        <v>301</v>
      </c>
      <c r="AC68" s="99">
        <f t="shared" si="11"/>
        <v>499</v>
      </c>
      <c r="AD68" s="99">
        <f t="shared" si="11"/>
        <v>511</v>
      </c>
      <c r="AE68" s="99">
        <f t="shared" si="11"/>
        <v>290</v>
      </c>
      <c r="AF68" s="99">
        <f t="shared" si="11"/>
        <v>297</v>
      </c>
      <c r="AG68" s="98">
        <f t="shared" si="11"/>
        <v>0</v>
      </c>
      <c r="AH68" s="21">
        <f t="shared" si="5"/>
        <v>672.30000000000007</v>
      </c>
      <c r="AI68" s="20">
        <f t="shared" si="6"/>
        <v>290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3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5"/>
        <v>0</v>
      </c>
      <c r="AI69" s="20">
        <f t="shared" si="6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3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5"/>
        <v>0</v>
      </c>
      <c r="AI70" s="20">
        <f t="shared" si="6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3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5"/>
        <v>0</v>
      </c>
      <c r="AI71" s="20">
        <f t="shared" si="6"/>
        <v>0</v>
      </c>
    </row>
    <row r="72" spans="1:88" s="1" customFormat="1" ht="15.75" thickBot="1" x14ac:dyDescent="0.3">
      <c r="A72" s="100" t="s">
        <v>143</v>
      </c>
      <c r="B72" s="99">
        <f t="shared" ref="B72:AG72" si="12">SUM(B69:B71)</f>
        <v>0</v>
      </c>
      <c r="C72" s="99">
        <f t="shared" si="12"/>
        <v>0</v>
      </c>
      <c r="D72" s="99">
        <f t="shared" si="12"/>
        <v>0</v>
      </c>
      <c r="E72" s="99">
        <f t="shared" si="12"/>
        <v>0</v>
      </c>
      <c r="F72" s="99">
        <f t="shared" si="12"/>
        <v>0</v>
      </c>
      <c r="G72" s="99">
        <f t="shared" si="12"/>
        <v>0</v>
      </c>
      <c r="H72" s="99">
        <f t="shared" si="12"/>
        <v>0</v>
      </c>
      <c r="I72" s="99">
        <f t="shared" si="12"/>
        <v>0</v>
      </c>
      <c r="J72" s="99">
        <f t="shared" si="12"/>
        <v>0</v>
      </c>
      <c r="K72" s="99">
        <f t="shared" si="12"/>
        <v>0</v>
      </c>
      <c r="L72" s="99">
        <f t="shared" si="12"/>
        <v>0</v>
      </c>
      <c r="M72" s="99">
        <f t="shared" si="12"/>
        <v>0</v>
      </c>
      <c r="N72" s="99">
        <f t="shared" si="12"/>
        <v>0</v>
      </c>
      <c r="O72" s="99">
        <f t="shared" si="12"/>
        <v>0</v>
      </c>
      <c r="P72" s="99">
        <f t="shared" si="12"/>
        <v>0</v>
      </c>
      <c r="Q72" s="99">
        <f t="shared" si="12"/>
        <v>0</v>
      </c>
      <c r="R72" s="99">
        <f t="shared" si="12"/>
        <v>0</v>
      </c>
      <c r="S72" s="99">
        <f t="shared" si="12"/>
        <v>0</v>
      </c>
      <c r="T72" s="99">
        <f t="shared" si="12"/>
        <v>0</v>
      </c>
      <c r="U72" s="99">
        <f t="shared" si="12"/>
        <v>0</v>
      </c>
      <c r="V72" s="99">
        <f t="shared" si="12"/>
        <v>0</v>
      </c>
      <c r="W72" s="99">
        <f t="shared" si="12"/>
        <v>0</v>
      </c>
      <c r="X72" s="99">
        <f t="shared" si="12"/>
        <v>0</v>
      </c>
      <c r="Y72" s="99">
        <f t="shared" si="12"/>
        <v>0</v>
      </c>
      <c r="Z72" s="73">
        <f t="shared" si="12"/>
        <v>0</v>
      </c>
      <c r="AA72" s="99">
        <f t="shared" si="12"/>
        <v>0</v>
      </c>
      <c r="AB72" s="99">
        <f t="shared" si="12"/>
        <v>0</v>
      </c>
      <c r="AC72" s="99">
        <f t="shared" si="12"/>
        <v>0</v>
      </c>
      <c r="AD72" s="99">
        <f t="shared" si="12"/>
        <v>0</v>
      </c>
      <c r="AE72" s="99">
        <f t="shared" si="12"/>
        <v>0</v>
      </c>
      <c r="AF72" s="99">
        <f t="shared" si="12"/>
        <v>0</v>
      </c>
      <c r="AG72" s="98">
        <f t="shared" si="12"/>
        <v>55.4</v>
      </c>
      <c r="AH72" s="21">
        <f t="shared" si="5"/>
        <v>0</v>
      </c>
      <c r="AI72" s="20">
        <f t="shared" si="6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:AG73" si="13">B68+B56+B52+B38+B72</f>
        <v>1070.67</v>
      </c>
      <c r="C73" s="110">
        <f t="shared" si="13"/>
        <v>1031.1399999999999</v>
      </c>
      <c r="D73" s="110">
        <f t="shared" si="13"/>
        <v>1030.6399999999999</v>
      </c>
      <c r="E73" s="110">
        <f t="shared" si="13"/>
        <v>1042.24</v>
      </c>
      <c r="F73" s="110">
        <f t="shared" si="13"/>
        <v>1029.74</v>
      </c>
      <c r="G73" s="110">
        <f t="shared" si="13"/>
        <v>1052.44</v>
      </c>
      <c r="H73" s="110">
        <f t="shared" si="13"/>
        <v>1138.24</v>
      </c>
      <c r="I73" s="110">
        <f t="shared" si="13"/>
        <v>1208.04</v>
      </c>
      <c r="J73" s="110">
        <f t="shared" si="13"/>
        <v>1295.1399999999999</v>
      </c>
      <c r="K73" s="110">
        <f t="shared" si="13"/>
        <v>1368.94</v>
      </c>
      <c r="L73" s="110">
        <f t="shared" si="13"/>
        <v>1441.88</v>
      </c>
      <c r="M73" s="110">
        <f t="shared" si="13"/>
        <v>1426.3400000000001</v>
      </c>
      <c r="N73" s="110">
        <f t="shared" si="13"/>
        <v>1379.7400000000002</v>
      </c>
      <c r="O73" s="110">
        <f t="shared" si="13"/>
        <v>1350.84</v>
      </c>
      <c r="P73" s="110">
        <f t="shared" si="13"/>
        <v>1322.04</v>
      </c>
      <c r="Q73" s="110">
        <f t="shared" si="13"/>
        <v>1323.2400000000002</v>
      </c>
      <c r="R73" s="110">
        <f t="shared" si="13"/>
        <v>1284.6399999999999</v>
      </c>
      <c r="S73" s="110">
        <f t="shared" si="13"/>
        <v>1301.3400000000001</v>
      </c>
      <c r="T73" s="110">
        <f t="shared" si="13"/>
        <v>1317.8400000000001</v>
      </c>
      <c r="U73" s="110">
        <f t="shared" si="13"/>
        <v>1240.24</v>
      </c>
      <c r="V73" s="110">
        <f t="shared" si="13"/>
        <v>1203.54</v>
      </c>
      <c r="W73" s="110">
        <f t="shared" si="13"/>
        <v>1295.5400000000002</v>
      </c>
      <c r="X73" s="110">
        <f t="shared" si="13"/>
        <v>1318.7400000000002</v>
      </c>
      <c r="Y73" s="110">
        <f t="shared" si="13"/>
        <v>1392.0400000000002</v>
      </c>
      <c r="Z73" s="110">
        <f t="shared" si="13"/>
        <v>1576.3400000000001</v>
      </c>
      <c r="AA73" s="110">
        <f t="shared" si="13"/>
        <v>1519.0400000000002</v>
      </c>
      <c r="AB73" s="110">
        <f t="shared" si="13"/>
        <v>1467.0400000000002</v>
      </c>
      <c r="AC73" s="110">
        <f t="shared" si="13"/>
        <v>1436.3400000000001</v>
      </c>
      <c r="AD73" s="110">
        <f t="shared" si="13"/>
        <v>1378.54</v>
      </c>
      <c r="AE73" s="110">
        <f t="shared" si="13"/>
        <v>1273.0400000000002</v>
      </c>
      <c r="AF73" s="110">
        <f t="shared" si="13"/>
        <v>1199.7400000000002</v>
      </c>
      <c r="AG73" s="110">
        <f t="shared" si="13"/>
        <v>2144.14</v>
      </c>
      <c r="AH73" s="21">
        <f t="shared" si="5"/>
        <v>1576.3400000000001</v>
      </c>
      <c r="AI73" s="20">
        <f t="shared" si="6"/>
        <v>1029.74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>
        <v>5</v>
      </c>
      <c r="P74" s="111"/>
      <c r="Q74" s="111"/>
      <c r="R74" s="111"/>
      <c r="S74" s="111"/>
      <c r="T74" s="111"/>
      <c r="U74" s="111"/>
      <c r="V74" s="111">
        <v>70</v>
      </c>
      <c r="W74" s="111"/>
      <c r="X74" s="111"/>
      <c r="Y74" s="111"/>
      <c r="Z74" s="73"/>
      <c r="AA74" s="111"/>
      <c r="AB74" s="111"/>
      <c r="AC74" s="111"/>
      <c r="AD74" s="111"/>
      <c r="AE74" s="111"/>
      <c r="AF74" s="111"/>
      <c r="AG74" s="98"/>
      <c r="AH74" s="21">
        <f t="shared" si="5"/>
        <v>70</v>
      </c>
      <c r="AI74" s="20">
        <f t="shared" si="6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1070.67</v>
      </c>
      <c r="C75" s="110">
        <f>C73+C74</f>
        <v>1031.1399999999999</v>
      </c>
      <c r="D75" s="110">
        <f t="shared" ref="D75:Y75" si="14">D72+D68+D56+D52+D38+D74</f>
        <v>1030.6399999999999</v>
      </c>
      <c r="E75" s="110">
        <f t="shared" si="14"/>
        <v>1042.24</v>
      </c>
      <c r="F75" s="110">
        <f t="shared" si="14"/>
        <v>1029.74</v>
      </c>
      <c r="G75" s="110">
        <f t="shared" si="14"/>
        <v>1052.44</v>
      </c>
      <c r="H75" s="110">
        <f t="shared" si="14"/>
        <v>1138.24</v>
      </c>
      <c r="I75" s="110">
        <f t="shared" si="14"/>
        <v>1208.04</v>
      </c>
      <c r="J75" s="110">
        <f t="shared" si="14"/>
        <v>1295.1399999999999</v>
      </c>
      <c r="K75" s="110">
        <f t="shared" si="14"/>
        <v>1368.94</v>
      </c>
      <c r="L75" s="110">
        <f t="shared" si="14"/>
        <v>1441.88</v>
      </c>
      <c r="M75" s="110">
        <f t="shared" si="14"/>
        <v>1426.3400000000001</v>
      </c>
      <c r="N75" s="110">
        <f t="shared" si="14"/>
        <v>1379.7400000000002</v>
      </c>
      <c r="O75" s="110">
        <f t="shared" si="14"/>
        <v>1355.84</v>
      </c>
      <c r="P75" s="110">
        <f t="shared" si="14"/>
        <v>1322.04</v>
      </c>
      <c r="Q75" s="110">
        <f t="shared" si="14"/>
        <v>1323.2400000000002</v>
      </c>
      <c r="R75" s="110">
        <f t="shared" si="14"/>
        <v>1284.6399999999999</v>
      </c>
      <c r="S75" s="110">
        <f t="shared" si="14"/>
        <v>1301.3400000000001</v>
      </c>
      <c r="T75" s="110">
        <f t="shared" si="14"/>
        <v>1317.8400000000001</v>
      </c>
      <c r="U75" s="110">
        <f t="shared" si="14"/>
        <v>1240.24</v>
      </c>
      <c r="V75" s="110">
        <f t="shared" si="14"/>
        <v>1273.54</v>
      </c>
      <c r="W75" s="110">
        <f t="shared" si="14"/>
        <v>1295.5400000000002</v>
      </c>
      <c r="X75" s="110">
        <f t="shared" si="14"/>
        <v>1318.7400000000002</v>
      </c>
      <c r="Y75" s="110">
        <f t="shared" si="14"/>
        <v>1392.0400000000002</v>
      </c>
      <c r="Z75" s="110">
        <f>SUM(Z73+Z74)</f>
        <v>1576.3400000000001</v>
      </c>
      <c r="AA75" s="110">
        <f t="shared" ref="AA75:AG75" si="15">AA72+AA68+AA56+AA52+AA38+AA74</f>
        <v>1519.0400000000002</v>
      </c>
      <c r="AB75" s="110">
        <f t="shared" si="15"/>
        <v>1467.0400000000002</v>
      </c>
      <c r="AC75" s="110">
        <f t="shared" si="15"/>
        <v>1436.3400000000001</v>
      </c>
      <c r="AD75" s="110">
        <f t="shared" si="15"/>
        <v>1378.54</v>
      </c>
      <c r="AE75" s="110">
        <f t="shared" si="15"/>
        <v>1273.0400000000002</v>
      </c>
      <c r="AF75" s="110">
        <f t="shared" si="15"/>
        <v>1199.7400000000002</v>
      </c>
      <c r="AG75" s="98">
        <f t="shared" si="15"/>
        <v>2144.14</v>
      </c>
      <c r="AH75" s="21">
        <f t="shared" ref="AH75:AH91" si="16">MAX(B75:AF75)</f>
        <v>1576.3400000000001</v>
      </c>
      <c r="AI75" s="20">
        <f t="shared" ref="AI75:AI91" si="17">MIN(B75:AF75)</f>
        <v>1029.74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:Y76" si="18">IF(B60&lt;0,B60*-1,0)</f>
        <v>0</v>
      </c>
      <c r="C76" s="77">
        <f t="shared" si="18"/>
        <v>0</v>
      </c>
      <c r="D76" s="77">
        <f t="shared" si="18"/>
        <v>0</v>
      </c>
      <c r="E76" s="77">
        <f t="shared" si="18"/>
        <v>0</v>
      </c>
      <c r="F76" s="77">
        <f t="shared" si="18"/>
        <v>0</v>
      </c>
      <c r="G76" s="77">
        <f t="shared" si="18"/>
        <v>0</v>
      </c>
      <c r="H76" s="77">
        <f t="shared" si="18"/>
        <v>0</v>
      </c>
      <c r="I76" s="77">
        <f t="shared" si="18"/>
        <v>0</v>
      </c>
      <c r="J76" s="77">
        <f t="shared" si="18"/>
        <v>0</v>
      </c>
      <c r="K76" s="77">
        <f t="shared" si="18"/>
        <v>0</v>
      </c>
      <c r="L76" s="77">
        <f t="shared" si="18"/>
        <v>0</v>
      </c>
      <c r="M76" s="77">
        <f t="shared" si="18"/>
        <v>0</v>
      </c>
      <c r="N76" s="77">
        <f t="shared" si="18"/>
        <v>0</v>
      </c>
      <c r="O76" s="77">
        <f t="shared" si="18"/>
        <v>0</v>
      </c>
      <c r="P76" s="77">
        <f t="shared" si="18"/>
        <v>0</v>
      </c>
      <c r="Q76" s="77">
        <f t="shared" si="18"/>
        <v>0</v>
      </c>
      <c r="R76" s="77">
        <f t="shared" si="18"/>
        <v>0</v>
      </c>
      <c r="S76" s="77">
        <f t="shared" si="18"/>
        <v>0</v>
      </c>
      <c r="T76" s="77">
        <f t="shared" si="18"/>
        <v>0</v>
      </c>
      <c r="U76" s="77">
        <f t="shared" si="18"/>
        <v>0</v>
      </c>
      <c r="V76" s="77">
        <f t="shared" si="18"/>
        <v>0</v>
      </c>
      <c r="W76" s="77">
        <f t="shared" si="18"/>
        <v>0</v>
      </c>
      <c r="X76" s="77">
        <f t="shared" si="18"/>
        <v>0</v>
      </c>
      <c r="Y76" s="77">
        <f t="shared" si="18"/>
        <v>0</v>
      </c>
      <c r="Z76" s="73"/>
      <c r="AA76" s="77">
        <f t="shared" ref="AA76:AF76" si="19">IF(AA60&lt;0,AA60*-1,0)</f>
        <v>0</v>
      </c>
      <c r="AB76" s="77">
        <f t="shared" si="19"/>
        <v>0</v>
      </c>
      <c r="AC76" s="77">
        <f t="shared" si="19"/>
        <v>0</v>
      </c>
      <c r="AD76" s="77">
        <f t="shared" si="19"/>
        <v>0</v>
      </c>
      <c r="AE76" s="77">
        <f t="shared" si="19"/>
        <v>0</v>
      </c>
      <c r="AF76" s="77">
        <f t="shared" si="19"/>
        <v>0</v>
      </c>
      <c r="AG76" s="108"/>
      <c r="AH76" s="21">
        <f t="shared" si="16"/>
        <v>0</v>
      </c>
      <c r="AI76" s="20">
        <f t="shared" si="17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:Y77" si="20">IF(B58&lt;0,B58*-1,0)</f>
        <v>0</v>
      </c>
      <c r="C77" s="77">
        <f t="shared" si="20"/>
        <v>0</v>
      </c>
      <c r="D77" s="77">
        <f t="shared" si="20"/>
        <v>0</v>
      </c>
      <c r="E77" s="77">
        <f t="shared" si="20"/>
        <v>0</v>
      </c>
      <c r="F77" s="77">
        <f t="shared" si="20"/>
        <v>0</v>
      </c>
      <c r="G77" s="77">
        <f t="shared" si="20"/>
        <v>0</v>
      </c>
      <c r="H77" s="77">
        <f t="shared" si="20"/>
        <v>0</v>
      </c>
      <c r="I77" s="77">
        <f t="shared" si="20"/>
        <v>0</v>
      </c>
      <c r="J77" s="77">
        <f t="shared" si="20"/>
        <v>0</v>
      </c>
      <c r="K77" s="77">
        <f t="shared" si="20"/>
        <v>0</v>
      </c>
      <c r="L77" s="77">
        <f t="shared" si="20"/>
        <v>0</v>
      </c>
      <c r="M77" s="77">
        <f t="shared" si="20"/>
        <v>0</v>
      </c>
      <c r="N77" s="77">
        <f t="shared" si="20"/>
        <v>0</v>
      </c>
      <c r="O77" s="77">
        <f t="shared" si="20"/>
        <v>0</v>
      </c>
      <c r="P77" s="77">
        <f t="shared" si="20"/>
        <v>0</v>
      </c>
      <c r="Q77" s="77">
        <f t="shared" si="20"/>
        <v>0</v>
      </c>
      <c r="R77" s="77">
        <f t="shared" si="20"/>
        <v>0</v>
      </c>
      <c r="S77" s="77">
        <f t="shared" si="20"/>
        <v>0</v>
      </c>
      <c r="T77" s="77">
        <f t="shared" si="20"/>
        <v>0</v>
      </c>
      <c r="U77" s="77">
        <f t="shared" si="20"/>
        <v>0</v>
      </c>
      <c r="V77" s="77">
        <f t="shared" si="20"/>
        <v>0</v>
      </c>
      <c r="W77" s="77">
        <f t="shared" si="20"/>
        <v>0</v>
      </c>
      <c r="X77" s="77">
        <f t="shared" si="20"/>
        <v>0</v>
      </c>
      <c r="Y77" s="77">
        <f t="shared" si="20"/>
        <v>0</v>
      </c>
      <c r="Z77" s="73">
        <f>IF(Z60&lt;0,Z60*-1,0)</f>
        <v>0</v>
      </c>
      <c r="AA77" s="77">
        <f t="shared" ref="AA77:AF77" si="21">IF(AA58&lt;0,AA58*-1,0)</f>
        <v>0</v>
      </c>
      <c r="AB77" s="77">
        <f t="shared" si="21"/>
        <v>0</v>
      </c>
      <c r="AC77" s="77">
        <f t="shared" si="21"/>
        <v>0</v>
      </c>
      <c r="AD77" s="77">
        <f t="shared" si="21"/>
        <v>0</v>
      </c>
      <c r="AE77" s="77">
        <f t="shared" si="21"/>
        <v>0</v>
      </c>
      <c r="AF77" s="77">
        <f t="shared" si="21"/>
        <v>0</v>
      </c>
      <c r="AG77" s="106"/>
      <c r="AH77" s="21">
        <f t="shared" si="16"/>
        <v>0</v>
      </c>
      <c r="AI77" s="20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:Y78" si="22">IF(B61&lt;0,B61*-1,0)</f>
        <v>0</v>
      </c>
      <c r="C78" s="77">
        <f t="shared" si="22"/>
        <v>0</v>
      </c>
      <c r="D78" s="77">
        <f t="shared" si="22"/>
        <v>0</v>
      </c>
      <c r="E78" s="77">
        <f t="shared" si="22"/>
        <v>0</v>
      </c>
      <c r="F78" s="77">
        <f t="shared" si="22"/>
        <v>0</v>
      </c>
      <c r="G78" s="77">
        <f t="shared" si="22"/>
        <v>0</v>
      </c>
      <c r="H78" s="77">
        <f t="shared" si="22"/>
        <v>0</v>
      </c>
      <c r="I78" s="77">
        <f t="shared" si="22"/>
        <v>0</v>
      </c>
      <c r="J78" s="77">
        <f t="shared" si="22"/>
        <v>0</v>
      </c>
      <c r="K78" s="77">
        <f t="shared" si="22"/>
        <v>0</v>
      </c>
      <c r="L78" s="77">
        <f t="shared" si="22"/>
        <v>0</v>
      </c>
      <c r="M78" s="77">
        <f t="shared" si="22"/>
        <v>0</v>
      </c>
      <c r="N78" s="77">
        <f t="shared" si="22"/>
        <v>0</v>
      </c>
      <c r="O78" s="77">
        <f t="shared" si="22"/>
        <v>0</v>
      </c>
      <c r="P78" s="77">
        <f t="shared" si="22"/>
        <v>0</v>
      </c>
      <c r="Q78" s="77">
        <f t="shared" si="22"/>
        <v>0</v>
      </c>
      <c r="R78" s="77">
        <f t="shared" si="22"/>
        <v>0</v>
      </c>
      <c r="S78" s="77">
        <f t="shared" si="22"/>
        <v>0</v>
      </c>
      <c r="T78" s="77">
        <f t="shared" si="22"/>
        <v>0</v>
      </c>
      <c r="U78" s="77">
        <f t="shared" si="22"/>
        <v>0</v>
      </c>
      <c r="V78" s="77">
        <f t="shared" si="22"/>
        <v>0</v>
      </c>
      <c r="W78" s="77">
        <f t="shared" si="22"/>
        <v>0</v>
      </c>
      <c r="X78" s="77">
        <f t="shared" si="22"/>
        <v>0</v>
      </c>
      <c r="Y78" s="77">
        <f t="shared" si="22"/>
        <v>0</v>
      </c>
      <c r="Z78" s="73">
        <f>IF(Z58&lt;0,Z58*-1,0)</f>
        <v>0</v>
      </c>
      <c r="AA78" s="77">
        <f t="shared" ref="AA78:AF78" si="23">IF(AA61&lt;0,AA61*-1,0)</f>
        <v>0</v>
      </c>
      <c r="AB78" s="77">
        <f t="shared" si="23"/>
        <v>0</v>
      </c>
      <c r="AC78" s="77">
        <f t="shared" si="23"/>
        <v>0</v>
      </c>
      <c r="AD78" s="77">
        <f t="shared" si="23"/>
        <v>0</v>
      </c>
      <c r="AE78" s="77">
        <f t="shared" si="23"/>
        <v>0</v>
      </c>
      <c r="AF78" s="77">
        <f t="shared" si="23"/>
        <v>0</v>
      </c>
      <c r="AG78" s="105"/>
      <c r="AH78" s="21">
        <f t="shared" si="16"/>
        <v>0</v>
      </c>
      <c r="AI78" s="20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:Y79" si="24">IF(B59&lt;0,B59*-1,0)</f>
        <v>0</v>
      </c>
      <c r="C79" s="77">
        <f t="shared" si="24"/>
        <v>0</v>
      </c>
      <c r="D79" s="77">
        <f t="shared" si="24"/>
        <v>0</v>
      </c>
      <c r="E79" s="77">
        <f t="shared" si="24"/>
        <v>0</v>
      </c>
      <c r="F79" s="77">
        <f t="shared" si="24"/>
        <v>0</v>
      </c>
      <c r="G79" s="77">
        <f t="shared" si="24"/>
        <v>0</v>
      </c>
      <c r="H79" s="77">
        <f t="shared" si="24"/>
        <v>0</v>
      </c>
      <c r="I79" s="77">
        <f t="shared" si="24"/>
        <v>0</v>
      </c>
      <c r="J79" s="77">
        <f t="shared" si="24"/>
        <v>0</v>
      </c>
      <c r="K79" s="77">
        <f t="shared" si="24"/>
        <v>0</v>
      </c>
      <c r="L79" s="77">
        <f t="shared" si="24"/>
        <v>0</v>
      </c>
      <c r="M79" s="77">
        <f t="shared" si="24"/>
        <v>0</v>
      </c>
      <c r="N79" s="77">
        <f t="shared" si="24"/>
        <v>0</v>
      </c>
      <c r="O79" s="77">
        <f t="shared" si="24"/>
        <v>0</v>
      </c>
      <c r="P79" s="77">
        <f t="shared" si="24"/>
        <v>0</v>
      </c>
      <c r="Q79" s="77">
        <f t="shared" si="24"/>
        <v>0</v>
      </c>
      <c r="R79" s="77">
        <f t="shared" si="24"/>
        <v>0</v>
      </c>
      <c r="S79" s="77">
        <f t="shared" si="24"/>
        <v>0</v>
      </c>
      <c r="T79" s="77">
        <f t="shared" si="24"/>
        <v>0</v>
      </c>
      <c r="U79" s="77">
        <f t="shared" si="24"/>
        <v>0</v>
      </c>
      <c r="V79" s="77">
        <f t="shared" si="24"/>
        <v>0</v>
      </c>
      <c r="W79" s="77">
        <f t="shared" si="24"/>
        <v>0</v>
      </c>
      <c r="X79" s="77">
        <f t="shared" si="24"/>
        <v>0</v>
      </c>
      <c r="Y79" s="77">
        <f t="shared" si="24"/>
        <v>0</v>
      </c>
      <c r="Z79" s="73">
        <f>IF(Z61&lt;0,Z61*-1,0)</f>
        <v>0</v>
      </c>
      <c r="AA79" s="77">
        <f t="shared" ref="AA79:AF79" si="25">IF(AA59&lt;0,AA59*-1,0)</f>
        <v>0</v>
      </c>
      <c r="AB79" s="77">
        <f t="shared" si="25"/>
        <v>0</v>
      </c>
      <c r="AC79" s="77">
        <f t="shared" si="25"/>
        <v>0</v>
      </c>
      <c r="AD79" s="77">
        <f t="shared" si="25"/>
        <v>0</v>
      </c>
      <c r="AE79" s="77">
        <f t="shared" si="25"/>
        <v>0</v>
      </c>
      <c r="AF79" s="77">
        <f t="shared" si="25"/>
        <v>0</v>
      </c>
      <c r="AG79" s="105"/>
      <c r="AH79" s="21">
        <f t="shared" si="16"/>
        <v>0</v>
      </c>
      <c r="AI79" s="20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:Y80" si="26">IF(B57&lt;0,B57*-1,0)</f>
        <v>0</v>
      </c>
      <c r="C80" s="77">
        <f t="shared" si="26"/>
        <v>0</v>
      </c>
      <c r="D80" s="77">
        <f t="shared" si="26"/>
        <v>0</v>
      </c>
      <c r="E80" s="77">
        <f t="shared" si="26"/>
        <v>0</v>
      </c>
      <c r="F80" s="77">
        <f t="shared" si="26"/>
        <v>0</v>
      </c>
      <c r="G80" s="77">
        <f t="shared" si="26"/>
        <v>0</v>
      </c>
      <c r="H80" s="77">
        <f t="shared" si="26"/>
        <v>0</v>
      </c>
      <c r="I80" s="77">
        <f t="shared" si="26"/>
        <v>0</v>
      </c>
      <c r="J80" s="77">
        <f t="shared" si="26"/>
        <v>0</v>
      </c>
      <c r="K80" s="77">
        <f t="shared" si="26"/>
        <v>0</v>
      </c>
      <c r="L80" s="77">
        <f t="shared" si="26"/>
        <v>0</v>
      </c>
      <c r="M80" s="77">
        <f t="shared" si="26"/>
        <v>0</v>
      </c>
      <c r="N80" s="77">
        <f t="shared" si="26"/>
        <v>0</v>
      </c>
      <c r="O80" s="77">
        <f t="shared" si="26"/>
        <v>0</v>
      </c>
      <c r="P80" s="77">
        <f t="shared" si="26"/>
        <v>0</v>
      </c>
      <c r="Q80" s="77">
        <f t="shared" si="26"/>
        <v>0</v>
      </c>
      <c r="R80" s="77">
        <f t="shared" si="26"/>
        <v>0</v>
      </c>
      <c r="S80" s="77">
        <f t="shared" si="26"/>
        <v>0</v>
      </c>
      <c r="T80" s="77">
        <f t="shared" si="26"/>
        <v>0</v>
      </c>
      <c r="U80" s="77">
        <f t="shared" si="26"/>
        <v>0</v>
      </c>
      <c r="V80" s="77">
        <f t="shared" si="26"/>
        <v>0</v>
      </c>
      <c r="W80" s="77">
        <f t="shared" si="26"/>
        <v>0</v>
      </c>
      <c r="X80" s="77">
        <f t="shared" si="26"/>
        <v>0</v>
      </c>
      <c r="Y80" s="77">
        <f t="shared" si="26"/>
        <v>0</v>
      </c>
      <c r="Z80" s="73">
        <f>IF(Z59&lt;0,Z59*-1,0)</f>
        <v>0</v>
      </c>
      <c r="AA80" s="77">
        <f t="shared" ref="AA80:AF80" si="27">IF(AA57&lt;0,AA57*-1,0)</f>
        <v>0</v>
      </c>
      <c r="AB80" s="77">
        <f t="shared" si="27"/>
        <v>0</v>
      </c>
      <c r="AC80" s="77">
        <f t="shared" si="27"/>
        <v>0</v>
      </c>
      <c r="AD80" s="77">
        <f t="shared" si="27"/>
        <v>0</v>
      </c>
      <c r="AE80" s="77">
        <f t="shared" si="27"/>
        <v>0</v>
      </c>
      <c r="AF80" s="77">
        <f t="shared" si="27"/>
        <v>0</v>
      </c>
      <c r="AG80" s="105"/>
      <c r="AH80" s="21">
        <f t="shared" si="16"/>
        <v>0</v>
      </c>
      <c r="AI80" s="20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73">
        <v>0</v>
      </c>
      <c r="AA81" s="103"/>
      <c r="AB81" s="70"/>
      <c r="AC81" s="70"/>
      <c r="AD81" s="70"/>
      <c r="AE81" s="70"/>
      <c r="AF81" s="70"/>
      <c r="AG81" s="102"/>
      <c r="AH81" s="21">
        <f t="shared" si="16"/>
        <v>0</v>
      </c>
      <c r="AI81" s="20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:AG82" si="28">SUM(B76:B81)</f>
        <v>0</v>
      </c>
      <c r="C82" s="99">
        <f t="shared" si="28"/>
        <v>0</v>
      </c>
      <c r="D82" s="99">
        <f t="shared" si="28"/>
        <v>0</v>
      </c>
      <c r="E82" s="99">
        <f t="shared" si="28"/>
        <v>0</v>
      </c>
      <c r="F82" s="99">
        <f t="shared" si="28"/>
        <v>0</v>
      </c>
      <c r="G82" s="99">
        <f t="shared" si="28"/>
        <v>0</v>
      </c>
      <c r="H82" s="99">
        <f t="shared" si="28"/>
        <v>0</v>
      </c>
      <c r="I82" s="99">
        <f t="shared" si="28"/>
        <v>0</v>
      </c>
      <c r="J82" s="99">
        <f t="shared" si="28"/>
        <v>0</v>
      </c>
      <c r="K82" s="99">
        <f t="shared" si="28"/>
        <v>0</v>
      </c>
      <c r="L82" s="99">
        <f t="shared" si="28"/>
        <v>0</v>
      </c>
      <c r="M82" s="99">
        <f t="shared" si="28"/>
        <v>0</v>
      </c>
      <c r="N82" s="99">
        <f t="shared" si="28"/>
        <v>0</v>
      </c>
      <c r="O82" s="99">
        <f t="shared" si="28"/>
        <v>0</v>
      </c>
      <c r="P82" s="99">
        <f t="shared" si="28"/>
        <v>0</v>
      </c>
      <c r="Q82" s="99">
        <f t="shared" si="28"/>
        <v>0</v>
      </c>
      <c r="R82" s="99">
        <f t="shared" si="28"/>
        <v>0</v>
      </c>
      <c r="S82" s="99">
        <f t="shared" si="28"/>
        <v>0</v>
      </c>
      <c r="T82" s="99">
        <f t="shared" si="28"/>
        <v>0</v>
      </c>
      <c r="U82" s="99">
        <f t="shared" si="28"/>
        <v>0</v>
      </c>
      <c r="V82" s="99">
        <f t="shared" si="28"/>
        <v>0</v>
      </c>
      <c r="W82" s="99">
        <f t="shared" si="28"/>
        <v>0</v>
      </c>
      <c r="X82" s="99">
        <f t="shared" si="28"/>
        <v>0</v>
      </c>
      <c r="Y82" s="99">
        <f t="shared" si="28"/>
        <v>0</v>
      </c>
      <c r="Z82" s="99">
        <f t="shared" si="28"/>
        <v>0</v>
      </c>
      <c r="AA82" s="99">
        <f t="shared" si="28"/>
        <v>0</v>
      </c>
      <c r="AB82" s="99">
        <f t="shared" si="28"/>
        <v>0</v>
      </c>
      <c r="AC82" s="99">
        <f t="shared" si="28"/>
        <v>0</v>
      </c>
      <c r="AD82" s="99">
        <f t="shared" si="28"/>
        <v>0</v>
      </c>
      <c r="AE82" s="99">
        <f t="shared" si="28"/>
        <v>0</v>
      </c>
      <c r="AF82" s="99">
        <f t="shared" si="28"/>
        <v>0</v>
      </c>
      <c r="AG82" s="98">
        <f t="shared" si="28"/>
        <v>0</v>
      </c>
      <c r="AH82" s="21">
        <f t="shared" si="16"/>
        <v>0</v>
      </c>
      <c r="AI82" s="20">
        <f t="shared" si="17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:AG83" si="29">SUM(B70:B82)</f>
        <v>2141.34</v>
      </c>
      <c r="C83" s="99">
        <f t="shared" si="29"/>
        <v>2062.2799999999997</v>
      </c>
      <c r="D83" s="99">
        <f t="shared" si="29"/>
        <v>2061.2799999999997</v>
      </c>
      <c r="E83" s="99">
        <f t="shared" si="29"/>
        <v>2084.48</v>
      </c>
      <c r="F83" s="99">
        <f t="shared" si="29"/>
        <v>2059.48</v>
      </c>
      <c r="G83" s="99">
        <f t="shared" si="29"/>
        <v>2104.88</v>
      </c>
      <c r="H83" s="99">
        <f t="shared" si="29"/>
        <v>2276.48</v>
      </c>
      <c r="I83" s="99">
        <f t="shared" si="29"/>
        <v>2416.08</v>
      </c>
      <c r="J83" s="99">
        <f t="shared" si="29"/>
        <v>2590.2799999999997</v>
      </c>
      <c r="K83" s="99">
        <f t="shared" si="29"/>
        <v>2737.88</v>
      </c>
      <c r="L83" s="99">
        <f t="shared" si="29"/>
        <v>2883.76</v>
      </c>
      <c r="M83" s="99">
        <f t="shared" si="29"/>
        <v>2852.6800000000003</v>
      </c>
      <c r="N83" s="99">
        <f t="shared" si="29"/>
        <v>2759.4800000000005</v>
      </c>
      <c r="O83" s="99">
        <f t="shared" si="29"/>
        <v>2711.68</v>
      </c>
      <c r="P83" s="99">
        <f t="shared" si="29"/>
        <v>2644.08</v>
      </c>
      <c r="Q83" s="99">
        <f t="shared" si="29"/>
        <v>2646.4800000000005</v>
      </c>
      <c r="R83" s="99">
        <f t="shared" si="29"/>
        <v>2569.2799999999997</v>
      </c>
      <c r="S83" s="99">
        <f t="shared" si="29"/>
        <v>2602.6800000000003</v>
      </c>
      <c r="T83" s="99">
        <f t="shared" si="29"/>
        <v>2635.6800000000003</v>
      </c>
      <c r="U83" s="99">
        <f t="shared" si="29"/>
        <v>2480.48</v>
      </c>
      <c r="V83" s="99">
        <f t="shared" si="29"/>
        <v>2547.08</v>
      </c>
      <c r="W83" s="99">
        <f t="shared" si="29"/>
        <v>2591.0800000000004</v>
      </c>
      <c r="X83" s="99">
        <f t="shared" si="29"/>
        <v>2637.4800000000005</v>
      </c>
      <c r="Y83" s="99">
        <f t="shared" si="29"/>
        <v>2784.0800000000004</v>
      </c>
      <c r="Z83" s="99">
        <f t="shared" si="29"/>
        <v>3152.6800000000003</v>
      </c>
      <c r="AA83" s="99">
        <f t="shared" si="29"/>
        <v>3038.0800000000004</v>
      </c>
      <c r="AB83" s="99">
        <f t="shared" si="29"/>
        <v>2934.0800000000004</v>
      </c>
      <c r="AC83" s="99">
        <f t="shared" si="29"/>
        <v>2872.6800000000003</v>
      </c>
      <c r="AD83" s="99">
        <f t="shared" si="29"/>
        <v>2757.08</v>
      </c>
      <c r="AE83" s="99">
        <f t="shared" si="29"/>
        <v>2546.0800000000004</v>
      </c>
      <c r="AF83" s="99">
        <f t="shared" si="29"/>
        <v>2399.4800000000005</v>
      </c>
      <c r="AG83" s="98">
        <f t="shared" si="29"/>
        <v>4360.08</v>
      </c>
      <c r="AH83" s="21">
        <f t="shared" si="16"/>
        <v>3152.6800000000003</v>
      </c>
      <c r="AI83" s="20">
        <f t="shared" si="17"/>
        <v>2059.48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50.003999999999998</v>
      </c>
      <c r="C84" s="97">
        <v>49.86</v>
      </c>
      <c r="D84" s="97">
        <v>49.94</v>
      </c>
      <c r="E84" s="96">
        <v>49.924999999999997</v>
      </c>
      <c r="F84" s="96">
        <v>50.006999999999998</v>
      </c>
      <c r="G84" s="96">
        <v>50.037999999999997</v>
      </c>
      <c r="H84" s="96">
        <v>49.97</v>
      </c>
      <c r="I84" s="96">
        <v>49.965000000000003</v>
      </c>
      <c r="J84" s="96">
        <v>49.793999999999997</v>
      </c>
      <c r="K84" s="96">
        <v>49.862000000000002</v>
      </c>
      <c r="L84" s="96">
        <v>49.887999999999998</v>
      </c>
      <c r="M84" s="96">
        <v>50.048999999999999</v>
      </c>
      <c r="N84" s="96">
        <v>49.984000000000002</v>
      </c>
      <c r="O84" s="96">
        <v>49.942999999999998</v>
      </c>
      <c r="P84" s="96">
        <v>50.030999999999999</v>
      </c>
      <c r="Q84" s="96">
        <v>50.02</v>
      </c>
      <c r="R84" s="96">
        <v>50.02</v>
      </c>
      <c r="S84" s="96">
        <v>49.991</v>
      </c>
      <c r="T84" s="96">
        <v>49.94</v>
      </c>
      <c r="U84" s="96">
        <v>49.912999999999997</v>
      </c>
      <c r="V84" s="96">
        <v>49.935000000000002</v>
      </c>
      <c r="W84" s="96">
        <v>49.96</v>
      </c>
      <c r="X84" s="96">
        <v>49.932000000000002</v>
      </c>
      <c r="Y84" s="96">
        <v>49.854999999999997</v>
      </c>
      <c r="Z84" s="73">
        <v>50.026000000000003</v>
      </c>
      <c r="AA84" s="96">
        <v>49.941000000000003</v>
      </c>
      <c r="AB84" s="96">
        <v>49.97</v>
      </c>
      <c r="AC84" s="96">
        <v>49.98</v>
      </c>
      <c r="AD84" s="96">
        <v>50.05</v>
      </c>
      <c r="AE84" s="96">
        <v>49.98</v>
      </c>
      <c r="AF84" s="96">
        <v>49.9</v>
      </c>
      <c r="AG84" s="95"/>
      <c r="AH84" s="21">
        <f t="shared" si="16"/>
        <v>50.05</v>
      </c>
      <c r="AI84" s="20">
        <f t="shared" si="17"/>
        <v>49.793999999999997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126.4</v>
      </c>
      <c r="C85" s="90">
        <v>130</v>
      </c>
      <c r="D85" s="90">
        <v>122.2</v>
      </c>
      <c r="E85" s="73">
        <v>122.9</v>
      </c>
      <c r="F85" s="73">
        <v>123.9</v>
      </c>
      <c r="G85" s="73">
        <v>124.4</v>
      </c>
      <c r="H85" s="73">
        <v>128.19999999999999</v>
      </c>
      <c r="I85" s="73">
        <v>125.3</v>
      </c>
      <c r="J85" s="73">
        <v>124.1</v>
      </c>
      <c r="K85" s="73">
        <v>124.31</v>
      </c>
      <c r="L85" s="73">
        <v>123.8</v>
      </c>
      <c r="M85" s="73">
        <v>125.6</v>
      </c>
      <c r="N85" s="73">
        <v>125.6</v>
      </c>
      <c r="O85" s="73">
        <v>124.2</v>
      </c>
      <c r="P85" s="73">
        <v>124.3</v>
      </c>
      <c r="Q85" s="73">
        <v>124.2</v>
      </c>
      <c r="R85" s="73">
        <v>124.2</v>
      </c>
      <c r="S85" s="73">
        <v>124</v>
      </c>
      <c r="T85" s="73">
        <v>124</v>
      </c>
      <c r="U85" s="94">
        <v>126.8</v>
      </c>
      <c r="V85" s="94">
        <v>127.8</v>
      </c>
      <c r="W85" s="94">
        <v>127</v>
      </c>
      <c r="X85" s="94">
        <v>126.5</v>
      </c>
      <c r="Y85" s="94">
        <v>126.1</v>
      </c>
      <c r="Z85" s="73">
        <v>125.5</v>
      </c>
      <c r="AA85" s="94">
        <v>126.1</v>
      </c>
      <c r="AB85" s="94">
        <v>128</v>
      </c>
      <c r="AC85" s="94">
        <v>127</v>
      </c>
      <c r="AD85" s="73">
        <v>127</v>
      </c>
      <c r="AE85" s="73">
        <v>129</v>
      </c>
      <c r="AF85" s="73">
        <v>129</v>
      </c>
      <c r="AG85" s="89"/>
      <c r="AH85" s="21">
        <f t="shared" si="16"/>
        <v>130</v>
      </c>
      <c r="AI85" s="20">
        <f t="shared" si="17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131</v>
      </c>
      <c r="C86" s="90">
        <v>133.19999999999999</v>
      </c>
      <c r="D86" s="90">
        <v>127.5</v>
      </c>
      <c r="E86" s="73">
        <v>127.8</v>
      </c>
      <c r="F86" s="73">
        <v>128.6</v>
      </c>
      <c r="G86" s="73">
        <v>129.1</v>
      </c>
      <c r="H86" s="73">
        <v>131.69999999999999</v>
      </c>
      <c r="I86" s="73">
        <v>128.6</v>
      </c>
      <c r="J86" s="73">
        <v>127.3</v>
      </c>
      <c r="K86" s="73">
        <v>127.2</v>
      </c>
      <c r="L86" s="73">
        <v>126.9</v>
      </c>
      <c r="M86" s="73">
        <v>128.5</v>
      </c>
      <c r="N86" s="73">
        <v>128.5</v>
      </c>
      <c r="O86" s="73">
        <v>127.4</v>
      </c>
      <c r="P86" s="73">
        <v>127.3</v>
      </c>
      <c r="Q86" s="73">
        <v>127.7</v>
      </c>
      <c r="R86" s="73">
        <v>127.5</v>
      </c>
      <c r="S86" s="73">
        <v>127.1</v>
      </c>
      <c r="T86" s="73">
        <v>127.1</v>
      </c>
      <c r="U86" s="94">
        <v>129.5</v>
      </c>
      <c r="V86" s="94">
        <v>130.1</v>
      </c>
      <c r="W86" s="94">
        <v>130.19999999999999</v>
      </c>
      <c r="X86" s="94">
        <v>129.19999999999999</v>
      </c>
      <c r="Y86" s="94">
        <v>128.80000000000001</v>
      </c>
      <c r="Z86" s="73">
        <v>128.5</v>
      </c>
      <c r="AA86" s="94">
        <v>129.1</v>
      </c>
      <c r="AB86" s="94">
        <v>132</v>
      </c>
      <c r="AC86" s="94">
        <v>130</v>
      </c>
      <c r="AD86" s="73">
        <v>131</v>
      </c>
      <c r="AE86" s="73">
        <v>132</v>
      </c>
      <c r="AF86" s="73">
        <v>132</v>
      </c>
      <c r="AG86" s="89"/>
      <c r="AH86" s="21">
        <f t="shared" si="16"/>
        <v>133.19999999999999</v>
      </c>
      <c r="AI86" s="20">
        <f t="shared" si="17"/>
        <v>126.9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128.30000000000001</v>
      </c>
      <c r="C87" s="90">
        <v>130.6</v>
      </c>
      <c r="D87" s="90">
        <v>127</v>
      </c>
      <c r="E87" s="73">
        <v>130.9</v>
      </c>
      <c r="F87" s="73">
        <v>128.9</v>
      </c>
      <c r="G87" s="73">
        <v>129.30000000000001</v>
      </c>
      <c r="H87" s="73">
        <v>130.5</v>
      </c>
      <c r="I87" s="73">
        <v>127.6</v>
      </c>
      <c r="J87" s="73">
        <v>127.8</v>
      </c>
      <c r="K87" s="73">
        <v>128.80000000000001</v>
      </c>
      <c r="L87" s="73">
        <v>125</v>
      </c>
      <c r="M87" s="73">
        <v>124.7</v>
      </c>
      <c r="N87" s="73">
        <v>124.7</v>
      </c>
      <c r="O87" s="73">
        <v>127.7</v>
      </c>
      <c r="P87" s="73">
        <v>127.6</v>
      </c>
      <c r="Q87" s="73">
        <v>127.7</v>
      </c>
      <c r="R87" s="73">
        <v>126.3</v>
      </c>
      <c r="S87" s="73">
        <v>129.1</v>
      </c>
      <c r="T87" s="73">
        <v>128.69999999999999</v>
      </c>
      <c r="U87" s="73">
        <v>128.4</v>
      </c>
      <c r="V87" s="73">
        <v>129</v>
      </c>
      <c r="W87" s="73">
        <v>129</v>
      </c>
      <c r="X87" s="73">
        <v>128.19999999999999</v>
      </c>
      <c r="Y87" s="73">
        <v>127.3</v>
      </c>
      <c r="Z87" s="73">
        <v>127.7</v>
      </c>
      <c r="AA87" s="73">
        <v>126.9</v>
      </c>
      <c r="AB87" s="73">
        <v>128</v>
      </c>
      <c r="AC87" s="73">
        <v>130</v>
      </c>
      <c r="AD87" s="73">
        <v>130</v>
      </c>
      <c r="AE87" s="73">
        <v>132</v>
      </c>
      <c r="AF87" s="73">
        <v>132</v>
      </c>
      <c r="AG87" s="89"/>
      <c r="AH87" s="21">
        <f t="shared" si="16"/>
        <v>132</v>
      </c>
      <c r="AI87" s="20">
        <f t="shared" si="17"/>
        <v>124.7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130.6</v>
      </c>
      <c r="C88" s="90">
        <v>132.9</v>
      </c>
      <c r="D88" s="90">
        <v>129.69999999999999</v>
      </c>
      <c r="E88" s="73">
        <v>133</v>
      </c>
      <c r="F88" s="73">
        <v>131.5</v>
      </c>
      <c r="G88" s="73">
        <v>131.30000000000001</v>
      </c>
      <c r="H88" s="73">
        <v>132.1</v>
      </c>
      <c r="I88" s="73">
        <v>130.19999999999999</v>
      </c>
      <c r="J88" s="73">
        <v>130.5</v>
      </c>
      <c r="K88" s="73">
        <v>131.30000000000001</v>
      </c>
      <c r="L88" s="73">
        <v>126.8</v>
      </c>
      <c r="M88" s="73">
        <v>125.8</v>
      </c>
      <c r="N88" s="73">
        <v>125.8</v>
      </c>
      <c r="O88" s="73">
        <v>125.7</v>
      </c>
      <c r="P88" s="73">
        <v>126.8</v>
      </c>
      <c r="Q88" s="73">
        <v>129.4</v>
      </c>
      <c r="R88" s="73">
        <v>128.5</v>
      </c>
      <c r="S88" s="73">
        <v>130.5</v>
      </c>
      <c r="T88" s="73">
        <v>128.19999999999999</v>
      </c>
      <c r="U88" s="73">
        <v>128.69999999999999</v>
      </c>
      <c r="V88" s="73">
        <v>128.80000000000001</v>
      </c>
      <c r="W88" s="73">
        <v>129</v>
      </c>
      <c r="X88" s="73">
        <v>128.30000000000001</v>
      </c>
      <c r="Y88" s="73">
        <v>123</v>
      </c>
      <c r="Z88" s="73">
        <v>123.3</v>
      </c>
      <c r="AA88" s="73">
        <v>126.5</v>
      </c>
      <c r="AB88" s="73">
        <v>130</v>
      </c>
      <c r="AC88" s="73">
        <v>132</v>
      </c>
      <c r="AD88" s="73">
        <v>133</v>
      </c>
      <c r="AE88" s="73">
        <v>133</v>
      </c>
      <c r="AF88" s="73">
        <v>133</v>
      </c>
      <c r="AG88" s="89"/>
      <c r="AH88" s="21">
        <f t="shared" si="16"/>
        <v>133</v>
      </c>
      <c r="AI88" s="20">
        <f t="shared" si="17"/>
        <v>123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133.30000000000001</v>
      </c>
      <c r="C89" s="92">
        <v>131</v>
      </c>
      <c r="D89" s="92">
        <v>126.9</v>
      </c>
      <c r="E89" s="66">
        <v>126.5</v>
      </c>
      <c r="F89" s="66">
        <v>129.4</v>
      </c>
      <c r="G89" s="66">
        <v>0</v>
      </c>
      <c r="H89" s="66">
        <v>136.30000000000001</v>
      </c>
      <c r="I89" s="66">
        <v>131.69999999999999</v>
      </c>
      <c r="J89" s="66">
        <v>126.8</v>
      </c>
      <c r="K89" s="66">
        <v>130.69999999999999</v>
      </c>
      <c r="L89" s="66">
        <v>133.5</v>
      </c>
      <c r="M89" s="66">
        <v>133</v>
      </c>
      <c r="N89" s="66">
        <v>133</v>
      </c>
      <c r="O89" s="66">
        <v>133.19999999999999</v>
      </c>
      <c r="P89" s="66">
        <v>131.1</v>
      </c>
      <c r="Q89" s="66">
        <v>133.5</v>
      </c>
      <c r="R89" s="66">
        <v>131.9</v>
      </c>
      <c r="S89" s="66">
        <v>134.6</v>
      </c>
      <c r="T89" s="66">
        <v>134.1</v>
      </c>
      <c r="U89" s="66">
        <v>137.4</v>
      </c>
      <c r="V89" s="66">
        <v>135.4</v>
      </c>
      <c r="W89" s="66">
        <v>134.30000000000001</v>
      </c>
      <c r="X89" s="66">
        <v>135.19999999999999</v>
      </c>
      <c r="Y89" s="66">
        <v>135.80000000000001</v>
      </c>
      <c r="Z89" s="73">
        <v>133.19999999999999</v>
      </c>
      <c r="AA89" s="73">
        <v>135.6</v>
      </c>
      <c r="AB89" s="73">
        <v>133.6</v>
      </c>
      <c r="AC89" s="73">
        <v>133</v>
      </c>
      <c r="AD89" s="66">
        <v>133</v>
      </c>
      <c r="AE89" s="66">
        <v>131</v>
      </c>
      <c r="AF89" s="66">
        <v>131</v>
      </c>
      <c r="AG89" s="91"/>
      <c r="AH89" s="21">
        <f t="shared" si="16"/>
        <v>137.4</v>
      </c>
      <c r="AI89" s="20">
        <f t="shared" si="17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132.5</v>
      </c>
      <c r="C90" s="90">
        <v>133.6</v>
      </c>
      <c r="D90" s="90">
        <v>131.80000000000001</v>
      </c>
      <c r="E90" s="73">
        <v>134.69999999999999</v>
      </c>
      <c r="F90" s="73">
        <v>134.9</v>
      </c>
      <c r="G90" s="73">
        <v>132.80000000000001</v>
      </c>
      <c r="H90" s="73">
        <v>131.9</v>
      </c>
      <c r="I90" s="73">
        <v>128.5</v>
      </c>
      <c r="J90" s="73">
        <v>125.8</v>
      </c>
      <c r="K90" s="73">
        <v>128.5</v>
      </c>
      <c r="L90" s="73">
        <v>134.5</v>
      </c>
      <c r="M90" s="73">
        <v>130.4</v>
      </c>
      <c r="N90" s="73">
        <v>130.4</v>
      </c>
      <c r="O90" s="73">
        <v>129.80000000000001</v>
      </c>
      <c r="P90" s="73">
        <v>122.7</v>
      </c>
      <c r="Q90" s="73">
        <v>134.9</v>
      </c>
      <c r="R90" s="73">
        <v>136.1</v>
      </c>
      <c r="S90" s="73">
        <v>126.4</v>
      </c>
      <c r="T90" s="73">
        <v>131.4</v>
      </c>
      <c r="U90" s="73">
        <v>126</v>
      </c>
      <c r="V90" s="73">
        <v>136.1</v>
      </c>
      <c r="W90" s="73">
        <v>136</v>
      </c>
      <c r="X90" s="73">
        <v>134.4</v>
      </c>
      <c r="Y90" s="73">
        <v>130.80000000000001</v>
      </c>
      <c r="Z90" s="73">
        <v>135.80000000000001</v>
      </c>
      <c r="AA90" s="73">
        <v>132.6</v>
      </c>
      <c r="AB90" s="73">
        <v>128</v>
      </c>
      <c r="AC90" s="73">
        <v>132</v>
      </c>
      <c r="AD90" s="73">
        <v>131</v>
      </c>
      <c r="AE90" s="73">
        <v>132</v>
      </c>
      <c r="AF90" s="73">
        <v>132</v>
      </c>
      <c r="AG90" s="89"/>
      <c r="AH90" s="21">
        <f t="shared" si="16"/>
        <v>136.1</v>
      </c>
      <c r="AI90" s="20">
        <f t="shared" si="17"/>
        <v>122.7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66.3</v>
      </c>
      <c r="C91" s="88">
        <v>67.400000000000006</v>
      </c>
      <c r="D91" s="88">
        <v>64.2</v>
      </c>
      <c r="E91" s="87">
        <v>64.5</v>
      </c>
      <c r="F91" s="87">
        <v>5.2</v>
      </c>
      <c r="G91" s="87">
        <v>65.599999999999994</v>
      </c>
      <c r="H91" s="87">
        <v>66.7</v>
      </c>
      <c r="I91" s="87">
        <v>65</v>
      </c>
      <c r="J91" s="87">
        <v>64.400000000000006</v>
      </c>
      <c r="K91" s="87">
        <v>64.599999999999994</v>
      </c>
      <c r="L91" s="87">
        <v>64.400000000000006</v>
      </c>
      <c r="M91" s="87">
        <v>65.099999999999994</v>
      </c>
      <c r="N91" s="87">
        <v>65.099999999999994</v>
      </c>
      <c r="O91" s="87">
        <v>64.599999999999994</v>
      </c>
      <c r="P91" s="87">
        <v>64.7</v>
      </c>
      <c r="Q91" s="87">
        <v>64.7</v>
      </c>
      <c r="R91" s="87">
        <v>64.5</v>
      </c>
      <c r="S91" s="87">
        <v>64.400000000000006</v>
      </c>
      <c r="T91" s="87">
        <v>64.3</v>
      </c>
      <c r="U91" s="87">
        <v>65.2</v>
      </c>
      <c r="V91" s="87">
        <v>65.599999999999994</v>
      </c>
      <c r="W91" s="87">
        <v>65.8</v>
      </c>
      <c r="X91" s="87">
        <v>65.400000000000006</v>
      </c>
      <c r="Y91" s="87">
        <v>65.2</v>
      </c>
      <c r="Z91" s="73">
        <v>65.099999999999994</v>
      </c>
      <c r="AA91" s="73">
        <v>65.5</v>
      </c>
      <c r="AB91" s="73">
        <v>66.7</v>
      </c>
      <c r="AC91" s="73">
        <v>66.3</v>
      </c>
      <c r="AD91" s="87">
        <v>66.2</v>
      </c>
      <c r="AE91" s="87">
        <v>66.599999999999994</v>
      </c>
      <c r="AF91" s="87">
        <v>66.599999999999994</v>
      </c>
      <c r="AG91" s="86"/>
      <c r="AH91" s="21">
        <f t="shared" si="16"/>
        <v>67.400000000000006</v>
      </c>
      <c r="AI91" s="20">
        <f t="shared" si="17"/>
        <v>5.2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6.5" thickBot="1" x14ac:dyDescent="0.3">
      <c r="A93" s="83" t="s">
        <v>123</v>
      </c>
      <c r="B93" s="80">
        <f t="shared" ref="B93:Y93" si="30">SUM(B15,B18,B21:B22,B42,B44:B45,B47,B49,B94:B97,B103,B109,B115,B124,B126,B138,B145,B148:B149,B156,B158,B160,B164:B166,B168:B170,B175,B181:B182,B184:B186,B194,B199)</f>
        <v>179.14</v>
      </c>
      <c r="C93" s="82">
        <f t="shared" si="30"/>
        <v>156.24</v>
      </c>
      <c r="D93" s="82">
        <f t="shared" si="30"/>
        <v>155.14000000000001</v>
      </c>
      <c r="E93" s="82">
        <f t="shared" si="30"/>
        <v>153.84</v>
      </c>
      <c r="F93" s="82">
        <f t="shared" si="30"/>
        <v>161.74</v>
      </c>
      <c r="G93" s="80">
        <f t="shared" si="30"/>
        <v>185.73999999999998</v>
      </c>
      <c r="H93" s="80">
        <f t="shared" si="30"/>
        <v>212.23999999999998</v>
      </c>
      <c r="I93" s="80">
        <f t="shared" si="30"/>
        <v>247.94</v>
      </c>
      <c r="J93" s="80">
        <f t="shared" si="30"/>
        <v>311.84000000000003</v>
      </c>
      <c r="K93" s="80">
        <f t="shared" si="30"/>
        <v>323.34000000000003</v>
      </c>
      <c r="L93" s="80">
        <f t="shared" si="30"/>
        <v>340.04</v>
      </c>
      <c r="M93" s="80">
        <f t="shared" si="30"/>
        <v>333.64000000000004</v>
      </c>
      <c r="N93" s="80">
        <f t="shared" si="30"/>
        <v>313.84000000000003</v>
      </c>
      <c r="O93" s="80">
        <f t="shared" si="30"/>
        <v>306.54000000000002</v>
      </c>
      <c r="P93" s="80">
        <f t="shared" si="30"/>
        <v>296.94</v>
      </c>
      <c r="Q93" s="80">
        <f t="shared" si="30"/>
        <v>299.24</v>
      </c>
      <c r="R93" s="80">
        <f t="shared" si="30"/>
        <v>291.44000000000005</v>
      </c>
      <c r="S93" s="80">
        <f t="shared" si="30"/>
        <v>265.04000000000002</v>
      </c>
      <c r="T93" s="80">
        <f t="shared" si="30"/>
        <v>297.84000000000003</v>
      </c>
      <c r="U93" s="80">
        <f t="shared" si="30"/>
        <v>288.14000000000004</v>
      </c>
      <c r="V93" s="80">
        <f t="shared" si="30"/>
        <v>278.24</v>
      </c>
      <c r="W93" s="80">
        <f t="shared" si="30"/>
        <v>274.84000000000003</v>
      </c>
      <c r="X93" s="80">
        <f t="shared" si="30"/>
        <v>301.34000000000003</v>
      </c>
      <c r="Y93" s="80">
        <f t="shared" si="30"/>
        <v>340.34000000000003</v>
      </c>
      <c r="Z93" s="81">
        <f>SUM(Z137,Z94:Z97,Z12,Z16,Z22,Z28,Z29,Z42,Z44:Z45,Z47,Z49)</f>
        <v>365.34000000000003</v>
      </c>
      <c r="AA93" s="80">
        <f t="shared" ref="AA93:AF93" si="31">SUM(AA15,AA18,AA21:AA22,AA42,AA44:AA45,AA47,AA49,AA94:AA97,AA103,AA109,AA115,AA124,AA126,AA138,AA145,AA148:AA149,AA156,AA158,AA160,AA164:AA166,AA168:AA170,AA175,AA181:AA182,AA184:AA186,AA194,AA199)</f>
        <v>353.54</v>
      </c>
      <c r="AB93" s="80">
        <f t="shared" si="31"/>
        <v>313.14000000000004</v>
      </c>
      <c r="AC93" s="80">
        <f t="shared" si="31"/>
        <v>281.14</v>
      </c>
      <c r="AD93" s="80">
        <f t="shared" si="31"/>
        <v>274.14000000000004</v>
      </c>
      <c r="AE93" s="80">
        <f t="shared" si="31"/>
        <v>215.73999999999998</v>
      </c>
      <c r="AF93" s="80">
        <f t="shared" si="31"/>
        <v>176.14</v>
      </c>
      <c r="AG93" s="79"/>
      <c r="AH93" s="21">
        <f>MAX(C93:AF93)</f>
        <v>365.34000000000003</v>
      </c>
      <c r="AI93" s="20">
        <f>MIN(C93:AF93)</f>
        <v>153.84</v>
      </c>
    </row>
    <row r="94" spans="1:88" x14ac:dyDescent="0.25">
      <c r="A94" s="48" t="s">
        <v>122</v>
      </c>
      <c r="B94" s="75">
        <v>-4.3</v>
      </c>
      <c r="C94" s="78">
        <v>-15.5</v>
      </c>
      <c r="D94" s="77">
        <v>-17.5</v>
      </c>
      <c r="E94" s="77">
        <v>-12.6</v>
      </c>
      <c r="F94" s="77">
        <v>-12</v>
      </c>
      <c r="G94" s="76">
        <v>-17</v>
      </c>
      <c r="H94" s="76">
        <v>14.8</v>
      </c>
      <c r="I94" s="76">
        <v>-4.5</v>
      </c>
      <c r="J94" s="76">
        <v>21.8</v>
      </c>
      <c r="K94" s="76">
        <v>25.3</v>
      </c>
      <c r="L94" s="76">
        <v>25.4</v>
      </c>
      <c r="M94" s="75">
        <v>42.2</v>
      </c>
      <c r="N94" s="76">
        <v>15.7</v>
      </c>
      <c r="O94" s="76">
        <v>11.9</v>
      </c>
      <c r="P94" s="76">
        <v>5.7</v>
      </c>
      <c r="Q94" s="76">
        <v>24.6</v>
      </c>
      <c r="R94" s="76">
        <v>-8.6</v>
      </c>
      <c r="S94" s="76">
        <v>-2</v>
      </c>
      <c r="T94" s="76">
        <v>1.1000000000000001</v>
      </c>
      <c r="U94" s="75">
        <v>39.4</v>
      </c>
      <c r="V94" s="75">
        <v>25</v>
      </c>
      <c r="W94" s="75">
        <v>21.1</v>
      </c>
      <c r="X94" s="75">
        <v>25.5</v>
      </c>
      <c r="Y94" s="75">
        <v>39.4</v>
      </c>
      <c r="Z94" s="75">
        <v>38.700000000000003</v>
      </c>
      <c r="AA94" s="75">
        <v>37.200000000000003</v>
      </c>
      <c r="AB94" s="75">
        <v>30</v>
      </c>
      <c r="AC94" s="75">
        <v>7</v>
      </c>
      <c r="AD94" s="75">
        <v>2</v>
      </c>
      <c r="AE94" s="75">
        <v>2.6</v>
      </c>
      <c r="AF94" s="75">
        <v>12</v>
      </c>
      <c r="AG94" s="3">
        <v>75</v>
      </c>
      <c r="AH94" s="21">
        <f t="shared" ref="AH94:AH100" si="32">IF(ABS(MAX(C94:AF94))&gt;ABS(MIN(C94:AF94)),MAX(C94:AF94),MIN(C94:AF94))</f>
        <v>42.2</v>
      </c>
      <c r="AI94" s="64">
        <f t="shared" ref="AI94:AI100" si="33">INDEX($C$9:$AF$9,1,MATCH(AH94,C94:AF94,0))</f>
        <v>0.33333333333333331</v>
      </c>
    </row>
    <row r="95" spans="1:88" x14ac:dyDescent="0.25">
      <c r="A95" s="45" t="s">
        <v>121</v>
      </c>
      <c r="B95" s="73">
        <v>-52</v>
      </c>
      <c r="C95" s="74">
        <v>-38</v>
      </c>
      <c r="D95" s="67">
        <v>-62</v>
      </c>
      <c r="E95" s="67">
        <v>-62.2</v>
      </c>
      <c r="F95" s="67">
        <v>-58.8</v>
      </c>
      <c r="G95" s="67">
        <v>-48.2</v>
      </c>
      <c r="H95" s="67">
        <v>-32.4</v>
      </c>
      <c r="I95" s="67">
        <v>-12.2</v>
      </c>
      <c r="J95" s="67">
        <v>1.2</v>
      </c>
      <c r="K95" s="67">
        <v>6.1</v>
      </c>
      <c r="L95" s="67">
        <v>12</v>
      </c>
      <c r="M95" s="67">
        <v>10.3</v>
      </c>
      <c r="N95" s="67">
        <v>17.100000000000001</v>
      </c>
      <c r="O95" s="67">
        <v>13.6</v>
      </c>
      <c r="P95" s="67">
        <v>13.6</v>
      </c>
      <c r="Q95" s="67">
        <v>10.199999999999999</v>
      </c>
      <c r="R95" s="67">
        <v>18.399999999999999</v>
      </c>
      <c r="S95" s="67">
        <v>-19</v>
      </c>
      <c r="T95" s="67">
        <v>17</v>
      </c>
      <c r="U95" s="67">
        <v>3.6</v>
      </c>
      <c r="V95" s="67">
        <v>4</v>
      </c>
      <c r="W95" s="67">
        <v>2.9</v>
      </c>
      <c r="X95" s="67">
        <v>14</v>
      </c>
      <c r="Y95" s="67">
        <v>21</v>
      </c>
      <c r="Z95" s="67">
        <v>40</v>
      </c>
      <c r="AA95" s="67">
        <v>35</v>
      </c>
      <c r="AB95" s="73">
        <v>-3</v>
      </c>
      <c r="AC95" s="73">
        <v>10</v>
      </c>
      <c r="AD95" s="73">
        <v>-4</v>
      </c>
      <c r="AE95" s="73">
        <v>-28</v>
      </c>
      <c r="AF95" s="73">
        <v>-45</v>
      </c>
      <c r="AG95" s="3">
        <v>240</v>
      </c>
      <c r="AH95" s="21">
        <f t="shared" si="32"/>
        <v>-62.2</v>
      </c>
      <c r="AI95" s="64">
        <f t="shared" si="33"/>
        <v>0.125</v>
      </c>
    </row>
    <row r="96" spans="1:88" x14ac:dyDescent="0.25">
      <c r="A96" s="45" t="s">
        <v>120</v>
      </c>
      <c r="B96" s="73">
        <v>-1.9</v>
      </c>
      <c r="C96" s="74">
        <v>7.4</v>
      </c>
      <c r="D96" s="67">
        <v>-15.3</v>
      </c>
      <c r="E96" s="67">
        <v>-15.7</v>
      </c>
      <c r="F96" s="67">
        <v>-12.9</v>
      </c>
      <c r="G96" s="67">
        <v>-10.3</v>
      </c>
      <c r="H96" s="67">
        <v>-7</v>
      </c>
      <c r="I96" s="67">
        <v>0.4</v>
      </c>
      <c r="J96" s="67">
        <v>10</v>
      </c>
      <c r="K96" s="67">
        <v>14.5</v>
      </c>
      <c r="L96" s="67">
        <v>17.5</v>
      </c>
      <c r="M96" s="67">
        <v>32.799999999999997</v>
      </c>
      <c r="N96" s="67">
        <v>20.9</v>
      </c>
      <c r="O96" s="67">
        <v>19.5</v>
      </c>
      <c r="P96" s="67">
        <v>21.1</v>
      </c>
      <c r="Q96" s="67">
        <v>16.7</v>
      </c>
      <c r="R96" s="67">
        <v>21.9</v>
      </c>
      <c r="S96" s="67">
        <v>16.600000000000001</v>
      </c>
      <c r="T96" s="67">
        <v>21</v>
      </c>
      <c r="U96" s="67">
        <v>25</v>
      </c>
      <c r="V96" s="67">
        <v>29.3</v>
      </c>
      <c r="W96" s="67">
        <v>19.7</v>
      </c>
      <c r="X96" s="67">
        <v>18.5</v>
      </c>
      <c r="Y96" s="67">
        <v>22.5</v>
      </c>
      <c r="Z96" s="67">
        <v>40.700000000000003</v>
      </c>
      <c r="AA96" s="67">
        <v>29.1</v>
      </c>
      <c r="AB96" s="73">
        <v>18</v>
      </c>
      <c r="AC96" s="73">
        <v>14</v>
      </c>
      <c r="AD96" s="73">
        <v>14</v>
      </c>
      <c r="AE96" s="73">
        <v>24</v>
      </c>
      <c r="AF96" s="73">
        <v>17</v>
      </c>
      <c r="AG96" s="3">
        <v>60</v>
      </c>
      <c r="AH96" s="21">
        <f t="shared" si="32"/>
        <v>40.700000000000003</v>
      </c>
      <c r="AI96" s="64">
        <f t="shared" si="33"/>
        <v>0.79166666666666663</v>
      </c>
    </row>
    <row r="97" spans="1:37" x14ac:dyDescent="0.25">
      <c r="A97" s="41" t="s">
        <v>119</v>
      </c>
      <c r="B97" s="69">
        <v>63.2</v>
      </c>
      <c r="C97" s="71">
        <v>32.9</v>
      </c>
      <c r="D97" s="70">
        <v>80</v>
      </c>
      <c r="E97" s="70">
        <v>74.2</v>
      </c>
      <c r="F97" s="70">
        <v>73</v>
      </c>
      <c r="G97" s="70">
        <v>88.9</v>
      </c>
      <c r="H97" s="70">
        <v>64.5</v>
      </c>
      <c r="I97" s="70">
        <v>90</v>
      </c>
      <c r="J97" s="70">
        <v>102.8</v>
      </c>
      <c r="K97" s="70">
        <v>101.9</v>
      </c>
      <c r="L97" s="70">
        <v>110.3</v>
      </c>
      <c r="M97" s="70">
        <v>73.5</v>
      </c>
      <c r="N97" s="70">
        <v>99.5</v>
      </c>
      <c r="O97" s="70">
        <v>98.9</v>
      </c>
      <c r="P97" s="70">
        <v>96.1</v>
      </c>
      <c r="Q97" s="70">
        <v>86.6</v>
      </c>
      <c r="R97" s="70">
        <v>100.1</v>
      </c>
      <c r="S97" s="70">
        <v>110</v>
      </c>
      <c r="T97" s="70">
        <v>99.3</v>
      </c>
      <c r="U97" s="70">
        <v>60.7</v>
      </c>
      <c r="V97" s="70">
        <v>58.7</v>
      </c>
      <c r="W97" s="70">
        <v>69.900000000000006</v>
      </c>
      <c r="X97" s="70">
        <v>82.1</v>
      </c>
      <c r="Y97" s="70">
        <v>86.2</v>
      </c>
      <c r="Z97" s="70">
        <v>89.4</v>
      </c>
      <c r="AA97" s="70">
        <v>77.099999999999994</v>
      </c>
      <c r="AB97" s="69">
        <v>93</v>
      </c>
      <c r="AC97" s="69">
        <v>75</v>
      </c>
      <c r="AD97" s="69">
        <v>87</v>
      </c>
      <c r="AE97" s="69">
        <v>42</v>
      </c>
      <c r="AF97" s="69">
        <v>17</v>
      </c>
      <c r="AG97" s="72">
        <v>120</v>
      </c>
      <c r="AH97" s="21">
        <f t="shared" si="32"/>
        <v>110.3</v>
      </c>
      <c r="AI97" s="64">
        <f t="shared" si="33"/>
        <v>0.3125</v>
      </c>
    </row>
    <row r="98" spans="1:37" x14ac:dyDescent="0.25">
      <c r="A98" s="41" t="s">
        <v>118</v>
      </c>
      <c r="B98" s="69">
        <v>76.8</v>
      </c>
      <c r="C98" s="71">
        <v>37.6</v>
      </c>
      <c r="D98" s="70">
        <v>93.5</v>
      </c>
      <c r="E98" s="70">
        <v>91.2</v>
      </c>
      <c r="F98" s="70">
        <v>90.7</v>
      </c>
      <c r="G98" s="70">
        <v>100.4</v>
      </c>
      <c r="H98" s="70">
        <v>54</v>
      </c>
      <c r="I98" s="70">
        <v>82.1</v>
      </c>
      <c r="J98" s="70">
        <v>79.400000000000006</v>
      </c>
      <c r="K98" s="70">
        <v>77.5</v>
      </c>
      <c r="L98" s="70">
        <v>81</v>
      </c>
      <c r="M98" s="70">
        <v>50.4</v>
      </c>
      <c r="N98" s="70">
        <v>88.6</v>
      </c>
      <c r="O98" s="70">
        <v>89.4</v>
      </c>
      <c r="P98" s="70">
        <v>84.4</v>
      </c>
      <c r="Q98" s="70">
        <v>69.3</v>
      </c>
      <c r="R98" s="70">
        <v>87.9</v>
      </c>
      <c r="S98" s="70">
        <v>95.1</v>
      </c>
      <c r="T98" s="70">
        <v>89.7</v>
      </c>
      <c r="U98" s="70">
        <v>49.5</v>
      </c>
      <c r="V98" s="70">
        <v>49.4</v>
      </c>
      <c r="W98" s="70">
        <v>58.6</v>
      </c>
      <c r="X98" s="70">
        <v>69</v>
      </c>
      <c r="Y98" s="70">
        <v>66.400000000000006</v>
      </c>
      <c r="Z98" s="70">
        <v>79</v>
      </c>
      <c r="AA98" s="70">
        <v>86.1</v>
      </c>
      <c r="AB98" s="69">
        <v>61</v>
      </c>
      <c r="AC98" s="69">
        <v>83</v>
      </c>
      <c r="AD98" s="69">
        <v>72</v>
      </c>
      <c r="AE98" s="69">
        <v>30</v>
      </c>
      <c r="AF98" s="69">
        <v>15</v>
      </c>
      <c r="AG98" s="72"/>
      <c r="AH98" s="21">
        <f t="shared" si="32"/>
        <v>100.4</v>
      </c>
      <c r="AI98" s="64">
        <f t="shared" si="33"/>
        <v>0.20833333333333301</v>
      </c>
    </row>
    <row r="99" spans="1:37" x14ac:dyDescent="0.25">
      <c r="A99" s="41" t="s">
        <v>117</v>
      </c>
      <c r="B99" s="69">
        <v>57</v>
      </c>
      <c r="C99" s="71">
        <v>59.5</v>
      </c>
      <c r="D99" s="70">
        <v>65.599999999999994</v>
      </c>
      <c r="E99" s="70">
        <v>61.5</v>
      </c>
      <c r="F99" s="70">
        <v>58.4</v>
      </c>
      <c r="G99" s="70">
        <v>61.4</v>
      </c>
      <c r="H99" s="70">
        <v>49.5</v>
      </c>
      <c r="I99" s="70">
        <v>52.5</v>
      </c>
      <c r="J99" s="70">
        <v>54.3</v>
      </c>
      <c r="K99" s="70">
        <v>54.5</v>
      </c>
      <c r="L99" s="70">
        <v>57.7</v>
      </c>
      <c r="M99" s="70">
        <v>36</v>
      </c>
      <c r="N99" s="70">
        <v>39.700000000000003</v>
      </c>
      <c r="O99" s="70">
        <v>45.3</v>
      </c>
      <c r="P99" s="70">
        <v>43.6</v>
      </c>
      <c r="Q99" s="70">
        <v>30.1</v>
      </c>
      <c r="R99" s="70">
        <v>52.9</v>
      </c>
      <c r="S99" s="70">
        <v>48.9</v>
      </c>
      <c r="T99" s="70">
        <v>46.4</v>
      </c>
      <c r="U99" s="70">
        <v>18.5</v>
      </c>
      <c r="V99" s="70">
        <v>27.4</v>
      </c>
      <c r="W99" s="70">
        <v>31.9</v>
      </c>
      <c r="X99" s="70">
        <v>25.8</v>
      </c>
      <c r="Y99" s="70">
        <v>23</v>
      </c>
      <c r="Z99" s="70">
        <v>45</v>
      </c>
      <c r="AA99" s="70">
        <v>47.8</v>
      </c>
      <c r="AB99" s="69">
        <v>51</v>
      </c>
      <c r="AC99" s="69">
        <v>50</v>
      </c>
      <c r="AD99" s="69">
        <v>54</v>
      </c>
      <c r="AE99" s="69">
        <v>57</v>
      </c>
      <c r="AF99" s="69">
        <v>52</v>
      </c>
      <c r="AG99" s="65"/>
      <c r="AH99" s="21">
        <f t="shared" si="32"/>
        <v>65.599999999999994</v>
      </c>
      <c r="AI99" s="64">
        <f t="shared" si="33"/>
        <v>8.3333333333333301E-2</v>
      </c>
    </row>
    <row r="100" spans="1:37" ht="15.75" thickBot="1" x14ac:dyDescent="0.3">
      <c r="A100" s="68" t="s">
        <v>116</v>
      </c>
      <c r="B100" s="66">
        <v>81.3</v>
      </c>
      <c r="C100" s="66">
        <v>43.2</v>
      </c>
      <c r="D100" s="67">
        <v>76.7</v>
      </c>
      <c r="E100" s="67">
        <v>79.5</v>
      </c>
      <c r="F100" s="67">
        <v>79.5</v>
      </c>
      <c r="G100" s="67">
        <v>80.7</v>
      </c>
      <c r="H100" s="67">
        <v>47.8</v>
      </c>
      <c r="I100" s="67">
        <v>41.6</v>
      </c>
      <c r="J100" s="67">
        <v>50.7</v>
      </c>
      <c r="K100" s="67">
        <v>52.6</v>
      </c>
      <c r="L100" s="67">
        <v>63.2</v>
      </c>
      <c r="M100" s="67">
        <v>49.1</v>
      </c>
      <c r="N100" s="67">
        <v>74.099999999999994</v>
      </c>
      <c r="O100" s="67">
        <v>72.400000000000006</v>
      </c>
      <c r="P100" s="67">
        <v>70.400000000000006</v>
      </c>
      <c r="Q100" s="67">
        <v>71.599999999999994</v>
      </c>
      <c r="R100" s="67">
        <v>69.099999999999994</v>
      </c>
      <c r="S100" s="67">
        <v>69</v>
      </c>
      <c r="T100" s="67">
        <v>74.400000000000006</v>
      </c>
      <c r="U100" s="67">
        <v>50.3</v>
      </c>
      <c r="V100" s="67">
        <v>50</v>
      </c>
      <c r="W100" s="67">
        <v>45.1</v>
      </c>
      <c r="X100" s="67">
        <v>44</v>
      </c>
      <c r="Y100" s="67">
        <v>60</v>
      </c>
      <c r="Z100" s="67">
        <v>66</v>
      </c>
      <c r="AA100" s="67">
        <v>70</v>
      </c>
      <c r="AB100" s="66">
        <v>78</v>
      </c>
      <c r="AC100" s="66">
        <v>73</v>
      </c>
      <c r="AD100" s="66">
        <v>72</v>
      </c>
      <c r="AE100" s="66">
        <v>62</v>
      </c>
      <c r="AF100" s="66">
        <v>53</v>
      </c>
      <c r="AG100" s="65"/>
      <c r="AH100" s="21">
        <f t="shared" si="32"/>
        <v>80.7</v>
      </c>
      <c r="AI100" s="64">
        <f t="shared" si="33"/>
        <v>0.20833333333333301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34">AF102</f>
        <v>9.9</v>
      </c>
      <c r="C102" s="54">
        <v>9.9</v>
      </c>
      <c r="D102" s="58">
        <f t="shared" ref="D102:AF102" si="35">C102</f>
        <v>9.9</v>
      </c>
      <c r="E102" s="58">
        <f t="shared" si="35"/>
        <v>9.9</v>
      </c>
      <c r="F102" s="58">
        <f t="shared" si="35"/>
        <v>9.9</v>
      </c>
      <c r="G102" s="58">
        <f t="shared" si="35"/>
        <v>9.9</v>
      </c>
      <c r="H102" s="58">
        <f t="shared" si="35"/>
        <v>9.9</v>
      </c>
      <c r="I102" s="58">
        <f t="shared" si="35"/>
        <v>9.9</v>
      </c>
      <c r="J102" s="58">
        <f t="shared" si="35"/>
        <v>9.9</v>
      </c>
      <c r="K102" s="58">
        <f t="shared" si="35"/>
        <v>9.9</v>
      </c>
      <c r="L102" s="58">
        <f t="shared" si="35"/>
        <v>9.9</v>
      </c>
      <c r="M102" s="58">
        <f t="shared" si="35"/>
        <v>9.9</v>
      </c>
      <c r="N102" s="58">
        <f t="shared" si="35"/>
        <v>9.9</v>
      </c>
      <c r="O102" s="58">
        <f t="shared" si="35"/>
        <v>9.9</v>
      </c>
      <c r="P102" s="58">
        <f t="shared" si="35"/>
        <v>9.9</v>
      </c>
      <c r="Q102" s="58">
        <f t="shared" si="35"/>
        <v>9.9</v>
      </c>
      <c r="R102" s="58">
        <f t="shared" si="35"/>
        <v>9.9</v>
      </c>
      <c r="S102" s="58">
        <f t="shared" si="35"/>
        <v>9.9</v>
      </c>
      <c r="T102" s="58">
        <f t="shared" si="35"/>
        <v>9.9</v>
      </c>
      <c r="U102" s="58">
        <f t="shared" si="35"/>
        <v>9.9</v>
      </c>
      <c r="V102" s="58">
        <f t="shared" si="35"/>
        <v>9.9</v>
      </c>
      <c r="W102" s="58">
        <f t="shared" si="35"/>
        <v>9.9</v>
      </c>
      <c r="X102" s="58">
        <f t="shared" si="35"/>
        <v>9.9</v>
      </c>
      <c r="Y102" s="58">
        <f t="shared" si="35"/>
        <v>9.9</v>
      </c>
      <c r="Z102" s="58">
        <f t="shared" si="35"/>
        <v>9.9</v>
      </c>
      <c r="AA102" s="58">
        <f t="shared" si="35"/>
        <v>9.9</v>
      </c>
      <c r="AB102" s="58">
        <f t="shared" si="35"/>
        <v>9.9</v>
      </c>
      <c r="AC102" s="58">
        <f t="shared" si="35"/>
        <v>9.9</v>
      </c>
      <c r="AD102" s="58">
        <f t="shared" si="35"/>
        <v>9.9</v>
      </c>
      <c r="AE102" s="58">
        <f t="shared" si="35"/>
        <v>9.9</v>
      </c>
      <c r="AF102" s="58">
        <f t="shared" si="35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34"/>
        <v>9.6</v>
      </c>
      <c r="C103" s="55">
        <v>9.6</v>
      </c>
      <c r="D103" s="44">
        <f t="shared" ref="D103:AF103" si="36">C103</f>
        <v>9.6</v>
      </c>
      <c r="E103" s="44">
        <f t="shared" si="36"/>
        <v>9.6</v>
      </c>
      <c r="F103" s="44">
        <f t="shared" si="36"/>
        <v>9.6</v>
      </c>
      <c r="G103" s="44">
        <f t="shared" si="36"/>
        <v>9.6</v>
      </c>
      <c r="H103" s="44">
        <f t="shared" si="36"/>
        <v>9.6</v>
      </c>
      <c r="I103" s="44">
        <f t="shared" si="36"/>
        <v>9.6</v>
      </c>
      <c r="J103" s="44">
        <f t="shared" si="36"/>
        <v>9.6</v>
      </c>
      <c r="K103" s="44">
        <f t="shared" si="36"/>
        <v>9.6</v>
      </c>
      <c r="L103" s="44">
        <f t="shared" si="36"/>
        <v>9.6</v>
      </c>
      <c r="M103" s="44">
        <f t="shared" si="36"/>
        <v>9.6</v>
      </c>
      <c r="N103" s="44">
        <f t="shared" si="36"/>
        <v>9.6</v>
      </c>
      <c r="O103" s="44">
        <f t="shared" si="36"/>
        <v>9.6</v>
      </c>
      <c r="P103" s="44">
        <f t="shared" si="36"/>
        <v>9.6</v>
      </c>
      <c r="Q103" s="44">
        <f t="shared" si="36"/>
        <v>9.6</v>
      </c>
      <c r="R103" s="44">
        <f t="shared" si="36"/>
        <v>9.6</v>
      </c>
      <c r="S103" s="44">
        <f t="shared" si="36"/>
        <v>9.6</v>
      </c>
      <c r="T103" s="44">
        <f t="shared" si="36"/>
        <v>9.6</v>
      </c>
      <c r="U103" s="44">
        <f t="shared" si="36"/>
        <v>9.6</v>
      </c>
      <c r="V103" s="44">
        <f t="shared" si="36"/>
        <v>9.6</v>
      </c>
      <c r="W103" s="44">
        <f t="shared" si="36"/>
        <v>9.6</v>
      </c>
      <c r="X103" s="44">
        <f t="shared" si="36"/>
        <v>9.6</v>
      </c>
      <c r="Y103" s="44">
        <f t="shared" si="36"/>
        <v>9.6</v>
      </c>
      <c r="Z103" s="44">
        <f t="shared" si="36"/>
        <v>9.6</v>
      </c>
      <c r="AA103" s="44">
        <f t="shared" si="36"/>
        <v>9.6</v>
      </c>
      <c r="AB103" s="44">
        <f t="shared" si="36"/>
        <v>9.6</v>
      </c>
      <c r="AC103" s="44">
        <f t="shared" si="36"/>
        <v>9.6</v>
      </c>
      <c r="AD103" s="44">
        <f t="shared" si="36"/>
        <v>9.6</v>
      </c>
      <c r="AE103" s="44">
        <f t="shared" si="36"/>
        <v>9.6</v>
      </c>
      <c r="AF103" s="44">
        <f t="shared" si="3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34"/>
        <v>9.98</v>
      </c>
      <c r="C104" s="55">
        <v>9.98</v>
      </c>
      <c r="D104" s="44">
        <f t="shared" ref="D104:AF104" si="37">C104</f>
        <v>9.98</v>
      </c>
      <c r="E104" s="44">
        <f t="shared" si="37"/>
        <v>9.98</v>
      </c>
      <c r="F104" s="44">
        <f t="shared" si="37"/>
        <v>9.98</v>
      </c>
      <c r="G104" s="44">
        <f t="shared" si="37"/>
        <v>9.98</v>
      </c>
      <c r="H104" s="44">
        <f t="shared" si="37"/>
        <v>9.98</v>
      </c>
      <c r="I104" s="44">
        <f t="shared" si="37"/>
        <v>9.98</v>
      </c>
      <c r="J104" s="44">
        <f t="shared" si="37"/>
        <v>9.98</v>
      </c>
      <c r="K104" s="44">
        <f t="shared" si="37"/>
        <v>9.98</v>
      </c>
      <c r="L104" s="44">
        <f t="shared" si="37"/>
        <v>9.98</v>
      </c>
      <c r="M104" s="44">
        <f t="shared" si="37"/>
        <v>9.98</v>
      </c>
      <c r="N104" s="44">
        <f t="shared" si="37"/>
        <v>9.98</v>
      </c>
      <c r="O104" s="44">
        <f t="shared" si="37"/>
        <v>9.98</v>
      </c>
      <c r="P104" s="44">
        <f t="shared" si="37"/>
        <v>9.98</v>
      </c>
      <c r="Q104" s="44">
        <f t="shared" si="37"/>
        <v>9.98</v>
      </c>
      <c r="R104" s="44">
        <f t="shared" si="37"/>
        <v>9.98</v>
      </c>
      <c r="S104" s="44">
        <f t="shared" si="37"/>
        <v>9.98</v>
      </c>
      <c r="T104" s="44">
        <f t="shared" si="37"/>
        <v>9.98</v>
      </c>
      <c r="U104" s="44">
        <f t="shared" si="37"/>
        <v>9.98</v>
      </c>
      <c r="V104" s="44">
        <f t="shared" si="37"/>
        <v>9.98</v>
      </c>
      <c r="W104" s="44">
        <f t="shared" si="37"/>
        <v>9.98</v>
      </c>
      <c r="X104" s="44">
        <f t="shared" si="37"/>
        <v>9.98</v>
      </c>
      <c r="Y104" s="44">
        <f t="shared" si="37"/>
        <v>9.98</v>
      </c>
      <c r="Z104" s="44">
        <f t="shared" si="37"/>
        <v>9.98</v>
      </c>
      <c r="AA104" s="44">
        <f t="shared" si="37"/>
        <v>9.98</v>
      </c>
      <c r="AB104" s="44">
        <f t="shared" si="37"/>
        <v>9.98</v>
      </c>
      <c r="AC104" s="44">
        <f t="shared" si="37"/>
        <v>9.98</v>
      </c>
      <c r="AD104" s="44">
        <f t="shared" si="37"/>
        <v>9.98</v>
      </c>
      <c r="AE104" s="44">
        <f t="shared" si="37"/>
        <v>9.98</v>
      </c>
      <c r="AF104" s="44">
        <f t="shared" si="37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34"/>
        <v>9.1</v>
      </c>
      <c r="C105" s="55">
        <v>9.1</v>
      </c>
      <c r="D105" s="44">
        <f t="shared" ref="D105:AF105" si="38">C105</f>
        <v>9.1</v>
      </c>
      <c r="E105" s="44">
        <f t="shared" si="38"/>
        <v>9.1</v>
      </c>
      <c r="F105" s="44">
        <f t="shared" si="38"/>
        <v>9.1</v>
      </c>
      <c r="G105" s="44">
        <f t="shared" si="38"/>
        <v>9.1</v>
      </c>
      <c r="H105" s="44">
        <f t="shared" si="38"/>
        <v>9.1</v>
      </c>
      <c r="I105" s="44">
        <f t="shared" si="38"/>
        <v>9.1</v>
      </c>
      <c r="J105" s="44">
        <f t="shared" si="38"/>
        <v>9.1</v>
      </c>
      <c r="K105" s="44">
        <f t="shared" si="38"/>
        <v>9.1</v>
      </c>
      <c r="L105" s="44">
        <f t="shared" si="38"/>
        <v>9.1</v>
      </c>
      <c r="M105" s="44">
        <f t="shared" si="38"/>
        <v>9.1</v>
      </c>
      <c r="N105" s="44">
        <f t="shared" si="38"/>
        <v>9.1</v>
      </c>
      <c r="O105" s="44">
        <f t="shared" si="38"/>
        <v>9.1</v>
      </c>
      <c r="P105" s="44">
        <f t="shared" si="38"/>
        <v>9.1</v>
      </c>
      <c r="Q105" s="44">
        <f t="shared" si="38"/>
        <v>9.1</v>
      </c>
      <c r="R105" s="44">
        <f t="shared" si="38"/>
        <v>9.1</v>
      </c>
      <c r="S105" s="44">
        <f t="shared" si="38"/>
        <v>9.1</v>
      </c>
      <c r="T105" s="44">
        <f t="shared" si="38"/>
        <v>9.1</v>
      </c>
      <c r="U105" s="44">
        <f t="shared" si="38"/>
        <v>9.1</v>
      </c>
      <c r="V105" s="44">
        <f t="shared" si="38"/>
        <v>9.1</v>
      </c>
      <c r="W105" s="44">
        <f t="shared" si="38"/>
        <v>9.1</v>
      </c>
      <c r="X105" s="44">
        <f t="shared" si="38"/>
        <v>9.1</v>
      </c>
      <c r="Y105" s="44">
        <f t="shared" si="38"/>
        <v>9.1</v>
      </c>
      <c r="Z105" s="44">
        <f t="shared" si="38"/>
        <v>9.1</v>
      </c>
      <c r="AA105" s="44">
        <f t="shared" si="38"/>
        <v>9.1</v>
      </c>
      <c r="AB105" s="44">
        <f t="shared" si="38"/>
        <v>9.1</v>
      </c>
      <c r="AC105" s="44">
        <f t="shared" si="38"/>
        <v>9.1</v>
      </c>
      <c r="AD105" s="44">
        <f t="shared" si="38"/>
        <v>9.1</v>
      </c>
      <c r="AE105" s="44">
        <f t="shared" si="38"/>
        <v>9.1</v>
      </c>
      <c r="AF105" s="44">
        <f t="shared" si="38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34"/>
        <v>9.18</v>
      </c>
      <c r="C106" s="55">
        <v>9.18</v>
      </c>
      <c r="D106" s="44">
        <f t="shared" ref="D106:AF106" si="39">C106</f>
        <v>9.18</v>
      </c>
      <c r="E106" s="44">
        <f t="shared" si="39"/>
        <v>9.18</v>
      </c>
      <c r="F106" s="44">
        <f t="shared" si="39"/>
        <v>9.18</v>
      </c>
      <c r="G106" s="44">
        <f t="shared" si="39"/>
        <v>9.18</v>
      </c>
      <c r="H106" s="44">
        <f t="shared" si="39"/>
        <v>9.18</v>
      </c>
      <c r="I106" s="44">
        <f t="shared" si="39"/>
        <v>9.18</v>
      </c>
      <c r="J106" s="44">
        <f t="shared" si="39"/>
        <v>9.18</v>
      </c>
      <c r="K106" s="44">
        <f t="shared" si="39"/>
        <v>9.18</v>
      </c>
      <c r="L106" s="44">
        <f t="shared" si="39"/>
        <v>9.18</v>
      </c>
      <c r="M106" s="44">
        <f t="shared" si="39"/>
        <v>9.18</v>
      </c>
      <c r="N106" s="44">
        <f t="shared" si="39"/>
        <v>9.18</v>
      </c>
      <c r="O106" s="44">
        <f t="shared" si="39"/>
        <v>9.18</v>
      </c>
      <c r="P106" s="44">
        <f t="shared" si="39"/>
        <v>9.18</v>
      </c>
      <c r="Q106" s="44">
        <f t="shared" si="39"/>
        <v>9.18</v>
      </c>
      <c r="R106" s="44">
        <f t="shared" si="39"/>
        <v>9.18</v>
      </c>
      <c r="S106" s="44">
        <f t="shared" si="39"/>
        <v>9.18</v>
      </c>
      <c r="T106" s="44">
        <f t="shared" si="39"/>
        <v>9.18</v>
      </c>
      <c r="U106" s="44">
        <f t="shared" si="39"/>
        <v>9.18</v>
      </c>
      <c r="V106" s="44">
        <f t="shared" si="39"/>
        <v>9.18</v>
      </c>
      <c r="W106" s="44">
        <f t="shared" si="39"/>
        <v>9.18</v>
      </c>
      <c r="X106" s="44">
        <f t="shared" si="39"/>
        <v>9.18</v>
      </c>
      <c r="Y106" s="44">
        <f t="shared" si="39"/>
        <v>9.18</v>
      </c>
      <c r="Z106" s="44">
        <f t="shared" si="39"/>
        <v>9.18</v>
      </c>
      <c r="AA106" s="44">
        <f t="shared" si="39"/>
        <v>9.18</v>
      </c>
      <c r="AB106" s="44">
        <f t="shared" si="39"/>
        <v>9.18</v>
      </c>
      <c r="AC106" s="44">
        <f t="shared" si="39"/>
        <v>9.18</v>
      </c>
      <c r="AD106" s="44">
        <f t="shared" si="39"/>
        <v>9.18</v>
      </c>
      <c r="AE106" s="44">
        <f t="shared" si="39"/>
        <v>9.18</v>
      </c>
      <c r="AF106" s="44">
        <f t="shared" si="39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34"/>
        <v>7</v>
      </c>
      <c r="C107" s="55">
        <v>7</v>
      </c>
      <c r="D107" s="44">
        <f t="shared" ref="D107:AF107" si="40">C107</f>
        <v>7</v>
      </c>
      <c r="E107" s="44">
        <f t="shared" si="40"/>
        <v>7</v>
      </c>
      <c r="F107" s="44">
        <f t="shared" si="40"/>
        <v>7</v>
      </c>
      <c r="G107" s="44">
        <f t="shared" si="40"/>
        <v>7</v>
      </c>
      <c r="H107" s="44">
        <f t="shared" si="40"/>
        <v>7</v>
      </c>
      <c r="I107" s="44">
        <f t="shared" si="40"/>
        <v>7</v>
      </c>
      <c r="J107" s="44">
        <f t="shared" si="40"/>
        <v>7</v>
      </c>
      <c r="K107" s="44">
        <f t="shared" si="40"/>
        <v>7</v>
      </c>
      <c r="L107" s="44">
        <f t="shared" si="40"/>
        <v>7</v>
      </c>
      <c r="M107" s="44">
        <f t="shared" si="40"/>
        <v>7</v>
      </c>
      <c r="N107" s="44">
        <f t="shared" si="40"/>
        <v>7</v>
      </c>
      <c r="O107" s="44">
        <f t="shared" si="40"/>
        <v>7</v>
      </c>
      <c r="P107" s="44">
        <f t="shared" si="40"/>
        <v>7</v>
      </c>
      <c r="Q107" s="44">
        <f t="shared" si="40"/>
        <v>7</v>
      </c>
      <c r="R107" s="44">
        <f t="shared" si="40"/>
        <v>7</v>
      </c>
      <c r="S107" s="44">
        <f t="shared" si="40"/>
        <v>7</v>
      </c>
      <c r="T107" s="44">
        <f t="shared" si="40"/>
        <v>7</v>
      </c>
      <c r="U107" s="44">
        <f t="shared" si="40"/>
        <v>7</v>
      </c>
      <c r="V107" s="44">
        <f t="shared" si="40"/>
        <v>7</v>
      </c>
      <c r="W107" s="44">
        <f t="shared" si="40"/>
        <v>7</v>
      </c>
      <c r="X107" s="44">
        <f t="shared" si="40"/>
        <v>7</v>
      </c>
      <c r="Y107" s="44">
        <f t="shared" si="40"/>
        <v>7</v>
      </c>
      <c r="Z107" s="44">
        <f t="shared" si="40"/>
        <v>7</v>
      </c>
      <c r="AA107" s="44">
        <f t="shared" si="40"/>
        <v>7</v>
      </c>
      <c r="AB107" s="44">
        <f t="shared" si="40"/>
        <v>7</v>
      </c>
      <c r="AC107" s="44">
        <f t="shared" si="40"/>
        <v>7</v>
      </c>
      <c r="AD107" s="44">
        <f t="shared" si="40"/>
        <v>7</v>
      </c>
      <c r="AE107" s="44">
        <f t="shared" si="40"/>
        <v>7</v>
      </c>
      <c r="AF107" s="44">
        <f t="shared" si="40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AF109" si="41">C109</f>
        <v>2.25</v>
      </c>
      <c r="E109" s="44">
        <f t="shared" si="41"/>
        <v>2.25</v>
      </c>
      <c r="F109" s="44">
        <f t="shared" si="41"/>
        <v>2.25</v>
      </c>
      <c r="G109" s="44">
        <f t="shared" si="41"/>
        <v>2.25</v>
      </c>
      <c r="H109" s="44">
        <f t="shared" si="41"/>
        <v>2.25</v>
      </c>
      <c r="I109" s="44">
        <f t="shared" si="41"/>
        <v>2.25</v>
      </c>
      <c r="J109" s="44">
        <f t="shared" si="41"/>
        <v>2.25</v>
      </c>
      <c r="K109" s="44">
        <f t="shared" si="41"/>
        <v>2.25</v>
      </c>
      <c r="L109" s="44">
        <f t="shared" si="41"/>
        <v>2.25</v>
      </c>
      <c r="M109" s="44">
        <f t="shared" si="41"/>
        <v>2.25</v>
      </c>
      <c r="N109" s="44">
        <f t="shared" si="41"/>
        <v>2.25</v>
      </c>
      <c r="O109" s="44">
        <f t="shared" si="41"/>
        <v>2.25</v>
      </c>
      <c r="P109" s="44">
        <f t="shared" si="41"/>
        <v>2.25</v>
      </c>
      <c r="Q109" s="44">
        <f t="shared" si="41"/>
        <v>2.25</v>
      </c>
      <c r="R109" s="44">
        <f t="shared" si="41"/>
        <v>2.25</v>
      </c>
      <c r="S109" s="44">
        <f t="shared" si="41"/>
        <v>2.25</v>
      </c>
      <c r="T109" s="44">
        <f t="shared" si="41"/>
        <v>2.25</v>
      </c>
      <c r="U109" s="44">
        <f t="shared" si="41"/>
        <v>2.25</v>
      </c>
      <c r="V109" s="44">
        <f t="shared" si="41"/>
        <v>2.25</v>
      </c>
      <c r="W109" s="44">
        <f t="shared" si="41"/>
        <v>2.25</v>
      </c>
      <c r="X109" s="44">
        <f t="shared" si="41"/>
        <v>2.25</v>
      </c>
      <c r="Y109" s="44">
        <f t="shared" si="41"/>
        <v>2.25</v>
      </c>
      <c r="Z109" s="44">
        <f t="shared" si="41"/>
        <v>2.25</v>
      </c>
      <c r="AA109" s="44">
        <f t="shared" si="41"/>
        <v>2.25</v>
      </c>
      <c r="AB109" s="44">
        <f t="shared" si="41"/>
        <v>2.25</v>
      </c>
      <c r="AC109" s="44">
        <f t="shared" si="41"/>
        <v>2.25</v>
      </c>
      <c r="AD109" s="44">
        <f t="shared" si="41"/>
        <v>2.25</v>
      </c>
      <c r="AE109" s="44">
        <f t="shared" si="41"/>
        <v>2.25</v>
      </c>
      <c r="AF109" s="44">
        <f t="shared" si="41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ref="D110:AF110" si="42">C110</f>
        <v>1.64</v>
      </c>
      <c r="E110" s="44">
        <f t="shared" si="42"/>
        <v>1.64</v>
      </c>
      <c r="F110" s="44">
        <f t="shared" si="42"/>
        <v>1.64</v>
      </c>
      <c r="G110" s="44">
        <f t="shared" si="42"/>
        <v>1.64</v>
      </c>
      <c r="H110" s="44">
        <f t="shared" si="42"/>
        <v>1.64</v>
      </c>
      <c r="I110" s="44">
        <f t="shared" si="42"/>
        <v>1.64</v>
      </c>
      <c r="J110" s="44">
        <f t="shared" si="42"/>
        <v>1.64</v>
      </c>
      <c r="K110" s="44">
        <f t="shared" si="42"/>
        <v>1.64</v>
      </c>
      <c r="L110" s="44">
        <f t="shared" si="42"/>
        <v>1.64</v>
      </c>
      <c r="M110" s="44">
        <f t="shared" si="42"/>
        <v>1.64</v>
      </c>
      <c r="N110" s="44">
        <f t="shared" si="42"/>
        <v>1.64</v>
      </c>
      <c r="O110" s="44">
        <f t="shared" si="42"/>
        <v>1.64</v>
      </c>
      <c r="P110" s="44">
        <f t="shared" si="42"/>
        <v>1.64</v>
      </c>
      <c r="Q110" s="44">
        <f t="shared" si="42"/>
        <v>1.64</v>
      </c>
      <c r="R110" s="44">
        <f t="shared" si="42"/>
        <v>1.64</v>
      </c>
      <c r="S110" s="44">
        <f t="shared" si="42"/>
        <v>1.64</v>
      </c>
      <c r="T110" s="44">
        <f t="shared" si="42"/>
        <v>1.64</v>
      </c>
      <c r="U110" s="44">
        <f t="shared" si="42"/>
        <v>1.64</v>
      </c>
      <c r="V110" s="44">
        <f t="shared" si="42"/>
        <v>1.64</v>
      </c>
      <c r="W110" s="44">
        <f t="shared" si="42"/>
        <v>1.64</v>
      </c>
      <c r="X110" s="44">
        <f t="shared" si="42"/>
        <v>1.64</v>
      </c>
      <c r="Y110" s="44">
        <f t="shared" si="42"/>
        <v>1.64</v>
      </c>
      <c r="Z110" s="44">
        <f t="shared" si="42"/>
        <v>1.64</v>
      </c>
      <c r="AA110" s="44">
        <f t="shared" si="42"/>
        <v>1.64</v>
      </c>
      <c r="AB110" s="44">
        <f t="shared" si="42"/>
        <v>1.64</v>
      </c>
      <c r="AC110" s="44">
        <f t="shared" si="42"/>
        <v>1.64</v>
      </c>
      <c r="AD110" s="44">
        <f t="shared" si="42"/>
        <v>1.64</v>
      </c>
      <c r="AE110" s="44">
        <f t="shared" si="42"/>
        <v>1.64</v>
      </c>
      <c r="AF110" s="44">
        <f t="shared" si="42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3">AF112</f>
        <v>1.62</v>
      </c>
      <c r="C112" s="55">
        <v>1.62</v>
      </c>
      <c r="D112" s="44">
        <f t="shared" ref="D112:AF112" si="44">C112</f>
        <v>1.62</v>
      </c>
      <c r="E112" s="44">
        <f t="shared" si="44"/>
        <v>1.62</v>
      </c>
      <c r="F112" s="44">
        <f t="shared" si="44"/>
        <v>1.62</v>
      </c>
      <c r="G112" s="44">
        <f t="shared" si="44"/>
        <v>1.62</v>
      </c>
      <c r="H112" s="44">
        <f t="shared" si="44"/>
        <v>1.62</v>
      </c>
      <c r="I112" s="44">
        <f t="shared" si="44"/>
        <v>1.62</v>
      </c>
      <c r="J112" s="44">
        <f t="shared" si="44"/>
        <v>1.62</v>
      </c>
      <c r="K112" s="44">
        <f t="shared" si="44"/>
        <v>1.62</v>
      </c>
      <c r="L112" s="44">
        <f t="shared" si="44"/>
        <v>1.62</v>
      </c>
      <c r="M112" s="44">
        <f t="shared" si="44"/>
        <v>1.62</v>
      </c>
      <c r="N112" s="44">
        <f t="shared" si="44"/>
        <v>1.62</v>
      </c>
      <c r="O112" s="44">
        <f t="shared" si="44"/>
        <v>1.62</v>
      </c>
      <c r="P112" s="44">
        <f t="shared" si="44"/>
        <v>1.62</v>
      </c>
      <c r="Q112" s="44">
        <f t="shared" si="44"/>
        <v>1.62</v>
      </c>
      <c r="R112" s="44">
        <f t="shared" si="44"/>
        <v>1.62</v>
      </c>
      <c r="S112" s="44">
        <f t="shared" si="44"/>
        <v>1.62</v>
      </c>
      <c r="T112" s="44">
        <f t="shared" si="44"/>
        <v>1.62</v>
      </c>
      <c r="U112" s="44">
        <f t="shared" si="44"/>
        <v>1.62</v>
      </c>
      <c r="V112" s="44">
        <f t="shared" si="44"/>
        <v>1.62</v>
      </c>
      <c r="W112" s="44">
        <f t="shared" si="44"/>
        <v>1.62</v>
      </c>
      <c r="X112" s="44">
        <f t="shared" si="44"/>
        <v>1.62</v>
      </c>
      <c r="Y112" s="44">
        <f t="shared" si="44"/>
        <v>1.62</v>
      </c>
      <c r="Z112" s="44">
        <f t="shared" si="44"/>
        <v>1.62</v>
      </c>
      <c r="AA112" s="44">
        <f t="shared" si="44"/>
        <v>1.62</v>
      </c>
      <c r="AB112" s="44">
        <f t="shared" si="44"/>
        <v>1.62</v>
      </c>
      <c r="AC112" s="44">
        <f t="shared" si="44"/>
        <v>1.62</v>
      </c>
      <c r="AD112" s="44">
        <f t="shared" si="44"/>
        <v>1.62</v>
      </c>
      <c r="AE112" s="44">
        <f t="shared" si="44"/>
        <v>1.62</v>
      </c>
      <c r="AF112" s="44">
        <f t="shared" si="44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3"/>
        <v>8.36</v>
      </c>
      <c r="C113" s="55">
        <v>8.36</v>
      </c>
      <c r="D113" s="44">
        <f t="shared" ref="D113:AF113" si="45">C113</f>
        <v>8.36</v>
      </c>
      <c r="E113" s="44">
        <f t="shared" si="45"/>
        <v>8.36</v>
      </c>
      <c r="F113" s="44">
        <f t="shared" si="45"/>
        <v>8.36</v>
      </c>
      <c r="G113" s="44">
        <f t="shared" si="45"/>
        <v>8.36</v>
      </c>
      <c r="H113" s="44">
        <f t="shared" si="45"/>
        <v>8.36</v>
      </c>
      <c r="I113" s="44">
        <f t="shared" si="45"/>
        <v>8.36</v>
      </c>
      <c r="J113" s="44">
        <f t="shared" si="45"/>
        <v>8.36</v>
      </c>
      <c r="K113" s="44">
        <f t="shared" si="45"/>
        <v>8.36</v>
      </c>
      <c r="L113" s="44">
        <f t="shared" si="45"/>
        <v>8.36</v>
      </c>
      <c r="M113" s="44">
        <f t="shared" si="45"/>
        <v>8.36</v>
      </c>
      <c r="N113" s="44">
        <f t="shared" si="45"/>
        <v>8.36</v>
      </c>
      <c r="O113" s="44">
        <f t="shared" si="45"/>
        <v>8.36</v>
      </c>
      <c r="P113" s="44">
        <f t="shared" si="45"/>
        <v>8.36</v>
      </c>
      <c r="Q113" s="44">
        <f t="shared" si="45"/>
        <v>8.36</v>
      </c>
      <c r="R113" s="44">
        <f t="shared" si="45"/>
        <v>8.36</v>
      </c>
      <c r="S113" s="44">
        <f t="shared" si="45"/>
        <v>8.36</v>
      </c>
      <c r="T113" s="44">
        <f t="shared" si="45"/>
        <v>8.36</v>
      </c>
      <c r="U113" s="44">
        <f t="shared" si="45"/>
        <v>8.36</v>
      </c>
      <c r="V113" s="44">
        <f t="shared" si="45"/>
        <v>8.36</v>
      </c>
      <c r="W113" s="44">
        <f t="shared" si="45"/>
        <v>8.36</v>
      </c>
      <c r="X113" s="44">
        <f t="shared" si="45"/>
        <v>8.36</v>
      </c>
      <c r="Y113" s="44">
        <f t="shared" si="45"/>
        <v>8.36</v>
      </c>
      <c r="Z113" s="44">
        <f t="shared" si="45"/>
        <v>8.36</v>
      </c>
      <c r="AA113" s="44">
        <f t="shared" si="45"/>
        <v>8.36</v>
      </c>
      <c r="AB113" s="44">
        <f t="shared" si="45"/>
        <v>8.36</v>
      </c>
      <c r="AC113" s="44">
        <f t="shared" si="45"/>
        <v>8.36</v>
      </c>
      <c r="AD113" s="44">
        <f t="shared" si="45"/>
        <v>8.36</v>
      </c>
      <c r="AE113" s="44">
        <f t="shared" si="45"/>
        <v>8.36</v>
      </c>
      <c r="AF113" s="44">
        <f t="shared" si="45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3"/>
        <v>5.4</v>
      </c>
      <c r="C114" s="55">
        <v>8</v>
      </c>
      <c r="D114" s="44">
        <f t="shared" ref="D114:I123" si="46">C114</f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ref="K114:AF114" si="47">J114</f>
        <v>5.4</v>
      </c>
      <c r="L114" s="44">
        <f t="shared" si="47"/>
        <v>5.4</v>
      </c>
      <c r="M114" s="44">
        <f t="shared" si="47"/>
        <v>5.4</v>
      </c>
      <c r="N114" s="44">
        <f t="shared" si="47"/>
        <v>5.4</v>
      </c>
      <c r="O114" s="44">
        <f t="shared" si="47"/>
        <v>5.4</v>
      </c>
      <c r="P114" s="44">
        <f t="shared" si="47"/>
        <v>5.4</v>
      </c>
      <c r="Q114" s="44">
        <f t="shared" si="47"/>
        <v>5.4</v>
      </c>
      <c r="R114" s="44">
        <f t="shared" si="47"/>
        <v>5.4</v>
      </c>
      <c r="S114" s="44">
        <f t="shared" si="47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3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ref="J115:J129" si="48">I115</f>
        <v>6.57</v>
      </c>
      <c r="K115" s="44">
        <f t="shared" ref="K115:AF115" si="49">J115</f>
        <v>6.57</v>
      </c>
      <c r="L115" s="44">
        <f t="shared" si="49"/>
        <v>6.57</v>
      </c>
      <c r="M115" s="44">
        <f t="shared" si="49"/>
        <v>6.57</v>
      </c>
      <c r="N115" s="44">
        <f t="shared" si="49"/>
        <v>6.57</v>
      </c>
      <c r="O115" s="44">
        <f t="shared" si="49"/>
        <v>6.57</v>
      </c>
      <c r="P115" s="44">
        <f t="shared" si="49"/>
        <v>6.57</v>
      </c>
      <c r="Q115" s="44">
        <f t="shared" si="49"/>
        <v>6.57</v>
      </c>
      <c r="R115" s="44">
        <f t="shared" si="49"/>
        <v>6.57</v>
      </c>
      <c r="S115" s="44">
        <f t="shared" si="49"/>
        <v>6.57</v>
      </c>
      <c r="T115" s="44">
        <f t="shared" si="49"/>
        <v>6.57</v>
      </c>
      <c r="U115" s="44">
        <f t="shared" si="49"/>
        <v>6.57</v>
      </c>
      <c r="V115" s="44">
        <f t="shared" si="49"/>
        <v>6.57</v>
      </c>
      <c r="W115" s="44">
        <f t="shared" si="49"/>
        <v>6.57</v>
      </c>
      <c r="X115" s="44">
        <f t="shared" si="49"/>
        <v>6.57</v>
      </c>
      <c r="Y115" s="44">
        <f t="shared" si="49"/>
        <v>6.57</v>
      </c>
      <c r="Z115" s="44">
        <f t="shared" si="49"/>
        <v>6.57</v>
      </c>
      <c r="AA115" s="44">
        <f t="shared" si="49"/>
        <v>6.57</v>
      </c>
      <c r="AB115" s="44">
        <f t="shared" si="49"/>
        <v>6.57</v>
      </c>
      <c r="AC115" s="44">
        <f t="shared" si="49"/>
        <v>6.57</v>
      </c>
      <c r="AD115" s="44">
        <f t="shared" si="49"/>
        <v>6.57</v>
      </c>
      <c r="AE115" s="44">
        <f t="shared" si="49"/>
        <v>6.57</v>
      </c>
      <c r="AF115" s="44">
        <f t="shared" si="49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3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8"/>
        <v>3.43</v>
      </c>
      <c r="K116" s="44">
        <f t="shared" ref="K116:AF116" si="50">J116</f>
        <v>3.43</v>
      </c>
      <c r="L116" s="44">
        <f t="shared" si="50"/>
        <v>3.43</v>
      </c>
      <c r="M116" s="44">
        <f t="shared" si="50"/>
        <v>3.43</v>
      </c>
      <c r="N116" s="44">
        <f t="shared" si="50"/>
        <v>3.43</v>
      </c>
      <c r="O116" s="44">
        <f t="shared" si="50"/>
        <v>3.43</v>
      </c>
      <c r="P116" s="44">
        <f t="shared" si="50"/>
        <v>3.43</v>
      </c>
      <c r="Q116" s="44">
        <f t="shared" si="50"/>
        <v>3.43</v>
      </c>
      <c r="R116" s="44">
        <f t="shared" si="50"/>
        <v>3.43</v>
      </c>
      <c r="S116" s="44">
        <f t="shared" si="50"/>
        <v>3.43</v>
      </c>
      <c r="T116" s="44">
        <f t="shared" si="50"/>
        <v>3.43</v>
      </c>
      <c r="U116" s="44">
        <f t="shared" si="50"/>
        <v>3.43</v>
      </c>
      <c r="V116" s="44">
        <f t="shared" si="50"/>
        <v>3.43</v>
      </c>
      <c r="W116" s="44">
        <f t="shared" si="50"/>
        <v>3.43</v>
      </c>
      <c r="X116" s="44">
        <f t="shared" si="50"/>
        <v>3.43</v>
      </c>
      <c r="Y116" s="44">
        <f t="shared" si="50"/>
        <v>3.43</v>
      </c>
      <c r="Z116" s="44">
        <f t="shared" si="50"/>
        <v>3.43</v>
      </c>
      <c r="AA116" s="44">
        <f t="shared" si="50"/>
        <v>3.43</v>
      </c>
      <c r="AB116" s="44">
        <f t="shared" si="50"/>
        <v>3.43</v>
      </c>
      <c r="AC116" s="44">
        <f t="shared" si="50"/>
        <v>3.43</v>
      </c>
      <c r="AD116" s="44">
        <f t="shared" si="50"/>
        <v>3.43</v>
      </c>
      <c r="AE116" s="44">
        <f t="shared" si="50"/>
        <v>3.43</v>
      </c>
      <c r="AF116" s="44">
        <f t="shared" si="50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3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8"/>
        <v>2.96</v>
      </c>
      <c r="K117" s="44">
        <f t="shared" ref="K117:AF117" si="51">J117</f>
        <v>2.96</v>
      </c>
      <c r="L117" s="44">
        <f t="shared" si="51"/>
        <v>2.96</v>
      </c>
      <c r="M117" s="44">
        <f t="shared" si="51"/>
        <v>2.96</v>
      </c>
      <c r="N117" s="44">
        <f t="shared" si="51"/>
        <v>2.96</v>
      </c>
      <c r="O117" s="44">
        <f t="shared" si="51"/>
        <v>2.96</v>
      </c>
      <c r="P117" s="44">
        <f t="shared" si="51"/>
        <v>2.96</v>
      </c>
      <c r="Q117" s="44">
        <f t="shared" si="51"/>
        <v>2.96</v>
      </c>
      <c r="R117" s="44">
        <f t="shared" si="51"/>
        <v>2.96</v>
      </c>
      <c r="S117" s="44">
        <f t="shared" si="51"/>
        <v>2.96</v>
      </c>
      <c r="T117" s="44">
        <f t="shared" si="51"/>
        <v>2.96</v>
      </c>
      <c r="U117" s="44">
        <f t="shared" si="51"/>
        <v>2.96</v>
      </c>
      <c r="V117" s="44">
        <f t="shared" si="51"/>
        <v>2.96</v>
      </c>
      <c r="W117" s="44">
        <f t="shared" si="51"/>
        <v>2.96</v>
      </c>
      <c r="X117" s="44">
        <f t="shared" si="51"/>
        <v>2.96</v>
      </c>
      <c r="Y117" s="44">
        <f t="shared" si="51"/>
        <v>2.96</v>
      </c>
      <c r="Z117" s="44">
        <f t="shared" si="51"/>
        <v>2.96</v>
      </c>
      <c r="AA117" s="44">
        <f t="shared" si="51"/>
        <v>2.96</v>
      </c>
      <c r="AB117" s="44">
        <f t="shared" si="51"/>
        <v>2.96</v>
      </c>
      <c r="AC117" s="44">
        <f t="shared" si="51"/>
        <v>2.96</v>
      </c>
      <c r="AD117" s="44">
        <f t="shared" si="51"/>
        <v>2.96</v>
      </c>
      <c r="AE117" s="44">
        <f t="shared" si="51"/>
        <v>2.96</v>
      </c>
      <c r="AF117" s="44">
        <f t="shared" si="5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3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8"/>
        <v>8</v>
      </c>
      <c r="K118" s="44">
        <f t="shared" ref="K118:AF118" si="52">J118</f>
        <v>8</v>
      </c>
      <c r="L118" s="44">
        <f t="shared" si="52"/>
        <v>8</v>
      </c>
      <c r="M118" s="44">
        <f t="shared" si="52"/>
        <v>8</v>
      </c>
      <c r="N118" s="44">
        <f t="shared" si="52"/>
        <v>8</v>
      </c>
      <c r="O118" s="44">
        <f t="shared" si="52"/>
        <v>8</v>
      </c>
      <c r="P118" s="44">
        <f t="shared" si="52"/>
        <v>8</v>
      </c>
      <c r="Q118" s="44">
        <f t="shared" si="52"/>
        <v>8</v>
      </c>
      <c r="R118" s="44">
        <f t="shared" si="52"/>
        <v>8</v>
      </c>
      <c r="S118" s="44">
        <f t="shared" si="52"/>
        <v>8</v>
      </c>
      <c r="T118" s="44">
        <f t="shared" si="52"/>
        <v>8</v>
      </c>
      <c r="U118" s="44">
        <f t="shared" si="52"/>
        <v>8</v>
      </c>
      <c r="V118" s="44">
        <f t="shared" si="52"/>
        <v>8</v>
      </c>
      <c r="W118" s="44">
        <f t="shared" si="52"/>
        <v>8</v>
      </c>
      <c r="X118" s="44">
        <f t="shared" si="52"/>
        <v>8</v>
      </c>
      <c r="Y118" s="44">
        <f t="shared" si="52"/>
        <v>8</v>
      </c>
      <c r="Z118" s="44">
        <f t="shared" si="52"/>
        <v>8</v>
      </c>
      <c r="AA118" s="44">
        <f t="shared" si="52"/>
        <v>8</v>
      </c>
      <c r="AB118" s="44">
        <f t="shared" si="52"/>
        <v>8</v>
      </c>
      <c r="AC118" s="44">
        <f t="shared" si="52"/>
        <v>8</v>
      </c>
      <c r="AD118" s="44">
        <f t="shared" si="52"/>
        <v>8</v>
      </c>
      <c r="AE118" s="44">
        <f t="shared" si="52"/>
        <v>8</v>
      </c>
      <c r="AF118" s="44">
        <f t="shared" si="52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3"/>
        <v>7</v>
      </c>
      <c r="C119" s="55">
        <v>7</v>
      </c>
      <c r="D119" s="44">
        <f t="shared" si="46"/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8"/>
        <v>7</v>
      </c>
      <c r="K119" s="44">
        <f t="shared" ref="K119:AF119" si="53">J119</f>
        <v>7</v>
      </c>
      <c r="L119" s="44">
        <f t="shared" si="53"/>
        <v>7</v>
      </c>
      <c r="M119" s="44">
        <f t="shared" si="53"/>
        <v>7</v>
      </c>
      <c r="N119" s="44">
        <f t="shared" si="53"/>
        <v>7</v>
      </c>
      <c r="O119" s="44">
        <f t="shared" si="53"/>
        <v>7</v>
      </c>
      <c r="P119" s="44">
        <f t="shared" si="53"/>
        <v>7</v>
      </c>
      <c r="Q119" s="44">
        <f t="shared" si="53"/>
        <v>7</v>
      </c>
      <c r="R119" s="44">
        <f t="shared" si="53"/>
        <v>7</v>
      </c>
      <c r="S119" s="44">
        <f t="shared" si="53"/>
        <v>7</v>
      </c>
      <c r="T119" s="44">
        <f t="shared" si="53"/>
        <v>7</v>
      </c>
      <c r="U119" s="44">
        <f t="shared" si="53"/>
        <v>7</v>
      </c>
      <c r="V119" s="44">
        <f t="shared" si="53"/>
        <v>7</v>
      </c>
      <c r="W119" s="44">
        <f t="shared" si="53"/>
        <v>7</v>
      </c>
      <c r="X119" s="44">
        <f t="shared" si="53"/>
        <v>7</v>
      </c>
      <c r="Y119" s="44">
        <f t="shared" si="53"/>
        <v>7</v>
      </c>
      <c r="Z119" s="44">
        <f t="shared" si="53"/>
        <v>7</v>
      </c>
      <c r="AA119" s="44">
        <f t="shared" si="53"/>
        <v>7</v>
      </c>
      <c r="AB119" s="44">
        <f t="shared" si="53"/>
        <v>7</v>
      </c>
      <c r="AC119" s="44">
        <f t="shared" si="53"/>
        <v>7</v>
      </c>
      <c r="AD119" s="44">
        <f t="shared" si="53"/>
        <v>7</v>
      </c>
      <c r="AE119" s="44">
        <f t="shared" si="53"/>
        <v>7</v>
      </c>
      <c r="AF119" s="44">
        <f t="shared" si="53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3"/>
        <v>3.47</v>
      </c>
      <c r="C120" s="55">
        <v>3.47</v>
      </c>
      <c r="D120" s="44">
        <f t="shared" si="46"/>
        <v>3.47</v>
      </c>
      <c r="E120" s="44">
        <f t="shared" si="46"/>
        <v>3.47</v>
      </c>
      <c r="F120" s="44">
        <f t="shared" si="46"/>
        <v>3.47</v>
      </c>
      <c r="G120" s="44">
        <f t="shared" si="46"/>
        <v>3.47</v>
      </c>
      <c r="H120" s="44">
        <f t="shared" si="46"/>
        <v>3.47</v>
      </c>
      <c r="I120" s="44">
        <f t="shared" si="46"/>
        <v>3.47</v>
      </c>
      <c r="J120" s="44">
        <f t="shared" si="48"/>
        <v>3.47</v>
      </c>
      <c r="K120" s="44">
        <f t="shared" ref="K120:AF120" si="54">J120</f>
        <v>3.47</v>
      </c>
      <c r="L120" s="44">
        <f t="shared" si="54"/>
        <v>3.47</v>
      </c>
      <c r="M120" s="44">
        <f t="shared" si="54"/>
        <v>3.47</v>
      </c>
      <c r="N120" s="44">
        <f t="shared" si="54"/>
        <v>3.47</v>
      </c>
      <c r="O120" s="44">
        <f t="shared" si="54"/>
        <v>3.47</v>
      </c>
      <c r="P120" s="44">
        <f t="shared" si="54"/>
        <v>3.47</v>
      </c>
      <c r="Q120" s="44">
        <f t="shared" si="54"/>
        <v>3.47</v>
      </c>
      <c r="R120" s="44">
        <f t="shared" si="54"/>
        <v>3.47</v>
      </c>
      <c r="S120" s="44">
        <f t="shared" si="54"/>
        <v>3.47</v>
      </c>
      <c r="T120" s="44">
        <f t="shared" si="54"/>
        <v>3.47</v>
      </c>
      <c r="U120" s="44">
        <f t="shared" si="54"/>
        <v>3.47</v>
      </c>
      <c r="V120" s="44">
        <f t="shared" si="54"/>
        <v>3.47</v>
      </c>
      <c r="W120" s="44">
        <f t="shared" si="54"/>
        <v>3.47</v>
      </c>
      <c r="X120" s="44">
        <f t="shared" si="54"/>
        <v>3.47</v>
      </c>
      <c r="Y120" s="44">
        <f t="shared" si="54"/>
        <v>3.47</v>
      </c>
      <c r="Z120" s="44">
        <f t="shared" si="54"/>
        <v>3.47</v>
      </c>
      <c r="AA120" s="44">
        <f t="shared" si="54"/>
        <v>3.47</v>
      </c>
      <c r="AB120" s="44">
        <f t="shared" si="54"/>
        <v>3.47</v>
      </c>
      <c r="AC120" s="44">
        <f t="shared" si="54"/>
        <v>3.47</v>
      </c>
      <c r="AD120" s="44">
        <f t="shared" si="54"/>
        <v>3.47</v>
      </c>
      <c r="AE120" s="44">
        <f t="shared" si="54"/>
        <v>3.47</v>
      </c>
      <c r="AF120" s="44">
        <f t="shared" si="54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3"/>
        <v>2.1</v>
      </c>
      <c r="C121" s="55">
        <v>2.1</v>
      </c>
      <c r="D121" s="44">
        <f t="shared" si="46"/>
        <v>2.1</v>
      </c>
      <c r="E121" s="44">
        <f t="shared" si="46"/>
        <v>2.1</v>
      </c>
      <c r="F121" s="44">
        <f t="shared" si="46"/>
        <v>2.1</v>
      </c>
      <c r="G121" s="44">
        <f t="shared" si="46"/>
        <v>2.1</v>
      </c>
      <c r="H121" s="44">
        <f t="shared" si="46"/>
        <v>2.1</v>
      </c>
      <c r="I121" s="44">
        <f t="shared" si="46"/>
        <v>2.1</v>
      </c>
      <c r="J121" s="44">
        <f t="shared" si="48"/>
        <v>2.1</v>
      </c>
      <c r="K121" s="44">
        <f t="shared" ref="K121:AF121" si="55">J121</f>
        <v>2.1</v>
      </c>
      <c r="L121" s="44">
        <f t="shared" si="55"/>
        <v>2.1</v>
      </c>
      <c r="M121" s="44">
        <f t="shared" si="55"/>
        <v>2.1</v>
      </c>
      <c r="N121" s="44">
        <f t="shared" si="55"/>
        <v>2.1</v>
      </c>
      <c r="O121" s="44">
        <f t="shared" si="55"/>
        <v>2.1</v>
      </c>
      <c r="P121" s="44">
        <f t="shared" si="55"/>
        <v>2.1</v>
      </c>
      <c r="Q121" s="44">
        <f t="shared" si="55"/>
        <v>2.1</v>
      </c>
      <c r="R121" s="44">
        <f t="shared" si="55"/>
        <v>2.1</v>
      </c>
      <c r="S121" s="44">
        <f t="shared" si="55"/>
        <v>2.1</v>
      </c>
      <c r="T121" s="44">
        <f t="shared" si="55"/>
        <v>2.1</v>
      </c>
      <c r="U121" s="44">
        <f t="shared" si="55"/>
        <v>2.1</v>
      </c>
      <c r="V121" s="44">
        <f t="shared" si="55"/>
        <v>2.1</v>
      </c>
      <c r="W121" s="44">
        <f t="shared" si="55"/>
        <v>2.1</v>
      </c>
      <c r="X121" s="44">
        <f t="shared" si="55"/>
        <v>2.1</v>
      </c>
      <c r="Y121" s="44">
        <f t="shared" si="55"/>
        <v>2.1</v>
      </c>
      <c r="Z121" s="44">
        <f t="shared" si="55"/>
        <v>2.1</v>
      </c>
      <c r="AA121" s="44">
        <f t="shared" si="55"/>
        <v>2.1</v>
      </c>
      <c r="AB121" s="44">
        <f t="shared" si="55"/>
        <v>2.1</v>
      </c>
      <c r="AC121" s="44">
        <f t="shared" si="55"/>
        <v>2.1</v>
      </c>
      <c r="AD121" s="44">
        <f t="shared" si="55"/>
        <v>2.1</v>
      </c>
      <c r="AE121" s="44">
        <f t="shared" si="55"/>
        <v>2.1</v>
      </c>
      <c r="AF121" s="44">
        <f t="shared" si="55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3"/>
        <v>9.3000000000000007</v>
      </c>
      <c r="C122" s="55">
        <v>9.3000000000000007</v>
      </c>
      <c r="D122" s="44">
        <f t="shared" si="46"/>
        <v>9.3000000000000007</v>
      </c>
      <c r="E122" s="44">
        <f t="shared" si="46"/>
        <v>9.3000000000000007</v>
      </c>
      <c r="F122" s="44">
        <f t="shared" si="46"/>
        <v>9.3000000000000007</v>
      </c>
      <c r="G122" s="44">
        <f t="shared" si="46"/>
        <v>9.3000000000000007</v>
      </c>
      <c r="H122" s="44">
        <f t="shared" si="46"/>
        <v>9.3000000000000007</v>
      </c>
      <c r="I122" s="44">
        <f t="shared" si="46"/>
        <v>9.3000000000000007</v>
      </c>
      <c r="J122" s="44">
        <f t="shared" si="48"/>
        <v>9.3000000000000007</v>
      </c>
      <c r="K122" s="44">
        <f t="shared" ref="K122:AF122" si="56">J122</f>
        <v>9.3000000000000007</v>
      </c>
      <c r="L122" s="44">
        <f t="shared" si="56"/>
        <v>9.3000000000000007</v>
      </c>
      <c r="M122" s="44">
        <f t="shared" si="56"/>
        <v>9.3000000000000007</v>
      </c>
      <c r="N122" s="44">
        <f t="shared" si="56"/>
        <v>9.3000000000000007</v>
      </c>
      <c r="O122" s="44">
        <f t="shared" si="56"/>
        <v>9.3000000000000007</v>
      </c>
      <c r="P122" s="44">
        <f t="shared" si="56"/>
        <v>9.3000000000000007</v>
      </c>
      <c r="Q122" s="44">
        <f t="shared" si="56"/>
        <v>9.3000000000000007</v>
      </c>
      <c r="R122" s="44">
        <f t="shared" si="56"/>
        <v>9.3000000000000007</v>
      </c>
      <c r="S122" s="44">
        <f t="shared" si="56"/>
        <v>9.3000000000000007</v>
      </c>
      <c r="T122" s="44">
        <f t="shared" si="56"/>
        <v>9.3000000000000007</v>
      </c>
      <c r="U122" s="44">
        <f t="shared" si="56"/>
        <v>9.3000000000000007</v>
      </c>
      <c r="V122" s="44">
        <f t="shared" si="56"/>
        <v>9.3000000000000007</v>
      </c>
      <c r="W122" s="44">
        <f t="shared" si="56"/>
        <v>9.3000000000000007</v>
      </c>
      <c r="X122" s="44">
        <f t="shared" si="56"/>
        <v>9.3000000000000007</v>
      </c>
      <c r="Y122" s="44">
        <f t="shared" si="56"/>
        <v>9.3000000000000007</v>
      </c>
      <c r="Z122" s="44">
        <f t="shared" si="56"/>
        <v>9.3000000000000007</v>
      </c>
      <c r="AA122" s="44">
        <f t="shared" si="56"/>
        <v>9.3000000000000007</v>
      </c>
      <c r="AB122" s="44">
        <f t="shared" si="56"/>
        <v>9.3000000000000007</v>
      </c>
      <c r="AC122" s="44">
        <f t="shared" si="56"/>
        <v>9.3000000000000007</v>
      </c>
      <c r="AD122" s="44">
        <f t="shared" si="56"/>
        <v>9.3000000000000007</v>
      </c>
      <c r="AE122" s="44">
        <f t="shared" si="56"/>
        <v>9.3000000000000007</v>
      </c>
      <c r="AF122" s="44">
        <f t="shared" si="56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3"/>
        <v>0</v>
      </c>
      <c r="C123" s="55">
        <v>0</v>
      </c>
      <c r="D123" s="44">
        <f t="shared" si="46"/>
        <v>0</v>
      </c>
      <c r="E123" s="44">
        <f t="shared" si="46"/>
        <v>0</v>
      </c>
      <c r="F123" s="44">
        <f t="shared" si="46"/>
        <v>0</v>
      </c>
      <c r="G123" s="44">
        <f t="shared" si="46"/>
        <v>0</v>
      </c>
      <c r="H123" s="44">
        <f t="shared" si="46"/>
        <v>0</v>
      </c>
      <c r="I123" s="44">
        <f t="shared" si="46"/>
        <v>0</v>
      </c>
      <c r="J123" s="44">
        <f t="shared" si="48"/>
        <v>0</v>
      </c>
      <c r="K123" s="44">
        <f t="shared" ref="K123:AF123" si="57">J123</f>
        <v>0</v>
      </c>
      <c r="L123" s="44">
        <f t="shared" si="57"/>
        <v>0</v>
      </c>
      <c r="M123" s="44">
        <f t="shared" si="57"/>
        <v>0</v>
      </c>
      <c r="N123" s="44">
        <f t="shared" si="57"/>
        <v>0</v>
      </c>
      <c r="O123" s="44">
        <f t="shared" si="57"/>
        <v>0</v>
      </c>
      <c r="P123" s="44">
        <f t="shared" si="57"/>
        <v>0</v>
      </c>
      <c r="Q123" s="44">
        <f t="shared" si="57"/>
        <v>0</v>
      </c>
      <c r="R123" s="44">
        <f t="shared" si="57"/>
        <v>0</v>
      </c>
      <c r="S123" s="44">
        <f t="shared" si="57"/>
        <v>0</v>
      </c>
      <c r="T123" s="44">
        <f t="shared" si="57"/>
        <v>0</v>
      </c>
      <c r="U123" s="44">
        <f t="shared" si="57"/>
        <v>0</v>
      </c>
      <c r="V123" s="44">
        <f t="shared" si="57"/>
        <v>0</v>
      </c>
      <c r="W123" s="44">
        <f t="shared" si="57"/>
        <v>0</v>
      </c>
      <c r="X123" s="44">
        <f t="shared" si="57"/>
        <v>0</v>
      </c>
      <c r="Y123" s="44">
        <f t="shared" si="57"/>
        <v>0</v>
      </c>
      <c r="Z123" s="44">
        <f t="shared" si="57"/>
        <v>0</v>
      </c>
      <c r="AA123" s="44">
        <f t="shared" si="57"/>
        <v>0</v>
      </c>
      <c r="AB123" s="44">
        <f t="shared" si="57"/>
        <v>0</v>
      </c>
      <c r="AC123" s="44">
        <f t="shared" si="57"/>
        <v>0</v>
      </c>
      <c r="AD123" s="44">
        <f t="shared" si="57"/>
        <v>0</v>
      </c>
      <c r="AE123" s="44">
        <f t="shared" si="57"/>
        <v>0</v>
      </c>
      <c r="AF123" s="44">
        <f t="shared" si="5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3"/>
        <v>0</v>
      </c>
      <c r="C124" s="55">
        <v>0</v>
      </c>
      <c r="D124" s="44">
        <f t="shared" ref="D124:I129" si="58">C124</f>
        <v>0</v>
      </c>
      <c r="E124" s="44">
        <f t="shared" si="58"/>
        <v>0</v>
      </c>
      <c r="F124" s="44">
        <f t="shared" si="58"/>
        <v>0</v>
      </c>
      <c r="G124" s="44">
        <f t="shared" si="58"/>
        <v>0</v>
      </c>
      <c r="H124" s="44">
        <f t="shared" si="58"/>
        <v>0</v>
      </c>
      <c r="I124" s="44">
        <f t="shared" si="58"/>
        <v>0</v>
      </c>
      <c r="J124" s="44">
        <f t="shared" si="48"/>
        <v>0</v>
      </c>
      <c r="K124" s="44">
        <f t="shared" ref="K124:AF124" si="59">J124</f>
        <v>0</v>
      </c>
      <c r="L124" s="44">
        <f t="shared" si="59"/>
        <v>0</v>
      </c>
      <c r="M124" s="44">
        <f t="shared" si="59"/>
        <v>0</v>
      </c>
      <c r="N124" s="44">
        <f t="shared" si="59"/>
        <v>0</v>
      </c>
      <c r="O124" s="44">
        <f t="shared" si="59"/>
        <v>0</v>
      </c>
      <c r="P124" s="44">
        <f t="shared" si="59"/>
        <v>0</v>
      </c>
      <c r="Q124" s="44">
        <f t="shared" si="59"/>
        <v>0</v>
      </c>
      <c r="R124" s="44">
        <f t="shared" si="59"/>
        <v>0</v>
      </c>
      <c r="S124" s="44">
        <f t="shared" si="59"/>
        <v>0</v>
      </c>
      <c r="T124" s="44">
        <f t="shared" si="59"/>
        <v>0</v>
      </c>
      <c r="U124" s="44">
        <f t="shared" si="59"/>
        <v>0</v>
      </c>
      <c r="V124" s="44">
        <f t="shared" si="59"/>
        <v>0</v>
      </c>
      <c r="W124" s="44">
        <f t="shared" si="59"/>
        <v>0</v>
      </c>
      <c r="X124" s="44">
        <f t="shared" si="59"/>
        <v>0</v>
      </c>
      <c r="Y124" s="44">
        <f t="shared" si="59"/>
        <v>0</v>
      </c>
      <c r="Z124" s="44">
        <f t="shared" si="59"/>
        <v>0</v>
      </c>
      <c r="AA124" s="44">
        <f t="shared" si="59"/>
        <v>0</v>
      </c>
      <c r="AB124" s="44">
        <f t="shared" si="59"/>
        <v>0</v>
      </c>
      <c r="AC124" s="44">
        <f t="shared" si="59"/>
        <v>0</v>
      </c>
      <c r="AD124" s="44">
        <f t="shared" si="59"/>
        <v>0</v>
      </c>
      <c r="AE124" s="44">
        <f t="shared" si="59"/>
        <v>0</v>
      </c>
      <c r="AF124" s="44">
        <f t="shared" si="59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3"/>
        <v>5</v>
      </c>
      <c r="C125" s="55">
        <v>5</v>
      </c>
      <c r="D125" s="44">
        <f t="shared" si="58"/>
        <v>5</v>
      </c>
      <c r="E125" s="44">
        <f t="shared" si="58"/>
        <v>5</v>
      </c>
      <c r="F125" s="44">
        <f t="shared" si="58"/>
        <v>5</v>
      </c>
      <c r="G125" s="44">
        <f t="shared" si="58"/>
        <v>5</v>
      </c>
      <c r="H125" s="44">
        <f t="shared" si="58"/>
        <v>5</v>
      </c>
      <c r="I125" s="44">
        <f t="shared" si="58"/>
        <v>5</v>
      </c>
      <c r="J125" s="44">
        <f t="shared" si="48"/>
        <v>5</v>
      </c>
      <c r="K125" s="44">
        <f t="shared" ref="K125:AF125" si="60">J125</f>
        <v>5</v>
      </c>
      <c r="L125" s="44">
        <f t="shared" si="60"/>
        <v>5</v>
      </c>
      <c r="M125" s="44">
        <f t="shared" si="60"/>
        <v>5</v>
      </c>
      <c r="N125" s="44">
        <f t="shared" si="60"/>
        <v>5</v>
      </c>
      <c r="O125" s="44">
        <f t="shared" si="60"/>
        <v>5</v>
      </c>
      <c r="P125" s="44">
        <f t="shared" si="60"/>
        <v>5</v>
      </c>
      <c r="Q125" s="44">
        <f t="shared" si="60"/>
        <v>5</v>
      </c>
      <c r="R125" s="44">
        <f t="shared" si="60"/>
        <v>5</v>
      </c>
      <c r="S125" s="44">
        <f t="shared" si="60"/>
        <v>5</v>
      </c>
      <c r="T125" s="44">
        <f t="shared" si="60"/>
        <v>5</v>
      </c>
      <c r="U125" s="44">
        <f t="shared" si="60"/>
        <v>5</v>
      </c>
      <c r="V125" s="44">
        <f t="shared" si="60"/>
        <v>5</v>
      </c>
      <c r="W125" s="44">
        <f t="shared" si="60"/>
        <v>5</v>
      </c>
      <c r="X125" s="44">
        <f t="shared" si="60"/>
        <v>5</v>
      </c>
      <c r="Y125" s="44">
        <f t="shared" si="60"/>
        <v>5</v>
      </c>
      <c r="Z125" s="44">
        <f t="shared" si="60"/>
        <v>5</v>
      </c>
      <c r="AA125" s="44">
        <f t="shared" si="60"/>
        <v>5</v>
      </c>
      <c r="AB125" s="44">
        <f t="shared" si="60"/>
        <v>5</v>
      </c>
      <c r="AC125" s="44">
        <f t="shared" si="60"/>
        <v>5</v>
      </c>
      <c r="AD125" s="44">
        <f t="shared" si="60"/>
        <v>5</v>
      </c>
      <c r="AE125" s="44">
        <f t="shared" si="60"/>
        <v>5</v>
      </c>
      <c r="AF125" s="44">
        <f t="shared" si="60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3"/>
        <v>1</v>
      </c>
      <c r="C126" s="55">
        <v>1</v>
      </c>
      <c r="D126" s="44">
        <f t="shared" si="58"/>
        <v>1</v>
      </c>
      <c r="E126" s="44">
        <f t="shared" si="58"/>
        <v>1</v>
      </c>
      <c r="F126" s="44">
        <f t="shared" si="58"/>
        <v>1</v>
      </c>
      <c r="G126" s="44">
        <f t="shared" si="58"/>
        <v>1</v>
      </c>
      <c r="H126" s="44">
        <f t="shared" si="58"/>
        <v>1</v>
      </c>
      <c r="I126" s="44">
        <f t="shared" si="58"/>
        <v>1</v>
      </c>
      <c r="J126" s="44">
        <f t="shared" si="48"/>
        <v>1</v>
      </c>
      <c r="K126" s="44">
        <f t="shared" ref="K126:AF126" si="61">J126</f>
        <v>1</v>
      </c>
      <c r="L126" s="44">
        <f t="shared" si="61"/>
        <v>1</v>
      </c>
      <c r="M126" s="44">
        <f t="shared" si="61"/>
        <v>1</v>
      </c>
      <c r="N126" s="44">
        <f t="shared" si="61"/>
        <v>1</v>
      </c>
      <c r="O126" s="44">
        <f t="shared" si="61"/>
        <v>1</v>
      </c>
      <c r="P126" s="44">
        <f t="shared" si="61"/>
        <v>1</v>
      </c>
      <c r="Q126" s="44">
        <f t="shared" si="61"/>
        <v>1</v>
      </c>
      <c r="R126" s="44">
        <f t="shared" si="61"/>
        <v>1</v>
      </c>
      <c r="S126" s="44">
        <f t="shared" si="61"/>
        <v>1</v>
      </c>
      <c r="T126" s="44">
        <f t="shared" si="61"/>
        <v>1</v>
      </c>
      <c r="U126" s="44">
        <f t="shared" si="61"/>
        <v>1</v>
      </c>
      <c r="V126" s="44">
        <f t="shared" si="61"/>
        <v>1</v>
      </c>
      <c r="W126" s="44">
        <f t="shared" si="61"/>
        <v>1</v>
      </c>
      <c r="X126" s="44">
        <f t="shared" si="61"/>
        <v>1</v>
      </c>
      <c r="Y126" s="44">
        <f t="shared" si="61"/>
        <v>1</v>
      </c>
      <c r="Z126" s="44">
        <f t="shared" si="61"/>
        <v>1</v>
      </c>
      <c r="AA126" s="44">
        <f t="shared" si="61"/>
        <v>1</v>
      </c>
      <c r="AB126" s="44">
        <f t="shared" si="61"/>
        <v>1</v>
      </c>
      <c r="AC126" s="44">
        <f t="shared" si="61"/>
        <v>1</v>
      </c>
      <c r="AD126" s="44">
        <f t="shared" si="61"/>
        <v>1</v>
      </c>
      <c r="AE126" s="44">
        <f t="shared" si="61"/>
        <v>1</v>
      </c>
      <c r="AF126" s="44">
        <f t="shared" si="6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3"/>
        <v>1.58</v>
      </c>
      <c r="C127" s="55">
        <v>1.58</v>
      </c>
      <c r="D127" s="44">
        <f t="shared" si="58"/>
        <v>1.58</v>
      </c>
      <c r="E127" s="44">
        <f t="shared" si="58"/>
        <v>1.58</v>
      </c>
      <c r="F127" s="44">
        <f t="shared" si="58"/>
        <v>1.58</v>
      </c>
      <c r="G127" s="44">
        <f t="shared" si="58"/>
        <v>1.58</v>
      </c>
      <c r="H127" s="44">
        <f t="shared" si="58"/>
        <v>1.58</v>
      </c>
      <c r="I127" s="44">
        <f t="shared" si="58"/>
        <v>1.58</v>
      </c>
      <c r="J127" s="44">
        <f t="shared" si="48"/>
        <v>1.58</v>
      </c>
      <c r="K127" s="44">
        <f t="shared" ref="K127:AF127" si="62">J127</f>
        <v>1.58</v>
      </c>
      <c r="L127" s="44">
        <f t="shared" si="62"/>
        <v>1.58</v>
      </c>
      <c r="M127" s="44">
        <f t="shared" si="62"/>
        <v>1.58</v>
      </c>
      <c r="N127" s="44">
        <f t="shared" si="62"/>
        <v>1.58</v>
      </c>
      <c r="O127" s="44">
        <f t="shared" si="62"/>
        <v>1.58</v>
      </c>
      <c r="P127" s="44">
        <f t="shared" si="62"/>
        <v>1.58</v>
      </c>
      <c r="Q127" s="44">
        <f t="shared" si="62"/>
        <v>1.58</v>
      </c>
      <c r="R127" s="44">
        <f t="shared" si="62"/>
        <v>1.58</v>
      </c>
      <c r="S127" s="44">
        <f t="shared" si="62"/>
        <v>1.58</v>
      </c>
      <c r="T127" s="44">
        <f t="shared" si="62"/>
        <v>1.58</v>
      </c>
      <c r="U127" s="44">
        <f t="shared" si="62"/>
        <v>1.58</v>
      </c>
      <c r="V127" s="44">
        <f t="shared" si="62"/>
        <v>1.58</v>
      </c>
      <c r="W127" s="44">
        <f t="shared" si="62"/>
        <v>1.58</v>
      </c>
      <c r="X127" s="44">
        <f t="shared" si="62"/>
        <v>1.58</v>
      </c>
      <c r="Y127" s="44">
        <f t="shared" si="62"/>
        <v>1.58</v>
      </c>
      <c r="Z127" s="44">
        <f t="shared" si="62"/>
        <v>1.58</v>
      </c>
      <c r="AA127" s="44">
        <f t="shared" si="62"/>
        <v>1.58</v>
      </c>
      <c r="AB127" s="44">
        <f t="shared" si="62"/>
        <v>1.58</v>
      </c>
      <c r="AC127" s="44">
        <f t="shared" si="62"/>
        <v>1.58</v>
      </c>
      <c r="AD127" s="44">
        <f t="shared" si="62"/>
        <v>1.58</v>
      </c>
      <c r="AE127" s="44">
        <f t="shared" si="62"/>
        <v>1.58</v>
      </c>
      <c r="AF127" s="44">
        <f t="shared" si="62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3"/>
        <v>1.46</v>
      </c>
      <c r="C128" s="55">
        <v>1.46</v>
      </c>
      <c r="D128" s="44">
        <f t="shared" si="58"/>
        <v>1.46</v>
      </c>
      <c r="E128" s="44">
        <f t="shared" si="58"/>
        <v>1.46</v>
      </c>
      <c r="F128" s="44">
        <f t="shared" si="58"/>
        <v>1.46</v>
      </c>
      <c r="G128" s="44">
        <f t="shared" si="58"/>
        <v>1.46</v>
      </c>
      <c r="H128" s="44">
        <f t="shared" si="58"/>
        <v>1.46</v>
      </c>
      <c r="I128" s="44">
        <f t="shared" si="58"/>
        <v>1.46</v>
      </c>
      <c r="J128" s="44">
        <f t="shared" si="48"/>
        <v>1.46</v>
      </c>
      <c r="K128" s="44">
        <f t="shared" ref="K128:AF128" si="63">J128</f>
        <v>1.46</v>
      </c>
      <c r="L128" s="44">
        <f t="shared" si="63"/>
        <v>1.46</v>
      </c>
      <c r="M128" s="44">
        <f t="shared" si="63"/>
        <v>1.46</v>
      </c>
      <c r="N128" s="44">
        <f t="shared" si="63"/>
        <v>1.46</v>
      </c>
      <c r="O128" s="44">
        <f t="shared" si="63"/>
        <v>1.46</v>
      </c>
      <c r="P128" s="44">
        <f t="shared" si="63"/>
        <v>1.46</v>
      </c>
      <c r="Q128" s="44">
        <f t="shared" si="63"/>
        <v>1.46</v>
      </c>
      <c r="R128" s="44">
        <f t="shared" si="63"/>
        <v>1.46</v>
      </c>
      <c r="S128" s="44">
        <f t="shared" si="63"/>
        <v>1.46</v>
      </c>
      <c r="T128" s="44">
        <f t="shared" si="63"/>
        <v>1.46</v>
      </c>
      <c r="U128" s="44">
        <f t="shared" si="63"/>
        <v>1.46</v>
      </c>
      <c r="V128" s="44">
        <f t="shared" si="63"/>
        <v>1.46</v>
      </c>
      <c r="W128" s="44">
        <f t="shared" si="63"/>
        <v>1.46</v>
      </c>
      <c r="X128" s="44">
        <f t="shared" si="63"/>
        <v>1.46</v>
      </c>
      <c r="Y128" s="44">
        <f t="shared" si="63"/>
        <v>1.46</v>
      </c>
      <c r="Z128" s="44">
        <f t="shared" si="63"/>
        <v>1.46</v>
      </c>
      <c r="AA128" s="44">
        <f t="shared" si="63"/>
        <v>1.46</v>
      </c>
      <c r="AB128" s="44">
        <f t="shared" si="63"/>
        <v>1.46</v>
      </c>
      <c r="AC128" s="44">
        <f t="shared" si="63"/>
        <v>1.46</v>
      </c>
      <c r="AD128" s="44">
        <f t="shared" si="63"/>
        <v>1.46</v>
      </c>
      <c r="AE128" s="44">
        <f t="shared" si="63"/>
        <v>1.46</v>
      </c>
      <c r="AF128" s="44">
        <f t="shared" si="6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3"/>
        <v>1.48</v>
      </c>
      <c r="C129" s="55">
        <v>1.48</v>
      </c>
      <c r="D129" s="44">
        <f t="shared" si="58"/>
        <v>1.48</v>
      </c>
      <c r="E129" s="44">
        <f t="shared" si="58"/>
        <v>1.48</v>
      </c>
      <c r="F129" s="44">
        <f t="shared" si="58"/>
        <v>1.48</v>
      </c>
      <c r="G129" s="44">
        <f t="shared" si="58"/>
        <v>1.48</v>
      </c>
      <c r="H129" s="44">
        <f t="shared" si="58"/>
        <v>1.48</v>
      </c>
      <c r="I129" s="44">
        <f t="shared" si="58"/>
        <v>1.48</v>
      </c>
      <c r="J129" s="44">
        <f t="shared" si="48"/>
        <v>1.48</v>
      </c>
      <c r="K129" s="44">
        <f t="shared" ref="K129:AF129" si="64">J129</f>
        <v>1.48</v>
      </c>
      <c r="L129" s="44">
        <f t="shared" si="64"/>
        <v>1.48</v>
      </c>
      <c r="M129" s="44">
        <f t="shared" si="64"/>
        <v>1.48</v>
      </c>
      <c r="N129" s="44">
        <f t="shared" si="64"/>
        <v>1.48</v>
      </c>
      <c r="O129" s="44">
        <f t="shared" si="64"/>
        <v>1.48</v>
      </c>
      <c r="P129" s="44">
        <f t="shared" si="64"/>
        <v>1.48</v>
      </c>
      <c r="Q129" s="44">
        <f t="shared" si="64"/>
        <v>1.48</v>
      </c>
      <c r="R129" s="44">
        <f t="shared" si="64"/>
        <v>1.48</v>
      </c>
      <c r="S129" s="44">
        <f t="shared" si="64"/>
        <v>1.48</v>
      </c>
      <c r="T129" s="44">
        <f t="shared" si="64"/>
        <v>1.48</v>
      </c>
      <c r="U129" s="44">
        <f t="shared" si="64"/>
        <v>1.48</v>
      </c>
      <c r="V129" s="44">
        <f t="shared" si="64"/>
        <v>1.48</v>
      </c>
      <c r="W129" s="44">
        <f t="shared" si="64"/>
        <v>1.48</v>
      </c>
      <c r="X129" s="44">
        <f t="shared" si="64"/>
        <v>1.48</v>
      </c>
      <c r="Y129" s="44">
        <f t="shared" si="64"/>
        <v>1.48</v>
      </c>
      <c r="Z129" s="44">
        <f t="shared" si="64"/>
        <v>1.48</v>
      </c>
      <c r="AA129" s="44">
        <f t="shared" si="64"/>
        <v>1.48</v>
      </c>
      <c r="AB129" s="44">
        <f t="shared" si="64"/>
        <v>1.48</v>
      </c>
      <c r="AC129" s="44">
        <f t="shared" si="64"/>
        <v>1.48</v>
      </c>
      <c r="AD129" s="44">
        <f t="shared" si="64"/>
        <v>1.48</v>
      </c>
      <c r="AE129" s="44">
        <f t="shared" si="64"/>
        <v>1.48</v>
      </c>
      <c r="AF129" s="44">
        <f t="shared" si="64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65">AF131</f>
        <v>2.2000000000000002</v>
      </c>
      <c r="C131" s="55">
        <v>2.2000000000000002</v>
      </c>
      <c r="D131" s="44">
        <f t="shared" ref="D131:AF131" si="66">C131</f>
        <v>2.2000000000000002</v>
      </c>
      <c r="E131" s="44">
        <f t="shared" si="66"/>
        <v>2.2000000000000002</v>
      </c>
      <c r="F131" s="44">
        <f t="shared" si="66"/>
        <v>2.2000000000000002</v>
      </c>
      <c r="G131" s="44">
        <f t="shared" si="66"/>
        <v>2.2000000000000002</v>
      </c>
      <c r="H131" s="44">
        <f t="shared" si="66"/>
        <v>2.2000000000000002</v>
      </c>
      <c r="I131" s="44">
        <f t="shared" si="66"/>
        <v>2.2000000000000002</v>
      </c>
      <c r="J131" s="44">
        <f t="shared" si="66"/>
        <v>2.2000000000000002</v>
      </c>
      <c r="K131" s="44">
        <f t="shared" si="66"/>
        <v>2.2000000000000002</v>
      </c>
      <c r="L131" s="44">
        <f t="shared" si="66"/>
        <v>2.2000000000000002</v>
      </c>
      <c r="M131" s="44">
        <f t="shared" si="66"/>
        <v>2.2000000000000002</v>
      </c>
      <c r="N131" s="44">
        <f t="shared" si="66"/>
        <v>2.2000000000000002</v>
      </c>
      <c r="O131" s="44">
        <f t="shared" si="66"/>
        <v>2.2000000000000002</v>
      </c>
      <c r="P131" s="44">
        <f t="shared" si="66"/>
        <v>2.2000000000000002</v>
      </c>
      <c r="Q131" s="44">
        <f t="shared" si="66"/>
        <v>2.2000000000000002</v>
      </c>
      <c r="R131" s="44">
        <f t="shared" si="66"/>
        <v>2.2000000000000002</v>
      </c>
      <c r="S131" s="44">
        <f t="shared" si="66"/>
        <v>2.2000000000000002</v>
      </c>
      <c r="T131" s="44">
        <f t="shared" si="66"/>
        <v>2.2000000000000002</v>
      </c>
      <c r="U131" s="44">
        <f t="shared" si="66"/>
        <v>2.2000000000000002</v>
      </c>
      <c r="V131" s="44">
        <f t="shared" si="66"/>
        <v>2.2000000000000002</v>
      </c>
      <c r="W131" s="44">
        <f t="shared" si="66"/>
        <v>2.2000000000000002</v>
      </c>
      <c r="X131" s="44">
        <f t="shared" si="66"/>
        <v>2.2000000000000002</v>
      </c>
      <c r="Y131" s="44">
        <f t="shared" si="66"/>
        <v>2.2000000000000002</v>
      </c>
      <c r="Z131" s="44">
        <f t="shared" si="66"/>
        <v>2.2000000000000002</v>
      </c>
      <c r="AA131" s="44">
        <f t="shared" si="66"/>
        <v>2.2000000000000002</v>
      </c>
      <c r="AB131" s="44">
        <f t="shared" si="66"/>
        <v>2.2000000000000002</v>
      </c>
      <c r="AC131" s="44">
        <f t="shared" si="66"/>
        <v>2.2000000000000002</v>
      </c>
      <c r="AD131" s="44">
        <f t="shared" si="66"/>
        <v>2.2000000000000002</v>
      </c>
      <c r="AE131" s="44">
        <f t="shared" si="66"/>
        <v>2.2000000000000002</v>
      </c>
      <c r="AF131" s="44">
        <f t="shared" si="6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65"/>
        <v>2</v>
      </c>
      <c r="C132" s="55">
        <v>2</v>
      </c>
      <c r="D132" s="44">
        <f t="shared" ref="D132:AF132" si="67">C132</f>
        <v>2</v>
      </c>
      <c r="E132" s="44">
        <f t="shared" si="67"/>
        <v>2</v>
      </c>
      <c r="F132" s="44">
        <f t="shared" si="67"/>
        <v>2</v>
      </c>
      <c r="G132" s="44">
        <f t="shared" si="67"/>
        <v>2</v>
      </c>
      <c r="H132" s="44">
        <f t="shared" si="67"/>
        <v>2</v>
      </c>
      <c r="I132" s="44">
        <f t="shared" si="67"/>
        <v>2</v>
      </c>
      <c r="J132" s="44">
        <f t="shared" si="67"/>
        <v>2</v>
      </c>
      <c r="K132" s="44">
        <f t="shared" si="67"/>
        <v>2</v>
      </c>
      <c r="L132" s="44">
        <f t="shared" si="67"/>
        <v>2</v>
      </c>
      <c r="M132" s="44">
        <f t="shared" si="67"/>
        <v>2</v>
      </c>
      <c r="N132" s="44">
        <f t="shared" si="67"/>
        <v>2</v>
      </c>
      <c r="O132" s="44">
        <f t="shared" si="67"/>
        <v>2</v>
      </c>
      <c r="P132" s="44">
        <f t="shared" si="67"/>
        <v>2</v>
      </c>
      <c r="Q132" s="44">
        <f t="shared" si="67"/>
        <v>2</v>
      </c>
      <c r="R132" s="44">
        <f t="shared" si="67"/>
        <v>2</v>
      </c>
      <c r="S132" s="44">
        <f t="shared" si="67"/>
        <v>2</v>
      </c>
      <c r="T132" s="44">
        <f t="shared" si="67"/>
        <v>2</v>
      </c>
      <c r="U132" s="44">
        <f t="shared" si="67"/>
        <v>2</v>
      </c>
      <c r="V132" s="44">
        <f t="shared" si="67"/>
        <v>2</v>
      </c>
      <c r="W132" s="44">
        <f t="shared" si="67"/>
        <v>2</v>
      </c>
      <c r="X132" s="44">
        <f t="shared" si="67"/>
        <v>2</v>
      </c>
      <c r="Y132" s="44">
        <f t="shared" si="67"/>
        <v>2</v>
      </c>
      <c r="Z132" s="44">
        <f t="shared" si="67"/>
        <v>2</v>
      </c>
      <c r="AA132" s="44">
        <f t="shared" si="67"/>
        <v>2</v>
      </c>
      <c r="AB132" s="44">
        <f t="shared" si="67"/>
        <v>2</v>
      </c>
      <c r="AC132" s="44">
        <f t="shared" si="67"/>
        <v>2</v>
      </c>
      <c r="AD132" s="44">
        <f t="shared" si="67"/>
        <v>2</v>
      </c>
      <c r="AE132" s="44">
        <f t="shared" si="67"/>
        <v>2</v>
      </c>
      <c r="AF132" s="44">
        <f t="shared" si="67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65"/>
        <v>1.25</v>
      </c>
      <c r="C133" s="55">
        <v>1.25</v>
      </c>
      <c r="D133" s="44">
        <f t="shared" ref="D133:AF133" si="68">C133</f>
        <v>1.25</v>
      </c>
      <c r="E133" s="44">
        <f t="shared" si="68"/>
        <v>1.25</v>
      </c>
      <c r="F133" s="44">
        <f t="shared" si="68"/>
        <v>1.25</v>
      </c>
      <c r="G133" s="44">
        <f t="shared" si="68"/>
        <v>1.25</v>
      </c>
      <c r="H133" s="44">
        <f t="shared" si="68"/>
        <v>1.25</v>
      </c>
      <c r="I133" s="44">
        <f t="shared" si="68"/>
        <v>1.25</v>
      </c>
      <c r="J133" s="44">
        <f t="shared" si="68"/>
        <v>1.25</v>
      </c>
      <c r="K133" s="44">
        <f t="shared" si="68"/>
        <v>1.25</v>
      </c>
      <c r="L133" s="44">
        <f t="shared" si="68"/>
        <v>1.25</v>
      </c>
      <c r="M133" s="44">
        <f t="shared" si="68"/>
        <v>1.25</v>
      </c>
      <c r="N133" s="44">
        <f t="shared" si="68"/>
        <v>1.25</v>
      </c>
      <c r="O133" s="44">
        <f t="shared" si="68"/>
        <v>1.25</v>
      </c>
      <c r="P133" s="44">
        <f t="shared" si="68"/>
        <v>1.25</v>
      </c>
      <c r="Q133" s="44">
        <f t="shared" si="68"/>
        <v>1.25</v>
      </c>
      <c r="R133" s="44">
        <f t="shared" si="68"/>
        <v>1.25</v>
      </c>
      <c r="S133" s="44">
        <f t="shared" si="68"/>
        <v>1.25</v>
      </c>
      <c r="T133" s="44">
        <f t="shared" si="68"/>
        <v>1.25</v>
      </c>
      <c r="U133" s="44">
        <f t="shared" si="68"/>
        <v>1.25</v>
      </c>
      <c r="V133" s="44">
        <f t="shared" si="68"/>
        <v>1.25</v>
      </c>
      <c r="W133" s="44">
        <f t="shared" si="68"/>
        <v>1.25</v>
      </c>
      <c r="X133" s="44">
        <f t="shared" si="68"/>
        <v>1.25</v>
      </c>
      <c r="Y133" s="44">
        <f t="shared" si="68"/>
        <v>1.25</v>
      </c>
      <c r="Z133" s="44">
        <f t="shared" si="68"/>
        <v>1.25</v>
      </c>
      <c r="AA133" s="44">
        <f t="shared" si="68"/>
        <v>1.25</v>
      </c>
      <c r="AB133" s="44">
        <f t="shared" si="68"/>
        <v>1.25</v>
      </c>
      <c r="AC133" s="44">
        <f t="shared" si="68"/>
        <v>1.25</v>
      </c>
      <c r="AD133" s="44">
        <f t="shared" si="68"/>
        <v>1.25</v>
      </c>
      <c r="AE133" s="44">
        <f t="shared" si="68"/>
        <v>1.25</v>
      </c>
      <c r="AF133" s="44">
        <f t="shared" si="68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65"/>
        <v>1.1499999999999999</v>
      </c>
      <c r="C134" s="55">
        <v>1.1499999999999999</v>
      </c>
      <c r="D134" s="44">
        <f t="shared" ref="D134:AF134" si="69">C134</f>
        <v>1.1499999999999999</v>
      </c>
      <c r="E134" s="44">
        <f t="shared" si="69"/>
        <v>1.1499999999999999</v>
      </c>
      <c r="F134" s="44">
        <f t="shared" si="69"/>
        <v>1.1499999999999999</v>
      </c>
      <c r="G134" s="44">
        <f t="shared" si="69"/>
        <v>1.1499999999999999</v>
      </c>
      <c r="H134" s="44">
        <f t="shared" si="69"/>
        <v>1.1499999999999999</v>
      </c>
      <c r="I134" s="44">
        <f t="shared" si="69"/>
        <v>1.1499999999999999</v>
      </c>
      <c r="J134" s="44">
        <f t="shared" si="69"/>
        <v>1.1499999999999999</v>
      </c>
      <c r="K134" s="44">
        <f t="shared" si="69"/>
        <v>1.1499999999999999</v>
      </c>
      <c r="L134" s="44">
        <f t="shared" si="69"/>
        <v>1.1499999999999999</v>
      </c>
      <c r="M134" s="44">
        <f t="shared" si="69"/>
        <v>1.1499999999999999</v>
      </c>
      <c r="N134" s="44">
        <f t="shared" si="69"/>
        <v>1.1499999999999999</v>
      </c>
      <c r="O134" s="44">
        <f t="shared" si="69"/>
        <v>1.1499999999999999</v>
      </c>
      <c r="P134" s="44">
        <f t="shared" si="69"/>
        <v>1.1499999999999999</v>
      </c>
      <c r="Q134" s="44">
        <f t="shared" si="69"/>
        <v>1.1499999999999999</v>
      </c>
      <c r="R134" s="44">
        <f t="shared" si="69"/>
        <v>1.1499999999999999</v>
      </c>
      <c r="S134" s="44">
        <f t="shared" si="69"/>
        <v>1.1499999999999999</v>
      </c>
      <c r="T134" s="44">
        <f t="shared" si="69"/>
        <v>1.1499999999999999</v>
      </c>
      <c r="U134" s="44">
        <f t="shared" si="69"/>
        <v>1.1499999999999999</v>
      </c>
      <c r="V134" s="44">
        <f t="shared" si="69"/>
        <v>1.1499999999999999</v>
      </c>
      <c r="W134" s="44">
        <f t="shared" si="69"/>
        <v>1.1499999999999999</v>
      </c>
      <c r="X134" s="44">
        <f t="shared" si="69"/>
        <v>1.1499999999999999</v>
      </c>
      <c r="Y134" s="44">
        <f t="shared" si="69"/>
        <v>1.1499999999999999</v>
      </c>
      <c r="Z134" s="44">
        <f t="shared" si="69"/>
        <v>1.1499999999999999</v>
      </c>
      <c r="AA134" s="44">
        <f t="shared" si="69"/>
        <v>1.1499999999999999</v>
      </c>
      <c r="AB134" s="44">
        <f t="shared" si="69"/>
        <v>1.1499999999999999</v>
      </c>
      <c r="AC134" s="44">
        <f t="shared" si="69"/>
        <v>1.1499999999999999</v>
      </c>
      <c r="AD134" s="44">
        <f t="shared" si="69"/>
        <v>1.1499999999999999</v>
      </c>
      <c r="AE134" s="44">
        <f t="shared" si="69"/>
        <v>1.1499999999999999</v>
      </c>
      <c r="AF134" s="44">
        <f t="shared" si="69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65"/>
        <v>2.133</v>
      </c>
      <c r="C135" s="55">
        <v>2.133</v>
      </c>
      <c r="D135" s="44">
        <f t="shared" ref="D135:AF135" si="70">C135</f>
        <v>2.133</v>
      </c>
      <c r="E135" s="44">
        <f t="shared" si="70"/>
        <v>2.133</v>
      </c>
      <c r="F135" s="44">
        <f t="shared" si="70"/>
        <v>2.133</v>
      </c>
      <c r="G135" s="44">
        <f t="shared" si="70"/>
        <v>2.133</v>
      </c>
      <c r="H135" s="44">
        <f t="shared" si="70"/>
        <v>2.133</v>
      </c>
      <c r="I135" s="44">
        <f t="shared" si="70"/>
        <v>2.133</v>
      </c>
      <c r="J135" s="44">
        <f t="shared" si="70"/>
        <v>2.133</v>
      </c>
      <c r="K135" s="44">
        <f t="shared" si="70"/>
        <v>2.133</v>
      </c>
      <c r="L135" s="44">
        <f t="shared" si="70"/>
        <v>2.133</v>
      </c>
      <c r="M135" s="44">
        <f t="shared" si="70"/>
        <v>2.133</v>
      </c>
      <c r="N135" s="44">
        <f t="shared" si="70"/>
        <v>2.133</v>
      </c>
      <c r="O135" s="44">
        <f t="shared" si="70"/>
        <v>2.133</v>
      </c>
      <c r="P135" s="44">
        <f t="shared" si="70"/>
        <v>2.133</v>
      </c>
      <c r="Q135" s="44">
        <f t="shared" si="70"/>
        <v>2.133</v>
      </c>
      <c r="R135" s="44">
        <f t="shared" si="70"/>
        <v>2.133</v>
      </c>
      <c r="S135" s="44">
        <f t="shared" si="70"/>
        <v>2.133</v>
      </c>
      <c r="T135" s="44">
        <f t="shared" si="70"/>
        <v>2.133</v>
      </c>
      <c r="U135" s="44">
        <f t="shared" si="70"/>
        <v>2.133</v>
      </c>
      <c r="V135" s="44">
        <f t="shared" si="70"/>
        <v>2.133</v>
      </c>
      <c r="W135" s="44">
        <f t="shared" si="70"/>
        <v>2.133</v>
      </c>
      <c r="X135" s="44">
        <f t="shared" si="70"/>
        <v>2.133</v>
      </c>
      <c r="Y135" s="44">
        <f t="shared" si="70"/>
        <v>2.133</v>
      </c>
      <c r="Z135" s="44">
        <f t="shared" si="70"/>
        <v>2.133</v>
      </c>
      <c r="AA135" s="44">
        <f t="shared" si="70"/>
        <v>2.133</v>
      </c>
      <c r="AB135" s="44">
        <f t="shared" si="70"/>
        <v>2.133</v>
      </c>
      <c r="AC135" s="44">
        <f t="shared" si="70"/>
        <v>2.133</v>
      </c>
      <c r="AD135" s="44">
        <f t="shared" si="70"/>
        <v>2.133</v>
      </c>
      <c r="AE135" s="44">
        <f t="shared" si="70"/>
        <v>2.133</v>
      </c>
      <c r="AF135" s="44">
        <f t="shared" si="70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65"/>
        <v>2.09</v>
      </c>
      <c r="C136" s="55">
        <v>2.09</v>
      </c>
      <c r="D136" s="44">
        <f t="shared" ref="D136:AF136" si="71">C136</f>
        <v>2.09</v>
      </c>
      <c r="E136" s="44">
        <f t="shared" si="71"/>
        <v>2.09</v>
      </c>
      <c r="F136" s="44">
        <f t="shared" si="71"/>
        <v>2.09</v>
      </c>
      <c r="G136" s="44">
        <f t="shared" si="71"/>
        <v>2.09</v>
      </c>
      <c r="H136" s="44">
        <f t="shared" si="71"/>
        <v>2.09</v>
      </c>
      <c r="I136" s="44">
        <f t="shared" si="71"/>
        <v>2.09</v>
      </c>
      <c r="J136" s="44">
        <f t="shared" si="71"/>
        <v>2.09</v>
      </c>
      <c r="K136" s="44">
        <f t="shared" si="71"/>
        <v>2.09</v>
      </c>
      <c r="L136" s="44">
        <f t="shared" si="71"/>
        <v>2.09</v>
      </c>
      <c r="M136" s="44">
        <f t="shared" si="71"/>
        <v>2.09</v>
      </c>
      <c r="N136" s="44">
        <f t="shared" si="71"/>
        <v>2.09</v>
      </c>
      <c r="O136" s="44">
        <f t="shared" si="71"/>
        <v>2.09</v>
      </c>
      <c r="P136" s="44">
        <f t="shared" si="71"/>
        <v>2.09</v>
      </c>
      <c r="Q136" s="44">
        <f t="shared" si="71"/>
        <v>2.09</v>
      </c>
      <c r="R136" s="44">
        <f t="shared" si="71"/>
        <v>2.09</v>
      </c>
      <c r="S136" s="44">
        <f t="shared" si="71"/>
        <v>2.09</v>
      </c>
      <c r="T136" s="44">
        <f t="shared" si="71"/>
        <v>2.09</v>
      </c>
      <c r="U136" s="44">
        <f t="shared" si="71"/>
        <v>2.09</v>
      </c>
      <c r="V136" s="44">
        <f t="shared" si="71"/>
        <v>2.09</v>
      </c>
      <c r="W136" s="44">
        <f t="shared" si="71"/>
        <v>2.09</v>
      </c>
      <c r="X136" s="44">
        <f t="shared" si="71"/>
        <v>2.09</v>
      </c>
      <c r="Y136" s="44">
        <f t="shared" si="71"/>
        <v>2.09</v>
      </c>
      <c r="Z136" s="44">
        <f t="shared" si="71"/>
        <v>2.09</v>
      </c>
      <c r="AA136" s="44">
        <f t="shared" si="71"/>
        <v>2.09</v>
      </c>
      <c r="AB136" s="44">
        <f t="shared" si="71"/>
        <v>2.09</v>
      </c>
      <c r="AC136" s="44">
        <f t="shared" si="71"/>
        <v>2.09</v>
      </c>
      <c r="AD136" s="44">
        <f t="shared" si="71"/>
        <v>2.09</v>
      </c>
      <c r="AE136" s="44">
        <f t="shared" si="71"/>
        <v>2.09</v>
      </c>
      <c r="AF136" s="44">
        <f t="shared" si="71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65"/>
        <v>1.1399999999999999</v>
      </c>
      <c r="C137" s="55">
        <v>1.1399999999999999</v>
      </c>
      <c r="D137" s="44">
        <f t="shared" ref="D137:AF137" si="72">C137</f>
        <v>1.1399999999999999</v>
      </c>
      <c r="E137" s="44">
        <f t="shared" si="72"/>
        <v>1.1399999999999999</v>
      </c>
      <c r="F137" s="44">
        <f t="shared" si="72"/>
        <v>1.1399999999999999</v>
      </c>
      <c r="G137" s="44">
        <f t="shared" si="72"/>
        <v>1.1399999999999999</v>
      </c>
      <c r="H137" s="44">
        <f t="shared" si="72"/>
        <v>1.1399999999999999</v>
      </c>
      <c r="I137" s="44">
        <f t="shared" si="72"/>
        <v>1.1399999999999999</v>
      </c>
      <c r="J137" s="44">
        <f t="shared" si="72"/>
        <v>1.1399999999999999</v>
      </c>
      <c r="K137" s="44">
        <f t="shared" si="72"/>
        <v>1.1399999999999999</v>
      </c>
      <c r="L137" s="44">
        <f t="shared" si="72"/>
        <v>1.1399999999999999</v>
      </c>
      <c r="M137" s="44">
        <f t="shared" si="72"/>
        <v>1.1399999999999999</v>
      </c>
      <c r="N137" s="44">
        <f t="shared" si="72"/>
        <v>1.1399999999999999</v>
      </c>
      <c r="O137" s="44">
        <f t="shared" si="72"/>
        <v>1.1399999999999999</v>
      </c>
      <c r="P137" s="44">
        <f t="shared" si="72"/>
        <v>1.1399999999999999</v>
      </c>
      <c r="Q137" s="44">
        <f t="shared" si="72"/>
        <v>1.1399999999999999</v>
      </c>
      <c r="R137" s="44">
        <f t="shared" si="72"/>
        <v>1.1399999999999999</v>
      </c>
      <c r="S137" s="44">
        <f t="shared" si="72"/>
        <v>1.1399999999999999</v>
      </c>
      <c r="T137" s="44">
        <f t="shared" si="72"/>
        <v>1.1399999999999999</v>
      </c>
      <c r="U137" s="44">
        <f t="shared" si="72"/>
        <v>1.1399999999999999</v>
      </c>
      <c r="V137" s="44">
        <f t="shared" si="72"/>
        <v>1.1399999999999999</v>
      </c>
      <c r="W137" s="44">
        <f t="shared" si="72"/>
        <v>1.1399999999999999</v>
      </c>
      <c r="X137" s="44">
        <f t="shared" si="72"/>
        <v>1.1399999999999999</v>
      </c>
      <c r="Y137" s="44">
        <f t="shared" si="72"/>
        <v>1.1399999999999999</v>
      </c>
      <c r="Z137" s="44">
        <f t="shared" si="72"/>
        <v>1.1399999999999999</v>
      </c>
      <c r="AA137" s="44">
        <f t="shared" si="72"/>
        <v>1.1399999999999999</v>
      </c>
      <c r="AB137" s="44">
        <f t="shared" si="72"/>
        <v>1.1399999999999999</v>
      </c>
      <c r="AC137" s="44">
        <f t="shared" si="72"/>
        <v>1.1399999999999999</v>
      </c>
      <c r="AD137" s="44">
        <f t="shared" si="72"/>
        <v>1.1399999999999999</v>
      </c>
      <c r="AE137" s="44">
        <f t="shared" si="72"/>
        <v>1.1399999999999999</v>
      </c>
      <c r="AF137" s="44">
        <f t="shared" si="7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65"/>
        <v>0.82</v>
      </c>
      <c r="C138" s="55">
        <v>0.82</v>
      </c>
      <c r="D138" s="44">
        <f t="shared" ref="D138:AF138" si="73">C138</f>
        <v>0.82</v>
      </c>
      <c r="E138" s="44">
        <f t="shared" si="73"/>
        <v>0.82</v>
      </c>
      <c r="F138" s="44">
        <f t="shared" si="73"/>
        <v>0.82</v>
      </c>
      <c r="G138" s="44">
        <f t="shared" si="73"/>
        <v>0.82</v>
      </c>
      <c r="H138" s="44">
        <f t="shared" si="73"/>
        <v>0.82</v>
      </c>
      <c r="I138" s="44">
        <f t="shared" si="73"/>
        <v>0.82</v>
      </c>
      <c r="J138" s="44">
        <f t="shared" si="73"/>
        <v>0.82</v>
      </c>
      <c r="K138" s="44">
        <f t="shared" si="73"/>
        <v>0.82</v>
      </c>
      <c r="L138" s="44">
        <f t="shared" si="73"/>
        <v>0.82</v>
      </c>
      <c r="M138" s="44">
        <f t="shared" si="73"/>
        <v>0.82</v>
      </c>
      <c r="N138" s="44">
        <f t="shared" si="73"/>
        <v>0.82</v>
      </c>
      <c r="O138" s="44">
        <f t="shared" si="73"/>
        <v>0.82</v>
      </c>
      <c r="P138" s="44">
        <f t="shared" si="73"/>
        <v>0.82</v>
      </c>
      <c r="Q138" s="44">
        <f t="shared" si="73"/>
        <v>0.82</v>
      </c>
      <c r="R138" s="44">
        <f t="shared" si="73"/>
        <v>0.82</v>
      </c>
      <c r="S138" s="44">
        <f t="shared" si="73"/>
        <v>0.82</v>
      </c>
      <c r="T138" s="44">
        <f t="shared" si="73"/>
        <v>0.82</v>
      </c>
      <c r="U138" s="44">
        <f t="shared" si="73"/>
        <v>0.82</v>
      </c>
      <c r="V138" s="44">
        <f t="shared" si="73"/>
        <v>0.82</v>
      </c>
      <c r="W138" s="44">
        <f t="shared" si="73"/>
        <v>0.82</v>
      </c>
      <c r="X138" s="44">
        <f t="shared" si="73"/>
        <v>0.82</v>
      </c>
      <c r="Y138" s="44">
        <f t="shared" si="73"/>
        <v>0.82</v>
      </c>
      <c r="Z138" s="44">
        <f t="shared" si="73"/>
        <v>0.82</v>
      </c>
      <c r="AA138" s="44">
        <f t="shared" si="73"/>
        <v>0.82</v>
      </c>
      <c r="AB138" s="44">
        <f t="shared" si="73"/>
        <v>0.82</v>
      </c>
      <c r="AC138" s="44">
        <f t="shared" si="73"/>
        <v>0.82</v>
      </c>
      <c r="AD138" s="44">
        <f t="shared" si="73"/>
        <v>0.82</v>
      </c>
      <c r="AE138" s="44">
        <f t="shared" si="73"/>
        <v>0.82</v>
      </c>
      <c r="AF138" s="44">
        <f t="shared" si="73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74">AF140</f>
        <v>2</v>
      </c>
      <c r="C140" s="55">
        <v>2</v>
      </c>
      <c r="D140" s="44">
        <f t="shared" ref="D140:AF140" si="75">C140</f>
        <v>2</v>
      </c>
      <c r="E140" s="44">
        <f t="shared" si="75"/>
        <v>2</v>
      </c>
      <c r="F140" s="44">
        <f t="shared" si="75"/>
        <v>2</v>
      </c>
      <c r="G140" s="44">
        <f t="shared" si="75"/>
        <v>2</v>
      </c>
      <c r="H140" s="44">
        <f t="shared" si="75"/>
        <v>2</v>
      </c>
      <c r="I140" s="44">
        <f t="shared" si="75"/>
        <v>2</v>
      </c>
      <c r="J140" s="44">
        <f t="shared" si="75"/>
        <v>2</v>
      </c>
      <c r="K140" s="44">
        <f t="shared" si="75"/>
        <v>2</v>
      </c>
      <c r="L140" s="44">
        <f t="shared" si="75"/>
        <v>2</v>
      </c>
      <c r="M140" s="44">
        <f t="shared" si="75"/>
        <v>2</v>
      </c>
      <c r="N140" s="44">
        <f t="shared" si="75"/>
        <v>2</v>
      </c>
      <c r="O140" s="44">
        <f t="shared" si="75"/>
        <v>2</v>
      </c>
      <c r="P140" s="44">
        <f t="shared" si="75"/>
        <v>2</v>
      </c>
      <c r="Q140" s="44">
        <f t="shared" si="75"/>
        <v>2</v>
      </c>
      <c r="R140" s="44">
        <f t="shared" si="75"/>
        <v>2</v>
      </c>
      <c r="S140" s="44">
        <f t="shared" si="75"/>
        <v>2</v>
      </c>
      <c r="T140" s="44">
        <f t="shared" si="75"/>
        <v>2</v>
      </c>
      <c r="U140" s="44">
        <f t="shared" si="75"/>
        <v>2</v>
      </c>
      <c r="V140" s="44">
        <f t="shared" si="75"/>
        <v>2</v>
      </c>
      <c r="W140" s="44">
        <f t="shared" si="75"/>
        <v>2</v>
      </c>
      <c r="X140" s="44">
        <f t="shared" si="75"/>
        <v>2</v>
      </c>
      <c r="Y140" s="44">
        <f t="shared" si="75"/>
        <v>2</v>
      </c>
      <c r="Z140" s="44">
        <f t="shared" si="75"/>
        <v>2</v>
      </c>
      <c r="AA140" s="44">
        <f t="shared" si="75"/>
        <v>2</v>
      </c>
      <c r="AB140" s="44">
        <f t="shared" si="75"/>
        <v>2</v>
      </c>
      <c r="AC140" s="44">
        <f t="shared" si="75"/>
        <v>2</v>
      </c>
      <c r="AD140" s="44">
        <f t="shared" si="75"/>
        <v>2</v>
      </c>
      <c r="AE140" s="44">
        <f t="shared" si="75"/>
        <v>2</v>
      </c>
      <c r="AF140" s="44">
        <f t="shared" si="7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74"/>
        <v>5.61</v>
      </c>
      <c r="C141" s="55">
        <v>5.61</v>
      </c>
      <c r="D141" s="44">
        <f t="shared" ref="D141:AF141" si="76">C141</f>
        <v>5.61</v>
      </c>
      <c r="E141" s="44">
        <f t="shared" si="76"/>
        <v>5.61</v>
      </c>
      <c r="F141" s="44">
        <f t="shared" si="76"/>
        <v>5.61</v>
      </c>
      <c r="G141" s="44">
        <f t="shared" si="76"/>
        <v>5.61</v>
      </c>
      <c r="H141" s="44">
        <f t="shared" si="76"/>
        <v>5.61</v>
      </c>
      <c r="I141" s="44">
        <f t="shared" si="76"/>
        <v>5.61</v>
      </c>
      <c r="J141" s="44">
        <f t="shared" si="76"/>
        <v>5.61</v>
      </c>
      <c r="K141" s="44">
        <f t="shared" si="76"/>
        <v>5.61</v>
      </c>
      <c r="L141" s="44">
        <f t="shared" si="76"/>
        <v>5.61</v>
      </c>
      <c r="M141" s="44">
        <f t="shared" si="76"/>
        <v>5.61</v>
      </c>
      <c r="N141" s="44">
        <f t="shared" si="76"/>
        <v>5.61</v>
      </c>
      <c r="O141" s="44">
        <f t="shared" si="76"/>
        <v>5.61</v>
      </c>
      <c r="P141" s="44">
        <f t="shared" si="76"/>
        <v>5.61</v>
      </c>
      <c r="Q141" s="44">
        <f t="shared" si="76"/>
        <v>5.61</v>
      </c>
      <c r="R141" s="44">
        <f t="shared" si="76"/>
        <v>5.61</v>
      </c>
      <c r="S141" s="44">
        <f t="shared" si="76"/>
        <v>5.61</v>
      </c>
      <c r="T141" s="44">
        <f t="shared" si="76"/>
        <v>5.61</v>
      </c>
      <c r="U141" s="44">
        <f t="shared" si="76"/>
        <v>5.61</v>
      </c>
      <c r="V141" s="44">
        <f t="shared" si="76"/>
        <v>5.61</v>
      </c>
      <c r="W141" s="44">
        <f t="shared" si="76"/>
        <v>5.61</v>
      </c>
      <c r="X141" s="44">
        <f t="shared" si="76"/>
        <v>5.61</v>
      </c>
      <c r="Y141" s="44">
        <f t="shared" si="76"/>
        <v>5.61</v>
      </c>
      <c r="Z141" s="44">
        <f t="shared" si="76"/>
        <v>5.61</v>
      </c>
      <c r="AA141" s="44">
        <f t="shared" si="76"/>
        <v>5.61</v>
      </c>
      <c r="AB141" s="44">
        <f t="shared" si="76"/>
        <v>5.61</v>
      </c>
      <c r="AC141" s="44">
        <f t="shared" si="76"/>
        <v>5.61</v>
      </c>
      <c r="AD141" s="44">
        <f t="shared" si="76"/>
        <v>5.61</v>
      </c>
      <c r="AE141" s="44">
        <f t="shared" si="76"/>
        <v>5.61</v>
      </c>
      <c r="AF141" s="44">
        <f t="shared" si="76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74"/>
        <v>1.25</v>
      </c>
      <c r="C142" s="55">
        <v>1.25</v>
      </c>
      <c r="D142" s="44">
        <f t="shared" ref="D142:AF142" si="77">C142</f>
        <v>1.25</v>
      </c>
      <c r="E142" s="44">
        <f t="shared" si="77"/>
        <v>1.25</v>
      </c>
      <c r="F142" s="44">
        <f t="shared" si="77"/>
        <v>1.25</v>
      </c>
      <c r="G142" s="44">
        <f t="shared" si="77"/>
        <v>1.25</v>
      </c>
      <c r="H142" s="44">
        <f t="shared" si="77"/>
        <v>1.25</v>
      </c>
      <c r="I142" s="44">
        <f t="shared" si="77"/>
        <v>1.25</v>
      </c>
      <c r="J142" s="44">
        <f t="shared" si="77"/>
        <v>1.25</v>
      </c>
      <c r="K142" s="44">
        <f t="shared" si="77"/>
        <v>1.25</v>
      </c>
      <c r="L142" s="44">
        <f t="shared" si="77"/>
        <v>1.25</v>
      </c>
      <c r="M142" s="44">
        <f t="shared" si="77"/>
        <v>1.25</v>
      </c>
      <c r="N142" s="44">
        <f t="shared" si="77"/>
        <v>1.25</v>
      </c>
      <c r="O142" s="44">
        <f t="shared" si="77"/>
        <v>1.25</v>
      </c>
      <c r="P142" s="44">
        <f t="shared" si="77"/>
        <v>1.25</v>
      </c>
      <c r="Q142" s="44">
        <f t="shared" si="77"/>
        <v>1.25</v>
      </c>
      <c r="R142" s="44">
        <f t="shared" si="77"/>
        <v>1.25</v>
      </c>
      <c r="S142" s="44">
        <f t="shared" si="77"/>
        <v>1.25</v>
      </c>
      <c r="T142" s="44">
        <f t="shared" si="77"/>
        <v>1.25</v>
      </c>
      <c r="U142" s="44">
        <f t="shared" si="77"/>
        <v>1.25</v>
      </c>
      <c r="V142" s="44">
        <f t="shared" si="77"/>
        <v>1.25</v>
      </c>
      <c r="W142" s="44">
        <f t="shared" si="77"/>
        <v>1.25</v>
      </c>
      <c r="X142" s="44">
        <f t="shared" si="77"/>
        <v>1.25</v>
      </c>
      <c r="Y142" s="44">
        <f t="shared" si="77"/>
        <v>1.25</v>
      </c>
      <c r="Z142" s="44">
        <f t="shared" si="77"/>
        <v>1.25</v>
      </c>
      <c r="AA142" s="44">
        <f t="shared" si="77"/>
        <v>1.25</v>
      </c>
      <c r="AB142" s="44">
        <f t="shared" si="77"/>
        <v>1.25</v>
      </c>
      <c r="AC142" s="44">
        <f t="shared" si="77"/>
        <v>1.25</v>
      </c>
      <c r="AD142" s="44">
        <f t="shared" si="77"/>
        <v>1.25</v>
      </c>
      <c r="AE142" s="44">
        <f t="shared" si="77"/>
        <v>1.25</v>
      </c>
      <c r="AF142" s="44">
        <f t="shared" si="77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74"/>
        <v>1.25</v>
      </c>
      <c r="C143" s="55">
        <v>1.25</v>
      </c>
      <c r="D143" s="44">
        <f t="shared" ref="D143:AF143" si="78">C143</f>
        <v>1.25</v>
      </c>
      <c r="E143" s="44">
        <f t="shared" si="78"/>
        <v>1.25</v>
      </c>
      <c r="F143" s="44">
        <f t="shared" si="78"/>
        <v>1.25</v>
      </c>
      <c r="G143" s="44">
        <f t="shared" si="78"/>
        <v>1.25</v>
      </c>
      <c r="H143" s="44">
        <f t="shared" si="78"/>
        <v>1.25</v>
      </c>
      <c r="I143" s="44">
        <f t="shared" si="78"/>
        <v>1.25</v>
      </c>
      <c r="J143" s="44">
        <f t="shared" si="78"/>
        <v>1.25</v>
      </c>
      <c r="K143" s="44">
        <f t="shared" si="78"/>
        <v>1.25</v>
      </c>
      <c r="L143" s="44">
        <f t="shared" si="78"/>
        <v>1.25</v>
      </c>
      <c r="M143" s="44">
        <f t="shared" si="78"/>
        <v>1.25</v>
      </c>
      <c r="N143" s="44">
        <f t="shared" si="78"/>
        <v>1.25</v>
      </c>
      <c r="O143" s="44">
        <f t="shared" si="78"/>
        <v>1.25</v>
      </c>
      <c r="P143" s="44">
        <f t="shared" si="78"/>
        <v>1.25</v>
      </c>
      <c r="Q143" s="44">
        <f t="shared" si="78"/>
        <v>1.25</v>
      </c>
      <c r="R143" s="44">
        <f t="shared" si="78"/>
        <v>1.25</v>
      </c>
      <c r="S143" s="44">
        <f t="shared" si="78"/>
        <v>1.25</v>
      </c>
      <c r="T143" s="44">
        <f t="shared" si="78"/>
        <v>1.25</v>
      </c>
      <c r="U143" s="44">
        <f t="shared" si="78"/>
        <v>1.25</v>
      </c>
      <c r="V143" s="44">
        <f t="shared" si="78"/>
        <v>1.25</v>
      </c>
      <c r="W143" s="44">
        <f t="shared" si="78"/>
        <v>1.25</v>
      </c>
      <c r="X143" s="44">
        <f t="shared" si="78"/>
        <v>1.25</v>
      </c>
      <c r="Y143" s="44">
        <f t="shared" si="78"/>
        <v>1.25</v>
      </c>
      <c r="Z143" s="44">
        <f t="shared" si="78"/>
        <v>1.25</v>
      </c>
      <c r="AA143" s="44">
        <f t="shared" si="78"/>
        <v>1.25</v>
      </c>
      <c r="AB143" s="44">
        <f t="shared" si="78"/>
        <v>1.25</v>
      </c>
      <c r="AC143" s="44">
        <f t="shared" si="78"/>
        <v>1.25</v>
      </c>
      <c r="AD143" s="44">
        <f t="shared" si="78"/>
        <v>1.25</v>
      </c>
      <c r="AE143" s="44">
        <f t="shared" si="78"/>
        <v>1.25</v>
      </c>
      <c r="AF143" s="44">
        <f t="shared" si="78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74"/>
        <v>1.46</v>
      </c>
      <c r="C144" s="55">
        <v>1.46</v>
      </c>
      <c r="D144" s="44">
        <f t="shared" ref="D144:AF144" si="79">C144</f>
        <v>1.46</v>
      </c>
      <c r="E144" s="44">
        <f t="shared" si="79"/>
        <v>1.46</v>
      </c>
      <c r="F144" s="44">
        <f t="shared" si="79"/>
        <v>1.46</v>
      </c>
      <c r="G144" s="44">
        <f t="shared" si="79"/>
        <v>1.46</v>
      </c>
      <c r="H144" s="44">
        <f t="shared" si="79"/>
        <v>1.46</v>
      </c>
      <c r="I144" s="44">
        <f t="shared" si="79"/>
        <v>1.46</v>
      </c>
      <c r="J144" s="44">
        <f t="shared" si="79"/>
        <v>1.46</v>
      </c>
      <c r="K144" s="44">
        <f t="shared" si="79"/>
        <v>1.46</v>
      </c>
      <c r="L144" s="44">
        <f t="shared" si="79"/>
        <v>1.46</v>
      </c>
      <c r="M144" s="44">
        <f t="shared" si="79"/>
        <v>1.46</v>
      </c>
      <c r="N144" s="44">
        <f t="shared" si="79"/>
        <v>1.46</v>
      </c>
      <c r="O144" s="44">
        <f t="shared" si="79"/>
        <v>1.46</v>
      </c>
      <c r="P144" s="44">
        <f t="shared" si="79"/>
        <v>1.46</v>
      </c>
      <c r="Q144" s="44">
        <f t="shared" si="79"/>
        <v>1.46</v>
      </c>
      <c r="R144" s="44">
        <f t="shared" si="79"/>
        <v>1.46</v>
      </c>
      <c r="S144" s="44">
        <f t="shared" si="79"/>
        <v>1.46</v>
      </c>
      <c r="T144" s="44">
        <f t="shared" si="79"/>
        <v>1.46</v>
      </c>
      <c r="U144" s="44">
        <f t="shared" si="79"/>
        <v>1.46</v>
      </c>
      <c r="V144" s="44">
        <f t="shared" si="79"/>
        <v>1.46</v>
      </c>
      <c r="W144" s="44">
        <f t="shared" si="79"/>
        <v>1.46</v>
      </c>
      <c r="X144" s="44">
        <f t="shared" si="79"/>
        <v>1.46</v>
      </c>
      <c r="Y144" s="44">
        <f t="shared" si="79"/>
        <v>1.46</v>
      </c>
      <c r="Z144" s="44">
        <f t="shared" si="79"/>
        <v>1.46</v>
      </c>
      <c r="AA144" s="44">
        <f t="shared" si="79"/>
        <v>1.46</v>
      </c>
      <c r="AB144" s="44">
        <f t="shared" si="79"/>
        <v>1.46</v>
      </c>
      <c r="AC144" s="44">
        <f t="shared" si="79"/>
        <v>1.46</v>
      </c>
      <c r="AD144" s="44">
        <f t="shared" si="79"/>
        <v>1.46</v>
      </c>
      <c r="AE144" s="44">
        <f t="shared" si="79"/>
        <v>1.46</v>
      </c>
      <c r="AF144" s="44">
        <f t="shared" si="7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74"/>
        <v>3</v>
      </c>
      <c r="C145" s="55">
        <v>3</v>
      </c>
      <c r="D145" s="44">
        <f t="shared" ref="D145:AF145" si="80">C145</f>
        <v>3</v>
      </c>
      <c r="E145" s="44">
        <f t="shared" si="80"/>
        <v>3</v>
      </c>
      <c r="F145" s="44">
        <f t="shared" si="80"/>
        <v>3</v>
      </c>
      <c r="G145" s="44">
        <f t="shared" si="80"/>
        <v>3</v>
      </c>
      <c r="H145" s="44">
        <f t="shared" si="80"/>
        <v>3</v>
      </c>
      <c r="I145" s="44">
        <f t="shared" si="80"/>
        <v>3</v>
      </c>
      <c r="J145" s="44">
        <f t="shared" si="80"/>
        <v>3</v>
      </c>
      <c r="K145" s="44">
        <f t="shared" si="80"/>
        <v>3</v>
      </c>
      <c r="L145" s="44">
        <f t="shared" si="80"/>
        <v>3</v>
      </c>
      <c r="M145" s="44">
        <f t="shared" si="80"/>
        <v>3</v>
      </c>
      <c r="N145" s="44">
        <f t="shared" si="80"/>
        <v>3</v>
      </c>
      <c r="O145" s="44">
        <f t="shared" si="80"/>
        <v>3</v>
      </c>
      <c r="P145" s="44">
        <f t="shared" si="80"/>
        <v>3</v>
      </c>
      <c r="Q145" s="44">
        <f t="shared" si="80"/>
        <v>3</v>
      </c>
      <c r="R145" s="44">
        <f t="shared" si="80"/>
        <v>3</v>
      </c>
      <c r="S145" s="44">
        <f t="shared" si="80"/>
        <v>3</v>
      </c>
      <c r="T145" s="44">
        <f t="shared" si="80"/>
        <v>3</v>
      </c>
      <c r="U145" s="44">
        <f t="shared" si="80"/>
        <v>3</v>
      </c>
      <c r="V145" s="44">
        <f t="shared" si="80"/>
        <v>3</v>
      </c>
      <c r="W145" s="44">
        <f t="shared" si="80"/>
        <v>3</v>
      </c>
      <c r="X145" s="44">
        <f t="shared" si="80"/>
        <v>3</v>
      </c>
      <c r="Y145" s="44">
        <f t="shared" si="80"/>
        <v>3</v>
      </c>
      <c r="Z145" s="44">
        <f t="shared" si="80"/>
        <v>3</v>
      </c>
      <c r="AA145" s="44">
        <f t="shared" si="80"/>
        <v>3</v>
      </c>
      <c r="AB145" s="44">
        <f t="shared" si="80"/>
        <v>3</v>
      </c>
      <c r="AC145" s="44">
        <f t="shared" si="80"/>
        <v>3</v>
      </c>
      <c r="AD145" s="44">
        <f t="shared" si="80"/>
        <v>3</v>
      </c>
      <c r="AE145" s="44">
        <f t="shared" si="80"/>
        <v>3</v>
      </c>
      <c r="AF145" s="44">
        <f t="shared" si="80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74"/>
        <v>3.3</v>
      </c>
      <c r="C146" s="55">
        <v>3.3</v>
      </c>
      <c r="D146" s="44">
        <f t="shared" ref="D146:AF146" si="81">C146</f>
        <v>3.3</v>
      </c>
      <c r="E146" s="44">
        <f t="shared" si="81"/>
        <v>3.3</v>
      </c>
      <c r="F146" s="44">
        <f t="shared" si="81"/>
        <v>3.3</v>
      </c>
      <c r="G146" s="44">
        <f t="shared" si="81"/>
        <v>3.3</v>
      </c>
      <c r="H146" s="44">
        <f t="shared" si="81"/>
        <v>3.3</v>
      </c>
      <c r="I146" s="44">
        <f t="shared" si="81"/>
        <v>3.3</v>
      </c>
      <c r="J146" s="44">
        <f t="shared" si="81"/>
        <v>3.3</v>
      </c>
      <c r="K146" s="44">
        <f t="shared" si="81"/>
        <v>3.3</v>
      </c>
      <c r="L146" s="44">
        <f t="shared" si="81"/>
        <v>3.3</v>
      </c>
      <c r="M146" s="44">
        <f t="shared" si="81"/>
        <v>3.3</v>
      </c>
      <c r="N146" s="44">
        <f t="shared" si="81"/>
        <v>3.3</v>
      </c>
      <c r="O146" s="44">
        <f t="shared" si="81"/>
        <v>3.3</v>
      </c>
      <c r="P146" s="44">
        <f t="shared" si="81"/>
        <v>3.3</v>
      </c>
      <c r="Q146" s="44">
        <f t="shared" si="81"/>
        <v>3.3</v>
      </c>
      <c r="R146" s="44">
        <f t="shared" si="81"/>
        <v>3.3</v>
      </c>
      <c r="S146" s="44">
        <f t="shared" si="81"/>
        <v>3.3</v>
      </c>
      <c r="T146" s="44">
        <f t="shared" si="81"/>
        <v>3.3</v>
      </c>
      <c r="U146" s="44">
        <f t="shared" si="81"/>
        <v>3.3</v>
      </c>
      <c r="V146" s="44">
        <f t="shared" si="81"/>
        <v>3.3</v>
      </c>
      <c r="W146" s="44">
        <f t="shared" si="81"/>
        <v>3.3</v>
      </c>
      <c r="X146" s="44">
        <f t="shared" si="81"/>
        <v>3.3</v>
      </c>
      <c r="Y146" s="44">
        <f t="shared" si="81"/>
        <v>3.3</v>
      </c>
      <c r="Z146" s="44">
        <f t="shared" si="81"/>
        <v>3.3</v>
      </c>
      <c r="AA146" s="44">
        <f t="shared" si="81"/>
        <v>3.3</v>
      </c>
      <c r="AB146" s="44">
        <f t="shared" si="81"/>
        <v>3.3</v>
      </c>
      <c r="AC146" s="44">
        <f t="shared" si="81"/>
        <v>3.3</v>
      </c>
      <c r="AD146" s="44">
        <f t="shared" si="81"/>
        <v>3.3</v>
      </c>
      <c r="AE146" s="44">
        <f t="shared" si="81"/>
        <v>3.3</v>
      </c>
      <c r="AF146" s="44">
        <f t="shared" si="81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AF148" si="82">C148</f>
        <v>1.76</v>
      </c>
      <c r="E148" s="44">
        <f t="shared" si="82"/>
        <v>1.76</v>
      </c>
      <c r="F148" s="44">
        <f t="shared" si="82"/>
        <v>1.76</v>
      </c>
      <c r="G148" s="44">
        <f t="shared" si="82"/>
        <v>1.76</v>
      </c>
      <c r="H148" s="44">
        <f t="shared" si="82"/>
        <v>1.76</v>
      </c>
      <c r="I148" s="44">
        <f t="shared" si="82"/>
        <v>1.76</v>
      </c>
      <c r="J148" s="44">
        <f t="shared" si="82"/>
        <v>1.76</v>
      </c>
      <c r="K148" s="44">
        <f t="shared" si="82"/>
        <v>1.76</v>
      </c>
      <c r="L148" s="44">
        <f t="shared" si="82"/>
        <v>1.76</v>
      </c>
      <c r="M148" s="44">
        <f t="shared" si="82"/>
        <v>1.76</v>
      </c>
      <c r="N148" s="44">
        <f t="shared" si="82"/>
        <v>1.76</v>
      </c>
      <c r="O148" s="44">
        <f t="shared" si="82"/>
        <v>1.76</v>
      </c>
      <c r="P148" s="44">
        <f t="shared" si="82"/>
        <v>1.76</v>
      </c>
      <c r="Q148" s="44">
        <f t="shared" si="82"/>
        <v>1.76</v>
      </c>
      <c r="R148" s="44">
        <f t="shared" si="82"/>
        <v>1.76</v>
      </c>
      <c r="S148" s="44">
        <f t="shared" si="82"/>
        <v>1.76</v>
      </c>
      <c r="T148" s="44">
        <f t="shared" si="82"/>
        <v>1.76</v>
      </c>
      <c r="U148" s="44">
        <f t="shared" si="82"/>
        <v>1.76</v>
      </c>
      <c r="V148" s="44">
        <f t="shared" si="82"/>
        <v>1.76</v>
      </c>
      <c r="W148" s="44">
        <f t="shared" si="82"/>
        <v>1.76</v>
      </c>
      <c r="X148" s="44">
        <f t="shared" si="82"/>
        <v>1.76</v>
      </c>
      <c r="Y148" s="44">
        <f t="shared" si="82"/>
        <v>1.76</v>
      </c>
      <c r="Z148" s="44">
        <f t="shared" si="82"/>
        <v>1.76</v>
      </c>
      <c r="AA148" s="44">
        <f t="shared" si="82"/>
        <v>1.76</v>
      </c>
      <c r="AB148" s="44">
        <f t="shared" si="82"/>
        <v>1.76</v>
      </c>
      <c r="AC148" s="44">
        <f t="shared" si="82"/>
        <v>1.76</v>
      </c>
      <c r="AD148" s="44">
        <f t="shared" si="82"/>
        <v>1.76</v>
      </c>
      <c r="AE148" s="44">
        <f t="shared" si="82"/>
        <v>1.76</v>
      </c>
      <c r="AF148" s="44">
        <f t="shared" si="82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ref="D149:AF149" si="83">C149</f>
        <v>0</v>
      </c>
      <c r="E149" s="44">
        <f t="shared" si="83"/>
        <v>0</v>
      </c>
      <c r="F149" s="44">
        <f t="shared" si="83"/>
        <v>0</v>
      </c>
      <c r="G149" s="44">
        <f t="shared" si="83"/>
        <v>0</v>
      </c>
      <c r="H149" s="44">
        <f t="shared" si="83"/>
        <v>0</v>
      </c>
      <c r="I149" s="44">
        <f t="shared" si="83"/>
        <v>0</v>
      </c>
      <c r="J149" s="44">
        <f t="shared" si="83"/>
        <v>0</v>
      </c>
      <c r="K149" s="44">
        <f t="shared" si="83"/>
        <v>0</v>
      </c>
      <c r="L149" s="44">
        <f t="shared" si="83"/>
        <v>0</v>
      </c>
      <c r="M149" s="44">
        <f t="shared" si="83"/>
        <v>0</v>
      </c>
      <c r="N149" s="44">
        <f t="shared" si="83"/>
        <v>0</v>
      </c>
      <c r="O149" s="44">
        <f t="shared" si="83"/>
        <v>0</v>
      </c>
      <c r="P149" s="44">
        <f t="shared" si="83"/>
        <v>0</v>
      </c>
      <c r="Q149" s="44">
        <f t="shared" si="83"/>
        <v>0</v>
      </c>
      <c r="R149" s="44">
        <f t="shared" si="83"/>
        <v>0</v>
      </c>
      <c r="S149" s="44">
        <f t="shared" si="83"/>
        <v>0</v>
      </c>
      <c r="T149" s="44">
        <f t="shared" si="83"/>
        <v>0</v>
      </c>
      <c r="U149" s="44">
        <f t="shared" si="83"/>
        <v>0</v>
      </c>
      <c r="V149" s="44">
        <f t="shared" si="83"/>
        <v>0</v>
      </c>
      <c r="W149" s="44">
        <f t="shared" si="83"/>
        <v>0</v>
      </c>
      <c r="X149" s="44">
        <f t="shared" si="83"/>
        <v>0</v>
      </c>
      <c r="Y149" s="44">
        <f t="shared" si="83"/>
        <v>0</v>
      </c>
      <c r="Z149" s="44">
        <f t="shared" si="83"/>
        <v>0</v>
      </c>
      <c r="AA149" s="44">
        <f t="shared" si="83"/>
        <v>0</v>
      </c>
      <c r="AB149" s="44">
        <f t="shared" si="83"/>
        <v>0</v>
      </c>
      <c r="AC149" s="44">
        <f t="shared" si="83"/>
        <v>0</v>
      </c>
      <c r="AD149" s="44">
        <f t="shared" si="83"/>
        <v>0</v>
      </c>
      <c r="AE149" s="44">
        <f t="shared" si="83"/>
        <v>0</v>
      </c>
      <c r="AF149" s="44">
        <f t="shared" si="83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AF151" si="84">C151</f>
        <v>0.1</v>
      </c>
      <c r="E151" s="44">
        <f t="shared" si="84"/>
        <v>0.1</v>
      </c>
      <c r="F151" s="44">
        <f t="shared" si="84"/>
        <v>0.1</v>
      </c>
      <c r="G151" s="44">
        <f t="shared" si="84"/>
        <v>0.1</v>
      </c>
      <c r="H151" s="44">
        <f t="shared" si="84"/>
        <v>0.1</v>
      </c>
      <c r="I151" s="44">
        <f t="shared" si="84"/>
        <v>0.1</v>
      </c>
      <c r="J151" s="44">
        <f t="shared" si="84"/>
        <v>0.1</v>
      </c>
      <c r="K151" s="44">
        <f t="shared" si="84"/>
        <v>0.1</v>
      </c>
      <c r="L151" s="44">
        <f t="shared" si="84"/>
        <v>0.1</v>
      </c>
      <c r="M151" s="44">
        <f t="shared" si="84"/>
        <v>0.1</v>
      </c>
      <c r="N151" s="44">
        <f t="shared" si="84"/>
        <v>0.1</v>
      </c>
      <c r="O151" s="44">
        <f t="shared" si="84"/>
        <v>0.1</v>
      </c>
      <c r="P151" s="44">
        <f t="shared" si="84"/>
        <v>0.1</v>
      </c>
      <c r="Q151" s="44">
        <f t="shared" si="84"/>
        <v>0.1</v>
      </c>
      <c r="R151" s="44">
        <f t="shared" si="84"/>
        <v>0.1</v>
      </c>
      <c r="S151" s="44">
        <f t="shared" si="84"/>
        <v>0.1</v>
      </c>
      <c r="T151" s="44">
        <f t="shared" si="84"/>
        <v>0.1</v>
      </c>
      <c r="U151" s="44">
        <f t="shared" si="84"/>
        <v>0.1</v>
      </c>
      <c r="V151" s="44">
        <f t="shared" si="84"/>
        <v>0.1</v>
      </c>
      <c r="W151" s="44">
        <f t="shared" si="84"/>
        <v>0.1</v>
      </c>
      <c r="X151" s="44">
        <f t="shared" si="84"/>
        <v>0.1</v>
      </c>
      <c r="Y151" s="44">
        <f t="shared" si="84"/>
        <v>0.1</v>
      </c>
      <c r="Z151" s="44">
        <f t="shared" si="84"/>
        <v>0.1</v>
      </c>
      <c r="AA151" s="44">
        <f t="shared" si="84"/>
        <v>0.1</v>
      </c>
      <c r="AB151" s="44">
        <f t="shared" si="84"/>
        <v>0.1</v>
      </c>
      <c r="AC151" s="44">
        <f t="shared" si="84"/>
        <v>0.1</v>
      </c>
      <c r="AD151" s="44">
        <f t="shared" si="84"/>
        <v>0.1</v>
      </c>
      <c r="AE151" s="44">
        <f t="shared" si="84"/>
        <v>0.1</v>
      </c>
      <c r="AF151" s="44">
        <f t="shared" si="84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ref="D152:AF152" si="85">C152</f>
        <v>2.0499999999999998</v>
      </c>
      <c r="E152" s="44">
        <f t="shared" si="85"/>
        <v>2.0499999999999998</v>
      </c>
      <c r="F152" s="44">
        <f t="shared" si="85"/>
        <v>2.0499999999999998</v>
      </c>
      <c r="G152" s="44">
        <f t="shared" si="85"/>
        <v>2.0499999999999998</v>
      </c>
      <c r="H152" s="44">
        <f t="shared" si="85"/>
        <v>2.0499999999999998</v>
      </c>
      <c r="I152" s="44">
        <f t="shared" si="85"/>
        <v>2.0499999999999998</v>
      </c>
      <c r="J152" s="44">
        <f t="shared" si="85"/>
        <v>2.0499999999999998</v>
      </c>
      <c r="K152" s="44">
        <f t="shared" si="85"/>
        <v>2.0499999999999998</v>
      </c>
      <c r="L152" s="44">
        <f t="shared" si="85"/>
        <v>2.0499999999999998</v>
      </c>
      <c r="M152" s="44">
        <f t="shared" si="85"/>
        <v>2.0499999999999998</v>
      </c>
      <c r="N152" s="44">
        <f t="shared" si="85"/>
        <v>2.0499999999999998</v>
      </c>
      <c r="O152" s="44">
        <f t="shared" si="85"/>
        <v>2.0499999999999998</v>
      </c>
      <c r="P152" s="44">
        <f t="shared" si="85"/>
        <v>2.0499999999999998</v>
      </c>
      <c r="Q152" s="44">
        <f t="shared" si="85"/>
        <v>2.0499999999999998</v>
      </c>
      <c r="R152" s="44">
        <f t="shared" si="85"/>
        <v>2.0499999999999998</v>
      </c>
      <c r="S152" s="44">
        <f t="shared" si="85"/>
        <v>2.0499999999999998</v>
      </c>
      <c r="T152" s="44">
        <f t="shared" si="85"/>
        <v>2.0499999999999998</v>
      </c>
      <c r="U152" s="44">
        <f t="shared" si="85"/>
        <v>2.0499999999999998</v>
      </c>
      <c r="V152" s="44">
        <f t="shared" si="85"/>
        <v>2.0499999999999998</v>
      </c>
      <c r="W152" s="44">
        <f t="shared" si="85"/>
        <v>2.0499999999999998</v>
      </c>
      <c r="X152" s="44">
        <f t="shared" si="85"/>
        <v>2.0499999999999998</v>
      </c>
      <c r="Y152" s="44">
        <f t="shared" si="85"/>
        <v>2.0499999999999998</v>
      </c>
      <c r="Z152" s="44">
        <f t="shared" si="85"/>
        <v>2.0499999999999998</v>
      </c>
      <c r="AA152" s="44">
        <f t="shared" si="85"/>
        <v>2.0499999999999998</v>
      </c>
      <c r="AB152" s="44">
        <f t="shared" si="85"/>
        <v>2.0499999999999998</v>
      </c>
      <c r="AC152" s="44">
        <f t="shared" si="85"/>
        <v>2.0499999999999998</v>
      </c>
      <c r="AD152" s="44">
        <f t="shared" si="85"/>
        <v>2.0499999999999998</v>
      </c>
      <c r="AE152" s="44">
        <f t="shared" si="85"/>
        <v>2.0499999999999998</v>
      </c>
      <c r="AF152" s="44">
        <f t="shared" si="85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ref="D153:AF153" si="86">C153</f>
        <v>2.7</v>
      </c>
      <c r="E153" s="44">
        <f t="shared" si="86"/>
        <v>2.7</v>
      </c>
      <c r="F153" s="44">
        <f t="shared" si="86"/>
        <v>2.7</v>
      </c>
      <c r="G153" s="44">
        <f t="shared" si="86"/>
        <v>2.7</v>
      </c>
      <c r="H153" s="44">
        <f t="shared" si="86"/>
        <v>2.7</v>
      </c>
      <c r="I153" s="44">
        <f t="shared" si="86"/>
        <v>2.7</v>
      </c>
      <c r="J153" s="44">
        <f t="shared" si="86"/>
        <v>2.7</v>
      </c>
      <c r="K153" s="44">
        <f t="shared" si="86"/>
        <v>2.7</v>
      </c>
      <c r="L153" s="44">
        <f t="shared" si="86"/>
        <v>2.7</v>
      </c>
      <c r="M153" s="44">
        <f t="shared" si="86"/>
        <v>2.7</v>
      </c>
      <c r="N153" s="44">
        <f t="shared" si="86"/>
        <v>2.7</v>
      </c>
      <c r="O153" s="44">
        <f t="shared" si="86"/>
        <v>2.7</v>
      </c>
      <c r="P153" s="44">
        <f t="shared" si="86"/>
        <v>2.7</v>
      </c>
      <c r="Q153" s="44">
        <f t="shared" si="86"/>
        <v>2.7</v>
      </c>
      <c r="R153" s="44">
        <f t="shared" si="86"/>
        <v>2.7</v>
      </c>
      <c r="S153" s="44">
        <f t="shared" si="86"/>
        <v>2.7</v>
      </c>
      <c r="T153" s="44">
        <f t="shared" si="86"/>
        <v>2.7</v>
      </c>
      <c r="U153" s="44">
        <f t="shared" si="86"/>
        <v>2.7</v>
      </c>
      <c r="V153" s="44">
        <f t="shared" si="86"/>
        <v>2.7</v>
      </c>
      <c r="W153" s="44">
        <f t="shared" si="86"/>
        <v>2.7</v>
      </c>
      <c r="X153" s="44">
        <f t="shared" si="86"/>
        <v>2.7</v>
      </c>
      <c r="Y153" s="44">
        <f t="shared" si="86"/>
        <v>2.7</v>
      </c>
      <c r="Z153" s="44">
        <f t="shared" si="86"/>
        <v>2.7</v>
      </c>
      <c r="AA153" s="44">
        <f t="shared" si="86"/>
        <v>2.7</v>
      </c>
      <c r="AB153" s="44">
        <f t="shared" si="86"/>
        <v>2.7</v>
      </c>
      <c r="AC153" s="44">
        <f t="shared" si="86"/>
        <v>2.7</v>
      </c>
      <c r="AD153" s="44">
        <f t="shared" si="86"/>
        <v>2.7</v>
      </c>
      <c r="AE153" s="44">
        <f t="shared" si="86"/>
        <v>2.7</v>
      </c>
      <c r="AF153" s="44">
        <f t="shared" si="86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ref="D154:AF154" si="87">C154</f>
        <v>2.15</v>
      </c>
      <c r="E154" s="44">
        <f t="shared" si="87"/>
        <v>2.15</v>
      </c>
      <c r="F154" s="44">
        <f t="shared" si="87"/>
        <v>2.15</v>
      </c>
      <c r="G154" s="44">
        <f t="shared" si="87"/>
        <v>2.15</v>
      </c>
      <c r="H154" s="44">
        <f t="shared" si="87"/>
        <v>2.15</v>
      </c>
      <c r="I154" s="44">
        <f t="shared" si="87"/>
        <v>2.15</v>
      </c>
      <c r="J154" s="44">
        <f t="shared" si="87"/>
        <v>2.15</v>
      </c>
      <c r="K154" s="44">
        <f t="shared" si="87"/>
        <v>2.15</v>
      </c>
      <c r="L154" s="44">
        <f t="shared" si="87"/>
        <v>2.15</v>
      </c>
      <c r="M154" s="44">
        <f t="shared" si="87"/>
        <v>2.15</v>
      </c>
      <c r="N154" s="44">
        <f t="shared" si="87"/>
        <v>2.15</v>
      </c>
      <c r="O154" s="44">
        <f t="shared" si="87"/>
        <v>2.15</v>
      </c>
      <c r="P154" s="44">
        <f t="shared" si="87"/>
        <v>2.15</v>
      </c>
      <c r="Q154" s="44">
        <f t="shared" si="87"/>
        <v>2.15</v>
      </c>
      <c r="R154" s="44">
        <f t="shared" si="87"/>
        <v>2.15</v>
      </c>
      <c r="S154" s="44">
        <f t="shared" si="87"/>
        <v>2.15</v>
      </c>
      <c r="T154" s="44">
        <f t="shared" si="87"/>
        <v>2.15</v>
      </c>
      <c r="U154" s="44">
        <f t="shared" si="87"/>
        <v>2.15</v>
      </c>
      <c r="V154" s="44">
        <f t="shared" si="87"/>
        <v>2.15</v>
      </c>
      <c r="W154" s="44">
        <f t="shared" si="87"/>
        <v>2.15</v>
      </c>
      <c r="X154" s="44">
        <f t="shared" si="87"/>
        <v>2.15</v>
      </c>
      <c r="Y154" s="44">
        <f t="shared" si="87"/>
        <v>2.15</v>
      </c>
      <c r="Z154" s="44">
        <f t="shared" si="87"/>
        <v>2.15</v>
      </c>
      <c r="AA154" s="44">
        <f t="shared" si="87"/>
        <v>2.15</v>
      </c>
      <c r="AB154" s="44">
        <f t="shared" si="87"/>
        <v>2.15</v>
      </c>
      <c r="AC154" s="44">
        <f t="shared" si="87"/>
        <v>2.15</v>
      </c>
      <c r="AD154" s="44">
        <f t="shared" si="87"/>
        <v>2.15</v>
      </c>
      <c r="AE154" s="44">
        <f t="shared" si="87"/>
        <v>2.15</v>
      </c>
      <c r="AF154" s="44">
        <f t="shared" si="87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88">AF156</f>
        <v>0.9</v>
      </c>
      <c r="C156" s="55">
        <v>0.9</v>
      </c>
      <c r="D156" s="44">
        <f t="shared" ref="D156:AF156" si="89">C156</f>
        <v>0.9</v>
      </c>
      <c r="E156" s="44">
        <f t="shared" si="89"/>
        <v>0.9</v>
      </c>
      <c r="F156" s="44">
        <f t="shared" si="89"/>
        <v>0.9</v>
      </c>
      <c r="G156" s="44">
        <f t="shared" si="89"/>
        <v>0.9</v>
      </c>
      <c r="H156" s="44">
        <f t="shared" si="89"/>
        <v>0.9</v>
      </c>
      <c r="I156" s="44">
        <f t="shared" si="89"/>
        <v>0.9</v>
      </c>
      <c r="J156" s="44">
        <f t="shared" si="89"/>
        <v>0.9</v>
      </c>
      <c r="K156" s="44">
        <f t="shared" si="89"/>
        <v>0.9</v>
      </c>
      <c r="L156" s="44">
        <f t="shared" si="89"/>
        <v>0.9</v>
      </c>
      <c r="M156" s="44">
        <f t="shared" si="89"/>
        <v>0.9</v>
      </c>
      <c r="N156" s="44">
        <f t="shared" si="89"/>
        <v>0.9</v>
      </c>
      <c r="O156" s="44">
        <f t="shared" si="89"/>
        <v>0.9</v>
      </c>
      <c r="P156" s="44">
        <f t="shared" si="89"/>
        <v>0.9</v>
      </c>
      <c r="Q156" s="44">
        <f t="shared" si="89"/>
        <v>0.9</v>
      </c>
      <c r="R156" s="44">
        <f t="shared" si="89"/>
        <v>0.9</v>
      </c>
      <c r="S156" s="44">
        <f t="shared" si="89"/>
        <v>0.9</v>
      </c>
      <c r="T156" s="44">
        <f t="shared" si="89"/>
        <v>0.9</v>
      </c>
      <c r="U156" s="44">
        <f t="shared" si="89"/>
        <v>0.9</v>
      </c>
      <c r="V156" s="44">
        <f t="shared" si="89"/>
        <v>0.9</v>
      </c>
      <c r="W156" s="44">
        <f t="shared" si="89"/>
        <v>0.9</v>
      </c>
      <c r="X156" s="44">
        <f t="shared" si="89"/>
        <v>0.9</v>
      </c>
      <c r="Y156" s="44">
        <f t="shared" si="89"/>
        <v>0.9</v>
      </c>
      <c r="Z156" s="44">
        <f t="shared" si="89"/>
        <v>0.9</v>
      </c>
      <c r="AA156" s="44">
        <f t="shared" si="89"/>
        <v>0.9</v>
      </c>
      <c r="AB156" s="44">
        <f t="shared" si="89"/>
        <v>0.9</v>
      </c>
      <c r="AC156" s="44">
        <f t="shared" si="89"/>
        <v>0.9</v>
      </c>
      <c r="AD156" s="44">
        <f t="shared" si="89"/>
        <v>0.9</v>
      </c>
      <c r="AE156" s="44">
        <f t="shared" si="89"/>
        <v>0.9</v>
      </c>
      <c r="AF156" s="44">
        <f t="shared" si="89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88"/>
        <v>1.08</v>
      </c>
      <c r="C157" s="55">
        <v>1.08</v>
      </c>
      <c r="D157" s="44">
        <f t="shared" ref="D157:AF157" si="90">C157</f>
        <v>1.08</v>
      </c>
      <c r="E157" s="44">
        <f t="shared" si="90"/>
        <v>1.08</v>
      </c>
      <c r="F157" s="44">
        <f t="shared" si="90"/>
        <v>1.08</v>
      </c>
      <c r="G157" s="44">
        <f t="shared" si="90"/>
        <v>1.08</v>
      </c>
      <c r="H157" s="44">
        <f t="shared" si="90"/>
        <v>1.08</v>
      </c>
      <c r="I157" s="44">
        <f t="shared" si="90"/>
        <v>1.08</v>
      </c>
      <c r="J157" s="44">
        <f t="shared" si="90"/>
        <v>1.08</v>
      </c>
      <c r="K157" s="44">
        <f t="shared" si="90"/>
        <v>1.08</v>
      </c>
      <c r="L157" s="44">
        <f t="shared" si="90"/>
        <v>1.08</v>
      </c>
      <c r="M157" s="44">
        <f t="shared" si="90"/>
        <v>1.08</v>
      </c>
      <c r="N157" s="44">
        <f t="shared" si="90"/>
        <v>1.08</v>
      </c>
      <c r="O157" s="44">
        <f t="shared" si="90"/>
        <v>1.08</v>
      </c>
      <c r="P157" s="44">
        <f t="shared" si="90"/>
        <v>1.08</v>
      </c>
      <c r="Q157" s="44">
        <f t="shared" si="90"/>
        <v>1.08</v>
      </c>
      <c r="R157" s="44">
        <f t="shared" si="90"/>
        <v>1.08</v>
      </c>
      <c r="S157" s="44">
        <f t="shared" si="90"/>
        <v>1.08</v>
      </c>
      <c r="T157" s="44">
        <f t="shared" si="90"/>
        <v>1.08</v>
      </c>
      <c r="U157" s="44">
        <f t="shared" si="90"/>
        <v>1.08</v>
      </c>
      <c r="V157" s="44">
        <f t="shared" si="90"/>
        <v>1.08</v>
      </c>
      <c r="W157" s="44">
        <f t="shared" si="90"/>
        <v>1.08</v>
      </c>
      <c r="X157" s="44">
        <f t="shared" si="90"/>
        <v>1.08</v>
      </c>
      <c r="Y157" s="44">
        <f t="shared" si="90"/>
        <v>1.08</v>
      </c>
      <c r="Z157" s="44">
        <f t="shared" si="90"/>
        <v>1.08</v>
      </c>
      <c r="AA157" s="44">
        <f t="shared" si="90"/>
        <v>1.08</v>
      </c>
      <c r="AB157" s="44">
        <f t="shared" si="90"/>
        <v>1.08</v>
      </c>
      <c r="AC157" s="44">
        <f t="shared" si="90"/>
        <v>1.08</v>
      </c>
      <c r="AD157" s="44">
        <f t="shared" si="90"/>
        <v>1.08</v>
      </c>
      <c r="AE157" s="44">
        <f t="shared" si="90"/>
        <v>1.08</v>
      </c>
      <c r="AF157" s="44">
        <f t="shared" si="90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88"/>
        <v>2.37</v>
      </c>
      <c r="C158" s="55">
        <v>2.37</v>
      </c>
      <c r="D158" s="44">
        <f t="shared" ref="D158:AF158" si="91">C158</f>
        <v>2.37</v>
      </c>
      <c r="E158" s="44">
        <f t="shared" si="91"/>
        <v>2.37</v>
      </c>
      <c r="F158" s="44">
        <f t="shared" si="91"/>
        <v>2.37</v>
      </c>
      <c r="G158" s="44">
        <f t="shared" si="91"/>
        <v>2.37</v>
      </c>
      <c r="H158" s="44">
        <f t="shared" si="91"/>
        <v>2.37</v>
      </c>
      <c r="I158" s="44">
        <f t="shared" si="91"/>
        <v>2.37</v>
      </c>
      <c r="J158" s="44">
        <f t="shared" si="91"/>
        <v>2.37</v>
      </c>
      <c r="K158" s="44">
        <f t="shared" si="91"/>
        <v>2.37</v>
      </c>
      <c r="L158" s="44">
        <f t="shared" si="91"/>
        <v>2.37</v>
      </c>
      <c r="M158" s="44">
        <f t="shared" si="91"/>
        <v>2.37</v>
      </c>
      <c r="N158" s="44">
        <f t="shared" si="91"/>
        <v>2.37</v>
      </c>
      <c r="O158" s="44">
        <f t="shared" si="91"/>
        <v>2.37</v>
      </c>
      <c r="P158" s="44">
        <f t="shared" si="91"/>
        <v>2.37</v>
      </c>
      <c r="Q158" s="44">
        <f t="shared" si="91"/>
        <v>2.37</v>
      </c>
      <c r="R158" s="44">
        <f t="shared" si="91"/>
        <v>2.37</v>
      </c>
      <c r="S158" s="44">
        <f t="shared" si="91"/>
        <v>2.37</v>
      </c>
      <c r="T158" s="44">
        <f t="shared" si="91"/>
        <v>2.37</v>
      </c>
      <c r="U158" s="44">
        <f t="shared" si="91"/>
        <v>2.37</v>
      </c>
      <c r="V158" s="44">
        <f t="shared" si="91"/>
        <v>2.37</v>
      </c>
      <c r="W158" s="44">
        <f t="shared" si="91"/>
        <v>2.37</v>
      </c>
      <c r="X158" s="44">
        <f t="shared" si="91"/>
        <v>2.37</v>
      </c>
      <c r="Y158" s="44">
        <f t="shared" si="91"/>
        <v>2.37</v>
      </c>
      <c r="Z158" s="44">
        <f t="shared" si="91"/>
        <v>2.37</v>
      </c>
      <c r="AA158" s="44">
        <f t="shared" si="91"/>
        <v>2.37</v>
      </c>
      <c r="AB158" s="44">
        <f t="shared" si="91"/>
        <v>2.37</v>
      </c>
      <c r="AC158" s="44">
        <f t="shared" si="91"/>
        <v>2.37</v>
      </c>
      <c r="AD158" s="44">
        <f t="shared" si="91"/>
        <v>2.37</v>
      </c>
      <c r="AE158" s="44">
        <f t="shared" si="91"/>
        <v>2.37</v>
      </c>
      <c r="AF158" s="44">
        <f t="shared" si="91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88"/>
        <v>1.81</v>
      </c>
      <c r="C159" s="55">
        <v>1.81</v>
      </c>
      <c r="D159" s="44">
        <f t="shared" ref="D159:AF159" si="92">C159</f>
        <v>1.81</v>
      </c>
      <c r="E159" s="44">
        <f t="shared" si="92"/>
        <v>1.81</v>
      </c>
      <c r="F159" s="44">
        <f t="shared" si="92"/>
        <v>1.81</v>
      </c>
      <c r="G159" s="44">
        <f t="shared" si="92"/>
        <v>1.81</v>
      </c>
      <c r="H159" s="44">
        <f t="shared" si="92"/>
        <v>1.81</v>
      </c>
      <c r="I159" s="44">
        <f t="shared" si="92"/>
        <v>1.81</v>
      </c>
      <c r="J159" s="44">
        <f t="shared" si="92"/>
        <v>1.81</v>
      </c>
      <c r="K159" s="44">
        <f t="shared" si="92"/>
        <v>1.81</v>
      </c>
      <c r="L159" s="44">
        <f t="shared" si="92"/>
        <v>1.81</v>
      </c>
      <c r="M159" s="44">
        <f t="shared" si="92"/>
        <v>1.81</v>
      </c>
      <c r="N159" s="44">
        <f t="shared" si="92"/>
        <v>1.81</v>
      </c>
      <c r="O159" s="44">
        <f t="shared" si="92"/>
        <v>1.81</v>
      </c>
      <c r="P159" s="44">
        <f t="shared" si="92"/>
        <v>1.81</v>
      </c>
      <c r="Q159" s="44">
        <f t="shared" si="92"/>
        <v>1.81</v>
      </c>
      <c r="R159" s="44">
        <f t="shared" si="92"/>
        <v>1.81</v>
      </c>
      <c r="S159" s="44">
        <f t="shared" si="92"/>
        <v>1.81</v>
      </c>
      <c r="T159" s="44">
        <f t="shared" si="92"/>
        <v>1.81</v>
      </c>
      <c r="U159" s="44">
        <f t="shared" si="92"/>
        <v>1.81</v>
      </c>
      <c r="V159" s="44">
        <f t="shared" si="92"/>
        <v>1.81</v>
      </c>
      <c r="W159" s="44">
        <f t="shared" si="92"/>
        <v>1.81</v>
      </c>
      <c r="X159" s="44">
        <f t="shared" si="92"/>
        <v>1.81</v>
      </c>
      <c r="Y159" s="44">
        <f t="shared" si="92"/>
        <v>1.81</v>
      </c>
      <c r="Z159" s="44">
        <f t="shared" si="92"/>
        <v>1.81</v>
      </c>
      <c r="AA159" s="44">
        <f t="shared" si="92"/>
        <v>1.81</v>
      </c>
      <c r="AB159" s="44">
        <f t="shared" si="92"/>
        <v>1.81</v>
      </c>
      <c r="AC159" s="44">
        <f t="shared" si="92"/>
        <v>1.81</v>
      </c>
      <c r="AD159" s="44">
        <f t="shared" si="92"/>
        <v>1.81</v>
      </c>
      <c r="AE159" s="44">
        <f t="shared" si="92"/>
        <v>1.81</v>
      </c>
      <c r="AF159" s="44">
        <f t="shared" si="9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88"/>
        <v>1.0900000000000001</v>
      </c>
      <c r="C160" s="55">
        <v>1.0900000000000001</v>
      </c>
      <c r="D160" s="44">
        <f t="shared" ref="D160:AF160" si="93">C160</f>
        <v>1.0900000000000001</v>
      </c>
      <c r="E160" s="44">
        <f t="shared" si="93"/>
        <v>1.0900000000000001</v>
      </c>
      <c r="F160" s="44">
        <f t="shared" si="93"/>
        <v>1.0900000000000001</v>
      </c>
      <c r="G160" s="44">
        <f t="shared" si="93"/>
        <v>1.0900000000000001</v>
      </c>
      <c r="H160" s="44">
        <f t="shared" si="93"/>
        <v>1.0900000000000001</v>
      </c>
      <c r="I160" s="44">
        <f t="shared" si="93"/>
        <v>1.0900000000000001</v>
      </c>
      <c r="J160" s="44">
        <f t="shared" si="93"/>
        <v>1.0900000000000001</v>
      </c>
      <c r="K160" s="44">
        <f t="shared" si="93"/>
        <v>1.0900000000000001</v>
      </c>
      <c r="L160" s="44">
        <f t="shared" si="93"/>
        <v>1.0900000000000001</v>
      </c>
      <c r="M160" s="44">
        <f t="shared" si="93"/>
        <v>1.0900000000000001</v>
      </c>
      <c r="N160" s="44">
        <f t="shared" si="93"/>
        <v>1.0900000000000001</v>
      </c>
      <c r="O160" s="44">
        <f t="shared" si="93"/>
        <v>1.0900000000000001</v>
      </c>
      <c r="P160" s="44">
        <f t="shared" si="93"/>
        <v>1.0900000000000001</v>
      </c>
      <c r="Q160" s="44">
        <f t="shared" si="93"/>
        <v>1.0900000000000001</v>
      </c>
      <c r="R160" s="44">
        <f t="shared" si="93"/>
        <v>1.0900000000000001</v>
      </c>
      <c r="S160" s="44">
        <f t="shared" si="93"/>
        <v>1.0900000000000001</v>
      </c>
      <c r="T160" s="44">
        <f t="shared" si="93"/>
        <v>1.0900000000000001</v>
      </c>
      <c r="U160" s="44">
        <f t="shared" si="93"/>
        <v>1.0900000000000001</v>
      </c>
      <c r="V160" s="44">
        <f t="shared" si="93"/>
        <v>1.0900000000000001</v>
      </c>
      <c r="W160" s="44">
        <f t="shared" si="93"/>
        <v>1.0900000000000001</v>
      </c>
      <c r="X160" s="44">
        <f t="shared" si="93"/>
        <v>1.0900000000000001</v>
      </c>
      <c r="Y160" s="44">
        <f t="shared" si="93"/>
        <v>1.0900000000000001</v>
      </c>
      <c r="Z160" s="44">
        <f t="shared" si="93"/>
        <v>1.0900000000000001</v>
      </c>
      <c r="AA160" s="44">
        <f t="shared" si="93"/>
        <v>1.0900000000000001</v>
      </c>
      <c r="AB160" s="44">
        <f t="shared" si="93"/>
        <v>1.0900000000000001</v>
      </c>
      <c r="AC160" s="44">
        <f t="shared" si="93"/>
        <v>1.0900000000000001</v>
      </c>
      <c r="AD160" s="44">
        <f t="shared" si="93"/>
        <v>1.0900000000000001</v>
      </c>
      <c r="AE160" s="44">
        <f t="shared" si="93"/>
        <v>1.0900000000000001</v>
      </c>
      <c r="AF160" s="44">
        <f t="shared" si="93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88"/>
        <v>1.58</v>
      </c>
      <c r="C161" s="55">
        <v>1.58</v>
      </c>
      <c r="D161" s="44">
        <f t="shared" ref="D161:AF161" si="94">C161</f>
        <v>1.58</v>
      </c>
      <c r="E161" s="44">
        <f t="shared" si="94"/>
        <v>1.58</v>
      </c>
      <c r="F161" s="44">
        <f t="shared" si="94"/>
        <v>1.58</v>
      </c>
      <c r="G161" s="44">
        <f t="shared" si="94"/>
        <v>1.58</v>
      </c>
      <c r="H161" s="44">
        <f t="shared" si="94"/>
        <v>1.58</v>
      </c>
      <c r="I161" s="44">
        <f t="shared" si="94"/>
        <v>1.58</v>
      </c>
      <c r="J161" s="44">
        <f t="shared" si="94"/>
        <v>1.58</v>
      </c>
      <c r="K161" s="44">
        <f t="shared" si="94"/>
        <v>1.58</v>
      </c>
      <c r="L161" s="44">
        <f t="shared" si="94"/>
        <v>1.58</v>
      </c>
      <c r="M161" s="44">
        <f t="shared" si="94"/>
        <v>1.58</v>
      </c>
      <c r="N161" s="44">
        <f t="shared" si="94"/>
        <v>1.58</v>
      </c>
      <c r="O161" s="44">
        <f t="shared" si="94"/>
        <v>1.58</v>
      </c>
      <c r="P161" s="44">
        <f t="shared" si="94"/>
        <v>1.58</v>
      </c>
      <c r="Q161" s="44">
        <f t="shared" si="94"/>
        <v>1.58</v>
      </c>
      <c r="R161" s="44">
        <f t="shared" si="94"/>
        <v>1.58</v>
      </c>
      <c r="S161" s="44">
        <f t="shared" si="94"/>
        <v>1.58</v>
      </c>
      <c r="T161" s="44">
        <f t="shared" si="94"/>
        <v>1.58</v>
      </c>
      <c r="U161" s="44">
        <f t="shared" si="94"/>
        <v>1.58</v>
      </c>
      <c r="V161" s="44">
        <f t="shared" si="94"/>
        <v>1.58</v>
      </c>
      <c r="W161" s="44">
        <f t="shared" si="94"/>
        <v>1.58</v>
      </c>
      <c r="X161" s="44">
        <f t="shared" si="94"/>
        <v>1.58</v>
      </c>
      <c r="Y161" s="44">
        <f t="shared" si="94"/>
        <v>1.58</v>
      </c>
      <c r="Z161" s="44">
        <f t="shared" si="94"/>
        <v>1.58</v>
      </c>
      <c r="AA161" s="44">
        <f t="shared" si="94"/>
        <v>1.58</v>
      </c>
      <c r="AB161" s="44">
        <f t="shared" si="94"/>
        <v>1.58</v>
      </c>
      <c r="AC161" s="44">
        <f t="shared" si="94"/>
        <v>1.58</v>
      </c>
      <c r="AD161" s="44">
        <f t="shared" si="94"/>
        <v>1.58</v>
      </c>
      <c r="AE161" s="44">
        <f t="shared" si="94"/>
        <v>1.58</v>
      </c>
      <c r="AF161" s="44">
        <f t="shared" si="94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88"/>
        <v>2</v>
      </c>
      <c r="C162" s="55">
        <v>2</v>
      </c>
      <c r="D162" s="44">
        <f t="shared" ref="D162:AF162" si="95">C162</f>
        <v>2</v>
      </c>
      <c r="E162" s="44">
        <f t="shared" si="95"/>
        <v>2</v>
      </c>
      <c r="F162" s="44">
        <f t="shared" si="95"/>
        <v>2</v>
      </c>
      <c r="G162" s="44">
        <f t="shared" si="95"/>
        <v>2</v>
      </c>
      <c r="H162" s="44">
        <f t="shared" si="95"/>
        <v>2</v>
      </c>
      <c r="I162" s="44">
        <f t="shared" si="95"/>
        <v>2</v>
      </c>
      <c r="J162" s="44">
        <f t="shared" si="95"/>
        <v>2</v>
      </c>
      <c r="K162" s="44">
        <f t="shared" si="95"/>
        <v>2</v>
      </c>
      <c r="L162" s="44">
        <f t="shared" si="95"/>
        <v>2</v>
      </c>
      <c r="M162" s="44">
        <f t="shared" si="95"/>
        <v>2</v>
      </c>
      <c r="N162" s="44">
        <f t="shared" si="95"/>
        <v>2</v>
      </c>
      <c r="O162" s="44">
        <f t="shared" si="95"/>
        <v>2</v>
      </c>
      <c r="P162" s="44">
        <f t="shared" si="95"/>
        <v>2</v>
      </c>
      <c r="Q162" s="44">
        <f t="shared" si="95"/>
        <v>2</v>
      </c>
      <c r="R162" s="44">
        <f t="shared" si="95"/>
        <v>2</v>
      </c>
      <c r="S162" s="44">
        <f t="shared" si="95"/>
        <v>2</v>
      </c>
      <c r="T162" s="44">
        <f t="shared" si="95"/>
        <v>2</v>
      </c>
      <c r="U162" s="44">
        <f t="shared" si="95"/>
        <v>2</v>
      </c>
      <c r="V162" s="44">
        <f t="shared" si="95"/>
        <v>2</v>
      </c>
      <c r="W162" s="44">
        <f t="shared" si="95"/>
        <v>2</v>
      </c>
      <c r="X162" s="44">
        <f t="shared" si="95"/>
        <v>2</v>
      </c>
      <c r="Y162" s="44">
        <f t="shared" si="95"/>
        <v>2</v>
      </c>
      <c r="Z162" s="44">
        <f t="shared" si="95"/>
        <v>2</v>
      </c>
      <c r="AA162" s="44">
        <f t="shared" si="95"/>
        <v>2</v>
      </c>
      <c r="AB162" s="44">
        <f t="shared" si="95"/>
        <v>2</v>
      </c>
      <c r="AC162" s="44">
        <f t="shared" si="95"/>
        <v>2</v>
      </c>
      <c r="AD162" s="44">
        <f t="shared" si="95"/>
        <v>2</v>
      </c>
      <c r="AE162" s="44">
        <f t="shared" si="95"/>
        <v>2</v>
      </c>
      <c r="AF162" s="44">
        <f t="shared" si="95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88"/>
        <v>0.47</v>
      </c>
      <c r="C163" s="55">
        <v>0.47</v>
      </c>
      <c r="D163" s="44">
        <f t="shared" ref="D163:AF163" si="96">C163</f>
        <v>0.47</v>
      </c>
      <c r="E163" s="44">
        <f t="shared" si="96"/>
        <v>0.47</v>
      </c>
      <c r="F163" s="44">
        <f t="shared" si="96"/>
        <v>0.47</v>
      </c>
      <c r="G163" s="44">
        <f t="shared" si="96"/>
        <v>0.47</v>
      </c>
      <c r="H163" s="44">
        <f t="shared" si="96"/>
        <v>0.47</v>
      </c>
      <c r="I163" s="44">
        <f t="shared" si="96"/>
        <v>0.47</v>
      </c>
      <c r="J163" s="44">
        <f t="shared" si="96"/>
        <v>0.47</v>
      </c>
      <c r="K163" s="44">
        <f t="shared" si="96"/>
        <v>0.47</v>
      </c>
      <c r="L163" s="44">
        <f t="shared" si="96"/>
        <v>0.47</v>
      </c>
      <c r="M163" s="44">
        <f t="shared" si="96"/>
        <v>0.47</v>
      </c>
      <c r="N163" s="44">
        <f t="shared" si="96"/>
        <v>0.47</v>
      </c>
      <c r="O163" s="44">
        <f t="shared" si="96"/>
        <v>0.47</v>
      </c>
      <c r="P163" s="44">
        <f t="shared" si="96"/>
        <v>0.47</v>
      </c>
      <c r="Q163" s="44">
        <f t="shared" si="96"/>
        <v>0.47</v>
      </c>
      <c r="R163" s="44">
        <f t="shared" si="96"/>
        <v>0.47</v>
      </c>
      <c r="S163" s="44">
        <f t="shared" si="96"/>
        <v>0.47</v>
      </c>
      <c r="T163" s="44">
        <f t="shared" si="96"/>
        <v>0.47</v>
      </c>
      <c r="U163" s="44">
        <f t="shared" si="96"/>
        <v>0.47</v>
      </c>
      <c r="V163" s="44">
        <f t="shared" si="96"/>
        <v>0.47</v>
      </c>
      <c r="W163" s="44">
        <f t="shared" si="96"/>
        <v>0.47</v>
      </c>
      <c r="X163" s="44">
        <f t="shared" si="96"/>
        <v>0.47</v>
      </c>
      <c r="Y163" s="44">
        <f t="shared" si="96"/>
        <v>0.47</v>
      </c>
      <c r="Z163" s="44">
        <f t="shared" si="96"/>
        <v>0.47</v>
      </c>
      <c r="AA163" s="44">
        <f t="shared" si="96"/>
        <v>0.47</v>
      </c>
      <c r="AB163" s="44">
        <f t="shared" si="96"/>
        <v>0.47</v>
      </c>
      <c r="AC163" s="44">
        <f t="shared" si="96"/>
        <v>0.47</v>
      </c>
      <c r="AD163" s="44">
        <f t="shared" si="96"/>
        <v>0.47</v>
      </c>
      <c r="AE163" s="44">
        <f t="shared" si="96"/>
        <v>0.47</v>
      </c>
      <c r="AF163" s="44">
        <f t="shared" si="9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88"/>
        <v>0</v>
      </c>
      <c r="C164" s="55">
        <v>0</v>
      </c>
      <c r="D164" s="44">
        <f t="shared" ref="D164:AF164" si="97">C164</f>
        <v>0</v>
      </c>
      <c r="E164" s="44">
        <f t="shared" si="97"/>
        <v>0</v>
      </c>
      <c r="F164" s="44">
        <f t="shared" si="97"/>
        <v>0</v>
      </c>
      <c r="G164" s="44">
        <f t="shared" si="97"/>
        <v>0</v>
      </c>
      <c r="H164" s="44">
        <f t="shared" si="97"/>
        <v>0</v>
      </c>
      <c r="I164" s="44">
        <f t="shared" si="97"/>
        <v>0</v>
      </c>
      <c r="J164" s="44">
        <f t="shared" si="97"/>
        <v>0</v>
      </c>
      <c r="K164" s="44">
        <f t="shared" si="97"/>
        <v>0</v>
      </c>
      <c r="L164" s="44">
        <f t="shared" si="97"/>
        <v>0</v>
      </c>
      <c r="M164" s="44">
        <f t="shared" si="97"/>
        <v>0</v>
      </c>
      <c r="N164" s="44">
        <f t="shared" si="97"/>
        <v>0</v>
      </c>
      <c r="O164" s="44">
        <f t="shared" si="97"/>
        <v>0</v>
      </c>
      <c r="P164" s="44">
        <f t="shared" si="97"/>
        <v>0</v>
      </c>
      <c r="Q164" s="44">
        <f t="shared" si="97"/>
        <v>0</v>
      </c>
      <c r="R164" s="44">
        <f t="shared" si="97"/>
        <v>0</v>
      </c>
      <c r="S164" s="44">
        <f t="shared" si="97"/>
        <v>0</v>
      </c>
      <c r="T164" s="44">
        <f t="shared" si="97"/>
        <v>0</v>
      </c>
      <c r="U164" s="44">
        <f t="shared" si="97"/>
        <v>0</v>
      </c>
      <c r="V164" s="44">
        <f t="shared" si="97"/>
        <v>0</v>
      </c>
      <c r="W164" s="44">
        <f t="shared" si="97"/>
        <v>0</v>
      </c>
      <c r="X164" s="44">
        <f t="shared" si="97"/>
        <v>0</v>
      </c>
      <c r="Y164" s="44">
        <f t="shared" si="97"/>
        <v>0</v>
      </c>
      <c r="Z164" s="44">
        <f t="shared" si="97"/>
        <v>0</v>
      </c>
      <c r="AA164" s="44">
        <f t="shared" si="97"/>
        <v>0</v>
      </c>
      <c r="AB164" s="44">
        <f t="shared" si="97"/>
        <v>0</v>
      </c>
      <c r="AC164" s="44">
        <f t="shared" si="97"/>
        <v>0</v>
      </c>
      <c r="AD164" s="44">
        <f t="shared" si="97"/>
        <v>0</v>
      </c>
      <c r="AE164" s="44">
        <f t="shared" si="97"/>
        <v>0</v>
      </c>
      <c r="AF164" s="44">
        <f t="shared" si="97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88"/>
        <v>0</v>
      </c>
      <c r="C165" s="55">
        <v>0</v>
      </c>
      <c r="D165" s="44">
        <f t="shared" ref="D165:AF165" si="98">C165</f>
        <v>0</v>
      </c>
      <c r="E165" s="44">
        <f t="shared" si="98"/>
        <v>0</v>
      </c>
      <c r="F165" s="44">
        <f t="shared" si="98"/>
        <v>0</v>
      </c>
      <c r="G165" s="44">
        <f t="shared" si="98"/>
        <v>0</v>
      </c>
      <c r="H165" s="44">
        <f t="shared" si="98"/>
        <v>0</v>
      </c>
      <c r="I165" s="44">
        <f t="shared" si="98"/>
        <v>0</v>
      </c>
      <c r="J165" s="44">
        <f t="shared" si="98"/>
        <v>0</v>
      </c>
      <c r="K165" s="44">
        <f t="shared" si="98"/>
        <v>0</v>
      </c>
      <c r="L165" s="44">
        <f t="shared" si="98"/>
        <v>0</v>
      </c>
      <c r="M165" s="44">
        <f t="shared" si="98"/>
        <v>0</v>
      </c>
      <c r="N165" s="44">
        <f t="shared" si="98"/>
        <v>0</v>
      </c>
      <c r="O165" s="44">
        <f t="shared" si="98"/>
        <v>0</v>
      </c>
      <c r="P165" s="44">
        <f t="shared" si="98"/>
        <v>0</v>
      </c>
      <c r="Q165" s="44">
        <f t="shared" si="98"/>
        <v>0</v>
      </c>
      <c r="R165" s="44">
        <f t="shared" si="98"/>
        <v>0</v>
      </c>
      <c r="S165" s="44">
        <f t="shared" si="98"/>
        <v>0</v>
      </c>
      <c r="T165" s="44">
        <f t="shared" si="98"/>
        <v>0</v>
      </c>
      <c r="U165" s="44">
        <f t="shared" si="98"/>
        <v>0</v>
      </c>
      <c r="V165" s="44">
        <f t="shared" si="98"/>
        <v>0</v>
      </c>
      <c r="W165" s="44">
        <f t="shared" si="98"/>
        <v>0</v>
      </c>
      <c r="X165" s="44">
        <f t="shared" si="98"/>
        <v>0</v>
      </c>
      <c r="Y165" s="44">
        <f t="shared" si="98"/>
        <v>0</v>
      </c>
      <c r="Z165" s="44">
        <f t="shared" si="98"/>
        <v>0</v>
      </c>
      <c r="AA165" s="44">
        <f t="shared" si="98"/>
        <v>0</v>
      </c>
      <c r="AB165" s="44">
        <f t="shared" si="98"/>
        <v>0</v>
      </c>
      <c r="AC165" s="44">
        <f t="shared" si="98"/>
        <v>0</v>
      </c>
      <c r="AD165" s="44">
        <f t="shared" si="98"/>
        <v>0</v>
      </c>
      <c r="AE165" s="44">
        <f t="shared" si="98"/>
        <v>0</v>
      </c>
      <c r="AF165" s="44">
        <f t="shared" si="98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88"/>
        <v>0.8</v>
      </c>
      <c r="C166" s="55">
        <v>0.8</v>
      </c>
      <c r="D166" s="44">
        <f t="shared" ref="D166:AF166" si="99">C166</f>
        <v>0.8</v>
      </c>
      <c r="E166" s="44">
        <f t="shared" si="99"/>
        <v>0.8</v>
      </c>
      <c r="F166" s="44">
        <f t="shared" si="99"/>
        <v>0.8</v>
      </c>
      <c r="G166" s="44">
        <f t="shared" si="99"/>
        <v>0.8</v>
      </c>
      <c r="H166" s="44">
        <f t="shared" si="99"/>
        <v>0.8</v>
      </c>
      <c r="I166" s="44">
        <f t="shared" si="99"/>
        <v>0.8</v>
      </c>
      <c r="J166" s="44">
        <f t="shared" si="99"/>
        <v>0.8</v>
      </c>
      <c r="K166" s="44">
        <f t="shared" si="99"/>
        <v>0.8</v>
      </c>
      <c r="L166" s="44">
        <f t="shared" si="99"/>
        <v>0.8</v>
      </c>
      <c r="M166" s="44">
        <f t="shared" si="99"/>
        <v>0.8</v>
      </c>
      <c r="N166" s="44">
        <f t="shared" si="99"/>
        <v>0.8</v>
      </c>
      <c r="O166" s="44">
        <f t="shared" si="99"/>
        <v>0.8</v>
      </c>
      <c r="P166" s="44">
        <f t="shared" si="99"/>
        <v>0.8</v>
      </c>
      <c r="Q166" s="44">
        <f t="shared" si="99"/>
        <v>0.8</v>
      </c>
      <c r="R166" s="44">
        <f t="shared" si="99"/>
        <v>0.8</v>
      </c>
      <c r="S166" s="44">
        <f t="shared" si="99"/>
        <v>0.8</v>
      </c>
      <c r="T166" s="44">
        <f t="shared" si="99"/>
        <v>0.8</v>
      </c>
      <c r="U166" s="44">
        <f t="shared" si="99"/>
        <v>0.8</v>
      </c>
      <c r="V166" s="44">
        <f t="shared" si="99"/>
        <v>0.8</v>
      </c>
      <c r="W166" s="44">
        <f t="shared" si="99"/>
        <v>0.8</v>
      </c>
      <c r="X166" s="44">
        <f t="shared" si="99"/>
        <v>0.8</v>
      </c>
      <c r="Y166" s="44">
        <f t="shared" si="99"/>
        <v>0.8</v>
      </c>
      <c r="Z166" s="44">
        <f t="shared" si="99"/>
        <v>0.8</v>
      </c>
      <c r="AA166" s="44">
        <f t="shared" si="99"/>
        <v>0.8</v>
      </c>
      <c r="AB166" s="44">
        <f t="shared" si="99"/>
        <v>0.8</v>
      </c>
      <c r="AC166" s="44">
        <f t="shared" si="99"/>
        <v>0.8</v>
      </c>
      <c r="AD166" s="44">
        <f t="shared" si="99"/>
        <v>0.8</v>
      </c>
      <c r="AE166" s="44">
        <f t="shared" si="99"/>
        <v>0.8</v>
      </c>
      <c r="AF166" s="44">
        <f t="shared" si="99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88"/>
        <v>1.5</v>
      </c>
      <c r="C167" s="55">
        <v>1.5</v>
      </c>
      <c r="D167" s="44">
        <f t="shared" ref="D167:AF167" si="100">C167</f>
        <v>1.5</v>
      </c>
      <c r="E167" s="44">
        <f t="shared" si="100"/>
        <v>1.5</v>
      </c>
      <c r="F167" s="44">
        <f t="shared" si="100"/>
        <v>1.5</v>
      </c>
      <c r="G167" s="44">
        <f t="shared" si="100"/>
        <v>1.5</v>
      </c>
      <c r="H167" s="44">
        <f t="shared" si="100"/>
        <v>1.5</v>
      </c>
      <c r="I167" s="44">
        <f t="shared" si="100"/>
        <v>1.5</v>
      </c>
      <c r="J167" s="44">
        <f t="shared" si="100"/>
        <v>1.5</v>
      </c>
      <c r="K167" s="44">
        <f t="shared" si="100"/>
        <v>1.5</v>
      </c>
      <c r="L167" s="44">
        <f t="shared" si="100"/>
        <v>1.5</v>
      </c>
      <c r="M167" s="44">
        <f t="shared" si="100"/>
        <v>1.5</v>
      </c>
      <c r="N167" s="44">
        <f t="shared" si="100"/>
        <v>1.5</v>
      </c>
      <c r="O167" s="44">
        <f t="shared" si="100"/>
        <v>1.5</v>
      </c>
      <c r="P167" s="44">
        <f t="shared" si="100"/>
        <v>1.5</v>
      </c>
      <c r="Q167" s="44">
        <f t="shared" si="100"/>
        <v>1.5</v>
      </c>
      <c r="R167" s="44">
        <f t="shared" si="100"/>
        <v>1.5</v>
      </c>
      <c r="S167" s="44">
        <f t="shared" si="100"/>
        <v>1.5</v>
      </c>
      <c r="T167" s="44">
        <f t="shared" si="100"/>
        <v>1.5</v>
      </c>
      <c r="U167" s="44">
        <f t="shared" si="100"/>
        <v>1.5</v>
      </c>
      <c r="V167" s="44">
        <f t="shared" si="100"/>
        <v>1.5</v>
      </c>
      <c r="W167" s="44">
        <f t="shared" si="100"/>
        <v>1.5</v>
      </c>
      <c r="X167" s="44">
        <f t="shared" si="100"/>
        <v>1.5</v>
      </c>
      <c r="Y167" s="44">
        <f t="shared" si="100"/>
        <v>1.5</v>
      </c>
      <c r="Z167" s="44">
        <f t="shared" si="100"/>
        <v>1.5</v>
      </c>
      <c r="AA167" s="44">
        <f t="shared" si="100"/>
        <v>1.5</v>
      </c>
      <c r="AB167" s="44">
        <f t="shared" si="100"/>
        <v>1.5</v>
      </c>
      <c r="AC167" s="44">
        <f t="shared" si="100"/>
        <v>1.5</v>
      </c>
      <c r="AD167" s="44">
        <f t="shared" si="100"/>
        <v>1.5</v>
      </c>
      <c r="AE167" s="44">
        <f t="shared" si="100"/>
        <v>1.5</v>
      </c>
      <c r="AF167" s="44">
        <f t="shared" si="100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88"/>
        <v>1</v>
      </c>
      <c r="C168" s="55">
        <v>1</v>
      </c>
      <c r="D168" s="44">
        <f t="shared" ref="D168:AF168" si="101">C168</f>
        <v>1</v>
      </c>
      <c r="E168" s="44">
        <f t="shared" si="101"/>
        <v>1</v>
      </c>
      <c r="F168" s="44">
        <f t="shared" si="101"/>
        <v>1</v>
      </c>
      <c r="G168" s="44">
        <f t="shared" si="101"/>
        <v>1</v>
      </c>
      <c r="H168" s="44">
        <f t="shared" si="101"/>
        <v>1</v>
      </c>
      <c r="I168" s="44">
        <f t="shared" si="101"/>
        <v>1</v>
      </c>
      <c r="J168" s="44">
        <f t="shared" si="101"/>
        <v>1</v>
      </c>
      <c r="K168" s="44">
        <f t="shared" si="101"/>
        <v>1</v>
      </c>
      <c r="L168" s="44">
        <f t="shared" si="101"/>
        <v>1</v>
      </c>
      <c r="M168" s="44">
        <f t="shared" si="101"/>
        <v>1</v>
      </c>
      <c r="N168" s="44">
        <f t="shared" si="101"/>
        <v>1</v>
      </c>
      <c r="O168" s="44">
        <f t="shared" si="101"/>
        <v>1</v>
      </c>
      <c r="P168" s="44">
        <f t="shared" si="101"/>
        <v>1</v>
      </c>
      <c r="Q168" s="44">
        <f t="shared" si="101"/>
        <v>1</v>
      </c>
      <c r="R168" s="44">
        <f t="shared" si="101"/>
        <v>1</v>
      </c>
      <c r="S168" s="44">
        <f t="shared" si="101"/>
        <v>1</v>
      </c>
      <c r="T168" s="44">
        <f t="shared" si="101"/>
        <v>1</v>
      </c>
      <c r="U168" s="44">
        <f t="shared" si="101"/>
        <v>1</v>
      </c>
      <c r="V168" s="44">
        <f t="shared" si="101"/>
        <v>1</v>
      </c>
      <c r="W168" s="44">
        <f t="shared" si="101"/>
        <v>1</v>
      </c>
      <c r="X168" s="44">
        <f t="shared" si="101"/>
        <v>1</v>
      </c>
      <c r="Y168" s="44">
        <f t="shared" si="101"/>
        <v>1</v>
      </c>
      <c r="Z168" s="44">
        <f t="shared" si="101"/>
        <v>1</v>
      </c>
      <c r="AA168" s="44">
        <f t="shared" si="101"/>
        <v>1</v>
      </c>
      <c r="AB168" s="44">
        <f t="shared" si="101"/>
        <v>1</v>
      </c>
      <c r="AC168" s="44">
        <f t="shared" si="101"/>
        <v>1</v>
      </c>
      <c r="AD168" s="44">
        <f t="shared" si="101"/>
        <v>1</v>
      </c>
      <c r="AE168" s="44">
        <f t="shared" si="101"/>
        <v>1</v>
      </c>
      <c r="AF168" s="44">
        <f t="shared" si="101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102">AF170</f>
        <v>1</v>
      </c>
      <c r="C170" s="55">
        <v>1</v>
      </c>
      <c r="D170" s="44">
        <f t="shared" ref="D170:AF170" si="103">C170</f>
        <v>1</v>
      </c>
      <c r="E170" s="44">
        <f t="shared" si="103"/>
        <v>1</v>
      </c>
      <c r="F170" s="44">
        <f t="shared" si="103"/>
        <v>1</v>
      </c>
      <c r="G170" s="44">
        <f t="shared" si="103"/>
        <v>1</v>
      </c>
      <c r="H170" s="44">
        <f t="shared" si="103"/>
        <v>1</v>
      </c>
      <c r="I170" s="44">
        <f t="shared" si="103"/>
        <v>1</v>
      </c>
      <c r="J170" s="44">
        <f t="shared" si="103"/>
        <v>1</v>
      </c>
      <c r="K170" s="44">
        <f t="shared" si="103"/>
        <v>1</v>
      </c>
      <c r="L170" s="44">
        <f t="shared" si="103"/>
        <v>1</v>
      </c>
      <c r="M170" s="44">
        <f t="shared" si="103"/>
        <v>1</v>
      </c>
      <c r="N170" s="44">
        <f t="shared" si="103"/>
        <v>1</v>
      </c>
      <c r="O170" s="44">
        <f t="shared" si="103"/>
        <v>1</v>
      </c>
      <c r="P170" s="44">
        <f t="shared" si="103"/>
        <v>1</v>
      </c>
      <c r="Q170" s="44">
        <f t="shared" si="103"/>
        <v>1</v>
      </c>
      <c r="R170" s="44">
        <f t="shared" si="103"/>
        <v>1</v>
      </c>
      <c r="S170" s="44">
        <f t="shared" si="103"/>
        <v>1</v>
      </c>
      <c r="T170" s="44">
        <f t="shared" si="103"/>
        <v>1</v>
      </c>
      <c r="U170" s="44">
        <f t="shared" si="103"/>
        <v>1</v>
      </c>
      <c r="V170" s="44">
        <f t="shared" si="103"/>
        <v>1</v>
      </c>
      <c r="W170" s="44">
        <f t="shared" si="103"/>
        <v>1</v>
      </c>
      <c r="X170" s="44">
        <f t="shared" si="103"/>
        <v>1</v>
      </c>
      <c r="Y170" s="44">
        <f t="shared" si="103"/>
        <v>1</v>
      </c>
      <c r="Z170" s="44">
        <f t="shared" si="103"/>
        <v>1</v>
      </c>
      <c r="AA170" s="44">
        <f t="shared" si="103"/>
        <v>1</v>
      </c>
      <c r="AB170" s="44">
        <f t="shared" si="103"/>
        <v>1</v>
      </c>
      <c r="AC170" s="44">
        <f t="shared" si="103"/>
        <v>1</v>
      </c>
      <c r="AD170" s="44">
        <f t="shared" si="103"/>
        <v>1</v>
      </c>
      <c r="AE170" s="44">
        <f t="shared" si="103"/>
        <v>1</v>
      </c>
      <c r="AF170" s="44">
        <f t="shared" si="103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102"/>
        <v>0.42</v>
      </c>
      <c r="C171" s="55">
        <v>0.42</v>
      </c>
      <c r="D171" s="44">
        <f t="shared" ref="D171:AF171" si="104">C171</f>
        <v>0.42</v>
      </c>
      <c r="E171" s="44">
        <f t="shared" si="104"/>
        <v>0.42</v>
      </c>
      <c r="F171" s="44">
        <f t="shared" si="104"/>
        <v>0.42</v>
      </c>
      <c r="G171" s="44">
        <f t="shared" si="104"/>
        <v>0.42</v>
      </c>
      <c r="H171" s="44">
        <f t="shared" si="104"/>
        <v>0.42</v>
      </c>
      <c r="I171" s="44">
        <f t="shared" si="104"/>
        <v>0.42</v>
      </c>
      <c r="J171" s="44">
        <f t="shared" si="104"/>
        <v>0.42</v>
      </c>
      <c r="K171" s="44">
        <f t="shared" si="104"/>
        <v>0.42</v>
      </c>
      <c r="L171" s="44">
        <f t="shared" si="104"/>
        <v>0.42</v>
      </c>
      <c r="M171" s="44">
        <f t="shared" si="104"/>
        <v>0.42</v>
      </c>
      <c r="N171" s="44">
        <f t="shared" si="104"/>
        <v>0.42</v>
      </c>
      <c r="O171" s="44">
        <f t="shared" si="104"/>
        <v>0.42</v>
      </c>
      <c r="P171" s="44">
        <f t="shared" si="104"/>
        <v>0.42</v>
      </c>
      <c r="Q171" s="44">
        <f t="shared" si="104"/>
        <v>0.42</v>
      </c>
      <c r="R171" s="44">
        <f t="shared" si="104"/>
        <v>0.42</v>
      </c>
      <c r="S171" s="44">
        <f t="shared" si="104"/>
        <v>0.42</v>
      </c>
      <c r="T171" s="44">
        <f t="shared" si="104"/>
        <v>0.42</v>
      </c>
      <c r="U171" s="44">
        <f t="shared" si="104"/>
        <v>0.42</v>
      </c>
      <c r="V171" s="44">
        <f t="shared" si="104"/>
        <v>0.42</v>
      </c>
      <c r="W171" s="44">
        <f t="shared" si="104"/>
        <v>0.42</v>
      </c>
      <c r="X171" s="44">
        <f t="shared" si="104"/>
        <v>0.42</v>
      </c>
      <c r="Y171" s="44">
        <f t="shared" si="104"/>
        <v>0.42</v>
      </c>
      <c r="Z171" s="44">
        <f t="shared" si="104"/>
        <v>0.42</v>
      </c>
      <c r="AA171" s="44">
        <f t="shared" si="104"/>
        <v>0.42</v>
      </c>
      <c r="AB171" s="44">
        <f t="shared" si="104"/>
        <v>0.42</v>
      </c>
      <c r="AC171" s="44">
        <f t="shared" si="104"/>
        <v>0.42</v>
      </c>
      <c r="AD171" s="44">
        <f t="shared" si="104"/>
        <v>0.42</v>
      </c>
      <c r="AE171" s="44">
        <f t="shared" si="104"/>
        <v>0.42</v>
      </c>
      <c r="AF171" s="44">
        <f t="shared" si="104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102"/>
        <v>0.46</v>
      </c>
      <c r="C172" s="55">
        <v>0.46</v>
      </c>
      <c r="D172" s="44">
        <f t="shared" ref="D172:AF172" si="105">C172</f>
        <v>0.46</v>
      </c>
      <c r="E172" s="44">
        <f t="shared" si="105"/>
        <v>0.46</v>
      </c>
      <c r="F172" s="44">
        <f t="shared" si="105"/>
        <v>0.46</v>
      </c>
      <c r="G172" s="44">
        <f t="shared" si="105"/>
        <v>0.46</v>
      </c>
      <c r="H172" s="44">
        <f t="shared" si="105"/>
        <v>0.46</v>
      </c>
      <c r="I172" s="44">
        <f t="shared" si="105"/>
        <v>0.46</v>
      </c>
      <c r="J172" s="44">
        <f t="shared" si="105"/>
        <v>0.46</v>
      </c>
      <c r="K172" s="44">
        <f t="shared" si="105"/>
        <v>0.46</v>
      </c>
      <c r="L172" s="44">
        <f t="shared" si="105"/>
        <v>0.46</v>
      </c>
      <c r="M172" s="44">
        <f t="shared" si="105"/>
        <v>0.46</v>
      </c>
      <c r="N172" s="44">
        <f t="shared" si="105"/>
        <v>0.46</v>
      </c>
      <c r="O172" s="44">
        <f t="shared" si="105"/>
        <v>0.46</v>
      </c>
      <c r="P172" s="44">
        <f t="shared" si="105"/>
        <v>0.46</v>
      </c>
      <c r="Q172" s="44">
        <f t="shared" si="105"/>
        <v>0.46</v>
      </c>
      <c r="R172" s="44">
        <f t="shared" si="105"/>
        <v>0.46</v>
      </c>
      <c r="S172" s="44">
        <f t="shared" si="105"/>
        <v>0.46</v>
      </c>
      <c r="T172" s="44">
        <f t="shared" si="105"/>
        <v>0.46</v>
      </c>
      <c r="U172" s="44">
        <f t="shared" si="105"/>
        <v>0.46</v>
      </c>
      <c r="V172" s="44">
        <f t="shared" si="105"/>
        <v>0.46</v>
      </c>
      <c r="W172" s="44">
        <f t="shared" si="105"/>
        <v>0.46</v>
      </c>
      <c r="X172" s="44">
        <f t="shared" si="105"/>
        <v>0.46</v>
      </c>
      <c r="Y172" s="44">
        <f t="shared" si="105"/>
        <v>0.46</v>
      </c>
      <c r="Z172" s="44">
        <f t="shared" si="105"/>
        <v>0.46</v>
      </c>
      <c r="AA172" s="44">
        <f t="shared" si="105"/>
        <v>0.46</v>
      </c>
      <c r="AB172" s="44">
        <f t="shared" si="105"/>
        <v>0.46</v>
      </c>
      <c r="AC172" s="44">
        <f t="shared" si="105"/>
        <v>0.46</v>
      </c>
      <c r="AD172" s="44">
        <f t="shared" si="105"/>
        <v>0.46</v>
      </c>
      <c r="AE172" s="44">
        <f t="shared" si="105"/>
        <v>0.46</v>
      </c>
      <c r="AF172" s="44">
        <f t="shared" si="10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102"/>
        <v>0.85</v>
      </c>
      <c r="C173" s="55">
        <v>0.85</v>
      </c>
      <c r="D173" s="44">
        <f t="shared" ref="D173:AF173" si="106">C173</f>
        <v>0.85</v>
      </c>
      <c r="E173" s="44">
        <f t="shared" si="106"/>
        <v>0.85</v>
      </c>
      <c r="F173" s="44">
        <f t="shared" si="106"/>
        <v>0.85</v>
      </c>
      <c r="G173" s="44">
        <f t="shared" si="106"/>
        <v>0.85</v>
      </c>
      <c r="H173" s="44">
        <f t="shared" si="106"/>
        <v>0.85</v>
      </c>
      <c r="I173" s="44">
        <f t="shared" si="106"/>
        <v>0.85</v>
      </c>
      <c r="J173" s="44">
        <f t="shared" si="106"/>
        <v>0.85</v>
      </c>
      <c r="K173" s="44">
        <f t="shared" si="106"/>
        <v>0.85</v>
      </c>
      <c r="L173" s="44">
        <f t="shared" si="106"/>
        <v>0.85</v>
      </c>
      <c r="M173" s="44">
        <f t="shared" si="106"/>
        <v>0.85</v>
      </c>
      <c r="N173" s="44">
        <f t="shared" si="106"/>
        <v>0.85</v>
      </c>
      <c r="O173" s="44">
        <f t="shared" si="106"/>
        <v>0.85</v>
      </c>
      <c r="P173" s="44">
        <f t="shared" si="106"/>
        <v>0.85</v>
      </c>
      <c r="Q173" s="44">
        <f t="shared" si="106"/>
        <v>0.85</v>
      </c>
      <c r="R173" s="44">
        <f t="shared" si="106"/>
        <v>0.85</v>
      </c>
      <c r="S173" s="44">
        <f t="shared" si="106"/>
        <v>0.85</v>
      </c>
      <c r="T173" s="44">
        <f t="shared" si="106"/>
        <v>0.85</v>
      </c>
      <c r="U173" s="44">
        <f t="shared" si="106"/>
        <v>0.85</v>
      </c>
      <c r="V173" s="44">
        <f t="shared" si="106"/>
        <v>0.85</v>
      </c>
      <c r="W173" s="44">
        <f t="shared" si="106"/>
        <v>0.85</v>
      </c>
      <c r="X173" s="44">
        <f t="shared" si="106"/>
        <v>0.85</v>
      </c>
      <c r="Y173" s="44">
        <f t="shared" si="106"/>
        <v>0.85</v>
      </c>
      <c r="Z173" s="44">
        <f t="shared" si="106"/>
        <v>0.85</v>
      </c>
      <c r="AA173" s="44">
        <f t="shared" si="106"/>
        <v>0.85</v>
      </c>
      <c r="AB173" s="44">
        <f t="shared" si="106"/>
        <v>0.85</v>
      </c>
      <c r="AC173" s="44">
        <f t="shared" si="106"/>
        <v>0.85</v>
      </c>
      <c r="AD173" s="44">
        <f t="shared" si="106"/>
        <v>0.85</v>
      </c>
      <c r="AE173" s="44">
        <f t="shared" si="106"/>
        <v>0.85</v>
      </c>
      <c r="AF173" s="44">
        <f t="shared" si="106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102"/>
        <v>0.9</v>
      </c>
      <c r="C174" s="55">
        <v>0.9</v>
      </c>
      <c r="D174" s="44">
        <f t="shared" ref="D174:AF174" si="107">C174</f>
        <v>0.9</v>
      </c>
      <c r="E174" s="44">
        <f t="shared" si="107"/>
        <v>0.9</v>
      </c>
      <c r="F174" s="44">
        <f t="shared" si="107"/>
        <v>0.9</v>
      </c>
      <c r="G174" s="44">
        <f t="shared" si="107"/>
        <v>0.9</v>
      </c>
      <c r="H174" s="44">
        <f t="shared" si="107"/>
        <v>0.9</v>
      </c>
      <c r="I174" s="44">
        <f t="shared" si="107"/>
        <v>0.9</v>
      </c>
      <c r="J174" s="44">
        <f t="shared" si="107"/>
        <v>0.9</v>
      </c>
      <c r="K174" s="44">
        <f t="shared" si="107"/>
        <v>0.9</v>
      </c>
      <c r="L174" s="44">
        <f t="shared" si="107"/>
        <v>0.9</v>
      </c>
      <c r="M174" s="44">
        <f t="shared" si="107"/>
        <v>0.9</v>
      </c>
      <c r="N174" s="44">
        <f t="shared" si="107"/>
        <v>0.9</v>
      </c>
      <c r="O174" s="44">
        <f t="shared" si="107"/>
        <v>0.9</v>
      </c>
      <c r="P174" s="44">
        <f t="shared" si="107"/>
        <v>0.9</v>
      </c>
      <c r="Q174" s="44">
        <f t="shared" si="107"/>
        <v>0.9</v>
      </c>
      <c r="R174" s="44">
        <f t="shared" si="107"/>
        <v>0.9</v>
      </c>
      <c r="S174" s="44">
        <f t="shared" si="107"/>
        <v>0.9</v>
      </c>
      <c r="T174" s="44">
        <f t="shared" si="107"/>
        <v>0.9</v>
      </c>
      <c r="U174" s="44">
        <f t="shared" si="107"/>
        <v>0.9</v>
      </c>
      <c r="V174" s="44">
        <f t="shared" si="107"/>
        <v>0.9</v>
      </c>
      <c r="W174" s="44">
        <f t="shared" si="107"/>
        <v>0.9</v>
      </c>
      <c r="X174" s="44">
        <f t="shared" si="107"/>
        <v>0.9</v>
      </c>
      <c r="Y174" s="44">
        <f t="shared" si="107"/>
        <v>0.9</v>
      </c>
      <c r="Z174" s="44">
        <f t="shared" si="107"/>
        <v>0.9</v>
      </c>
      <c r="AA174" s="44">
        <f t="shared" si="107"/>
        <v>0.9</v>
      </c>
      <c r="AB174" s="44">
        <f t="shared" si="107"/>
        <v>0.9</v>
      </c>
      <c r="AC174" s="44">
        <f t="shared" si="107"/>
        <v>0.9</v>
      </c>
      <c r="AD174" s="44">
        <f t="shared" si="107"/>
        <v>0.9</v>
      </c>
      <c r="AE174" s="44">
        <f t="shared" si="107"/>
        <v>0.9</v>
      </c>
      <c r="AF174" s="44">
        <f t="shared" si="107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102"/>
        <v>0.44</v>
      </c>
      <c r="C175" s="55">
        <v>0.44</v>
      </c>
      <c r="D175" s="44">
        <f t="shared" ref="D175:AF175" si="108">C175</f>
        <v>0.44</v>
      </c>
      <c r="E175" s="44">
        <f t="shared" si="108"/>
        <v>0.44</v>
      </c>
      <c r="F175" s="44">
        <f t="shared" si="108"/>
        <v>0.44</v>
      </c>
      <c r="G175" s="44">
        <f t="shared" si="108"/>
        <v>0.44</v>
      </c>
      <c r="H175" s="44">
        <f t="shared" si="108"/>
        <v>0.44</v>
      </c>
      <c r="I175" s="44">
        <f t="shared" si="108"/>
        <v>0.44</v>
      </c>
      <c r="J175" s="44">
        <f t="shared" si="108"/>
        <v>0.44</v>
      </c>
      <c r="K175" s="44">
        <f t="shared" si="108"/>
        <v>0.44</v>
      </c>
      <c r="L175" s="44">
        <f t="shared" si="108"/>
        <v>0.44</v>
      </c>
      <c r="M175" s="44">
        <f t="shared" si="108"/>
        <v>0.44</v>
      </c>
      <c r="N175" s="44">
        <f t="shared" si="108"/>
        <v>0.44</v>
      </c>
      <c r="O175" s="44">
        <f t="shared" si="108"/>
        <v>0.44</v>
      </c>
      <c r="P175" s="44">
        <f t="shared" si="108"/>
        <v>0.44</v>
      </c>
      <c r="Q175" s="44">
        <f t="shared" si="108"/>
        <v>0.44</v>
      </c>
      <c r="R175" s="44">
        <f t="shared" si="108"/>
        <v>0.44</v>
      </c>
      <c r="S175" s="44">
        <f t="shared" si="108"/>
        <v>0.44</v>
      </c>
      <c r="T175" s="44">
        <f t="shared" si="108"/>
        <v>0.44</v>
      </c>
      <c r="U175" s="44">
        <f t="shared" si="108"/>
        <v>0.44</v>
      </c>
      <c r="V175" s="44">
        <f t="shared" si="108"/>
        <v>0.44</v>
      </c>
      <c r="W175" s="44">
        <f t="shared" si="108"/>
        <v>0.44</v>
      </c>
      <c r="X175" s="44">
        <f t="shared" si="108"/>
        <v>0.44</v>
      </c>
      <c r="Y175" s="44">
        <f t="shared" si="108"/>
        <v>0.44</v>
      </c>
      <c r="Z175" s="44">
        <f t="shared" si="108"/>
        <v>0.44</v>
      </c>
      <c r="AA175" s="44">
        <f t="shared" si="108"/>
        <v>0.44</v>
      </c>
      <c r="AB175" s="44">
        <f t="shared" si="108"/>
        <v>0.44</v>
      </c>
      <c r="AC175" s="44">
        <f t="shared" si="108"/>
        <v>0.44</v>
      </c>
      <c r="AD175" s="44">
        <f t="shared" si="108"/>
        <v>0.44</v>
      </c>
      <c r="AE175" s="44">
        <f t="shared" si="108"/>
        <v>0.44</v>
      </c>
      <c r="AF175" s="44">
        <f t="shared" si="108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102"/>
        <v>2.1</v>
      </c>
      <c r="C176" s="55">
        <v>2.1</v>
      </c>
      <c r="D176" s="44">
        <f t="shared" ref="D176:AF176" si="109">C176</f>
        <v>2.1</v>
      </c>
      <c r="E176" s="44">
        <f t="shared" si="109"/>
        <v>2.1</v>
      </c>
      <c r="F176" s="44">
        <f t="shared" si="109"/>
        <v>2.1</v>
      </c>
      <c r="G176" s="44">
        <f t="shared" si="109"/>
        <v>2.1</v>
      </c>
      <c r="H176" s="44">
        <f t="shared" si="109"/>
        <v>2.1</v>
      </c>
      <c r="I176" s="44">
        <f t="shared" si="109"/>
        <v>2.1</v>
      </c>
      <c r="J176" s="44">
        <f t="shared" si="109"/>
        <v>2.1</v>
      </c>
      <c r="K176" s="44">
        <f t="shared" si="109"/>
        <v>2.1</v>
      </c>
      <c r="L176" s="44">
        <f t="shared" si="109"/>
        <v>2.1</v>
      </c>
      <c r="M176" s="44">
        <f t="shared" si="109"/>
        <v>2.1</v>
      </c>
      <c r="N176" s="44">
        <f t="shared" si="109"/>
        <v>2.1</v>
      </c>
      <c r="O176" s="44">
        <f t="shared" si="109"/>
        <v>2.1</v>
      </c>
      <c r="P176" s="44">
        <f t="shared" si="109"/>
        <v>2.1</v>
      </c>
      <c r="Q176" s="44">
        <f t="shared" si="109"/>
        <v>2.1</v>
      </c>
      <c r="R176" s="44">
        <f t="shared" si="109"/>
        <v>2.1</v>
      </c>
      <c r="S176" s="44">
        <f t="shared" si="109"/>
        <v>2.1</v>
      </c>
      <c r="T176" s="44">
        <f t="shared" si="109"/>
        <v>2.1</v>
      </c>
      <c r="U176" s="44">
        <f t="shared" si="109"/>
        <v>2.1</v>
      </c>
      <c r="V176" s="44">
        <f t="shared" si="109"/>
        <v>2.1</v>
      </c>
      <c r="W176" s="44">
        <f t="shared" si="109"/>
        <v>2.1</v>
      </c>
      <c r="X176" s="44">
        <f t="shared" si="109"/>
        <v>2.1</v>
      </c>
      <c r="Y176" s="44">
        <f t="shared" si="109"/>
        <v>2.1</v>
      </c>
      <c r="Z176" s="44">
        <f t="shared" si="109"/>
        <v>2.1</v>
      </c>
      <c r="AA176" s="44">
        <f t="shared" si="109"/>
        <v>2.1</v>
      </c>
      <c r="AB176" s="44">
        <f t="shared" si="109"/>
        <v>2.1</v>
      </c>
      <c r="AC176" s="44">
        <f t="shared" si="109"/>
        <v>2.1</v>
      </c>
      <c r="AD176" s="44">
        <f t="shared" si="109"/>
        <v>2.1</v>
      </c>
      <c r="AE176" s="44">
        <f t="shared" si="109"/>
        <v>2.1</v>
      </c>
      <c r="AF176" s="44">
        <f t="shared" si="10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102"/>
        <v>0.9</v>
      </c>
      <c r="C177" s="55">
        <v>0.9</v>
      </c>
      <c r="D177" s="44">
        <f t="shared" ref="D177:AF177" si="110">C177</f>
        <v>0.9</v>
      </c>
      <c r="E177" s="44">
        <f t="shared" si="110"/>
        <v>0.9</v>
      </c>
      <c r="F177" s="44">
        <f t="shared" si="110"/>
        <v>0.9</v>
      </c>
      <c r="G177" s="44">
        <f t="shared" si="110"/>
        <v>0.9</v>
      </c>
      <c r="H177" s="44">
        <f t="shared" si="110"/>
        <v>0.9</v>
      </c>
      <c r="I177" s="44">
        <f t="shared" si="110"/>
        <v>0.9</v>
      </c>
      <c r="J177" s="44">
        <f t="shared" si="110"/>
        <v>0.9</v>
      </c>
      <c r="K177" s="44">
        <f t="shared" si="110"/>
        <v>0.9</v>
      </c>
      <c r="L177" s="44">
        <f t="shared" si="110"/>
        <v>0.9</v>
      </c>
      <c r="M177" s="44">
        <f t="shared" si="110"/>
        <v>0.9</v>
      </c>
      <c r="N177" s="44">
        <f t="shared" si="110"/>
        <v>0.9</v>
      </c>
      <c r="O177" s="44">
        <f t="shared" si="110"/>
        <v>0.9</v>
      </c>
      <c r="P177" s="44">
        <f t="shared" si="110"/>
        <v>0.9</v>
      </c>
      <c r="Q177" s="44">
        <f t="shared" si="110"/>
        <v>0.9</v>
      </c>
      <c r="R177" s="44">
        <f t="shared" si="110"/>
        <v>0.9</v>
      </c>
      <c r="S177" s="44">
        <f t="shared" si="110"/>
        <v>0.9</v>
      </c>
      <c r="T177" s="44">
        <f t="shared" si="110"/>
        <v>0.9</v>
      </c>
      <c r="U177" s="44">
        <f t="shared" si="110"/>
        <v>0.9</v>
      </c>
      <c r="V177" s="44">
        <f t="shared" si="110"/>
        <v>0.9</v>
      </c>
      <c r="W177" s="44">
        <f t="shared" si="110"/>
        <v>0.9</v>
      </c>
      <c r="X177" s="44">
        <f t="shared" si="110"/>
        <v>0.9</v>
      </c>
      <c r="Y177" s="44">
        <f t="shared" si="110"/>
        <v>0.9</v>
      </c>
      <c r="Z177" s="44">
        <f t="shared" si="110"/>
        <v>0.9</v>
      </c>
      <c r="AA177" s="44">
        <f t="shared" si="110"/>
        <v>0.9</v>
      </c>
      <c r="AB177" s="44">
        <f t="shared" si="110"/>
        <v>0.9</v>
      </c>
      <c r="AC177" s="44">
        <f t="shared" si="110"/>
        <v>0.9</v>
      </c>
      <c r="AD177" s="44">
        <f t="shared" si="110"/>
        <v>0.9</v>
      </c>
      <c r="AE177" s="44">
        <f t="shared" si="110"/>
        <v>0.9</v>
      </c>
      <c r="AF177" s="44">
        <f t="shared" si="110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111">AF179</f>
        <v>0.57999999999999996</v>
      </c>
      <c r="C179" s="55">
        <v>0.57999999999999996</v>
      </c>
      <c r="D179" s="44">
        <f t="shared" ref="D179:AF179" si="112">C179</f>
        <v>0.57999999999999996</v>
      </c>
      <c r="E179" s="44">
        <f t="shared" si="112"/>
        <v>0.57999999999999996</v>
      </c>
      <c r="F179" s="44">
        <f t="shared" si="112"/>
        <v>0.57999999999999996</v>
      </c>
      <c r="G179" s="44">
        <f t="shared" si="112"/>
        <v>0.57999999999999996</v>
      </c>
      <c r="H179" s="44">
        <f t="shared" si="112"/>
        <v>0.57999999999999996</v>
      </c>
      <c r="I179" s="44">
        <f t="shared" si="112"/>
        <v>0.57999999999999996</v>
      </c>
      <c r="J179" s="44">
        <f t="shared" si="112"/>
        <v>0.57999999999999996</v>
      </c>
      <c r="K179" s="44">
        <f t="shared" si="112"/>
        <v>0.57999999999999996</v>
      </c>
      <c r="L179" s="44">
        <f t="shared" si="112"/>
        <v>0.57999999999999996</v>
      </c>
      <c r="M179" s="44">
        <f t="shared" si="112"/>
        <v>0.57999999999999996</v>
      </c>
      <c r="N179" s="44">
        <f t="shared" si="112"/>
        <v>0.57999999999999996</v>
      </c>
      <c r="O179" s="44">
        <f t="shared" si="112"/>
        <v>0.57999999999999996</v>
      </c>
      <c r="P179" s="44">
        <f t="shared" si="112"/>
        <v>0.57999999999999996</v>
      </c>
      <c r="Q179" s="44">
        <f t="shared" si="112"/>
        <v>0.57999999999999996</v>
      </c>
      <c r="R179" s="44">
        <f t="shared" si="112"/>
        <v>0.57999999999999996</v>
      </c>
      <c r="S179" s="44">
        <f t="shared" si="112"/>
        <v>0.57999999999999996</v>
      </c>
      <c r="T179" s="44">
        <f t="shared" si="112"/>
        <v>0.57999999999999996</v>
      </c>
      <c r="U179" s="44">
        <f t="shared" si="112"/>
        <v>0.57999999999999996</v>
      </c>
      <c r="V179" s="44">
        <f t="shared" si="112"/>
        <v>0.57999999999999996</v>
      </c>
      <c r="W179" s="44">
        <f t="shared" si="112"/>
        <v>0.57999999999999996</v>
      </c>
      <c r="X179" s="44">
        <f t="shared" si="112"/>
        <v>0.57999999999999996</v>
      </c>
      <c r="Y179" s="44">
        <f t="shared" si="112"/>
        <v>0.57999999999999996</v>
      </c>
      <c r="Z179" s="44">
        <f t="shared" si="112"/>
        <v>0.57999999999999996</v>
      </c>
      <c r="AA179" s="44">
        <f t="shared" si="112"/>
        <v>0.57999999999999996</v>
      </c>
      <c r="AB179" s="44">
        <f t="shared" si="112"/>
        <v>0.57999999999999996</v>
      </c>
      <c r="AC179" s="44">
        <f t="shared" si="112"/>
        <v>0.57999999999999996</v>
      </c>
      <c r="AD179" s="44">
        <f t="shared" si="112"/>
        <v>0.57999999999999996</v>
      </c>
      <c r="AE179" s="44">
        <f t="shared" si="112"/>
        <v>0.57999999999999996</v>
      </c>
      <c r="AF179" s="44">
        <f t="shared" si="11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111"/>
        <v>0.8</v>
      </c>
      <c r="C180" s="55">
        <v>0.8</v>
      </c>
      <c r="D180" s="44">
        <f t="shared" ref="D180:AF180" si="113">C180</f>
        <v>0.8</v>
      </c>
      <c r="E180" s="44">
        <f t="shared" si="113"/>
        <v>0.8</v>
      </c>
      <c r="F180" s="44">
        <f t="shared" si="113"/>
        <v>0.8</v>
      </c>
      <c r="G180" s="44">
        <f t="shared" si="113"/>
        <v>0.8</v>
      </c>
      <c r="H180" s="44">
        <f t="shared" si="113"/>
        <v>0.8</v>
      </c>
      <c r="I180" s="44">
        <f t="shared" si="113"/>
        <v>0.8</v>
      </c>
      <c r="J180" s="44">
        <f t="shared" si="113"/>
        <v>0.8</v>
      </c>
      <c r="K180" s="44">
        <f t="shared" si="113"/>
        <v>0.8</v>
      </c>
      <c r="L180" s="44">
        <f t="shared" si="113"/>
        <v>0.8</v>
      </c>
      <c r="M180" s="44">
        <f t="shared" si="113"/>
        <v>0.8</v>
      </c>
      <c r="N180" s="44">
        <f t="shared" si="113"/>
        <v>0.8</v>
      </c>
      <c r="O180" s="44">
        <f t="shared" si="113"/>
        <v>0.8</v>
      </c>
      <c r="P180" s="44">
        <f t="shared" si="113"/>
        <v>0.8</v>
      </c>
      <c r="Q180" s="44">
        <f t="shared" si="113"/>
        <v>0.8</v>
      </c>
      <c r="R180" s="44">
        <f t="shared" si="113"/>
        <v>0.8</v>
      </c>
      <c r="S180" s="44">
        <f t="shared" si="113"/>
        <v>0.8</v>
      </c>
      <c r="T180" s="44">
        <f t="shared" si="113"/>
        <v>0.8</v>
      </c>
      <c r="U180" s="44">
        <f t="shared" si="113"/>
        <v>0.8</v>
      </c>
      <c r="V180" s="44">
        <f t="shared" si="113"/>
        <v>0.8</v>
      </c>
      <c r="W180" s="44">
        <f t="shared" si="113"/>
        <v>0.8</v>
      </c>
      <c r="X180" s="44">
        <f t="shared" si="113"/>
        <v>0.8</v>
      </c>
      <c r="Y180" s="44">
        <f t="shared" si="113"/>
        <v>0.8</v>
      </c>
      <c r="Z180" s="44">
        <f t="shared" si="113"/>
        <v>0.8</v>
      </c>
      <c r="AA180" s="44">
        <f t="shared" si="113"/>
        <v>0.8</v>
      </c>
      <c r="AB180" s="44">
        <f t="shared" si="113"/>
        <v>0.8</v>
      </c>
      <c r="AC180" s="44">
        <f t="shared" si="113"/>
        <v>0.8</v>
      </c>
      <c r="AD180" s="44">
        <f t="shared" si="113"/>
        <v>0.8</v>
      </c>
      <c r="AE180" s="44">
        <f t="shared" si="113"/>
        <v>0.8</v>
      </c>
      <c r="AF180" s="44">
        <f t="shared" si="113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111"/>
        <v>0</v>
      </c>
      <c r="C181" s="55">
        <v>0</v>
      </c>
      <c r="D181" s="44">
        <f t="shared" ref="D181:AF181" si="114">C181</f>
        <v>0</v>
      </c>
      <c r="E181" s="44">
        <f t="shared" si="114"/>
        <v>0</v>
      </c>
      <c r="F181" s="44">
        <f t="shared" si="114"/>
        <v>0</v>
      </c>
      <c r="G181" s="44">
        <f t="shared" si="114"/>
        <v>0</v>
      </c>
      <c r="H181" s="44">
        <f t="shared" si="114"/>
        <v>0</v>
      </c>
      <c r="I181" s="44">
        <f t="shared" si="114"/>
        <v>0</v>
      </c>
      <c r="J181" s="44">
        <f t="shared" si="114"/>
        <v>0</v>
      </c>
      <c r="K181" s="44">
        <f t="shared" si="114"/>
        <v>0</v>
      </c>
      <c r="L181" s="44">
        <f t="shared" si="114"/>
        <v>0</v>
      </c>
      <c r="M181" s="44">
        <f t="shared" si="114"/>
        <v>0</v>
      </c>
      <c r="N181" s="44">
        <f t="shared" si="114"/>
        <v>0</v>
      </c>
      <c r="O181" s="44">
        <f t="shared" si="114"/>
        <v>0</v>
      </c>
      <c r="P181" s="44">
        <f t="shared" si="114"/>
        <v>0</v>
      </c>
      <c r="Q181" s="44">
        <f t="shared" si="114"/>
        <v>0</v>
      </c>
      <c r="R181" s="44">
        <f t="shared" si="114"/>
        <v>0</v>
      </c>
      <c r="S181" s="44">
        <f t="shared" si="114"/>
        <v>0</v>
      </c>
      <c r="T181" s="44">
        <f t="shared" si="114"/>
        <v>0</v>
      </c>
      <c r="U181" s="44">
        <f t="shared" si="114"/>
        <v>0</v>
      </c>
      <c r="V181" s="44">
        <f t="shared" si="114"/>
        <v>0</v>
      </c>
      <c r="W181" s="44">
        <f t="shared" si="114"/>
        <v>0</v>
      </c>
      <c r="X181" s="44">
        <f t="shared" si="114"/>
        <v>0</v>
      </c>
      <c r="Y181" s="44">
        <f t="shared" si="114"/>
        <v>0</v>
      </c>
      <c r="Z181" s="44">
        <f t="shared" si="114"/>
        <v>0</v>
      </c>
      <c r="AA181" s="44">
        <f t="shared" si="114"/>
        <v>0</v>
      </c>
      <c r="AB181" s="44">
        <f t="shared" si="114"/>
        <v>0</v>
      </c>
      <c r="AC181" s="44">
        <f t="shared" si="114"/>
        <v>0</v>
      </c>
      <c r="AD181" s="44">
        <f t="shared" si="114"/>
        <v>0</v>
      </c>
      <c r="AE181" s="44">
        <f t="shared" si="114"/>
        <v>0</v>
      </c>
      <c r="AF181" s="44">
        <f t="shared" si="114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111"/>
        <v>0.6</v>
      </c>
      <c r="C182" s="55">
        <v>0.6</v>
      </c>
      <c r="D182" s="44">
        <f t="shared" ref="D182:AF182" si="115">C182</f>
        <v>0.6</v>
      </c>
      <c r="E182" s="44">
        <f t="shared" si="115"/>
        <v>0.6</v>
      </c>
      <c r="F182" s="44">
        <f t="shared" si="115"/>
        <v>0.6</v>
      </c>
      <c r="G182" s="44">
        <f t="shared" si="115"/>
        <v>0.6</v>
      </c>
      <c r="H182" s="44">
        <f t="shared" si="115"/>
        <v>0.6</v>
      </c>
      <c r="I182" s="44">
        <f t="shared" si="115"/>
        <v>0.6</v>
      </c>
      <c r="J182" s="44">
        <f t="shared" si="115"/>
        <v>0.6</v>
      </c>
      <c r="K182" s="44">
        <f t="shared" si="115"/>
        <v>0.6</v>
      </c>
      <c r="L182" s="44">
        <f t="shared" si="115"/>
        <v>0.6</v>
      </c>
      <c r="M182" s="44">
        <f t="shared" si="115"/>
        <v>0.6</v>
      </c>
      <c r="N182" s="44">
        <f t="shared" si="115"/>
        <v>0.6</v>
      </c>
      <c r="O182" s="44">
        <f t="shared" si="115"/>
        <v>0.6</v>
      </c>
      <c r="P182" s="44">
        <f t="shared" si="115"/>
        <v>0.6</v>
      </c>
      <c r="Q182" s="44">
        <f t="shared" si="115"/>
        <v>0.6</v>
      </c>
      <c r="R182" s="44">
        <f t="shared" si="115"/>
        <v>0.6</v>
      </c>
      <c r="S182" s="44">
        <f t="shared" si="115"/>
        <v>0.6</v>
      </c>
      <c r="T182" s="44">
        <f t="shared" si="115"/>
        <v>0.6</v>
      </c>
      <c r="U182" s="44">
        <f t="shared" si="115"/>
        <v>0.6</v>
      </c>
      <c r="V182" s="44">
        <f t="shared" si="115"/>
        <v>0.6</v>
      </c>
      <c r="W182" s="44">
        <f t="shared" si="115"/>
        <v>0.6</v>
      </c>
      <c r="X182" s="44">
        <f t="shared" si="115"/>
        <v>0.6</v>
      </c>
      <c r="Y182" s="44">
        <f t="shared" si="115"/>
        <v>0.6</v>
      </c>
      <c r="Z182" s="44">
        <f t="shared" si="115"/>
        <v>0.6</v>
      </c>
      <c r="AA182" s="44">
        <f t="shared" si="115"/>
        <v>0.6</v>
      </c>
      <c r="AB182" s="44">
        <f t="shared" si="115"/>
        <v>0.6</v>
      </c>
      <c r="AC182" s="44">
        <f t="shared" si="115"/>
        <v>0.6</v>
      </c>
      <c r="AD182" s="44">
        <f t="shared" si="115"/>
        <v>0.6</v>
      </c>
      <c r="AE182" s="44">
        <f t="shared" si="115"/>
        <v>0.6</v>
      </c>
      <c r="AF182" s="44">
        <f t="shared" si="115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111"/>
        <v>0.6</v>
      </c>
      <c r="C183" s="55">
        <v>0.6</v>
      </c>
      <c r="D183" s="44">
        <f t="shared" ref="D183:AF183" si="116">C183</f>
        <v>0.6</v>
      </c>
      <c r="E183" s="44">
        <f t="shared" si="116"/>
        <v>0.6</v>
      </c>
      <c r="F183" s="44">
        <f t="shared" si="116"/>
        <v>0.6</v>
      </c>
      <c r="G183" s="44">
        <f t="shared" si="116"/>
        <v>0.6</v>
      </c>
      <c r="H183" s="44">
        <f t="shared" si="116"/>
        <v>0.6</v>
      </c>
      <c r="I183" s="44">
        <f t="shared" si="116"/>
        <v>0.6</v>
      </c>
      <c r="J183" s="44">
        <f t="shared" si="116"/>
        <v>0.6</v>
      </c>
      <c r="K183" s="44">
        <f t="shared" si="116"/>
        <v>0.6</v>
      </c>
      <c r="L183" s="44">
        <f t="shared" si="116"/>
        <v>0.6</v>
      </c>
      <c r="M183" s="44">
        <f t="shared" si="116"/>
        <v>0.6</v>
      </c>
      <c r="N183" s="44">
        <f t="shared" si="116"/>
        <v>0.6</v>
      </c>
      <c r="O183" s="44">
        <f t="shared" si="116"/>
        <v>0.6</v>
      </c>
      <c r="P183" s="44">
        <f t="shared" si="116"/>
        <v>0.6</v>
      </c>
      <c r="Q183" s="44">
        <f t="shared" si="116"/>
        <v>0.6</v>
      </c>
      <c r="R183" s="44">
        <f t="shared" si="116"/>
        <v>0.6</v>
      </c>
      <c r="S183" s="44">
        <f t="shared" si="116"/>
        <v>0.6</v>
      </c>
      <c r="T183" s="44">
        <f t="shared" si="116"/>
        <v>0.6</v>
      </c>
      <c r="U183" s="44">
        <f t="shared" si="116"/>
        <v>0.6</v>
      </c>
      <c r="V183" s="44">
        <f t="shared" si="116"/>
        <v>0.6</v>
      </c>
      <c r="W183" s="44">
        <f t="shared" si="116"/>
        <v>0.6</v>
      </c>
      <c r="X183" s="44">
        <f t="shared" si="116"/>
        <v>0.6</v>
      </c>
      <c r="Y183" s="44">
        <f t="shared" si="116"/>
        <v>0.6</v>
      </c>
      <c r="Z183" s="44">
        <f t="shared" si="116"/>
        <v>0.6</v>
      </c>
      <c r="AA183" s="44">
        <f t="shared" si="116"/>
        <v>0.6</v>
      </c>
      <c r="AB183" s="44">
        <f t="shared" si="116"/>
        <v>0.6</v>
      </c>
      <c r="AC183" s="44">
        <f t="shared" si="116"/>
        <v>0.6</v>
      </c>
      <c r="AD183" s="44">
        <f t="shared" si="116"/>
        <v>0.6</v>
      </c>
      <c r="AE183" s="44">
        <f t="shared" si="116"/>
        <v>0.6</v>
      </c>
      <c r="AF183" s="44">
        <f t="shared" si="116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111"/>
        <v>0.35</v>
      </c>
      <c r="C184" s="55">
        <v>0.35</v>
      </c>
      <c r="D184" s="44">
        <f t="shared" ref="D184:AF184" si="117">C184</f>
        <v>0.35</v>
      </c>
      <c r="E184" s="44">
        <f t="shared" si="117"/>
        <v>0.35</v>
      </c>
      <c r="F184" s="44">
        <f t="shared" si="117"/>
        <v>0.35</v>
      </c>
      <c r="G184" s="44">
        <f t="shared" si="117"/>
        <v>0.35</v>
      </c>
      <c r="H184" s="44">
        <f t="shared" si="117"/>
        <v>0.35</v>
      </c>
      <c r="I184" s="44">
        <f t="shared" si="117"/>
        <v>0.35</v>
      </c>
      <c r="J184" s="44">
        <f t="shared" si="117"/>
        <v>0.35</v>
      </c>
      <c r="K184" s="44">
        <f t="shared" si="117"/>
        <v>0.35</v>
      </c>
      <c r="L184" s="44">
        <f t="shared" si="117"/>
        <v>0.35</v>
      </c>
      <c r="M184" s="44">
        <f t="shared" si="117"/>
        <v>0.35</v>
      </c>
      <c r="N184" s="44">
        <f t="shared" si="117"/>
        <v>0.35</v>
      </c>
      <c r="O184" s="44">
        <f t="shared" si="117"/>
        <v>0.35</v>
      </c>
      <c r="P184" s="44">
        <f t="shared" si="117"/>
        <v>0.35</v>
      </c>
      <c r="Q184" s="44">
        <f t="shared" si="117"/>
        <v>0.35</v>
      </c>
      <c r="R184" s="44">
        <f t="shared" si="117"/>
        <v>0.35</v>
      </c>
      <c r="S184" s="44">
        <f t="shared" si="117"/>
        <v>0.35</v>
      </c>
      <c r="T184" s="44">
        <f t="shared" si="117"/>
        <v>0.35</v>
      </c>
      <c r="U184" s="44">
        <f t="shared" si="117"/>
        <v>0.35</v>
      </c>
      <c r="V184" s="44">
        <f t="shared" si="117"/>
        <v>0.35</v>
      </c>
      <c r="W184" s="44">
        <f t="shared" si="117"/>
        <v>0.35</v>
      </c>
      <c r="X184" s="44">
        <f t="shared" si="117"/>
        <v>0.35</v>
      </c>
      <c r="Y184" s="44">
        <f t="shared" si="117"/>
        <v>0.35</v>
      </c>
      <c r="Z184" s="44">
        <f t="shared" si="117"/>
        <v>0.35</v>
      </c>
      <c r="AA184" s="44">
        <f t="shared" si="117"/>
        <v>0.35</v>
      </c>
      <c r="AB184" s="44">
        <f t="shared" si="117"/>
        <v>0.35</v>
      </c>
      <c r="AC184" s="44">
        <f t="shared" si="117"/>
        <v>0.35</v>
      </c>
      <c r="AD184" s="44">
        <f t="shared" si="117"/>
        <v>0.35</v>
      </c>
      <c r="AE184" s="44">
        <f t="shared" si="117"/>
        <v>0.35</v>
      </c>
      <c r="AF184" s="44">
        <f t="shared" si="117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111"/>
        <v>0.28999999999999998</v>
      </c>
      <c r="C185" s="55">
        <v>0.28999999999999998</v>
      </c>
      <c r="D185" s="44">
        <f t="shared" ref="D185:AF185" si="118">C185</f>
        <v>0.28999999999999998</v>
      </c>
      <c r="E185" s="44">
        <f t="shared" si="118"/>
        <v>0.28999999999999998</v>
      </c>
      <c r="F185" s="44">
        <f t="shared" si="118"/>
        <v>0.28999999999999998</v>
      </c>
      <c r="G185" s="44">
        <f t="shared" si="118"/>
        <v>0.28999999999999998</v>
      </c>
      <c r="H185" s="44">
        <f t="shared" si="118"/>
        <v>0.28999999999999998</v>
      </c>
      <c r="I185" s="44">
        <f t="shared" si="118"/>
        <v>0.28999999999999998</v>
      </c>
      <c r="J185" s="44">
        <f t="shared" si="118"/>
        <v>0.28999999999999998</v>
      </c>
      <c r="K185" s="44">
        <f t="shared" si="118"/>
        <v>0.28999999999999998</v>
      </c>
      <c r="L185" s="44">
        <f t="shared" si="118"/>
        <v>0.28999999999999998</v>
      </c>
      <c r="M185" s="44">
        <f t="shared" si="118"/>
        <v>0.28999999999999998</v>
      </c>
      <c r="N185" s="44">
        <f t="shared" si="118"/>
        <v>0.28999999999999998</v>
      </c>
      <c r="O185" s="44">
        <f t="shared" si="118"/>
        <v>0.28999999999999998</v>
      </c>
      <c r="P185" s="44">
        <f t="shared" si="118"/>
        <v>0.28999999999999998</v>
      </c>
      <c r="Q185" s="44">
        <f t="shared" si="118"/>
        <v>0.28999999999999998</v>
      </c>
      <c r="R185" s="44">
        <f t="shared" si="118"/>
        <v>0.28999999999999998</v>
      </c>
      <c r="S185" s="44">
        <f t="shared" si="118"/>
        <v>0.28999999999999998</v>
      </c>
      <c r="T185" s="44">
        <f t="shared" si="118"/>
        <v>0.28999999999999998</v>
      </c>
      <c r="U185" s="44">
        <f t="shared" si="118"/>
        <v>0.28999999999999998</v>
      </c>
      <c r="V185" s="44">
        <f t="shared" si="118"/>
        <v>0.28999999999999998</v>
      </c>
      <c r="W185" s="44">
        <f t="shared" si="118"/>
        <v>0.28999999999999998</v>
      </c>
      <c r="X185" s="44">
        <f t="shared" si="118"/>
        <v>0.28999999999999998</v>
      </c>
      <c r="Y185" s="44">
        <f t="shared" si="118"/>
        <v>0.28999999999999998</v>
      </c>
      <c r="Z185" s="44">
        <f t="shared" si="118"/>
        <v>0.28999999999999998</v>
      </c>
      <c r="AA185" s="44">
        <f t="shared" si="118"/>
        <v>0.28999999999999998</v>
      </c>
      <c r="AB185" s="44">
        <f t="shared" si="118"/>
        <v>0.28999999999999998</v>
      </c>
      <c r="AC185" s="44">
        <f t="shared" si="118"/>
        <v>0.28999999999999998</v>
      </c>
      <c r="AD185" s="44">
        <f t="shared" si="118"/>
        <v>0.28999999999999998</v>
      </c>
      <c r="AE185" s="44">
        <f t="shared" si="118"/>
        <v>0.28999999999999998</v>
      </c>
      <c r="AF185" s="44">
        <f t="shared" si="11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111"/>
        <v>0.06</v>
      </c>
      <c r="C186" s="55">
        <v>0.06</v>
      </c>
      <c r="D186" s="44">
        <f t="shared" ref="D186:AF186" si="119">C186</f>
        <v>0.06</v>
      </c>
      <c r="E186" s="44">
        <f t="shared" si="119"/>
        <v>0.06</v>
      </c>
      <c r="F186" s="44">
        <f t="shared" si="119"/>
        <v>0.06</v>
      </c>
      <c r="G186" s="44">
        <f t="shared" si="119"/>
        <v>0.06</v>
      </c>
      <c r="H186" s="44">
        <f t="shared" si="119"/>
        <v>0.06</v>
      </c>
      <c r="I186" s="44">
        <f t="shared" si="119"/>
        <v>0.06</v>
      </c>
      <c r="J186" s="44">
        <f t="shared" si="119"/>
        <v>0.06</v>
      </c>
      <c r="K186" s="44">
        <f t="shared" si="119"/>
        <v>0.06</v>
      </c>
      <c r="L186" s="44">
        <f t="shared" si="119"/>
        <v>0.06</v>
      </c>
      <c r="M186" s="44">
        <f t="shared" si="119"/>
        <v>0.06</v>
      </c>
      <c r="N186" s="44">
        <f t="shared" si="119"/>
        <v>0.06</v>
      </c>
      <c r="O186" s="44">
        <f t="shared" si="119"/>
        <v>0.06</v>
      </c>
      <c r="P186" s="44">
        <f t="shared" si="119"/>
        <v>0.06</v>
      </c>
      <c r="Q186" s="44">
        <f t="shared" si="119"/>
        <v>0.06</v>
      </c>
      <c r="R186" s="44">
        <f t="shared" si="119"/>
        <v>0.06</v>
      </c>
      <c r="S186" s="44">
        <f t="shared" si="119"/>
        <v>0.06</v>
      </c>
      <c r="T186" s="44">
        <f t="shared" si="119"/>
        <v>0.06</v>
      </c>
      <c r="U186" s="44">
        <f t="shared" si="119"/>
        <v>0.06</v>
      </c>
      <c r="V186" s="44">
        <f t="shared" si="119"/>
        <v>0.06</v>
      </c>
      <c r="W186" s="44">
        <f t="shared" si="119"/>
        <v>0.06</v>
      </c>
      <c r="X186" s="44">
        <f t="shared" si="119"/>
        <v>0.06</v>
      </c>
      <c r="Y186" s="44">
        <f t="shared" si="119"/>
        <v>0.06</v>
      </c>
      <c r="Z186" s="44">
        <f t="shared" si="119"/>
        <v>0.06</v>
      </c>
      <c r="AA186" s="44">
        <f t="shared" si="119"/>
        <v>0.06</v>
      </c>
      <c r="AB186" s="44">
        <f t="shared" si="119"/>
        <v>0.06</v>
      </c>
      <c r="AC186" s="44">
        <f t="shared" si="119"/>
        <v>0.06</v>
      </c>
      <c r="AD186" s="44">
        <f t="shared" si="119"/>
        <v>0.06</v>
      </c>
      <c r="AE186" s="44">
        <f t="shared" si="119"/>
        <v>0.06</v>
      </c>
      <c r="AF186" s="44">
        <f t="shared" si="119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111"/>
        <v>0.11</v>
      </c>
      <c r="C187" s="55">
        <v>0.11</v>
      </c>
      <c r="D187" s="44">
        <f t="shared" ref="D187:AF187" si="120">C187</f>
        <v>0.11</v>
      </c>
      <c r="E187" s="44">
        <f t="shared" si="120"/>
        <v>0.11</v>
      </c>
      <c r="F187" s="44">
        <f t="shared" si="120"/>
        <v>0.11</v>
      </c>
      <c r="G187" s="44">
        <f t="shared" si="120"/>
        <v>0.11</v>
      </c>
      <c r="H187" s="44">
        <f t="shared" si="120"/>
        <v>0.11</v>
      </c>
      <c r="I187" s="44">
        <f t="shared" si="120"/>
        <v>0.11</v>
      </c>
      <c r="J187" s="44">
        <f t="shared" si="120"/>
        <v>0.11</v>
      </c>
      <c r="K187" s="44">
        <f t="shared" si="120"/>
        <v>0.11</v>
      </c>
      <c r="L187" s="44">
        <f t="shared" si="120"/>
        <v>0.11</v>
      </c>
      <c r="M187" s="44">
        <f t="shared" si="120"/>
        <v>0.11</v>
      </c>
      <c r="N187" s="44">
        <f t="shared" si="120"/>
        <v>0.11</v>
      </c>
      <c r="O187" s="44">
        <f t="shared" si="120"/>
        <v>0.11</v>
      </c>
      <c r="P187" s="44">
        <f t="shared" si="120"/>
        <v>0.11</v>
      </c>
      <c r="Q187" s="44">
        <f t="shared" si="120"/>
        <v>0.11</v>
      </c>
      <c r="R187" s="44">
        <f t="shared" si="120"/>
        <v>0.11</v>
      </c>
      <c r="S187" s="44">
        <f t="shared" si="120"/>
        <v>0.11</v>
      </c>
      <c r="T187" s="44">
        <f t="shared" si="120"/>
        <v>0.11</v>
      </c>
      <c r="U187" s="44">
        <f t="shared" si="120"/>
        <v>0.11</v>
      </c>
      <c r="V187" s="44">
        <f t="shared" si="120"/>
        <v>0.11</v>
      </c>
      <c r="W187" s="44">
        <f t="shared" si="120"/>
        <v>0.11</v>
      </c>
      <c r="X187" s="44">
        <f t="shared" si="120"/>
        <v>0.11</v>
      </c>
      <c r="Y187" s="44">
        <f t="shared" si="120"/>
        <v>0.11</v>
      </c>
      <c r="Z187" s="44">
        <f t="shared" si="120"/>
        <v>0.11</v>
      </c>
      <c r="AA187" s="44">
        <f t="shared" si="120"/>
        <v>0.11</v>
      </c>
      <c r="AB187" s="44">
        <f t="shared" si="120"/>
        <v>0.11</v>
      </c>
      <c r="AC187" s="44">
        <f t="shared" si="120"/>
        <v>0.11</v>
      </c>
      <c r="AD187" s="44">
        <f t="shared" si="120"/>
        <v>0.11</v>
      </c>
      <c r="AE187" s="44">
        <f t="shared" si="120"/>
        <v>0.11</v>
      </c>
      <c r="AF187" s="44">
        <f t="shared" si="120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111"/>
        <v>0.1</v>
      </c>
      <c r="C188" s="55">
        <v>0.1</v>
      </c>
      <c r="D188" s="44">
        <f t="shared" ref="D188:AF188" si="121">C188</f>
        <v>0.1</v>
      </c>
      <c r="E188" s="44">
        <f t="shared" si="121"/>
        <v>0.1</v>
      </c>
      <c r="F188" s="44">
        <f t="shared" si="121"/>
        <v>0.1</v>
      </c>
      <c r="G188" s="44">
        <f t="shared" si="121"/>
        <v>0.1</v>
      </c>
      <c r="H188" s="44">
        <f t="shared" si="121"/>
        <v>0.1</v>
      </c>
      <c r="I188" s="44">
        <f t="shared" si="121"/>
        <v>0.1</v>
      </c>
      <c r="J188" s="44">
        <f t="shared" si="121"/>
        <v>0.1</v>
      </c>
      <c r="K188" s="44">
        <f t="shared" si="121"/>
        <v>0.1</v>
      </c>
      <c r="L188" s="44">
        <f t="shared" si="121"/>
        <v>0.1</v>
      </c>
      <c r="M188" s="44">
        <f t="shared" si="121"/>
        <v>0.1</v>
      </c>
      <c r="N188" s="44">
        <f t="shared" si="121"/>
        <v>0.1</v>
      </c>
      <c r="O188" s="44">
        <f t="shared" si="121"/>
        <v>0.1</v>
      </c>
      <c r="P188" s="44">
        <f t="shared" si="121"/>
        <v>0.1</v>
      </c>
      <c r="Q188" s="44">
        <f t="shared" si="121"/>
        <v>0.1</v>
      </c>
      <c r="R188" s="44">
        <f t="shared" si="121"/>
        <v>0.1</v>
      </c>
      <c r="S188" s="44">
        <f t="shared" si="121"/>
        <v>0.1</v>
      </c>
      <c r="T188" s="44">
        <f t="shared" si="121"/>
        <v>0.1</v>
      </c>
      <c r="U188" s="44">
        <f t="shared" si="121"/>
        <v>0.1</v>
      </c>
      <c r="V188" s="44">
        <f t="shared" si="121"/>
        <v>0.1</v>
      </c>
      <c r="W188" s="44">
        <f t="shared" si="121"/>
        <v>0.1</v>
      </c>
      <c r="X188" s="44">
        <f t="shared" si="121"/>
        <v>0.1</v>
      </c>
      <c r="Y188" s="44">
        <f t="shared" si="121"/>
        <v>0.1</v>
      </c>
      <c r="Z188" s="44">
        <f t="shared" si="121"/>
        <v>0.1</v>
      </c>
      <c r="AA188" s="44">
        <f t="shared" si="121"/>
        <v>0.1</v>
      </c>
      <c r="AB188" s="44">
        <f t="shared" si="121"/>
        <v>0.1</v>
      </c>
      <c r="AC188" s="44">
        <f t="shared" si="121"/>
        <v>0.1</v>
      </c>
      <c r="AD188" s="44">
        <f t="shared" si="121"/>
        <v>0.1</v>
      </c>
      <c r="AE188" s="44">
        <f t="shared" si="121"/>
        <v>0.1</v>
      </c>
      <c r="AF188" s="44">
        <f t="shared" si="121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111"/>
        <v>0.09</v>
      </c>
      <c r="C189" s="55">
        <v>0.09</v>
      </c>
      <c r="D189" s="44">
        <f t="shared" ref="D189:AF189" si="122">C189</f>
        <v>0.09</v>
      </c>
      <c r="E189" s="44">
        <f t="shared" si="122"/>
        <v>0.09</v>
      </c>
      <c r="F189" s="44">
        <f t="shared" si="122"/>
        <v>0.09</v>
      </c>
      <c r="G189" s="44">
        <f t="shared" si="122"/>
        <v>0.09</v>
      </c>
      <c r="H189" s="44">
        <f t="shared" si="122"/>
        <v>0.09</v>
      </c>
      <c r="I189" s="44">
        <f t="shared" si="122"/>
        <v>0.09</v>
      </c>
      <c r="J189" s="44">
        <f t="shared" si="122"/>
        <v>0.09</v>
      </c>
      <c r="K189" s="44">
        <f t="shared" si="122"/>
        <v>0.09</v>
      </c>
      <c r="L189" s="44">
        <f t="shared" si="122"/>
        <v>0.09</v>
      </c>
      <c r="M189" s="44">
        <f t="shared" si="122"/>
        <v>0.09</v>
      </c>
      <c r="N189" s="44">
        <f t="shared" si="122"/>
        <v>0.09</v>
      </c>
      <c r="O189" s="44">
        <f t="shared" si="122"/>
        <v>0.09</v>
      </c>
      <c r="P189" s="44">
        <f t="shared" si="122"/>
        <v>0.09</v>
      </c>
      <c r="Q189" s="44">
        <f t="shared" si="122"/>
        <v>0.09</v>
      </c>
      <c r="R189" s="44">
        <f t="shared" si="122"/>
        <v>0.09</v>
      </c>
      <c r="S189" s="44">
        <f t="shared" si="122"/>
        <v>0.09</v>
      </c>
      <c r="T189" s="44">
        <f t="shared" si="122"/>
        <v>0.09</v>
      </c>
      <c r="U189" s="44">
        <f t="shared" si="122"/>
        <v>0.09</v>
      </c>
      <c r="V189" s="44">
        <f t="shared" si="122"/>
        <v>0.09</v>
      </c>
      <c r="W189" s="44">
        <f t="shared" si="122"/>
        <v>0.09</v>
      </c>
      <c r="X189" s="44">
        <f t="shared" si="122"/>
        <v>0.09</v>
      </c>
      <c r="Y189" s="44">
        <f t="shared" si="122"/>
        <v>0.09</v>
      </c>
      <c r="Z189" s="44">
        <f t="shared" si="122"/>
        <v>0.09</v>
      </c>
      <c r="AA189" s="44">
        <f t="shared" si="122"/>
        <v>0.09</v>
      </c>
      <c r="AB189" s="44">
        <f t="shared" si="122"/>
        <v>0.09</v>
      </c>
      <c r="AC189" s="44">
        <f t="shared" si="122"/>
        <v>0.09</v>
      </c>
      <c r="AD189" s="44">
        <f t="shared" si="122"/>
        <v>0.09</v>
      </c>
      <c r="AE189" s="44">
        <f t="shared" si="122"/>
        <v>0.09</v>
      </c>
      <c r="AF189" s="44">
        <f t="shared" si="12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111"/>
        <v>0.04</v>
      </c>
      <c r="C190" s="54">
        <v>0.04</v>
      </c>
      <c r="D190" s="44">
        <f t="shared" ref="D190:AF190" si="123">C190</f>
        <v>0.04</v>
      </c>
      <c r="E190" s="44">
        <f t="shared" si="123"/>
        <v>0.04</v>
      </c>
      <c r="F190" s="44">
        <f t="shared" si="123"/>
        <v>0.04</v>
      </c>
      <c r="G190" s="44">
        <f t="shared" si="123"/>
        <v>0.04</v>
      </c>
      <c r="H190" s="44">
        <f t="shared" si="123"/>
        <v>0.04</v>
      </c>
      <c r="I190" s="44">
        <f t="shared" si="123"/>
        <v>0.04</v>
      </c>
      <c r="J190" s="44">
        <f t="shared" si="123"/>
        <v>0.04</v>
      </c>
      <c r="K190" s="44">
        <f t="shared" si="123"/>
        <v>0.04</v>
      </c>
      <c r="L190" s="44">
        <f t="shared" si="123"/>
        <v>0.04</v>
      </c>
      <c r="M190" s="44">
        <f t="shared" si="123"/>
        <v>0.04</v>
      </c>
      <c r="N190" s="44">
        <f t="shared" si="123"/>
        <v>0.04</v>
      </c>
      <c r="O190" s="44">
        <f t="shared" si="123"/>
        <v>0.04</v>
      </c>
      <c r="P190" s="44">
        <f t="shared" si="123"/>
        <v>0.04</v>
      </c>
      <c r="Q190" s="44">
        <f t="shared" si="123"/>
        <v>0.04</v>
      </c>
      <c r="R190" s="44">
        <f t="shared" si="123"/>
        <v>0.04</v>
      </c>
      <c r="S190" s="44">
        <f t="shared" si="123"/>
        <v>0.04</v>
      </c>
      <c r="T190" s="44">
        <f t="shared" si="123"/>
        <v>0.04</v>
      </c>
      <c r="U190" s="44">
        <f t="shared" si="123"/>
        <v>0.04</v>
      </c>
      <c r="V190" s="44">
        <f t="shared" si="123"/>
        <v>0.04</v>
      </c>
      <c r="W190" s="44">
        <f t="shared" si="123"/>
        <v>0.04</v>
      </c>
      <c r="X190" s="44">
        <f t="shared" si="123"/>
        <v>0.04</v>
      </c>
      <c r="Y190" s="44">
        <f t="shared" si="123"/>
        <v>0.04</v>
      </c>
      <c r="Z190" s="44">
        <f t="shared" si="123"/>
        <v>0.04</v>
      </c>
      <c r="AA190" s="44">
        <f t="shared" si="123"/>
        <v>0.04</v>
      </c>
      <c r="AB190" s="44">
        <f t="shared" si="123"/>
        <v>0.04</v>
      </c>
      <c r="AC190" s="44">
        <f t="shared" si="123"/>
        <v>0.04</v>
      </c>
      <c r="AD190" s="44">
        <f t="shared" si="123"/>
        <v>0.04</v>
      </c>
      <c r="AE190" s="44">
        <f t="shared" si="123"/>
        <v>0.04</v>
      </c>
      <c r="AF190" s="44">
        <f t="shared" si="123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111"/>
        <v>2.3E-2</v>
      </c>
      <c r="C191" s="54">
        <v>2.3E-2</v>
      </c>
      <c r="D191" s="44">
        <f t="shared" ref="D191:AF191" si="124">C191</f>
        <v>2.3E-2</v>
      </c>
      <c r="E191" s="44">
        <f t="shared" si="124"/>
        <v>2.3E-2</v>
      </c>
      <c r="F191" s="44">
        <f t="shared" si="124"/>
        <v>2.3E-2</v>
      </c>
      <c r="G191" s="44">
        <f t="shared" si="124"/>
        <v>2.3E-2</v>
      </c>
      <c r="H191" s="44">
        <f t="shared" si="124"/>
        <v>2.3E-2</v>
      </c>
      <c r="I191" s="44">
        <f t="shared" si="124"/>
        <v>2.3E-2</v>
      </c>
      <c r="J191" s="44">
        <f t="shared" si="124"/>
        <v>2.3E-2</v>
      </c>
      <c r="K191" s="44">
        <f t="shared" si="124"/>
        <v>2.3E-2</v>
      </c>
      <c r="L191" s="44">
        <f t="shared" si="124"/>
        <v>2.3E-2</v>
      </c>
      <c r="M191" s="44">
        <f t="shared" si="124"/>
        <v>2.3E-2</v>
      </c>
      <c r="N191" s="44">
        <f t="shared" si="124"/>
        <v>2.3E-2</v>
      </c>
      <c r="O191" s="44">
        <f t="shared" si="124"/>
        <v>2.3E-2</v>
      </c>
      <c r="P191" s="44">
        <f t="shared" si="124"/>
        <v>2.3E-2</v>
      </c>
      <c r="Q191" s="44">
        <f t="shared" si="124"/>
        <v>2.3E-2</v>
      </c>
      <c r="R191" s="44">
        <f t="shared" si="124"/>
        <v>2.3E-2</v>
      </c>
      <c r="S191" s="44">
        <f t="shared" si="124"/>
        <v>2.3E-2</v>
      </c>
      <c r="T191" s="44">
        <f t="shared" si="124"/>
        <v>2.3E-2</v>
      </c>
      <c r="U191" s="44">
        <f t="shared" si="124"/>
        <v>2.3E-2</v>
      </c>
      <c r="V191" s="44">
        <f t="shared" si="124"/>
        <v>2.3E-2</v>
      </c>
      <c r="W191" s="44">
        <f t="shared" si="124"/>
        <v>2.3E-2</v>
      </c>
      <c r="X191" s="44">
        <f t="shared" si="124"/>
        <v>2.3E-2</v>
      </c>
      <c r="Y191" s="44">
        <f t="shared" si="124"/>
        <v>2.3E-2</v>
      </c>
      <c r="Z191" s="44">
        <f t="shared" si="124"/>
        <v>2.3E-2</v>
      </c>
      <c r="AA191" s="44">
        <f t="shared" si="124"/>
        <v>2.3E-2</v>
      </c>
      <c r="AB191" s="44">
        <f t="shared" si="124"/>
        <v>2.3E-2</v>
      </c>
      <c r="AC191" s="44">
        <f t="shared" si="124"/>
        <v>2.3E-2</v>
      </c>
      <c r="AD191" s="44">
        <f t="shared" si="124"/>
        <v>2.3E-2</v>
      </c>
      <c r="AE191" s="44">
        <f t="shared" si="124"/>
        <v>2.3E-2</v>
      </c>
      <c r="AF191" s="44">
        <f t="shared" si="124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 t="shared" ref="B192:AG192" si="125">SUM(B102:B191)</f>
        <v>192.10600000000005</v>
      </c>
      <c r="C192" s="51">
        <f t="shared" si="125"/>
        <v>194.70600000000002</v>
      </c>
      <c r="D192" s="51">
        <f t="shared" si="125"/>
        <v>194.70600000000002</v>
      </c>
      <c r="E192" s="51">
        <f t="shared" si="125"/>
        <v>194.70600000000002</v>
      </c>
      <c r="F192" s="51">
        <f t="shared" si="125"/>
        <v>194.70600000000002</v>
      </c>
      <c r="G192" s="51">
        <f t="shared" si="125"/>
        <v>194.70600000000002</v>
      </c>
      <c r="H192" s="51">
        <f t="shared" si="125"/>
        <v>194.70600000000002</v>
      </c>
      <c r="I192" s="51">
        <f t="shared" si="125"/>
        <v>194.70600000000002</v>
      </c>
      <c r="J192" s="51">
        <f t="shared" si="125"/>
        <v>192.10600000000005</v>
      </c>
      <c r="K192" s="51">
        <f t="shared" si="125"/>
        <v>192.10600000000005</v>
      </c>
      <c r="L192" s="51">
        <f t="shared" si="125"/>
        <v>192.10600000000005</v>
      </c>
      <c r="M192" s="51">
        <f t="shared" si="125"/>
        <v>192.10600000000005</v>
      </c>
      <c r="N192" s="51">
        <f t="shared" si="125"/>
        <v>192.10600000000005</v>
      </c>
      <c r="O192" s="51">
        <f t="shared" si="125"/>
        <v>192.10600000000005</v>
      </c>
      <c r="P192" s="51">
        <f t="shared" si="125"/>
        <v>192.10600000000005</v>
      </c>
      <c r="Q192" s="51">
        <f t="shared" si="125"/>
        <v>192.10600000000005</v>
      </c>
      <c r="R192" s="51">
        <f t="shared" si="125"/>
        <v>192.10600000000005</v>
      </c>
      <c r="S192" s="51">
        <f t="shared" si="125"/>
        <v>192.10600000000005</v>
      </c>
      <c r="T192" s="51">
        <f t="shared" si="125"/>
        <v>192.10600000000005</v>
      </c>
      <c r="U192" s="51">
        <f t="shared" si="125"/>
        <v>192.10600000000005</v>
      </c>
      <c r="V192" s="51">
        <f t="shared" si="125"/>
        <v>192.10600000000005</v>
      </c>
      <c r="W192" s="51">
        <f t="shared" si="125"/>
        <v>192.10600000000005</v>
      </c>
      <c r="X192" s="51">
        <f t="shared" si="125"/>
        <v>192.10600000000005</v>
      </c>
      <c r="Y192" s="51">
        <f t="shared" si="125"/>
        <v>192.10600000000005</v>
      </c>
      <c r="Z192" s="51">
        <f t="shared" si="125"/>
        <v>192.10600000000005</v>
      </c>
      <c r="AA192" s="51">
        <f t="shared" si="125"/>
        <v>192.10600000000005</v>
      </c>
      <c r="AB192" s="51">
        <f t="shared" si="125"/>
        <v>192.10600000000005</v>
      </c>
      <c r="AC192" s="51">
        <f t="shared" si="125"/>
        <v>192.10600000000005</v>
      </c>
      <c r="AD192" s="51">
        <f t="shared" si="125"/>
        <v>192.10600000000005</v>
      </c>
      <c r="AE192" s="51">
        <f t="shared" si="125"/>
        <v>192.10600000000005</v>
      </c>
      <c r="AF192" s="51">
        <f t="shared" si="125"/>
        <v>192.10600000000005</v>
      </c>
      <c r="AG192" s="50">
        <f t="shared" si="125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126">AF194</f>
        <v>0.3</v>
      </c>
      <c r="C194" s="47">
        <v>0.3</v>
      </c>
      <c r="D194" s="47">
        <f t="shared" ref="D194:AF194" si="127">C194</f>
        <v>0.3</v>
      </c>
      <c r="E194" s="47">
        <f t="shared" si="127"/>
        <v>0.3</v>
      </c>
      <c r="F194" s="47">
        <f t="shared" si="127"/>
        <v>0.3</v>
      </c>
      <c r="G194" s="47">
        <f t="shared" si="127"/>
        <v>0.3</v>
      </c>
      <c r="H194" s="47">
        <f t="shared" si="127"/>
        <v>0.3</v>
      </c>
      <c r="I194" s="47">
        <f t="shared" si="127"/>
        <v>0.3</v>
      </c>
      <c r="J194" s="47">
        <f t="shared" si="127"/>
        <v>0.3</v>
      </c>
      <c r="K194" s="47">
        <f t="shared" si="127"/>
        <v>0.3</v>
      </c>
      <c r="L194" s="47">
        <f t="shared" si="127"/>
        <v>0.3</v>
      </c>
      <c r="M194" s="47">
        <f t="shared" si="127"/>
        <v>0.3</v>
      </c>
      <c r="N194" s="47">
        <f t="shared" si="127"/>
        <v>0.3</v>
      </c>
      <c r="O194" s="47">
        <f t="shared" si="127"/>
        <v>0.3</v>
      </c>
      <c r="P194" s="47">
        <f t="shared" si="127"/>
        <v>0.3</v>
      </c>
      <c r="Q194" s="47">
        <f t="shared" si="127"/>
        <v>0.3</v>
      </c>
      <c r="R194" s="47">
        <f t="shared" si="127"/>
        <v>0.3</v>
      </c>
      <c r="S194" s="47">
        <f t="shared" si="127"/>
        <v>0.3</v>
      </c>
      <c r="T194" s="47">
        <f t="shared" si="127"/>
        <v>0.3</v>
      </c>
      <c r="U194" s="47">
        <f t="shared" si="127"/>
        <v>0.3</v>
      </c>
      <c r="V194" s="47">
        <f t="shared" si="127"/>
        <v>0.3</v>
      </c>
      <c r="W194" s="47">
        <f t="shared" si="127"/>
        <v>0.3</v>
      </c>
      <c r="X194" s="47">
        <f t="shared" si="127"/>
        <v>0.3</v>
      </c>
      <c r="Y194" s="47">
        <f t="shared" si="127"/>
        <v>0.3</v>
      </c>
      <c r="Z194" s="47">
        <f t="shared" si="127"/>
        <v>0.3</v>
      </c>
      <c r="AA194" s="47">
        <f t="shared" si="127"/>
        <v>0.3</v>
      </c>
      <c r="AB194" s="47">
        <f t="shared" si="127"/>
        <v>0.3</v>
      </c>
      <c r="AC194" s="47">
        <f t="shared" si="127"/>
        <v>0.3</v>
      </c>
      <c r="AD194" s="47">
        <f t="shared" si="127"/>
        <v>0.3</v>
      </c>
      <c r="AE194" s="47">
        <f t="shared" si="127"/>
        <v>0.3</v>
      </c>
      <c r="AF194" s="47">
        <f t="shared" si="127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126"/>
        <v>0.4</v>
      </c>
      <c r="C195" s="44">
        <v>0.4</v>
      </c>
      <c r="D195" s="44">
        <f t="shared" ref="D195:AF195" si="128">C195</f>
        <v>0.4</v>
      </c>
      <c r="E195" s="44">
        <f t="shared" si="128"/>
        <v>0.4</v>
      </c>
      <c r="F195" s="44">
        <f t="shared" si="128"/>
        <v>0.4</v>
      </c>
      <c r="G195" s="44">
        <f t="shared" si="128"/>
        <v>0.4</v>
      </c>
      <c r="H195" s="44">
        <f t="shared" si="128"/>
        <v>0.4</v>
      </c>
      <c r="I195" s="44">
        <f t="shared" si="128"/>
        <v>0.4</v>
      </c>
      <c r="J195" s="44">
        <f t="shared" si="128"/>
        <v>0.4</v>
      </c>
      <c r="K195" s="44">
        <f t="shared" si="128"/>
        <v>0.4</v>
      </c>
      <c r="L195" s="44">
        <f t="shared" si="128"/>
        <v>0.4</v>
      </c>
      <c r="M195" s="44">
        <f t="shared" si="128"/>
        <v>0.4</v>
      </c>
      <c r="N195" s="44">
        <f t="shared" si="128"/>
        <v>0.4</v>
      </c>
      <c r="O195" s="44">
        <f t="shared" si="128"/>
        <v>0.4</v>
      </c>
      <c r="P195" s="44">
        <f t="shared" si="128"/>
        <v>0.4</v>
      </c>
      <c r="Q195" s="44">
        <f t="shared" si="128"/>
        <v>0.4</v>
      </c>
      <c r="R195" s="44">
        <f t="shared" si="128"/>
        <v>0.4</v>
      </c>
      <c r="S195" s="44">
        <f t="shared" si="128"/>
        <v>0.4</v>
      </c>
      <c r="T195" s="44">
        <f t="shared" si="128"/>
        <v>0.4</v>
      </c>
      <c r="U195" s="44">
        <f t="shared" si="128"/>
        <v>0.4</v>
      </c>
      <c r="V195" s="44">
        <f t="shared" si="128"/>
        <v>0.4</v>
      </c>
      <c r="W195" s="44">
        <f t="shared" si="128"/>
        <v>0.4</v>
      </c>
      <c r="X195" s="44">
        <f t="shared" si="128"/>
        <v>0.4</v>
      </c>
      <c r="Y195" s="44">
        <f t="shared" si="128"/>
        <v>0.4</v>
      </c>
      <c r="Z195" s="44">
        <f t="shared" si="128"/>
        <v>0.4</v>
      </c>
      <c r="AA195" s="44">
        <f t="shared" si="128"/>
        <v>0.4</v>
      </c>
      <c r="AB195" s="44">
        <f t="shared" si="128"/>
        <v>0.4</v>
      </c>
      <c r="AC195" s="44">
        <f t="shared" si="128"/>
        <v>0.4</v>
      </c>
      <c r="AD195" s="44">
        <f t="shared" si="128"/>
        <v>0.4</v>
      </c>
      <c r="AE195" s="44">
        <f t="shared" si="128"/>
        <v>0.4</v>
      </c>
      <c r="AF195" s="44">
        <f t="shared" si="128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126"/>
        <v>1.5</v>
      </c>
      <c r="C196" s="44">
        <v>1.5</v>
      </c>
      <c r="D196" s="44">
        <f t="shared" ref="D196:AF196" si="129">C196</f>
        <v>1.5</v>
      </c>
      <c r="E196" s="44">
        <f t="shared" si="129"/>
        <v>1.5</v>
      </c>
      <c r="F196" s="44">
        <f t="shared" si="129"/>
        <v>1.5</v>
      </c>
      <c r="G196" s="44">
        <f t="shared" si="129"/>
        <v>1.5</v>
      </c>
      <c r="H196" s="44">
        <f t="shared" si="129"/>
        <v>1.5</v>
      </c>
      <c r="I196" s="44">
        <f t="shared" si="129"/>
        <v>1.5</v>
      </c>
      <c r="J196" s="44">
        <f t="shared" si="129"/>
        <v>1.5</v>
      </c>
      <c r="K196" s="44">
        <f t="shared" si="129"/>
        <v>1.5</v>
      </c>
      <c r="L196" s="44">
        <f t="shared" si="129"/>
        <v>1.5</v>
      </c>
      <c r="M196" s="44">
        <f t="shared" si="129"/>
        <v>1.5</v>
      </c>
      <c r="N196" s="44">
        <f t="shared" si="129"/>
        <v>1.5</v>
      </c>
      <c r="O196" s="44">
        <f t="shared" si="129"/>
        <v>1.5</v>
      </c>
      <c r="P196" s="44">
        <f t="shared" si="129"/>
        <v>1.5</v>
      </c>
      <c r="Q196" s="44">
        <f t="shared" si="129"/>
        <v>1.5</v>
      </c>
      <c r="R196" s="44">
        <f t="shared" si="129"/>
        <v>1.5</v>
      </c>
      <c r="S196" s="44">
        <f t="shared" si="129"/>
        <v>1.5</v>
      </c>
      <c r="T196" s="44">
        <f t="shared" si="129"/>
        <v>1.5</v>
      </c>
      <c r="U196" s="44">
        <f t="shared" si="129"/>
        <v>1.5</v>
      </c>
      <c r="V196" s="44">
        <f t="shared" si="129"/>
        <v>1.5</v>
      </c>
      <c r="W196" s="44">
        <f t="shared" si="129"/>
        <v>1.5</v>
      </c>
      <c r="X196" s="44">
        <f t="shared" si="129"/>
        <v>1.5</v>
      </c>
      <c r="Y196" s="44">
        <f t="shared" si="129"/>
        <v>1.5</v>
      </c>
      <c r="Z196" s="44">
        <f t="shared" si="129"/>
        <v>1.5</v>
      </c>
      <c r="AA196" s="44">
        <f t="shared" si="129"/>
        <v>1.5</v>
      </c>
      <c r="AB196" s="44">
        <f t="shared" si="129"/>
        <v>1.5</v>
      </c>
      <c r="AC196" s="44">
        <f t="shared" si="129"/>
        <v>1.5</v>
      </c>
      <c r="AD196" s="44">
        <f t="shared" si="129"/>
        <v>1.5</v>
      </c>
      <c r="AE196" s="44">
        <f t="shared" si="129"/>
        <v>1.5</v>
      </c>
      <c r="AF196" s="44">
        <f t="shared" si="129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126"/>
        <v>0.3</v>
      </c>
      <c r="C197" s="44">
        <v>0.3</v>
      </c>
      <c r="D197" s="44">
        <f t="shared" ref="D197:AF197" si="130">C197</f>
        <v>0.3</v>
      </c>
      <c r="E197" s="44">
        <f t="shared" si="130"/>
        <v>0.3</v>
      </c>
      <c r="F197" s="44">
        <f t="shared" si="130"/>
        <v>0.3</v>
      </c>
      <c r="G197" s="44">
        <f t="shared" si="130"/>
        <v>0.3</v>
      </c>
      <c r="H197" s="44">
        <f t="shared" si="130"/>
        <v>0.3</v>
      </c>
      <c r="I197" s="44">
        <f t="shared" si="130"/>
        <v>0.3</v>
      </c>
      <c r="J197" s="44">
        <f t="shared" si="130"/>
        <v>0.3</v>
      </c>
      <c r="K197" s="44">
        <f t="shared" si="130"/>
        <v>0.3</v>
      </c>
      <c r="L197" s="44">
        <f t="shared" si="130"/>
        <v>0.3</v>
      </c>
      <c r="M197" s="44">
        <f t="shared" si="130"/>
        <v>0.3</v>
      </c>
      <c r="N197" s="44">
        <f t="shared" si="130"/>
        <v>0.3</v>
      </c>
      <c r="O197" s="44">
        <f t="shared" si="130"/>
        <v>0.3</v>
      </c>
      <c r="P197" s="44">
        <f t="shared" si="130"/>
        <v>0.3</v>
      </c>
      <c r="Q197" s="44">
        <f t="shared" si="130"/>
        <v>0.3</v>
      </c>
      <c r="R197" s="44">
        <f t="shared" si="130"/>
        <v>0.3</v>
      </c>
      <c r="S197" s="44">
        <f t="shared" si="130"/>
        <v>0.3</v>
      </c>
      <c r="T197" s="44">
        <f t="shared" si="130"/>
        <v>0.3</v>
      </c>
      <c r="U197" s="44">
        <f t="shared" si="130"/>
        <v>0.3</v>
      </c>
      <c r="V197" s="44">
        <f t="shared" si="130"/>
        <v>0.3</v>
      </c>
      <c r="W197" s="44">
        <f t="shared" si="130"/>
        <v>0.3</v>
      </c>
      <c r="X197" s="44">
        <f t="shared" si="130"/>
        <v>0.3</v>
      </c>
      <c r="Y197" s="44">
        <f t="shared" si="130"/>
        <v>0.3</v>
      </c>
      <c r="Z197" s="44">
        <f t="shared" si="130"/>
        <v>0.3</v>
      </c>
      <c r="AA197" s="44">
        <f t="shared" si="130"/>
        <v>0.3</v>
      </c>
      <c r="AB197" s="44">
        <f t="shared" si="130"/>
        <v>0.3</v>
      </c>
      <c r="AC197" s="44">
        <f t="shared" si="130"/>
        <v>0.3</v>
      </c>
      <c r="AD197" s="44">
        <f t="shared" si="130"/>
        <v>0.3</v>
      </c>
      <c r="AE197" s="44">
        <f t="shared" si="130"/>
        <v>0.3</v>
      </c>
      <c r="AF197" s="44">
        <f t="shared" si="130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126"/>
        <v>0.4</v>
      </c>
      <c r="C198" s="44">
        <v>0.4</v>
      </c>
      <c r="D198" s="44">
        <f t="shared" ref="D198:AF198" si="131">C198</f>
        <v>0.4</v>
      </c>
      <c r="E198" s="44">
        <f t="shared" si="131"/>
        <v>0.4</v>
      </c>
      <c r="F198" s="44">
        <f t="shared" si="131"/>
        <v>0.4</v>
      </c>
      <c r="G198" s="44">
        <f t="shared" si="131"/>
        <v>0.4</v>
      </c>
      <c r="H198" s="44">
        <f t="shared" si="131"/>
        <v>0.4</v>
      </c>
      <c r="I198" s="44">
        <f t="shared" si="131"/>
        <v>0.4</v>
      </c>
      <c r="J198" s="44">
        <f t="shared" si="131"/>
        <v>0.4</v>
      </c>
      <c r="K198" s="44">
        <f t="shared" si="131"/>
        <v>0.4</v>
      </c>
      <c r="L198" s="44">
        <f t="shared" si="131"/>
        <v>0.4</v>
      </c>
      <c r="M198" s="44">
        <f t="shared" si="131"/>
        <v>0.4</v>
      </c>
      <c r="N198" s="44">
        <f t="shared" si="131"/>
        <v>0.4</v>
      </c>
      <c r="O198" s="44">
        <f t="shared" si="131"/>
        <v>0.4</v>
      </c>
      <c r="P198" s="44">
        <f t="shared" si="131"/>
        <v>0.4</v>
      </c>
      <c r="Q198" s="44">
        <f t="shared" si="131"/>
        <v>0.4</v>
      </c>
      <c r="R198" s="44">
        <f t="shared" si="131"/>
        <v>0.4</v>
      </c>
      <c r="S198" s="44">
        <f t="shared" si="131"/>
        <v>0.4</v>
      </c>
      <c r="T198" s="44">
        <f t="shared" si="131"/>
        <v>0.4</v>
      </c>
      <c r="U198" s="44">
        <f t="shared" si="131"/>
        <v>0.4</v>
      </c>
      <c r="V198" s="44">
        <f t="shared" si="131"/>
        <v>0.4</v>
      </c>
      <c r="W198" s="44">
        <f t="shared" si="131"/>
        <v>0.4</v>
      </c>
      <c r="X198" s="44">
        <f t="shared" si="131"/>
        <v>0.4</v>
      </c>
      <c r="Y198" s="44">
        <f t="shared" si="131"/>
        <v>0.4</v>
      </c>
      <c r="Z198" s="44">
        <f t="shared" si="131"/>
        <v>0.4</v>
      </c>
      <c r="AA198" s="44">
        <f t="shared" si="131"/>
        <v>0.4</v>
      </c>
      <c r="AB198" s="44">
        <f t="shared" si="131"/>
        <v>0.4</v>
      </c>
      <c r="AC198" s="44">
        <f t="shared" si="131"/>
        <v>0.4</v>
      </c>
      <c r="AD198" s="44">
        <f t="shared" si="131"/>
        <v>0.4</v>
      </c>
      <c r="AE198" s="44">
        <f t="shared" si="131"/>
        <v>0.4</v>
      </c>
      <c r="AF198" s="44">
        <f t="shared" si="131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126"/>
        <v>0.64</v>
      </c>
      <c r="C199" s="40">
        <v>0.64</v>
      </c>
      <c r="D199" s="40">
        <f t="shared" ref="D199:AF199" si="132">C199</f>
        <v>0.64</v>
      </c>
      <c r="E199" s="40">
        <f t="shared" si="132"/>
        <v>0.64</v>
      </c>
      <c r="F199" s="40">
        <f t="shared" si="132"/>
        <v>0.64</v>
      </c>
      <c r="G199" s="40">
        <f t="shared" si="132"/>
        <v>0.64</v>
      </c>
      <c r="H199" s="40">
        <f t="shared" si="132"/>
        <v>0.64</v>
      </c>
      <c r="I199" s="40">
        <f t="shared" si="132"/>
        <v>0.64</v>
      </c>
      <c r="J199" s="40">
        <f t="shared" si="132"/>
        <v>0.64</v>
      </c>
      <c r="K199" s="40">
        <f t="shared" si="132"/>
        <v>0.64</v>
      </c>
      <c r="L199" s="40">
        <f t="shared" si="132"/>
        <v>0.64</v>
      </c>
      <c r="M199" s="40">
        <f t="shared" si="132"/>
        <v>0.64</v>
      </c>
      <c r="N199" s="40">
        <f t="shared" si="132"/>
        <v>0.64</v>
      </c>
      <c r="O199" s="40">
        <f t="shared" si="132"/>
        <v>0.64</v>
      </c>
      <c r="P199" s="40">
        <f t="shared" si="132"/>
        <v>0.64</v>
      </c>
      <c r="Q199" s="40">
        <f t="shared" si="132"/>
        <v>0.64</v>
      </c>
      <c r="R199" s="40">
        <f t="shared" si="132"/>
        <v>0.64</v>
      </c>
      <c r="S199" s="40">
        <f t="shared" si="132"/>
        <v>0.64</v>
      </c>
      <c r="T199" s="40">
        <f t="shared" si="132"/>
        <v>0.64</v>
      </c>
      <c r="U199" s="40">
        <f t="shared" si="132"/>
        <v>0.64</v>
      </c>
      <c r="V199" s="40">
        <f t="shared" si="132"/>
        <v>0.64</v>
      </c>
      <c r="W199" s="40">
        <f t="shared" si="132"/>
        <v>0.64</v>
      </c>
      <c r="X199" s="40">
        <f t="shared" si="132"/>
        <v>0.64</v>
      </c>
      <c r="Y199" s="40">
        <f t="shared" si="132"/>
        <v>0.64</v>
      </c>
      <c r="Z199" s="40">
        <f t="shared" si="132"/>
        <v>0.64</v>
      </c>
      <c r="AA199" s="40">
        <f t="shared" si="132"/>
        <v>0.64</v>
      </c>
      <c r="AB199" s="40">
        <f t="shared" si="132"/>
        <v>0.64</v>
      </c>
      <c r="AC199" s="40">
        <f t="shared" si="132"/>
        <v>0.64</v>
      </c>
      <c r="AD199" s="40">
        <f t="shared" si="132"/>
        <v>0.64</v>
      </c>
      <c r="AE199" s="40">
        <f t="shared" si="132"/>
        <v>0.64</v>
      </c>
      <c r="AF199" s="40">
        <f t="shared" si="13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 t="shared" ref="B200:AG200" si="133">SUM(B194:B199)</f>
        <v>3.54</v>
      </c>
      <c r="C200" s="37">
        <f t="shared" si="133"/>
        <v>3.54</v>
      </c>
      <c r="D200" s="37">
        <f t="shared" si="133"/>
        <v>3.54</v>
      </c>
      <c r="E200" s="37">
        <f t="shared" si="133"/>
        <v>3.54</v>
      </c>
      <c r="F200" s="37">
        <f t="shared" si="133"/>
        <v>3.54</v>
      </c>
      <c r="G200" s="37">
        <f t="shared" si="133"/>
        <v>3.54</v>
      </c>
      <c r="H200" s="37">
        <f t="shared" si="133"/>
        <v>3.54</v>
      </c>
      <c r="I200" s="37">
        <f t="shared" si="133"/>
        <v>3.54</v>
      </c>
      <c r="J200" s="37">
        <f t="shared" si="133"/>
        <v>3.54</v>
      </c>
      <c r="K200" s="37">
        <f t="shared" si="133"/>
        <v>3.54</v>
      </c>
      <c r="L200" s="37">
        <f t="shared" si="133"/>
        <v>3.54</v>
      </c>
      <c r="M200" s="37">
        <f t="shared" si="133"/>
        <v>3.54</v>
      </c>
      <c r="N200" s="37">
        <f t="shared" si="133"/>
        <v>3.54</v>
      </c>
      <c r="O200" s="37">
        <f t="shared" si="133"/>
        <v>3.54</v>
      </c>
      <c r="P200" s="37">
        <f t="shared" si="133"/>
        <v>3.54</v>
      </c>
      <c r="Q200" s="37">
        <f t="shared" si="133"/>
        <v>3.54</v>
      </c>
      <c r="R200" s="37">
        <f t="shared" si="133"/>
        <v>3.54</v>
      </c>
      <c r="S200" s="37">
        <f t="shared" si="133"/>
        <v>3.54</v>
      </c>
      <c r="T200" s="37">
        <f t="shared" si="133"/>
        <v>3.54</v>
      </c>
      <c r="U200" s="37">
        <f t="shared" si="133"/>
        <v>3.54</v>
      </c>
      <c r="V200" s="37">
        <f t="shared" si="133"/>
        <v>3.54</v>
      </c>
      <c r="W200" s="37">
        <f t="shared" si="133"/>
        <v>3.54</v>
      </c>
      <c r="X200" s="37">
        <f t="shared" si="133"/>
        <v>3.54</v>
      </c>
      <c r="Y200" s="37">
        <f t="shared" si="133"/>
        <v>3.54</v>
      </c>
      <c r="Z200" s="37">
        <f t="shared" si="133"/>
        <v>3.54</v>
      </c>
      <c r="AA200" s="37">
        <f t="shared" si="133"/>
        <v>3.54</v>
      </c>
      <c r="AB200" s="37">
        <f t="shared" si="133"/>
        <v>3.54</v>
      </c>
      <c r="AC200" s="37">
        <f t="shared" si="133"/>
        <v>3.54</v>
      </c>
      <c r="AD200" s="37">
        <f t="shared" si="133"/>
        <v>3.54</v>
      </c>
      <c r="AE200" s="37">
        <f t="shared" si="133"/>
        <v>3.54</v>
      </c>
      <c r="AF200" s="37">
        <f t="shared" si="133"/>
        <v>3.54</v>
      </c>
      <c r="AG200" s="36">
        <f t="shared" si="133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1441.88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134">B75</f>
        <v>1070.67</v>
      </c>
      <c r="U214" s="9">
        <f t="shared" si="134"/>
        <v>1031.1399999999999</v>
      </c>
      <c r="V214" s="9">
        <f t="shared" si="134"/>
        <v>1030.6399999999999</v>
      </c>
      <c r="W214" s="9">
        <f t="shared" si="134"/>
        <v>1042.24</v>
      </c>
      <c r="X214" s="9">
        <f t="shared" si="134"/>
        <v>1029.74</v>
      </c>
      <c r="Y214" s="9">
        <f t="shared" si="134"/>
        <v>1052.44</v>
      </c>
      <c r="Z214" s="9">
        <f t="shared" si="134"/>
        <v>1138.24</v>
      </c>
      <c r="AA214" s="9">
        <f t="shared" si="134"/>
        <v>1208.04</v>
      </c>
      <c r="AB214" s="9">
        <f t="shared" si="134"/>
        <v>1295.1399999999999</v>
      </c>
      <c r="AC214" s="9">
        <f t="shared" si="134"/>
        <v>1368.94</v>
      </c>
      <c r="AD214" s="9">
        <f t="shared" si="134"/>
        <v>1441.88</v>
      </c>
      <c r="AE214" s="9">
        <f t="shared" si="134"/>
        <v>1426.3400000000001</v>
      </c>
      <c r="AF214" s="9">
        <f t="shared" si="134"/>
        <v>1379.7400000000002</v>
      </c>
      <c r="AG214" s="9">
        <f t="shared" si="134"/>
        <v>1355.84</v>
      </c>
      <c r="AH214" s="9">
        <f t="shared" si="134"/>
        <v>1322.04</v>
      </c>
      <c r="AI214" s="9">
        <f t="shared" si="134"/>
        <v>1323.2400000000002</v>
      </c>
      <c r="AJ214" s="9">
        <f t="shared" si="134"/>
        <v>1284.6399999999999</v>
      </c>
      <c r="AK214" s="9">
        <f t="shared" si="134"/>
        <v>1301.3400000000001</v>
      </c>
      <c r="AL214" s="9">
        <f t="shared" si="134"/>
        <v>1317.8400000000001</v>
      </c>
      <c r="AM214" s="9">
        <f t="shared" si="134"/>
        <v>1240.24</v>
      </c>
      <c r="AN214" s="9">
        <f t="shared" si="134"/>
        <v>1273.54</v>
      </c>
      <c r="AO214" s="9">
        <f t="shared" si="134"/>
        <v>1295.5400000000002</v>
      </c>
      <c r="AP214" s="9">
        <f t="shared" si="134"/>
        <v>1318.7400000000002</v>
      </c>
      <c r="AQ214" s="9">
        <f t="shared" si="134"/>
        <v>1392.0400000000002</v>
      </c>
      <c r="AR214" s="9">
        <f t="shared" si="134"/>
        <v>1576.3400000000001</v>
      </c>
      <c r="AS214" s="9">
        <f t="shared" si="134"/>
        <v>1519.0400000000002</v>
      </c>
      <c r="AT214" s="9">
        <f t="shared" si="134"/>
        <v>1467.0400000000002</v>
      </c>
      <c r="AU214" s="9">
        <f t="shared" si="134"/>
        <v>1436.3400000000001</v>
      </c>
      <c r="AV214" s="9">
        <f t="shared" si="134"/>
        <v>1378.54</v>
      </c>
      <c r="AW214" s="9">
        <f t="shared" si="134"/>
        <v>1273.0400000000002</v>
      </c>
      <c r="AX214" s="9">
        <f t="shared" si="134"/>
        <v>1199.7400000000002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135">C199</f>
        <v>0.64</v>
      </c>
      <c r="C235" s="4">
        <f t="shared" si="135"/>
        <v>0.64</v>
      </c>
      <c r="D235" s="4">
        <f t="shared" si="135"/>
        <v>0.64</v>
      </c>
      <c r="E235" s="4">
        <f t="shared" si="135"/>
        <v>0.64</v>
      </c>
      <c r="F235" s="4">
        <f t="shared" si="135"/>
        <v>0.64</v>
      </c>
      <c r="G235" s="4">
        <f t="shared" si="135"/>
        <v>0.64</v>
      </c>
      <c r="H235" s="4">
        <f t="shared" si="135"/>
        <v>0.64</v>
      </c>
      <c r="I235" s="4">
        <f t="shared" si="135"/>
        <v>0.64</v>
      </c>
      <c r="J235" s="4">
        <f t="shared" si="135"/>
        <v>0.64</v>
      </c>
      <c r="K235" s="4">
        <f t="shared" si="135"/>
        <v>0.64</v>
      </c>
      <c r="L235" s="4">
        <f t="shared" si="135"/>
        <v>0.64</v>
      </c>
      <c r="M235" s="4">
        <f t="shared" si="135"/>
        <v>0.64</v>
      </c>
      <c r="N235" s="4">
        <f t="shared" si="135"/>
        <v>0.64</v>
      </c>
      <c r="O235" s="4">
        <f t="shared" si="135"/>
        <v>0.64</v>
      </c>
      <c r="P235" s="4">
        <f t="shared" si="135"/>
        <v>0.64</v>
      </c>
      <c r="Q235" s="4">
        <f t="shared" si="135"/>
        <v>0.64</v>
      </c>
      <c r="R235" s="4">
        <f t="shared" si="135"/>
        <v>0.64</v>
      </c>
      <c r="S235" s="4">
        <f t="shared" si="135"/>
        <v>0.64</v>
      </c>
      <c r="T235" s="4">
        <f t="shared" si="135"/>
        <v>0.64</v>
      </c>
      <c r="U235" s="4">
        <f t="shared" si="135"/>
        <v>0.64</v>
      </c>
      <c r="V235" s="4">
        <f t="shared" si="135"/>
        <v>0.64</v>
      </c>
      <c r="W235" s="4">
        <f t="shared" si="135"/>
        <v>0.64</v>
      </c>
      <c r="X235" s="4">
        <f t="shared" si="135"/>
        <v>0.64</v>
      </c>
      <c r="Y235" s="4">
        <f t="shared" si="135"/>
        <v>0.64</v>
      </c>
      <c r="Z235" s="4">
        <f t="shared" si="135"/>
        <v>0.64</v>
      </c>
      <c r="AA235" s="4">
        <f t="shared" si="135"/>
        <v>0.64</v>
      </c>
      <c r="AB235" s="4">
        <f t="shared" si="135"/>
        <v>0.64</v>
      </c>
      <c r="AC235" s="4">
        <f t="shared" si="135"/>
        <v>0.64</v>
      </c>
      <c r="AD235" s="4">
        <f t="shared" si="135"/>
        <v>0.64</v>
      </c>
      <c r="AE235" s="4">
        <f t="shared" si="135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 t="shared" ref="B236:AF236" si="136">IF(B203&lt;100,"",B203-520)</f>
        <v/>
      </c>
      <c r="C236" s="3" t="str">
        <f t="shared" si="136"/>
        <v/>
      </c>
      <c r="D236" s="3" t="str">
        <f t="shared" si="136"/>
        <v/>
      </c>
      <c r="E236" s="3" t="str">
        <f t="shared" si="136"/>
        <v/>
      </c>
      <c r="F236" s="3" t="str">
        <f t="shared" si="136"/>
        <v/>
      </c>
      <c r="G236" s="3" t="str">
        <f t="shared" si="136"/>
        <v/>
      </c>
      <c r="H236" s="3" t="str">
        <f t="shared" si="136"/>
        <v/>
      </c>
      <c r="I236" s="3" t="str">
        <f t="shared" si="136"/>
        <v/>
      </c>
      <c r="J236" s="3" t="str">
        <f t="shared" si="136"/>
        <v/>
      </c>
      <c r="K236" s="3" t="str">
        <f t="shared" si="136"/>
        <v/>
      </c>
      <c r="L236" s="3" t="str">
        <f t="shared" si="136"/>
        <v/>
      </c>
      <c r="M236" s="3" t="str">
        <f t="shared" si="136"/>
        <v/>
      </c>
      <c r="N236" s="3" t="str">
        <f t="shared" si="136"/>
        <v/>
      </c>
      <c r="O236" s="3" t="str">
        <f t="shared" si="136"/>
        <v/>
      </c>
      <c r="P236" s="3" t="str">
        <f t="shared" si="136"/>
        <v/>
      </c>
      <c r="Q236" s="3" t="str">
        <f t="shared" si="136"/>
        <v/>
      </c>
      <c r="R236" s="3" t="str">
        <f t="shared" si="136"/>
        <v/>
      </c>
      <c r="S236" s="3" t="str">
        <f t="shared" si="136"/>
        <v/>
      </c>
      <c r="T236" s="3" t="str">
        <f t="shared" si="136"/>
        <v/>
      </c>
      <c r="U236" s="3" t="str">
        <f t="shared" si="136"/>
        <v/>
      </c>
      <c r="V236" s="3" t="str">
        <f t="shared" si="136"/>
        <v/>
      </c>
      <c r="W236" s="3" t="str">
        <f t="shared" si="136"/>
        <v/>
      </c>
      <c r="X236" s="3" t="str">
        <f t="shared" si="136"/>
        <v/>
      </c>
      <c r="Y236" s="3" t="str">
        <f t="shared" si="136"/>
        <v/>
      </c>
      <c r="Z236" s="3" t="str">
        <f t="shared" si="136"/>
        <v/>
      </c>
      <c r="AA236" s="3" t="str">
        <f t="shared" si="136"/>
        <v/>
      </c>
      <c r="AB236" s="3" t="str">
        <f t="shared" si="136"/>
        <v/>
      </c>
      <c r="AC236" s="3" t="str">
        <f t="shared" si="136"/>
        <v/>
      </c>
      <c r="AD236" s="3" t="str">
        <f t="shared" si="136"/>
        <v/>
      </c>
      <c r="AE236" s="3" t="str">
        <f t="shared" si="136"/>
        <v/>
      </c>
      <c r="AF236" s="3" t="str">
        <f t="shared" si="136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137">IF(B204&lt;100,"",B204-620)</f>
        <v/>
      </c>
      <c r="C237" s="3" t="str">
        <f t="shared" si="137"/>
        <v/>
      </c>
      <c r="D237" s="3" t="str">
        <f t="shared" si="137"/>
        <v/>
      </c>
      <c r="E237" s="3" t="str">
        <f t="shared" si="137"/>
        <v/>
      </c>
      <c r="F237" s="3" t="str">
        <f t="shared" si="137"/>
        <v/>
      </c>
      <c r="G237" s="3" t="str">
        <f t="shared" si="137"/>
        <v/>
      </c>
      <c r="H237" s="3" t="str">
        <f t="shared" si="137"/>
        <v/>
      </c>
      <c r="I237" s="3" t="str">
        <f t="shared" si="137"/>
        <v/>
      </c>
      <c r="J237" s="3" t="str">
        <f t="shared" si="137"/>
        <v/>
      </c>
      <c r="K237" s="3" t="str">
        <f t="shared" si="137"/>
        <v/>
      </c>
      <c r="L237" s="3" t="str">
        <f t="shared" si="137"/>
        <v/>
      </c>
      <c r="M237" s="3" t="str">
        <f t="shared" si="137"/>
        <v/>
      </c>
      <c r="N237" s="3" t="str">
        <f t="shared" si="137"/>
        <v/>
      </c>
      <c r="O237" s="3" t="str">
        <f t="shared" si="137"/>
        <v/>
      </c>
      <c r="P237" s="3" t="str">
        <f t="shared" si="137"/>
        <v/>
      </c>
      <c r="Q237" s="3" t="str">
        <f t="shared" si="137"/>
        <v/>
      </c>
      <c r="R237" s="3" t="str">
        <f t="shared" si="137"/>
        <v/>
      </c>
      <c r="S237" s="3" t="str">
        <f t="shared" si="137"/>
        <v/>
      </c>
      <c r="T237" s="3" t="str">
        <f t="shared" si="137"/>
        <v/>
      </c>
      <c r="U237" s="3" t="str">
        <f t="shared" si="137"/>
        <v/>
      </c>
      <c r="V237" s="3" t="str">
        <f t="shared" si="137"/>
        <v/>
      </c>
      <c r="W237" s="3" t="str">
        <f t="shared" si="137"/>
        <v/>
      </c>
      <c r="X237" s="3" t="str">
        <f t="shared" si="137"/>
        <v/>
      </c>
      <c r="Y237" s="3" t="str">
        <f t="shared" si="137"/>
        <v/>
      </c>
      <c r="Z237" s="3" t="str">
        <f t="shared" si="137"/>
        <v/>
      </c>
      <c r="AA237" s="3" t="str">
        <f t="shared" si="137"/>
        <v/>
      </c>
      <c r="AB237" s="3" t="str">
        <f t="shared" si="137"/>
        <v/>
      </c>
      <c r="AC237" s="3" t="str">
        <f t="shared" si="137"/>
        <v/>
      </c>
      <c r="AD237" s="3" t="str">
        <f t="shared" si="137"/>
        <v/>
      </c>
      <c r="AE237" s="3" t="str">
        <f t="shared" si="137"/>
        <v/>
      </c>
      <c r="AF237" s="3" t="str">
        <f t="shared" si="137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138">IF(B205&lt;100,"",B205-330)</f>
        <v/>
      </c>
      <c r="C238" s="3" t="str">
        <f t="shared" si="138"/>
        <v/>
      </c>
      <c r="D238" s="3" t="str">
        <f t="shared" si="138"/>
        <v/>
      </c>
      <c r="E238" s="3" t="str">
        <f t="shared" si="138"/>
        <v/>
      </c>
      <c r="F238" s="3" t="str">
        <f t="shared" si="138"/>
        <v/>
      </c>
      <c r="G238" s="3" t="str">
        <f t="shared" si="138"/>
        <v/>
      </c>
      <c r="H238" s="3" t="str">
        <f t="shared" si="138"/>
        <v/>
      </c>
      <c r="I238" s="3" t="str">
        <f t="shared" si="138"/>
        <v/>
      </c>
      <c r="J238" s="3" t="str">
        <f t="shared" si="138"/>
        <v/>
      </c>
      <c r="K238" s="3" t="str">
        <f t="shared" si="138"/>
        <v/>
      </c>
      <c r="L238" s="3" t="str">
        <f t="shared" si="138"/>
        <v/>
      </c>
      <c r="M238" s="3" t="str">
        <f t="shared" si="138"/>
        <v/>
      </c>
      <c r="N238" s="3" t="str">
        <f t="shared" si="138"/>
        <v/>
      </c>
      <c r="O238" s="3" t="str">
        <f t="shared" si="138"/>
        <v/>
      </c>
      <c r="P238" s="3" t="str">
        <f t="shared" si="138"/>
        <v/>
      </c>
      <c r="Q238" s="3" t="str">
        <f t="shared" si="138"/>
        <v/>
      </c>
      <c r="R238" s="3" t="str">
        <f t="shared" si="138"/>
        <v/>
      </c>
      <c r="S238" s="3" t="str">
        <f t="shared" si="138"/>
        <v/>
      </c>
      <c r="T238" s="3" t="str">
        <f t="shared" si="138"/>
        <v/>
      </c>
      <c r="U238" s="3" t="str">
        <f t="shared" si="138"/>
        <v/>
      </c>
      <c r="V238" s="3" t="str">
        <f t="shared" si="138"/>
        <v/>
      </c>
      <c r="W238" s="3" t="str">
        <f t="shared" si="138"/>
        <v/>
      </c>
      <c r="X238" s="3" t="str">
        <f t="shared" si="138"/>
        <v/>
      </c>
      <c r="Y238" s="3" t="str">
        <f t="shared" si="138"/>
        <v/>
      </c>
      <c r="Z238" s="3" t="str">
        <f t="shared" si="138"/>
        <v/>
      </c>
      <c r="AA238" s="3" t="str">
        <f t="shared" si="138"/>
        <v/>
      </c>
      <c r="AB238" s="3" t="str">
        <f t="shared" si="138"/>
        <v/>
      </c>
      <c r="AC238" s="3" t="str">
        <f t="shared" si="138"/>
        <v/>
      </c>
      <c r="AD238" s="3" t="str">
        <f t="shared" si="138"/>
        <v/>
      </c>
      <c r="AE238" s="3" t="str">
        <f t="shared" si="138"/>
        <v/>
      </c>
      <c r="AF238" s="3" t="str">
        <f t="shared" si="138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 t="shared" ref="B239:AF239" si="139">IF(B206&lt;100,"",B206-1500)</f>
        <v/>
      </c>
      <c r="C239" s="3" t="str">
        <f t="shared" si="139"/>
        <v/>
      </c>
      <c r="D239" s="3" t="str">
        <f t="shared" si="139"/>
        <v/>
      </c>
      <c r="E239" s="3" t="str">
        <f t="shared" si="139"/>
        <v/>
      </c>
      <c r="F239" s="3" t="str">
        <f t="shared" si="139"/>
        <v/>
      </c>
      <c r="G239" s="3" t="str">
        <f t="shared" si="139"/>
        <v/>
      </c>
      <c r="H239" s="3" t="str">
        <f t="shared" si="139"/>
        <v/>
      </c>
      <c r="I239" s="3" t="str">
        <f t="shared" si="139"/>
        <v/>
      </c>
      <c r="J239" s="3" t="str">
        <f t="shared" si="139"/>
        <v/>
      </c>
      <c r="K239" s="3" t="str">
        <f t="shared" si="139"/>
        <v/>
      </c>
      <c r="L239" s="3" t="str">
        <f t="shared" si="139"/>
        <v/>
      </c>
      <c r="M239" s="3" t="str">
        <f t="shared" si="139"/>
        <v/>
      </c>
      <c r="N239" s="3" t="str">
        <f t="shared" si="139"/>
        <v/>
      </c>
      <c r="O239" s="3" t="str">
        <f t="shared" si="139"/>
        <v/>
      </c>
      <c r="P239" s="3" t="str">
        <f t="shared" si="139"/>
        <v/>
      </c>
      <c r="Q239" s="3" t="str">
        <f t="shared" si="139"/>
        <v/>
      </c>
      <c r="R239" s="3" t="str">
        <f t="shared" si="139"/>
        <v/>
      </c>
      <c r="S239" s="3" t="str">
        <f t="shared" si="139"/>
        <v/>
      </c>
      <c r="T239" s="3" t="str">
        <f t="shared" si="139"/>
        <v/>
      </c>
      <c r="U239" s="3" t="str">
        <f t="shared" si="139"/>
        <v/>
      </c>
      <c r="V239" s="3" t="str">
        <f t="shared" si="139"/>
        <v/>
      </c>
      <c r="W239" s="3" t="str">
        <f t="shared" si="139"/>
        <v/>
      </c>
      <c r="X239" s="3" t="str">
        <f t="shared" si="139"/>
        <v/>
      </c>
      <c r="Y239" s="3" t="str">
        <f t="shared" si="139"/>
        <v/>
      </c>
      <c r="Z239" s="3" t="str">
        <f t="shared" si="139"/>
        <v/>
      </c>
      <c r="AA239" s="3" t="str">
        <f t="shared" si="139"/>
        <v/>
      </c>
      <c r="AB239" s="3" t="str">
        <f t="shared" si="139"/>
        <v/>
      </c>
      <c r="AC239" s="3" t="str">
        <f t="shared" si="139"/>
        <v/>
      </c>
      <c r="AD239" s="3" t="str">
        <f t="shared" si="139"/>
        <v/>
      </c>
      <c r="AE239" s="3" t="str">
        <f t="shared" si="139"/>
        <v/>
      </c>
      <c r="AF239" s="3" t="str">
        <f t="shared" si="139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M9:M10"/>
    <mergeCell ref="N9:N10"/>
    <mergeCell ref="O9:O10"/>
    <mergeCell ref="AG9:AG10"/>
    <mergeCell ref="V9:V10"/>
    <mergeCell ref="W9:W10"/>
    <mergeCell ref="X9:X10"/>
    <mergeCell ref="Y9:Y10"/>
    <mergeCell ref="Z9:Z10"/>
    <mergeCell ref="AA9:AA10"/>
    <mergeCell ref="AF9:AF10"/>
    <mergeCell ref="S8:AA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T9:T10"/>
    <mergeCell ref="U9:U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E57:L59 N62:N67 E60:O60 E61:N61 O61:O67 M58:R59 AB81:AF81 C81:R81 D194:AF200 B194:B200 C68:Y80 B9:AF10 B192:AF192 AF57:AF61 AG73 AB94:AF100 U213:AF213 C53:C55 C94:C100 C57:D62 C84:D91 M39:O41 U58:Y59 AA68:AF80 AC40:AE41 AD11:AE11 AB53:AF55 C67:D67 N42:O42 M11:Q12 P60:R67 R12 C82:AF83 C56:AF56 M37:Y37 S58:T67 R11:T11 S12:T14 AA85:AC86 P39:Y42 U11:Y14 M53:Y55 AD84:AF91">
    <cfRule type="expression" dxfId="8771" priority="401">
      <formula>B$9&gt;=20/24</formula>
    </cfRule>
    <cfRule type="expression" dxfId="8770" priority="402">
      <formula>AND(B$9&gt;=14/24,B$9&lt;20/24)</formula>
    </cfRule>
    <cfRule type="expression" dxfId="8769" priority="403">
      <formula>AND(B$9&gt;=8/24,B$9&lt;14/24)</formula>
    </cfRule>
    <cfRule type="expression" dxfId="8768" priority="404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M57:T57">
    <cfRule type="expression" dxfId="8767" priority="396">
      <formula>M$9&gt;=20/24</formula>
    </cfRule>
    <cfRule type="expression" dxfId="8766" priority="397">
      <formula>AND(M$9&gt;=14/24,M$9&lt;20/24)</formula>
    </cfRule>
    <cfRule type="expression" dxfId="8765" priority="398">
      <formula>AND(M$9&gt;=8/24,M$9&lt;14/24)</formula>
    </cfRule>
    <cfRule type="expression" dxfId="8764" priority="399">
      <formula>M$9&lt;8/24</formula>
    </cfRule>
  </conditionalFormatting>
  <conditionalFormatting sqref="N43:Y43">
    <cfRule type="expression" dxfId="8763" priority="392">
      <formula>N$9&gt;=20/24</formula>
    </cfRule>
    <cfRule type="expression" dxfId="8762" priority="393">
      <formula>AND(N$9&gt;=14/24,N$9&lt;20/24)</formula>
    </cfRule>
    <cfRule type="expression" dxfId="8761" priority="394">
      <formula>AND(N$9&gt;=8/24,N$9&lt;14/24)</formula>
    </cfRule>
    <cfRule type="expression" dxfId="8760" priority="395">
      <formula>N$9&lt;8/24</formula>
    </cfRule>
  </conditionalFormatting>
  <conditionalFormatting sqref="AC39:AE39 S39:Y39">
    <cfRule type="expression" dxfId="8759" priority="388">
      <formula>S$9&gt;=20/24</formula>
    </cfRule>
    <cfRule type="expression" dxfId="8758" priority="389">
      <formula>AND(S$9&gt;=14/24,S$9&lt;20/24)</formula>
    </cfRule>
    <cfRule type="expression" dxfId="8757" priority="390">
      <formula>AND(S$9&gt;=8/24,S$9&lt;14/24)</formula>
    </cfRule>
    <cfRule type="expression" dxfId="8756" priority="391">
      <formula>S$9&lt;8/24</formula>
    </cfRule>
  </conditionalFormatting>
  <conditionalFormatting sqref="U57:Y57 AC57:AE57">
    <cfRule type="expression" dxfId="8755" priority="384">
      <formula>U$9&gt;=20/24</formula>
    </cfRule>
    <cfRule type="expression" dxfId="8754" priority="385">
      <formula>AND(U$9&gt;=14/24,U$9&lt;20/24)</formula>
    </cfRule>
    <cfRule type="expression" dxfId="8753" priority="386">
      <formula>AND(U$9&gt;=8/24,U$9&lt;14/24)</formula>
    </cfRule>
    <cfRule type="expression" dxfId="8752" priority="387">
      <formula>U$9&lt;8/24</formula>
    </cfRule>
  </conditionalFormatting>
  <conditionalFormatting sqref="S81:Y81 AA81">
    <cfRule type="expression" dxfId="8751" priority="380">
      <formula>S$9&gt;=20/24</formula>
    </cfRule>
    <cfRule type="expression" dxfId="8750" priority="381">
      <formula>AND(S$9&gt;=14/24,S$9&lt;20/24)</formula>
    </cfRule>
    <cfRule type="expression" dxfId="8749" priority="382">
      <formula>AND(S$9&gt;=8/24,S$9&lt;14/24)</formula>
    </cfRule>
    <cfRule type="expression" dxfId="8748" priority="383">
      <formula>S$9&lt;8/24</formula>
    </cfRule>
  </conditionalFormatting>
  <conditionalFormatting sqref="U84:Y84 AA84:AC84">
    <cfRule type="expression" dxfId="8747" priority="376">
      <formula>U$9&gt;=20/24</formula>
    </cfRule>
    <cfRule type="expression" dxfId="8746" priority="377">
      <formula>AND(U$9&gt;=14/24,U$9&lt;20/24)</formula>
    </cfRule>
    <cfRule type="expression" dxfId="8745" priority="378">
      <formula>AND(U$9&gt;=8/24,U$9&lt;14/24)</formula>
    </cfRule>
    <cfRule type="expression" dxfId="8744" priority="379">
      <formula>U$9&lt;8/24</formula>
    </cfRule>
  </conditionalFormatting>
  <conditionalFormatting sqref="S42:Y43">
    <cfRule type="expression" dxfId="8743" priority="356">
      <formula>S$9&gt;=20/24</formula>
    </cfRule>
    <cfRule type="expression" dxfId="8742" priority="357">
      <formula>AND(S$9&gt;=14/24,S$9&lt;20/24)</formula>
    </cfRule>
    <cfRule type="expression" dxfId="8741" priority="358">
      <formula>AND(S$9&gt;=8/24,S$9&lt;14/24)</formula>
    </cfRule>
    <cfRule type="expression" dxfId="8740" priority="359">
      <formula>S$9&lt;8/24</formula>
    </cfRule>
  </conditionalFormatting>
  <conditionalFormatting sqref="AC60:AE61">
    <cfRule type="expression" dxfId="8739" priority="344">
      <formula>AC$9&gt;=20/24</formula>
    </cfRule>
    <cfRule type="expression" dxfId="8738" priority="345">
      <formula>AND(AC$9&gt;=14/24,AC$9&lt;20/24)</formula>
    </cfRule>
    <cfRule type="expression" dxfId="8737" priority="346">
      <formula>AND(AC$9&gt;=8/24,AC$9&lt;14/24)</formula>
    </cfRule>
    <cfRule type="expression" dxfId="8736" priority="347">
      <formula>AC$9&lt;8/24</formula>
    </cfRule>
  </conditionalFormatting>
  <conditionalFormatting sqref="E62:L62">
    <cfRule type="expression" dxfId="8735" priority="340">
      <formula>E$9&gt;=20/24</formula>
    </cfRule>
    <cfRule type="expression" dxfId="8734" priority="341">
      <formula>AND(E$9&gt;=14/24,E$9&lt;20/24)</formula>
    </cfRule>
    <cfRule type="expression" dxfId="8733" priority="342">
      <formula>AND(E$9&gt;=8/24,E$9&lt;14/24)</formula>
    </cfRule>
    <cfRule type="expression" dxfId="8732" priority="343">
      <formula>E$9&lt;8/24</formula>
    </cfRule>
  </conditionalFormatting>
  <conditionalFormatting sqref="U94:Y97">
    <cfRule type="expression" dxfId="8731" priority="336">
      <formula>U$9&gt;=20/24</formula>
    </cfRule>
    <cfRule type="expression" dxfId="8730" priority="337">
      <formula>AND(U$9&gt;=14/24,U$9&lt;20/24)</formula>
    </cfRule>
    <cfRule type="expression" dxfId="8729" priority="338">
      <formula>AND(U$9&gt;=8/24,U$9&lt;14/24)</formula>
    </cfRule>
    <cfRule type="expression" dxfId="8728" priority="339">
      <formula>U$9&lt;8/24</formula>
    </cfRule>
  </conditionalFormatting>
  <conditionalFormatting sqref="AG51 AA51:AF52 AC39:AF41 AD11:AF11 AB53:AF55 C11:P11 C13:L15 C19:L20 C22:L22 C24:L24 C49:L50 C42:L43 M12:P12 Q11:Q12 R12 N42:S44 Z38:AF38 Z56:AF56 C37:Y38 C39:S41 R11:T11 S12:T14 U11:Y14 T39:Y44 C51:Y56">
    <cfRule type="expression" dxfId="8727" priority="335">
      <formula>C11&gt;$AG11</formula>
    </cfRule>
  </conditionalFormatting>
  <conditionalFormatting sqref="A101:A157 A84:A97 A11:A14 A16:A32 A45:A72 A80:A82 A74:A78 A35:A43 A170:A200">
    <cfRule type="expression" dxfId="8726" priority="334">
      <formula>$AH11=0</formula>
    </cfRule>
  </conditionalFormatting>
  <conditionalFormatting sqref="U98:Y98">
    <cfRule type="expression" dxfId="8725" priority="330">
      <formula>U$9&gt;=20/24</formula>
    </cfRule>
    <cfRule type="expression" dxfId="8724" priority="331">
      <formula>AND(U$9&gt;=14/24,U$9&lt;20/24)</formula>
    </cfRule>
    <cfRule type="expression" dxfId="8723" priority="332">
      <formula>AND(U$9&gt;=8/24,U$9&lt;14/24)</formula>
    </cfRule>
    <cfRule type="expression" dxfId="8722" priority="333">
      <formula>U$9&lt;8/24</formula>
    </cfRule>
  </conditionalFormatting>
  <conditionalFormatting sqref="A98">
    <cfRule type="expression" dxfId="8721" priority="329">
      <formula>$AH98=0</formula>
    </cfRule>
  </conditionalFormatting>
  <conditionalFormatting sqref="E67:L67">
    <cfRule type="expression" dxfId="8720" priority="325">
      <formula>E$9&gt;=20/24</formula>
    </cfRule>
    <cfRule type="expression" dxfId="8719" priority="326">
      <formula>AND(E$9&gt;=14/24,E$9&lt;20/24)</formula>
    </cfRule>
    <cfRule type="expression" dxfId="8718" priority="327">
      <formula>AND(E$9&gt;=8/24,E$9&lt;14/24)</formula>
    </cfRule>
    <cfRule type="expression" dxfId="8717" priority="328">
      <formula>E$9&lt;8/24</formula>
    </cfRule>
  </conditionalFormatting>
  <conditionalFormatting sqref="M62:M67">
    <cfRule type="expression" dxfId="8716" priority="321">
      <formula>M$9&gt;=20/24</formula>
    </cfRule>
    <cfRule type="expression" dxfId="8715" priority="322">
      <formula>AND(M$9&gt;=14/24,M$9&lt;20/24)</formula>
    </cfRule>
    <cfRule type="expression" dxfId="8714" priority="323">
      <formula>AND(M$9&gt;=8/24,M$9&lt;14/24)</formula>
    </cfRule>
    <cfRule type="expression" dxfId="8713" priority="324">
      <formula>M$9&lt;8/24</formula>
    </cfRule>
  </conditionalFormatting>
  <conditionalFormatting sqref="AL32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8712" priority="319">
      <formula>$AH34=0</formula>
    </cfRule>
  </conditionalFormatting>
  <conditionalFormatting sqref="A83">
    <cfRule type="expression" dxfId="8711" priority="318">
      <formula>$AH83=0</formula>
    </cfRule>
  </conditionalFormatting>
  <conditionalFormatting sqref="A15">
    <cfRule type="expression" dxfId="8710" priority="317">
      <formula>$AH15=0</formula>
    </cfRule>
  </conditionalFormatting>
  <conditionalFormatting sqref="A164:A169">
    <cfRule type="expression" dxfId="8709" priority="316">
      <formula>$AH164=0</formula>
    </cfRule>
  </conditionalFormatting>
  <conditionalFormatting sqref="A158:A163">
    <cfRule type="expression" dxfId="8708" priority="315">
      <formula>$AH158=0</formula>
    </cfRule>
  </conditionalFormatting>
  <conditionalFormatting sqref="N44:Y44">
    <cfRule type="expression" dxfId="8707" priority="307">
      <formula>N$9&gt;=20/24</formula>
    </cfRule>
    <cfRule type="expression" dxfId="8706" priority="308">
      <formula>AND(N$9&gt;=14/24,N$9&lt;20/24)</formula>
    </cfRule>
    <cfRule type="expression" dxfId="8705" priority="309">
      <formula>AND(N$9&gt;=8/24,N$9&lt;14/24)</formula>
    </cfRule>
    <cfRule type="expression" dxfId="8704" priority="310">
      <formula>N$9&lt;8/24</formula>
    </cfRule>
  </conditionalFormatting>
  <conditionalFormatting sqref="S44:Y44">
    <cfRule type="expression" dxfId="8703" priority="303">
      <formula>S$9&gt;=20/24</formula>
    </cfRule>
    <cfRule type="expression" dxfId="8702" priority="304">
      <formula>AND(S$9&gt;=14/24,S$9&lt;20/24)</formula>
    </cfRule>
    <cfRule type="expression" dxfId="8701" priority="305">
      <formula>AND(S$9&gt;=8/24,S$9&lt;14/24)</formula>
    </cfRule>
    <cfRule type="expression" dxfId="8700" priority="306">
      <formula>S$9&lt;8/24</formula>
    </cfRule>
  </conditionalFormatting>
  <conditionalFormatting sqref="A44">
    <cfRule type="expression" dxfId="8699" priority="302">
      <formula>$AH44=0</formula>
    </cfRule>
  </conditionalFormatting>
  <conditionalFormatting sqref="A79">
    <cfRule type="expression" dxfId="8698" priority="301">
      <formula>$AH79=0</formula>
    </cfRule>
  </conditionalFormatting>
  <conditionalFormatting sqref="A73">
    <cfRule type="expression" dxfId="8697" priority="300">
      <formula>$AH73=0</formula>
    </cfRule>
  </conditionalFormatting>
  <conditionalFormatting sqref="AL34:AL35 AL7:AL31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U60:Y67">
    <cfRule type="expression" dxfId="8696" priority="296">
      <formula>U$9&gt;=20/24</formula>
    </cfRule>
    <cfRule type="expression" dxfId="8695" priority="297">
      <formula>AND(U$9&gt;=14/24,U$9&lt;20/24)</formula>
    </cfRule>
    <cfRule type="expression" dxfId="8694" priority="298">
      <formula>AND(U$9&gt;=8/24,U$9&lt;14/24)</formula>
    </cfRule>
    <cfRule type="expression" dxfId="8693" priority="299">
      <formula>U$9&lt;8/24</formula>
    </cfRule>
  </conditionalFormatting>
  <conditionalFormatting sqref="U85:Y91">
    <cfRule type="expression" dxfId="8692" priority="292">
      <formula>U$9&gt;=20/24</formula>
    </cfRule>
    <cfRule type="expression" dxfId="8691" priority="293">
      <formula>AND(U$9&gt;=14/24,U$9&lt;20/24)</formula>
    </cfRule>
    <cfRule type="expression" dxfId="8690" priority="294">
      <formula>AND(U$9&gt;=8/24,U$9&lt;14/24)</formula>
    </cfRule>
    <cfRule type="expression" dxfId="8689" priority="295">
      <formula>U$9&lt;8/24</formula>
    </cfRule>
  </conditionalFormatting>
  <conditionalFormatting sqref="E84:T91">
    <cfRule type="expression" dxfId="8688" priority="288">
      <formula>E$9&gt;=20/24</formula>
    </cfRule>
    <cfRule type="expression" dxfId="8687" priority="289">
      <formula>AND(E$9&gt;=14/24,E$9&lt;20/24)</formula>
    </cfRule>
    <cfRule type="expression" dxfId="8686" priority="290">
      <formula>AND(E$9&gt;=8/24,E$9&lt;14/24)</formula>
    </cfRule>
    <cfRule type="expression" dxfId="8685" priority="291">
      <formula>E$9&lt;8/24</formula>
    </cfRule>
  </conditionalFormatting>
  <conditionalFormatting sqref="D95:M97 D94:F94">
    <cfRule type="expression" dxfId="8684" priority="284">
      <formula>D$9&gt;=20/24</formula>
    </cfRule>
    <cfRule type="expression" dxfId="8683" priority="285">
      <formula>AND(D$9&gt;=14/24,D$9&lt;20/24)</formula>
    </cfRule>
    <cfRule type="expression" dxfId="8682" priority="286">
      <formula>AND(D$9&gt;=8/24,D$9&lt;14/24)</formula>
    </cfRule>
    <cfRule type="expression" dxfId="8681" priority="287">
      <formula>D$9&lt;8/24</formula>
    </cfRule>
  </conditionalFormatting>
  <conditionalFormatting sqref="N95:R97 O94:R94 S94:T97">
    <cfRule type="expression" dxfId="8680" priority="280">
      <formula>N$9&gt;=20/24</formula>
    </cfRule>
    <cfRule type="expression" dxfId="8679" priority="281">
      <formula>AND(N$9&gt;=14/24,N$9&lt;20/24)</formula>
    </cfRule>
    <cfRule type="expression" dxfId="8678" priority="282">
      <formula>AND(N$9&gt;=8/24,N$9&lt;14/24)</formula>
    </cfRule>
    <cfRule type="expression" dxfId="8677" priority="283">
      <formula>N$9&lt;8/24</formula>
    </cfRule>
  </conditionalFormatting>
  <conditionalFormatting sqref="D98:M98">
    <cfRule type="expression" dxfId="8676" priority="276">
      <formula>D$9&gt;=20/24</formula>
    </cfRule>
    <cfRule type="expression" dxfId="8675" priority="277">
      <formula>AND(D$9&gt;=14/24,D$9&lt;20/24)</formula>
    </cfRule>
    <cfRule type="expression" dxfId="8674" priority="278">
      <formula>AND(D$9&gt;=8/24,D$9&lt;14/24)</formula>
    </cfRule>
    <cfRule type="expression" dxfId="8673" priority="279">
      <formula>D$9&lt;8/24</formula>
    </cfRule>
  </conditionalFormatting>
  <conditionalFormatting sqref="N98:T98">
    <cfRule type="expression" dxfId="8672" priority="272">
      <formula>N$9&gt;=20/24</formula>
    </cfRule>
    <cfRule type="expression" dxfId="8671" priority="273">
      <formula>AND(N$9&gt;=14/24,N$9&lt;20/24)</formula>
    </cfRule>
    <cfRule type="expression" dxfId="8670" priority="274">
      <formula>AND(N$9&gt;=8/24,N$9&lt;14/24)</formula>
    </cfRule>
    <cfRule type="expression" dxfId="8669" priority="275">
      <formula>N$9&lt;8/24</formula>
    </cfRule>
  </conditionalFormatting>
  <conditionalFormatting sqref="M94:N94">
    <cfRule type="expression" dxfId="8668" priority="268">
      <formula>M$9&gt;=20/24</formula>
    </cfRule>
    <cfRule type="expression" dxfId="8667" priority="269">
      <formula>AND(M$9&gt;=14/24,M$9&lt;20/24)</formula>
    </cfRule>
    <cfRule type="expression" dxfId="8666" priority="270">
      <formula>AND(M$9&gt;=8/24,M$9&lt;14/24)</formula>
    </cfRule>
    <cfRule type="expression" dxfId="8665" priority="271">
      <formula>M$9&lt;8/24</formula>
    </cfRule>
  </conditionalFormatting>
  <conditionalFormatting sqref="G94:L94">
    <cfRule type="expression" dxfId="8664" priority="264">
      <formula>G$9&gt;=20/24</formula>
    </cfRule>
    <cfRule type="expression" dxfId="8663" priority="265">
      <formula>AND(G$9&gt;=14/24,G$9&lt;20/24)</formula>
    </cfRule>
    <cfRule type="expression" dxfId="8662" priority="266">
      <formula>AND(G$9&gt;=8/24,G$9&lt;14/24)</formula>
    </cfRule>
    <cfRule type="expression" dxfId="8661" priority="267">
      <formula>G$9&lt;8/24</formula>
    </cfRule>
  </conditionalFormatting>
  <conditionalFormatting sqref="U94:Y94">
    <cfRule type="expression" dxfId="8660" priority="260">
      <formula>U$9&gt;=20/24</formula>
    </cfRule>
    <cfRule type="expression" dxfId="8659" priority="261">
      <formula>AND(U$9&gt;=14/24,U$9&lt;20/24)</formula>
    </cfRule>
    <cfRule type="expression" dxfId="8658" priority="262">
      <formula>AND(U$9&gt;=8/24,U$9&lt;14/24)</formula>
    </cfRule>
    <cfRule type="expression" dxfId="8657" priority="263">
      <formula>U$9&lt;8/24</formula>
    </cfRule>
  </conditionalFormatting>
  <conditionalFormatting sqref="N94:T94">
    <cfRule type="expression" dxfId="8656" priority="256">
      <formula>N$9&gt;=20/24</formula>
    </cfRule>
    <cfRule type="expression" dxfId="8655" priority="257">
      <formula>AND(N$9&gt;=14/24,N$9&lt;20/24)</formula>
    </cfRule>
    <cfRule type="expression" dxfId="8654" priority="258">
      <formula>AND(N$9&gt;=8/24,N$9&lt;14/24)</formula>
    </cfRule>
    <cfRule type="expression" dxfId="8653" priority="259">
      <formula>N$9&lt;8/24</formula>
    </cfRule>
  </conditionalFormatting>
  <conditionalFormatting sqref="U99:Y100">
    <cfRule type="expression" dxfId="8652" priority="252">
      <formula>U$9&gt;=20/24</formula>
    </cfRule>
    <cfRule type="expression" dxfId="8651" priority="253">
      <formula>AND(U$9&gt;=14/24,U$9&lt;20/24)</formula>
    </cfRule>
    <cfRule type="expression" dxfId="8650" priority="254">
      <formula>AND(U$9&gt;=8/24,U$9&lt;14/24)</formula>
    </cfRule>
    <cfRule type="expression" dxfId="8649" priority="255">
      <formula>U$9&lt;8/24</formula>
    </cfRule>
  </conditionalFormatting>
  <conditionalFormatting sqref="D99:M100">
    <cfRule type="expression" dxfId="8648" priority="248">
      <formula>D$9&gt;=20/24</formula>
    </cfRule>
    <cfRule type="expression" dxfId="8647" priority="249">
      <formula>AND(D$9&gt;=14/24,D$9&lt;20/24)</formula>
    </cfRule>
    <cfRule type="expression" dxfId="8646" priority="250">
      <formula>AND(D$9&gt;=8/24,D$9&lt;14/24)</formula>
    </cfRule>
    <cfRule type="expression" dxfId="8645" priority="251">
      <formula>D$9&lt;8/24</formula>
    </cfRule>
  </conditionalFormatting>
  <conditionalFormatting sqref="N99:T100">
    <cfRule type="expression" dxfId="8644" priority="244">
      <formula>N$9&gt;=20/24</formula>
    </cfRule>
    <cfRule type="expression" dxfId="8643" priority="245">
      <formula>AND(N$9&gt;=14/24,N$9&lt;20/24)</formula>
    </cfRule>
    <cfRule type="expression" dxfId="8642" priority="246">
      <formula>AND(N$9&gt;=8/24,N$9&lt;14/24)</formula>
    </cfRule>
    <cfRule type="expression" dxfId="8641" priority="247">
      <formula>N$9&lt;8/24</formula>
    </cfRule>
  </conditionalFormatting>
  <conditionalFormatting sqref="AC58:AE59">
    <cfRule type="expression" dxfId="8640" priority="240">
      <formula>AC$9&gt;=20/24</formula>
    </cfRule>
    <cfRule type="expression" dxfId="8639" priority="241">
      <formula>AND(AC$9&gt;=14/24,AC$9&lt;20/24)</formula>
    </cfRule>
    <cfRule type="expression" dxfId="8638" priority="242">
      <formula>AND(AC$9&gt;=8/24,AC$9&lt;14/24)</formula>
    </cfRule>
    <cfRule type="expression" dxfId="8637" priority="243">
      <formula>AC$9&lt;8/24</formula>
    </cfRule>
  </conditionalFormatting>
  <conditionalFormatting sqref="AL3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636" priority="408">
      <formula>C$9&gt;=20/24</formula>
    </cfRule>
    <cfRule type="expression" dxfId="8635" priority="409">
      <formula>AND(C$9&gt;=14/24,C$9&lt;20/24)</formula>
    </cfRule>
    <cfRule type="expression" dxfId="8634" priority="410">
      <formula>AND(C$9&gt;=8/24,C$9&lt;14/24)</formula>
    </cfRule>
    <cfRule type="expression" dxfId="8633" priority="411">
      <formula>C$9&lt;8/24</formula>
    </cfRule>
  </conditionalFormatting>
  <conditionalFormatting sqref="A201">
    <cfRule type="expression" dxfId="8632" priority="412">
      <formula>$AH201=0</formula>
    </cfRule>
  </conditionalFormatting>
  <conditionalFormatting sqref="AG213">
    <cfRule type="expression" dxfId="8631" priority="413">
      <formula>B$9&gt;=20/24</formula>
    </cfRule>
    <cfRule type="expression" dxfId="8630" priority="414">
      <formula>AND(B$9&gt;=14/24,B$9&lt;20/24)</formula>
    </cfRule>
    <cfRule type="expression" dxfId="8629" priority="415">
      <formula>AND(B$9&gt;=8/24,B$9&lt;14/24)</formula>
    </cfRule>
    <cfRule type="expression" dxfId="8628" priority="416">
      <formula>B$9&lt;8/24</formula>
    </cfRule>
  </conditionalFormatting>
  <conditionalFormatting sqref="S8">
    <cfRule type="expression" dxfId="8627" priority="234">
      <formula>U$9&gt;=20/24</formula>
    </cfRule>
    <cfRule type="expression" dxfId="8626" priority="235">
      <formula>AND(U$9&gt;=14/24,U$9&lt;20/24)</formula>
    </cfRule>
    <cfRule type="expression" dxfId="8625" priority="236">
      <formula>AND(U$9&gt;=8/24,U$9&lt;14/24)</formula>
    </cfRule>
    <cfRule type="expression" dxfId="8624" priority="237">
      <formula>U$9&lt;8/24</formula>
    </cfRule>
  </conditionalFormatting>
  <conditionalFormatting sqref="AB8">
    <cfRule type="expression" dxfId="8623" priority="230">
      <formula>AD$9&gt;=20/24</formula>
    </cfRule>
    <cfRule type="expression" dxfId="8622" priority="231">
      <formula>AND(AD$9&gt;=14/24,AD$9&lt;20/24)</formula>
    </cfRule>
    <cfRule type="expression" dxfId="8621" priority="232">
      <formula>AND(AD$9&gt;=8/24,AD$9&lt;14/24)</formula>
    </cfRule>
    <cfRule type="expression" dxfId="8620" priority="233">
      <formula>AD$9&lt;8/24</formula>
    </cfRule>
  </conditionalFormatting>
  <conditionalFormatting sqref="AH213:AX213">
    <cfRule type="expression" dxfId="8619" priority="417">
      <formula>AG$9&gt;=20/24</formula>
    </cfRule>
    <cfRule type="expression" dxfId="8618" priority="418">
      <formula>AND(AG$9&gt;=14/24,AG$9&lt;20/24)</formula>
    </cfRule>
    <cfRule type="expression" dxfId="8617" priority="419">
      <formula>AND(AG$9&gt;=8/24,AG$9&lt;14/24)</formula>
    </cfRule>
    <cfRule type="expression" dxfId="8616" priority="420">
      <formula>AG$9&lt;8/24</formula>
    </cfRule>
  </conditionalFormatting>
  <conditionalFormatting sqref="T213">
    <cfRule type="expression" dxfId="8615" priority="421">
      <formula>AX$9&gt;=20/24</formula>
    </cfRule>
    <cfRule type="expression" dxfId="8614" priority="422">
      <formula>AND(AX$9&gt;=14/24,AX$9&lt;20/24)</formula>
    </cfRule>
    <cfRule type="expression" dxfId="8613" priority="423">
      <formula>AND(AX$9&gt;=8/24,AX$9&lt;14/24)</formula>
    </cfRule>
    <cfRule type="expression" dxfId="8612" priority="424">
      <formula>AX$9&lt;8/24</formula>
    </cfRule>
  </conditionalFormatting>
  <conditionalFormatting sqref="A99:A100">
    <cfRule type="expression" dxfId="8611" priority="229">
      <formula>$AH99=0</formula>
    </cfRule>
  </conditionalFormatting>
  <conditionalFormatting sqref="S16:Y16">
    <cfRule type="expression" dxfId="8610" priority="224">
      <formula>S$9&gt;=20/24</formula>
    </cfRule>
    <cfRule type="expression" dxfId="8609" priority="225">
      <formula>AND(S$9&gt;=14/24,S$9&lt;20/24)</formula>
    </cfRule>
    <cfRule type="expression" dxfId="8608" priority="226">
      <formula>AND(S$9&gt;=8/24,S$9&lt;14/24)</formula>
    </cfRule>
    <cfRule type="expression" dxfId="8607" priority="227">
      <formula>S$9&lt;8/24</formula>
    </cfRule>
  </conditionalFormatting>
  <conditionalFormatting sqref="S16:Y16">
    <cfRule type="expression" dxfId="8606" priority="219">
      <formula>S16&gt;$AG16</formula>
    </cfRule>
  </conditionalFormatting>
  <conditionalFormatting sqref="S15:Y15">
    <cfRule type="expression" dxfId="8605" priority="211">
      <formula>S$9&gt;=20/24</formula>
    </cfRule>
    <cfRule type="expression" dxfId="8604" priority="212">
      <formula>AND(S$9&gt;=14/24,S$9&lt;20/24)</formula>
    </cfRule>
    <cfRule type="expression" dxfId="8603" priority="213">
      <formula>AND(S$9&gt;=8/24,S$9&lt;14/24)</formula>
    </cfRule>
    <cfRule type="expression" dxfId="8602" priority="214">
      <formula>S$9&lt;8/24</formula>
    </cfRule>
  </conditionalFormatting>
  <conditionalFormatting sqref="S15:Y15">
    <cfRule type="expression" dxfId="8601" priority="210">
      <formula>S15&gt;$AG15</formula>
    </cfRule>
  </conditionalFormatting>
  <conditionalFormatting sqref="Z94:AA97">
    <cfRule type="expression" dxfId="8600" priority="201">
      <formula>Z$9&gt;=20/24</formula>
    </cfRule>
    <cfRule type="expression" dxfId="8599" priority="202">
      <formula>AND(Z$9&gt;=14/24,Z$9&lt;20/24)</formula>
    </cfRule>
    <cfRule type="expression" dxfId="8598" priority="203">
      <formula>AND(Z$9&gt;=8/24,Z$9&lt;14/24)</formula>
    </cfRule>
    <cfRule type="expression" dxfId="8597" priority="204">
      <formula>Z$9&lt;8/24</formula>
    </cfRule>
  </conditionalFormatting>
  <conditionalFormatting sqref="Z98:AA98">
    <cfRule type="expression" dxfId="8596" priority="197">
      <formula>Z$9&gt;=20/24</formula>
    </cfRule>
    <cfRule type="expression" dxfId="8595" priority="198">
      <formula>AND(Z$9&gt;=14/24,Z$9&lt;20/24)</formula>
    </cfRule>
    <cfRule type="expression" dxfId="8594" priority="199">
      <formula>AND(Z$9&gt;=8/24,Z$9&lt;14/24)</formula>
    </cfRule>
    <cfRule type="expression" dxfId="8593" priority="200">
      <formula>Z$9&lt;8/24</formula>
    </cfRule>
  </conditionalFormatting>
  <conditionalFormatting sqref="Z94:AA94">
    <cfRule type="expression" dxfId="8592" priority="193">
      <formula>Z$9&gt;=20/24</formula>
    </cfRule>
    <cfRule type="expression" dxfId="8591" priority="194">
      <formula>AND(Z$9&gt;=14/24,Z$9&lt;20/24)</formula>
    </cfRule>
    <cfRule type="expression" dxfId="8590" priority="195">
      <formula>AND(Z$9&gt;=8/24,Z$9&lt;14/24)</formula>
    </cfRule>
    <cfRule type="expression" dxfId="8589" priority="196">
      <formula>Z$9&lt;8/24</formula>
    </cfRule>
  </conditionalFormatting>
  <conditionalFormatting sqref="Z99:AA100">
    <cfRule type="expression" dxfId="8588" priority="189">
      <formula>Z$9&gt;=20/24</formula>
    </cfRule>
    <cfRule type="expression" dxfId="8587" priority="190">
      <formula>AND(Z$9&gt;=14/24,Z$9&lt;20/24)</formula>
    </cfRule>
    <cfRule type="expression" dxfId="8586" priority="191">
      <formula>AND(Z$9&gt;=8/24,Z$9&lt;14/24)</formula>
    </cfRule>
    <cfRule type="expression" dxfId="8585" priority="192">
      <formula>Z$9&lt;8/24</formula>
    </cfRule>
  </conditionalFormatting>
  <conditionalFormatting sqref="Z69:Z72 Z74 Z76:Z81 Z84:Z91 Z53:AA55 AA87:AC91 Z57:AA67 Z11:AA37 Z40:AA50 AB62:AF67 AB12:AF37 AB42:AF50">
    <cfRule type="expression" dxfId="8584" priority="185">
      <formula>Z$9&gt;=20/24</formula>
    </cfRule>
    <cfRule type="expression" dxfId="8583" priority="186">
      <formula>AND(Z$9&gt;=14/24,Z$9&lt;20/24)</formula>
    </cfRule>
    <cfRule type="expression" dxfId="8582" priority="187">
      <formula>AND(Z$9&gt;=8/24,Z$9&lt;14/24)</formula>
    </cfRule>
    <cfRule type="expression" dxfId="8581" priority="188">
      <formula>Z$9&lt;8/24</formula>
    </cfRule>
  </conditionalFormatting>
  <conditionalFormatting sqref="Z39:AA39">
    <cfRule type="expression" dxfId="8580" priority="181">
      <formula>Z$9&gt;=20/24</formula>
    </cfRule>
    <cfRule type="expression" dxfId="8579" priority="182">
      <formula>AND(Z$9&gt;=14/24,Z$9&lt;20/24)</formula>
    </cfRule>
    <cfRule type="expression" dxfId="8578" priority="183">
      <formula>AND(Z$9&gt;=8/24,Z$9&lt;14/24)</formula>
    </cfRule>
    <cfRule type="expression" dxfId="8577" priority="184">
      <formula>Z$9&lt;8/24</formula>
    </cfRule>
  </conditionalFormatting>
  <conditionalFormatting sqref="Z39:AA39">
    <cfRule type="expression" dxfId="8576" priority="180">
      <formula>Z39&gt;$AG39</formula>
    </cfRule>
  </conditionalFormatting>
  <conditionalFormatting sqref="AB57">
    <cfRule type="expression" dxfId="8575" priority="168">
      <formula>AB$9&gt;=20/24</formula>
    </cfRule>
    <cfRule type="expression" dxfId="8574" priority="169">
      <formula>AND(AB$9&gt;=14/24,AB$9&lt;20/24)</formula>
    </cfRule>
    <cfRule type="expression" dxfId="8573" priority="170">
      <formula>AND(AB$9&gt;=8/24,AB$9&lt;14/24)</formula>
    </cfRule>
    <cfRule type="expression" dxfId="8572" priority="171">
      <formula>AB$9&lt;8/24</formula>
    </cfRule>
  </conditionalFormatting>
  <conditionalFormatting sqref="AB60:AB61">
    <cfRule type="expression" dxfId="8571" priority="164">
      <formula>AB$9&gt;=20/24</formula>
    </cfRule>
    <cfRule type="expression" dxfId="8570" priority="165">
      <formula>AND(AB$9&gt;=14/24,AB$9&lt;20/24)</formula>
    </cfRule>
    <cfRule type="expression" dxfId="8569" priority="166">
      <formula>AND(AB$9&gt;=8/24,AB$9&lt;14/24)</formula>
    </cfRule>
    <cfRule type="expression" dxfId="8568" priority="167">
      <formula>AB$9&lt;8/24</formula>
    </cfRule>
  </conditionalFormatting>
  <conditionalFormatting sqref="AB40:AB41">
    <cfRule type="expression" dxfId="8567" priority="156">
      <formula>AB$9&gt;=20/24</formula>
    </cfRule>
    <cfRule type="expression" dxfId="8566" priority="157">
      <formula>AND(AB$9&gt;=14/24,AB$9&lt;20/24)</formula>
    </cfRule>
    <cfRule type="expression" dxfId="8565" priority="158">
      <formula>AND(AB$9&gt;=8/24,AB$9&lt;14/24)</formula>
    </cfRule>
    <cfRule type="expression" dxfId="8564" priority="159">
      <formula>AB$9&lt;8/24</formula>
    </cfRule>
  </conditionalFormatting>
  <conditionalFormatting sqref="AB40:AB41">
    <cfRule type="expression" dxfId="8563" priority="143">
      <formula>AB40&gt;$AG40</formula>
    </cfRule>
  </conditionalFormatting>
  <conditionalFormatting sqref="AB39">
    <cfRule type="expression" dxfId="8562" priority="135">
      <formula>AB$9&gt;=20/24</formula>
    </cfRule>
    <cfRule type="expression" dxfId="8561" priority="136">
      <formula>AND(AB$9&gt;=14/24,AB$9&lt;20/24)</formula>
    </cfRule>
    <cfRule type="expression" dxfId="8560" priority="137">
      <formula>AND(AB$9&gt;=8/24,AB$9&lt;14/24)</formula>
    </cfRule>
    <cfRule type="expression" dxfId="8559" priority="138">
      <formula>AB$9&lt;8/24</formula>
    </cfRule>
  </conditionalFormatting>
  <conditionalFormatting sqref="AB39">
    <cfRule type="expression" dxfId="8558" priority="134">
      <formula>AB39&gt;$AG39</formula>
    </cfRule>
  </conditionalFormatting>
  <conditionalFormatting sqref="AB11:AC11">
    <cfRule type="expression" dxfId="8557" priority="130">
      <formula>AB$9&gt;=20/24</formula>
    </cfRule>
    <cfRule type="expression" dxfId="8556" priority="131">
      <formula>AND(AB$9&gt;=14/24,AB$9&lt;20/24)</formula>
    </cfRule>
    <cfRule type="expression" dxfId="8555" priority="132">
      <formula>AND(AB$9&gt;=8/24,AB$9&lt;14/24)</formula>
    </cfRule>
    <cfRule type="expression" dxfId="8554" priority="133">
      <formula>AB$9&lt;8/24</formula>
    </cfRule>
  </conditionalFormatting>
  <conditionalFormatting sqref="AB11:AC11">
    <cfRule type="expression" dxfId="8553" priority="125">
      <formula>AB11&gt;$AG11</formula>
    </cfRule>
  </conditionalFormatting>
  <conditionalFormatting sqref="B94:B100 B53:B91 C63:L66">
    <cfRule type="expression" dxfId="8552" priority="108">
      <formula>B$9&gt;=20/24</formula>
    </cfRule>
    <cfRule type="expression" dxfId="8551" priority="109">
      <formula>AND(B$9&gt;=14/24,B$9&lt;20/24)</formula>
    </cfRule>
    <cfRule type="expression" dxfId="8550" priority="110">
      <formula>AND(B$9&gt;=8/24,B$9&lt;14/24)</formula>
    </cfRule>
    <cfRule type="expression" dxfId="8549" priority="111">
      <formula>B$9&lt;8/24</formula>
    </cfRule>
  </conditionalFormatting>
  <conditionalFormatting sqref="B51:B56 B11:B25 B37:B44 C12:L12 C16:L18 C21:L21 C23:L23 C25:L25 C44:L44">
    <cfRule type="expression" dxfId="8548" priority="107">
      <formula>B11&gt;$AG11</formula>
    </cfRule>
  </conditionalFormatting>
  <conditionalFormatting sqref="B44:L44">
    <cfRule type="expression" dxfId="8547" priority="103">
      <formula>B$9&gt;=20/24</formula>
    </cfRule>
    <cfRule type="expression" dxfId="8546" priority="104">
      <formula>AND(B$9&gt;=14/24,B$9&lt;20/24)</formula>
    </cfRule>
    <cfRule type="expression" dxfId="8545" priority="105">
      <formula>AND(B$9&gt;=8/24,B$9&lt;14/24)</formula>
    </cfRule>
    <cfRule type="expression" dxfId="8544" priority="106">
      <formula>B$9&lt;8/24</formula>
    </cfRule>
  </conditionalFormatting>
  <conditionalFormatting sqref="B36:Y36">
    <cfRule type="expression" dxfId="8543" priority="99">
      <formula>B$9&gt;=20/24</formula>
    </cfRule>
    <cfRule type="expression" dxfId="8542" priority="100">
      <formula>AND(B$9&gt;=14/24,B$9&lt;20/24)</formula>
    </cfRule>
    <cfRule type="expression" dxfId="8541" priority="101">
      <formula>AND(B$9&gt;=8/24,B$9&lt;14/24)</formula>
    </cfRule>
    <cfRule type="expression" dxfId="8540" priority="102">
      <formula>B$9&lt;8/24</formula>
    </cfRule>
  </conditionalFormatting>
  <conditionalFormatting sqref="B36:Y36">
    <cfRule type="expression" dxfId="8539" priority="98">
      <formula>B36&gt;$AG36</formula>
    </cfRule>
  </conditionalFormatting>
  <conditionalFormatting sqref="B26:L27 B28:Y35">
    <cfRule type="expression" dxfId="8538" priority="94">
      <formula>B$9&gt;=20/24</formula>
    </cfRule>
    <cfRule type="expression" dxfId="8537" priority="95">
      <formula>AND(B$9&gt;=14/24,B$9&lt;20/24)</formula>
    </cfRule>
    <cfRule type="expression" dxfId="8536" priority="96">
      <formula>AND(B$9&gt;=8/24,B$9&lt;14/24)</formula>
    </cfRule>
    <cfRule type="expression" dxfId="8535" priority="97">
      <formula>B$9&lt;8/24</formula>
    </cfRule>
  </conditionalFormatting>
  <conditionalFormatting sqref="B45:L48">
    <cfRule type="expression" dxfId="8534" priority="90">
      <formula>B$9&gt;=20/24</formula>
    </cfRule>
    <cfRule type="expression" dxfId="8533" priority="91">
      <formula>AND(B$9&gt;=14/24,B$9&lt;20/24)</formula>
    </cfRule>
    <cfRule type="expression" dxfId="8532" priority="92">
      <formula>AND(B$9&gt;=8/24,B$9&lt;14/24)</formula>
    </cfRule>
    <cfRule type="expression" dxfId="8531" priority="93">
      <formula>B$9&lt;8/24</formula>
    </cfRule>
  </conditionalFormatting>
  <conditionalFormatting sqref="B49">
    <cfRule type="expression" dxfId="8530" priority="86">
      <formula>B$9&gt;=20/24</formula>
    </cfRule>
    <cfRule type="expression" dxfId="8529" priority="87">
      <formula>AND(B$9&gt;=14/24,B$9&lt;20/24)</formula>
    </cfRule>
    <cfRule type="expression" dxfId="8528" priority="88">
      <formula>AND(B$9&gt;=8/24,B$9&lt;14/24)</formula>
    </cfRule>
    <cfRule type="expression" dxfId="8527" priority="89">
      <formula>B$9&lt;8/24</formula>
    </cfRule>
  </conditionalFormatting>
  <conditionalFormatting sqref="B50">
    <cfRule type="expression" dxfId="8526" priority="82">
      <formula>B$9&gt;=20/24</formula>
    </cfRule>
    <cfRule type="expression" dxfId="8525" priority="83">
      <formula>AND(B$9&gt;=14/24,B$9&lt;20/24)</formula>
    </cfRule>
    <cfRule type="expression" dxfId="8524" priority="84">
      <formula>AND(B$9&gt;=8/24,B$9&lt;14/24)</formula>
    </cfRule>
    <cfRule type="expression" dxfId="8523" priority="85">
      <formula>B$9&lt;8/24</formula>
    </cfRule>
  </conditionalFormatting>
  <conditionalFormatting sqref="B45:B50 C45:L48">
    <cfRule type="expression" dxfId="8522" priority="81">
      <formula>B45&gt;$AG45</formula>
    </cfRule>
  </conditionalFormatting>
  <conditionalFormatting sqref="M13:R14">
    <cfRule type="expression" dxfId="8521" priority="77">
      <formula>M$9&gt;=20/24</formula>
    </cfRule>
    <cfRule type="expression" dxfId="8520" priority="78">
      <formula>AND(M$9&gt;=14/24,M$9&lt;20/24)</formula>
    </cfRule>
    <cfRule type="expression" dxfId="8519" priority="79">
      <formula>AND(M$9&gt;=8/24,M$9&lt;14/24)</formula>
    </cfRule>
    <cfRule type="expression" dxfId="8518" priority="80">
      <formula>M$9&lt;8/24</formula>
    </cfRule>
  </conditionalFormatting>
  <conditionalFormatting sqref="M13:R14">
    <cfRule type="expression" dxfId="8517" priority="76">
      <formula>M13&gt;$AG13</formula>
    </cfRule>
  </conditionalFormatting>
  <conditionalFormatting sqref="M16:R27 S17:Y27">
    <cfRule type="expression" dxfId="8516" priority="72">
      <formula>M$9&gt;=20/24</formula>
    </cfRule>
    <cfRule type="expression" dxfId="8515" priority="73">
      <formula>AND(M$9&gt;=14/24,M$9&lt;20/24)</formula>
    </cfRule>
    <cfRule type="expression" dxfId="8514" priority="74">
      <formula>AND(M$9&gt;=8/24,M$9&lt;14/24)</formula>
    </cfRule>
    <cfRule type="expression" dxfId="8513" priority="75">
      <formula>M$9&lt;8/24</formula>
    </cfRule>
  </conditionalFormatting>
  <conditionalFormatting sqref="M16:R27 S17:Y27">
    <cfRule type="expression" dxfId="8512" priority="71">
      <formula>M16&gt;$AG16</formula>
    </cfRule>
  </conditionalFormatting>
  <conditionalFormatting sqref="M15:R15">
    <cfRule type="expression" dxfId="8511" priority="67">
      <formula>M$9&gt;=20/24</formula>
    </cfRule>
    <cfRule type="expression" dxfId="8510" priority="68">
      <formula>AND(M$9&gt;=14/24,M$9&lt;20/24)</formula>
    </cfRule>
    <cfRule type="expression" dxfId="8509" priority="69">
      <formula>AND(M$9&gt;=8/24,M$9&lt;14/24)</formula>
    </cfRule>
    <cfRule type="expression" dxfId="8508" priority="70">
      <formula>M$9&lt;8/24</formula>
    </cfRule>
  </conditionalFormatting>
  <conditionalFormatting sqref="M15:R15">
    <cfRule type="expression" dxfId="8507" priority="66">
      <formula>M15&gt;$AG15</formula>
    </cfRule>
  </conditionalFormatting>
  <conditionalFormatting sqref="M43:M45 N45:Y45">
    <cfRule type="expression" dxfId="8506" priority="62">
      <formula>M$9&gt;=20/24</formula>
    </cfRule>
    <cfRule type="expression" dxfId="8505" priority="63">
      <formula>AND(M$9&gt;=14/24,M$9&lt;20/24)</formula>
    </cfRule>
    <cfRule type="expression" dxfId="8504" priority="64">
      <formula>AND(M$9&gt;=8/24,M$9&lt;14/24)</formula>
    </cfRule>
    <cfRule type="expression" dxfId="8503" priority="65">
      <formula>M$9&lt;8/24</formula>
    </cfRule>
  </conditionalFormatting>
  <conditionalFormatting sqref="M43:M45 N45:Y45">
    <cfRule type="expression" dxfId="8502" priority="58">
      <formula>M$9&gt;=20/24</formula>
    </cfRule>
    <cfRule type="expression" dxfId="8501" priority="59">
      <formula>AND(M$9&gt;=14/24,M$9&lt;20/24)</formula>
    </cfRule>
    <cfRule type="expression" dxfId="8500" priority="60">
      <formula>AND(M$9&gt;=8/24,M$9&lt;14/24)</formula>
    </cfRule>
    <cfRule type="expression" dxfId="8499" priority="61">
      <formula>M$9&lt;8/24</formula>
    </cfRule>
  </conditionalFormatting>
  <conditionalFormatting sqref="M42:M45 N45:Y45">
    <cfRule type="expression" dxfId="8498" priority="57">
      <formula>M42&gt;$AG42</formula>
    </cfRule>
  </conditionalFormatting>
  <conditionalFormatting sqref="M42">
    <cfRule type="expression" dxfId="8497" priority="53">
      <formula>M$9&gt;=20/24</formula>
    </cfRule>
    <cfRule type="expression" dxfId="8496" priority="54">
      <formula>AND(M$9&gt;=14/24,M$9&lt;20/24)</formula>
    </cfRule>
    <cfRule type="expression" dxfId="8495" priority="55">
      <formula>AND(M$9&gt;=8/24,M$9&lt;14/24)</formula>
    </cfRule>
    <cfRule type="expression" dxfId="8494" priority="56">
      <formula>M$9&lt;8/24</formula>
    </cfRule>
  </conditionalFormatting>
  <conditionalFormatting sqref="M48:Y48">
    <cfRule type="expression" dxfId="8493" priority="49">
      <formula>M$9&gt;=20/24</formula>
    </cfRule>
    <cfRule type="expression" dxfId="8492" priority="50">
      <formula>AND(M$9&gt;=14/24,M$9&lt;20/24)</formula>
    </cfRule>
    <cfRule type="expression" dxfId="8491" priority="51">
      <formula>AND(M$9&gt;=8/24,M$9&lt;14/24)</formula>
    </cfRule>
    <cfRule type="expression" dxfId="8490" priority="52">
      <formula>M$9&lt;8/24</formula>
    </cfRule>
  </conditionalFormatting>
  <conditionalFormatting sqref="M49:Y49">
    <cfRule type="expression" dxfId="8489" priority="45">
      <formula>M$9&gt;=20/24</formula>
    </cfRule>
    <cfRule type="expression" dxfId="8488" priority="46">
      <formula>AND(M$9&gt;=14/24,M$9&lt;20/24)</formula>
    </cfRule>
    <cfRule type="expression" dxfId="8487" priority="47">
      <formula>AND(M$9&gt;=8/24,M$9&lt;14/24)</formula>
    </cfRule>
    <cfRule type="expression" dxfId="8486" priority="48">
      <formula>M$9&lt;8/24</formula>
    </cfRule>
  </conditionalFormatting>
  <conditionalFormatting sqref="M50:Y50">
    <cfRule type="expression" dxfId="8485" priority="41">
      <formula>M$9&gt;=20/24</formula>
    </cfRule>
    <cfRule type="expression" dxfId="8484" priority="42">
      <formula>AND(M$9&gt;=14/24,M$9&lt;20/24)</formula>
    </cfRule>
    <cfRule type="expression" dxfId="8483" priority="43">
      <formula>AND(M$9&gt;=8/24,M$9&lt;14/24)</formula>
    </cfRule>
    <cfRule type="expression" dxfId="8482" priority="44">
      <formula>M$9&lt;8/24</formula>
    </cfRule>
  </conditionalFormatting>
  <conditionalFormatting sqref="M48:Y48">
    <cfRule type="expression" dxfId="8481" priority="37">
      <formula>M$9&gt;=20/24</formula>
    </cfRule>
    <cfRule type="expression" dxfId="8480" priority="38">
      <formula>AND(M$9&gt;=14/24,M$9&lt;20/24)</formula>
    </cfRule>
    <cfRule type="expression" dxfId="8479" priority="39">
      <formula>AND(M$9&gt;=8/24,M$9&lt;14/24)</formula>
    </cfRule>
    <cfRule type="expression" dxfId="8478" priority="40">
      <formula>M$9&lt;8/24</formula>
    </cfRule>
  </conditionalFormatting>
  <conditionalFormatting sqref="M48:Y50">
    <cfRule type="expression" dxfId="8477" priority="36">
      <formula>M48&gt;$AG48</formula>
    </cfRule>
  </conditionalFormatting>
  <conditionalFormatting sqref="N46:Y47">
    <cfRule type="expression" dxfId="8476" priority="32">
      <formula>N$9&gt;=20/24</formula>
    </cfRule>
    <cfRule type="expression" dxfId="8475" priority="33">
      <formula>AND(N$9&gt;=14/24,N$9&lt;20/24)</formula>
    </cfRule>
    <cfRule type="expression" dxfId="8474" priority="34">
      <formula>AND(N$9&gt;=8/24,N$9&lt;14/24)</formula>
    </cfRule>
    <cfRule type="expression" dxfId="8473" priority="35">
      <formula>N$9&lt;8/24</formula>
    </cfRule>
  </conditionalFormatting>
  <conditionalFormatting sqref="N46:Y47">
    <cfRule type="expression" dxfId="8472" priority="28">
      <formula>N$9&gt;=20/24</formula>
    </cfRule>
    <cfRule type="expression" dxfId="8471" priority="29">
      <formula>AND(N$9&gt;=14/24,N$9&lt;20/24)</formula>
    </cfRule>
    <cfRule type="expression" dxfId="8470" priority="30">
      <formula>AND(N$9&gt;=8/24,N$9&lt;14/24)</formula>
    </cfRule>
    <cfRule type="expression" dxfId="8469" priority="31">
      <formula>N$9&lt;8/24</formula>
    </cfRule>
  </conditionalFormatting>
  <conditionalFormatting sqref="N46:Y47">
    <cfRule type="expression" dxfId="8468" priority="27">
      <formula>N46&gt;$AG46</formula>
    </cfRule>
  </conditionalFormatting>
  <conditionalFormatting sqref="M46:M47">
    <cfRule type="expression" dxfId="8467" priority="23">
      <formula>M$9&gt;=20/24</formula>
    </cfRule>
    <cfRule type="expression" dxfId="8466" priority="24">
      <formula>AND(M$9&gt;=14/24,M$9&lt;20/24)</formula>
    </cfRule>
    <cfRule type="expression" dxfId="8465" priority="25">
      <formula>AND(M$9&gt;=8/24,M$9&lt;14/24)</formula>
    </cfRule>
    <cfRule type="expression" dxfId="8464" priority="26">
      <formula>M$9&lt;8/24</formula>
    </cfRule>
  </conditionalFormatting>
  <conditionalFormatting sqref="M46:M47">
    <cfRule type="expression" dxfId="8463" priority="19">
      <formula>M$9&gt;=20/24</formula>
    </cfRule>
    <cfRule type="expression" dxfId="8462" priority="20">
      <formula>AND(M$9&gt;=14/24,M$9&lt;20/24)</formula>
    </cfRule>
    <cfRule type="expression" dxfId="8461" priority="21">
      <formula>AND(M$9&gt;=8/24,M$9&lt;14/24)</formula>
    </cfRule>
    <cfRule type="expression" dxfId="8460" priority="22">
      <formula>M$9&lt;8/24</formula>
    </cfRule>
  </conditionalFormatting>
  <conditionalFormatting sqref="M46:M47">
    <cfRule type="expression" dxfId="8459" priority="18">
      <formula>M46&gt;$AG46</formula>
    </cfRule>
  </conditionalFormatting>
  <conditionalFormatting sqref="Z51:Z52">
    <cfRule type="expression" dxfId="8458" priority="17">
      <formula>Z51&gt;$AG51</formula>
    </cfRule>
  </conditionalFormatting>
  <conditionalFormatting sqref="AB58:AB59">
    <cfRule type="expression" dxfId="8457" priority="13">
      <formula>AB$9&gt;=20/24</formula>
    </cfRule>
    <cfRule type="expression" dxfId="8456" priority="14">
      <formula>AND(AB$9&gt;=14/24,AB$9&lt;20/24)</formula>
    </cfRule>
    <cfRule type="expression" dxfId="8455" priority="15">
      <formula>AND(AB$9&gt;=8/24,AB$9&lt;14/24)</formula>
    </cfRule>
    <cfRule type="expression" dxfId="8454" priority="16">
      <formula>AB$9&lt;8/24</formula>
    </cfRule>
  </conditionalFormatting>
  <conditionalFormatting sqref="Z68">
    <cfRule type="expression" dxfId="8453" priority="9">
      <formula>Z$9&gt;=20/24</formula>
    </cfRule>
    <cfRule type="expression" dxfId="8452" priority="10">
      <formula>AND(Z$9&gt;=14/24,Z$9&lt;20/24)</formula>
    </cfRule>
    <cfRule type="expression" dxfId="8451" priority="11">
      <formula>AND(Z$9&gt;=8/24,Z$9&lt;14/24)</formula>
    </cfRule>
    <cfRule type="expression" dxfId="8450" priority="12">
      <formula>Z$9&lt;8/24</formula>
    </cfRule>
  </conditionalFormatting>
  <conditionalFormatting sqref="Z73">
    <cfRule type="expression" dxfId="8449" priority="5">
      <formula>Z$9&gt;=20/24</formula>
    </cfRule>
    <cfRule type="expression" dxfId="8448" priority="6">
      <formula>AND(Z$9&gt;=14/24,Z$9&lt;20/24)</formula>
    </cfRule>
    <cfRule type="expression" dxfId="8447" priority="7">
      <formula>AND(Z$9&gt;=8/24,Z$9&lt;14/24)</formula>
    </cfRule>
    <cfRule type="expression" dxfId="8446" priority="8">
      <formula>Z$9&lt;8/24</formula>
    </cfRule>
  </conditionalFormatting>
  <conditionalFormatting sqref="Z75">
    <cfRule type="expression" dxfId="8445" priority="1">
      <formula>Z$9&gt;=20/24</formula>
    </cfRule>
    <cfRule type="expression" dxfId="8444" priority="2">
      <formula>AND(Z$9&gt;=14/24,Z$9&lt;20/24)</formula>
    </cfRule>
    <cfRule type="expression" dxfId="8443" priority="3">
      <formula>AND(Z$9&gt;=8/24,Z$9&lt;14/24)</formula>
    </cfRule>
    <cfRule type="expression" dxfId="8442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9" id="{4DFF36EF-9238-4E43-AFE2-029C17D79A8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J472"/>
  <sheetViews>
    <sheetView zoomScale="90" zoomScaleNormal="90" workbookViewId="0">
      <pane xSplit="1" ySplit="10" topLeftCell="B47" activePane="bottomRight" state="frozen"/>
      <selection activeCell="AK51" sqref="AK51"/>
      <selection pane="topRight" activeCell="AK51" sqref="AK51"/>
      <selection pane="bottomLeft" activeCell="AK51" sqref="AK51"/>
      <selection pane="bottomRight" activeCell="AK51" sqref="AK5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255</v>
      </c>
      <c r="C5" s="157">
        <f t="shared" si="0"/>
        <v>446</v>
      </c>
      <c r="D5" s="157">
        <f t="shared" si="0"/>
        <v>579.6</v>
      </c>
      <c r="E5" s="157">
        <f t="shared" si="0"/>
        <v>555.4</v>
      </c>
      <c r="F5" s="157">
        <f t="shared" si="0"/>
        <v>594.29999999999995</v>
      </c>
      <c r="G5" s="157">
        <f t="shared" si="0"/>
        <v>424.7</v>
      </c>
      <c r="H5" s="157">
        <f t="shared" si="0"/>
        <v>314.20000000000005</v>
      </c>
      <c r="I5" s="157">
        <f t="shared" si="0"/>
        <v>304.20000000000005</v>
      </c>
      <c r="J5" s="157">
        <f t="shared" si="0"/>
        <v>350.6</v>
      </c>
      <c r="K5" s="157">
        <f t="shared" si="0"/>
        <v>348.8</v>
      </c>
      <c r="L5" s="157">
        <f t="shared" si="0"/>
        <v>364.3</v>
      </c>
      <c r="M5" s="157">
        <f t="shared" si="0"/>
        <v>375.6</v>
      </c>
      <c r="N5" s="157">
        <f t="shared" si="0"/>
        <v>600.4</v>
      </c>
      <c r="O5" s="157">
        <f t="shared" si="0"/>
        <v>670.93</v>
      </c>
      <c r="P5" s="157">
        <f t="shared" si="0"/>
        <v>482.4</v>
      </c>
      <c r="Q5" s="157">
        <f t="shared" si="0"/>
        <v>642.97</v>
      </c>
      <c r="R5" s="157">
        <f t="shared" si="0"/>
        <v>681.36</v>
      </c>
      <c r="S5" s="157">
        <f t="shared" si="0"/>
        <v>692.8</v>
      </c>
      <c r="T5" s="157">
        <f t="shared" si="0"/>
        <v>554.29999999999995</v>
      </c>
      <c r="U5" s="157">
        <f t="shared" si="0"/>
        <v>445.8</v>
      </c>
      <c r="V5" s="157">
        <f t="shared" si="0"/>
        <v>567.90000000000009</v>
      </c>
      <c r="W5" s="157">
        <f t="shared" si="0"/>
        <v>592.70000000000005</v>
      </c>
      <c r="X5" s="157">
        <f t="shared" si="0"/>
        <v>574.6</v>
      </c>
      <c r="Y5" s="157">
        <f t="shared" si="0"/>
        <v>556</v>
      </c>
      <c r="Z5" s="157">
        <f t="shared" si="0"/>
        <v>341.5</v>
      </c>
      <c r="AA5" s="157">
        <f t="shared" si="0"/>
        <v>301</v>
      </c>
      <c r="AB5" s="157">
        <f t="shared" si="0"/>
        <v>499</v>
      </c>
      <c r="AC5" s="157">
        <f t="shared" si="0"/>
        <v>511</v>
      </c>
      <c r="AD5" s="157">
        <f t="shared" si="0"/>
        <v>290</v>
      </c>
      <c r="AE5" s="157">
        <f t="shared" si="0"/>
        <v>297</v>
      </c>
      <c r="AF5" s="157">
        <f>B68</f>
        <v>387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1413MW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Load=1015</v>
      </c>
      <c r="B7" s="146">
        <f>B75</f>
        <v>1232.54</v>
      </c>
      <c r="C7" s="146">
        <f t="shared" ref="C7:AF7" si="1">C75</f>
        <v>1074.74</v>
      </c>
      <c r="D7" s="146">
        <f t="shared" si="1"/>
        <v>1041.54</v>
      </c>
      <c r="E7" s="146">
        <f t="shared" si="1"/>
        <v>1039.6400000000001</v>
      </c>
      <c r="F7" s="146">
        <f t="shared" si="1"/>
        <v>1015.44</v>
      </c>
      <c r="G7" s="146">
        <f t="shared" si="1"/>
        <v>1082.3399999999999</v>
      </c>
      <c r="H7" s="146">
        <f t="shared" si="1"/>
        <v>1180.1400000000001</v>
      </c>
      <c r="I7" s="146">
        <f t="shared" si="1"/>
        <v>1192.44</v>
      </c>
      <c r="J7" s="146">
        <f t="shared" si="1"/>
        <v>1298.7400000000002</v>
      </c>
      <c r="K7" s="146">
        <f t="shared" si="1"/>
        <v>1391.3400000000001</v>
      </c>
      <c r="L7" s="146">
        <f t="shared" si="1"/>
        <v>1413.04</v>
      </c>
      <c r="M7" s="146">
        <f t="shared" si="1"/>
        <v>1393.24</v>
      </c>
      <c r="N7" s="146">
        <f t="shared" si="1"/>
        <v>1354.74</v>
      </c>
      <c r="O7" s="146">
        <f t="shared" si="1"/>
        <v>1315.64</v>
      </c>
      <c r="P7" s="146">
        <f t="shared" si="1"/>
        <v>1315.27</v>
      </c>
      <c r="Q7" s="146">
        <f t="shared" si="1"/>
        <v>1247.24</v>
      </c>
      <c r="R7" s="146">
        <f t="shared" si="1"/>
        <v>1315.31</v>
      </c>
      <c r="S7" s="146">
        <f t="shared" si="1"/>
        <v>1343.8</v>
      </c>
      <c r="T7" s="146">
        <f t="shared" si="1"/>
        <v>1349.94</v>
      </c>
      <c r="U7" s="146">
        <f t="shared" si="1"/>
        <v>1249.3399999999999</v>
      </c>
      <c r="V7" s="146">
        <f t="shared" si="1"/>
        <v>1311.6399999999999</v>
      </c>
      <c r="W7" s="146">
        <f t="shared" si="1"/>
        <v>1307.5400000000002</v>
      </c>
      <c r="X7" s="146">
        <f t="shared" si="1"/>
        <v>1330.7400000000002</v>
      </c>
      <c r="Y7" s="146">
        <f t="shared" si="1"/>
        <v>1401.04</v>
      </c>
      <c r="Z7" s="146">
        <f t="shared" si="1"/>
        <v>1576.3400000000001</v>
      </c>
      <c r="AA7" s="146">
        <f t="shared" si="1"/>
        <v>1519.0400000000002</v>
      </c>
      <c r="AB7" s="146">
        <f t="shared" si="1"/>
        <v>1467.0400000000002</v>
      </c>
      <c r="AC7" s="146">
        <f t="shared" si="1"/>
        <v>1436.3400000000001</v>
      </c>
      <c r="AD7" s="146">
        <f t="shared" si="1"/>
        <v>1378.54</v>
      </c>
      <c r="AE7" s="146">
        <f t="shared" si="1"/>
        <v>1273.0400000000002</v>
      </c>
      <c r="AF7" s="146">
        <f t="shared" si="1"/>
        <v>1199.7400000000002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130</v>
      </c>
      <c r="C11" s="127">
        <v>120</v>
      </c>
      <c r="D11" s="127">
        <v>12</v>
      </c>
      <c r="E11" s="127">
        <v>12</v>
      </c>
      <c r="F11" s="127">
        <v>12</v>
      </c>
      <c r="G11" s="127">
        <v>40</v>
      </c>
      <c r="H11" s="127">
        <v>220</v>
      </c>
      <c r="I11" s="127">
        <v>270</v>
      </c>
      <c r="J11" s="127">
        <v>280</v>
      </c>
      <c r="K11" s="127">
        <v>250</v>
      </c>
      <c r="L11" s="127">
        <v>270</v>
      </c>
      <c r="M11" s="103">
        <v>220</v>
      </c>
      <c r="N11" s="103">
        <v>200</v>
      </c>
      <c r="O11" s="103">
        <v>12</v>
      </c>
      <c r="P11" s="103">
        <v>12</v>
      </c>
      <c r="Q11" s="103">
        <v>76</v>
      </c>
      <c r="R11" s="103">
        <v>12</v>
      </c>
      <c r="S11" s="103">
        <v>12</v>
      </c>
      <c r="T11" s="103">
        <v>12</v>
      </c>
      <c r="U11" s="103">
        <v>12</v>
      </c>
      <c r="V11" s="103">
        <v>40</v>
      </c>
      <c r="W11" s="103">
        <v>40</v>
      </c>
      <c r="X11" s="103">
        <v>40</v>
      </c>
      <c r="Y11" s="103">
        <v>80</v>
      </c>
      <c r="Z11" s="179">
        <v>150</v>
      </c>
      <c r="AA11" s="179">
        <v>350</v>
      </c>
      <c r="AB11" s="179">
        <v>330</v>
      </c>
      <c r="AC11" s="179">
        <v>230</v>
      </c>
      <c r="AD11" s="179">
        <v>170</v>
      </c>
      <c r="AE11" s="179">
        <v>250</v>
      </c>
      <c r="AF11" s="179">
        <v>160</v>
      </c>
      <c r="AG11" s="54">
        <v>456</v>
      </c>
      <c r="AH11" s="21">
        <f>MAX(B11:AF11)</f>
        <v>350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31</v>
      </c>
      <c r="C12" s="127">
        <v>31</v>
      </c>
      <c r="D12" s="127">
        <v>31</v>
      </c>
      <c r="E12" s="127">
        <v>31</v>
      </c>
      <c r="F12" s="127">
        <v>31</v>
      </c>
      <c r="G12" s="127">
        <v>31</v>
      </c>
      <c r="H12" s="127">
        <v>31</v>
      </c>
      <c r="I12" s="127">
        <v>31</v>
      </c>
      <c r="J12" s="127">
        <v>31</v>
      </c>
      <c r="K12" s="127">
        <v>31</v>
      </c>
      <c r="L12" s="127">
        <v>31</v>
      </c>
      <c r="M12" s="127">
        <v>31</v>
      </c>
      <c r="N12" s="127">
        <v>31</v>
      </c>
      <c r="O12" s="127">
        <v>31</v>
      </c>
      <c r="P12" s="127">
        <v>31</v>
      </c>
      <c r="Q12" s="127">
        <v>31</v>
      </c>
      <c r="R12" s="127">
        <v>31</v>
      </c>
      <c r="S12" s="127">
        <v>31</v>
      </c>
      <c r="T12" s="127">
        <v>31</v>
      </c>
      <c r="U12" s="127">
        <v>31</v>
      </c>
      <c r="V12" s="127">
        <v>31</v>
      </c>
      <c r="W12" s="127">
        <v>31</v>
      </c>
      <c r="X12" s="127">
        <v>31</v>
      </c>
      <c r="Y12" s="127">
        <v>31</v>
      </c>
      <c r="Z12" s="103">
        <v>31</v>
      </c>
      <c r="AA12" s="103">
        <v>31</v>
      </c>
      <c r="AB12" s="103">
        <v>31</v>
      </c>
      <c r="AC12" s="103">
        <v>31</v>
      </c>
      <c r="AD12" s="103">
        <v>31</v>
      </c>
      <c r="AE12" s="103">
        <v>31</v>
      </c>
      <c r="AF12" s="103">
        <v>31</v>
      </c>
      <c r="AG12" s="134">
        <v>60</v>
      </c>
      <c r="AH12" s="21">
        <f t="shared" ref="AH12:AH75" si="2">MAX(B12:AF12)</f>
        <v>31</v>
      </c>
      <c r="AI12" s="20">
        <f t="shared" ref="AI12:AI75" si="3">MIN(B12:AF12)</f>
        <v>31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14.4</v>
      </c>
      <c r="C13" s="127">
        <v>14.4</v>
      </c>
      <c r="D13" s="127">
        <v>14.4</v>
      </c>
      <c r="E13" s="127">
        <v>14.4</v>
      </c>
      <c r="F13" s="127">
        <v>14.4</v>
      </c>
      <c r="G13" s="127">
        <v>14.4</v>
      </c>
      <c r="H13" s="127">
        <v>14.4</v>
      </c>
      <c r="I13" s="127">
        <v>14.4</v>
      </c>
      <c r="J13" s="127">
        <v>14.4</v>
      </c>
      <c r="K13" s="127">
        <v>14.4</v>
      </c>
      <c r="L13" s="127">
        <v>14.4</v>
      </c>
      <c r="M13" s="127">
        <v>14.4</v>
      </c>
      <c r="N13" s="127">
        <v>14.4</v>
      </c>
      <c r="O13" s="127">
        <v>16.8</v>
      </c>
      <c r="P13" s="127">
        <v>16.8</v>
      </c>
      <c r="Q13" s="127">
        <v>16.8</v>
      </c>
      <c r="R13" s="127">
        <v>16.8</v>
      </c>
      <c r="S13" s="127">
        <v>16.8</v>
      </c>
      <c r="T13" s="127">
        <v>16.8</v>
      </c>
      <c r="U13" s="127">
        <v>16.8</v>
      </c>
      <c r="V13" s="127">
        <v>16.8</v>
      </c>
      <c r="W13" s="127">
        <v>16.8</v>
      </c>
      <c r="X13" s="127">
        <v>16.8</v>
      </c>
      <c r="Y13" s="127">
        <v>16.8</v>
      </c>
      <c r="Z13" s="103">
        <v>14.4</v>
      </c>
      <c r="AA13" s="103">
        <v>14.4</v>
      </c>
      <c r="AB13" s="103">
        <v>14.4</v>
      </c>
      <c r="AC13" s="103">
        <v>14.4</v>
      </c>
      <c r="AD13" s="103">
        <v>14.4</v>
      </c>
      <c r="AE13" s="103">
        <v>14.4</v>
      </c>
      <c r="AF13" s="103">
        <v>14.4</v>
      </c>
      <c r="AG13" s="134">
        <v>52.4</v>
      </c>
      <c r="AH13" s="21">
        <f t="shared" si="2"/>
        <v>16.8</v>
      </c>
      <c r="AI13" s="20">
        <f t="shared" si="3"/>
        <v>14.4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25.3</v>
      </c>
      <c r="C14" s="127">
        <v>25.3</v>
      </c>
      <c r="D14" s="127">
        <v>25.3</v>
      </c>
      <c r="E14" s="127">
        <v>25.3</v>
      </c>
      <c r="F14" s="127">
        <v>25.3</v>
      </c>
      <c r="G14" s="127">
        <v>25.3</v>
      </c>
      <c r="H14" s="127">
        <v>25.3</v>
      </c>
      <c r="I14" s="127">
        <v>25.3</v>
      </c>
      <c r="J14" s="127">
        <v>25.3</v>
      </c>
      <c r="K14" s="127">
        <v>25.3</v>
      </c>
      <c r="L14" s="127">
        <v>25.3</v>
      </c>
      <c r="M14" s="103">
        <v>25.3</v>
      </c>
      <c r="N14" s="103">
        <v>25.3</v>
      </c>
      <c r="O14" s="103">
        <v>25.3</v>
      </c>
      <c r="P14" s="103">
        <v>25.3</v>
      </c>
      <c r="Q14" s="103">
        <v>25.3</v>
      </c>
      <c r="R14" s="103">
        <v>25.3</v>
      </c>
      <c r="S14" s="103">
        <v>25.3</v>
      </c>
      <c r="T14" s="103">
        <v>25.3</v>
      </c>
      <c r="U14" s="103">
        <v>25.3</v>
      </c>
      <c r="V14" s="103">
        <v>25.3</v>
      </c>
      <c r="W14" s="103">
        <v>25.3</v>
      </c>
      <c r="X14" s="103">
        <v>25.3</v>
      </c>
      <c r="Y14" s="103">
        <v>25.3</v>
      </c>
      <c r="Z14" s="103">
        <v>25.3</v>
      </c>
      <c r="AA14" s="103">
        <v>25.3</v>
      </c>
      <c r="AB14" s="103">
        <v>25.3</v>
      </c>
      <c r="AC14" s="103">
        <v>25.3</v>
      </c>
      <c r="AD14" s="103">
        <v>25.3</v>
      </c>
      <c r="AE14" s="103">
        <v>25.3</v>
      </c>
      <c r="AF14" s="103">
        <v>25.3</v>
      </c>
      <c r="AG14" s="134">
        <v>50</v>
      </c>
      <c r="AH14" s="21">
        <f t="shared" si="2"/>
        <v>25.3</v>
      </c>
      <c r="AI14" s="20">
        <f t="shared" si="3"/>
        <v>25.3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21.2</v>
      </c>
      <c r="C15" s="123">
        <v>21.2</v>
      </c>
      <c r="D15" s="123">
        <v>21.2</v>
      </c>
      <c r="E15" s="123">
        <v>21.2</v>
      </c>
      <c r="F15" s="123">
        <v>21.2</v>
      </c>
      <c r="G15" s="123">
        <v>21.2</v>
      </c>
      <c r="H15" s="123">
        <v>21.2</v>
      </c>
      <c r="I15" s="123">
        <v>21.2</v>
      </c>
      <c r="J15" s="123">
        <v>21.2</v>
      </c>
      <c r="K15" s="123">
        <v>21.2</v>
      </c>
      <c r="L15" s="123">
        <v>21.2</v>
      </c>
      <c r="M15" s="103">
        <v>21.2</v>
      </c>
      <c r="N15" s="103">
        <v>21.2</v>
      </c>
      <c r="O15" s="103">
        <v>23</v>
      </c>
      <c r="P15" s="103">
        <v>23</v>
      </c>
      <c r="Q15" s="103">
        <v>23</v>
      </c>
      <c r="R15" s="103">
        <v>23</v>
      </c>
      <c r="S15" s="103">
        <v>23</v>
      </c>
      <c r="T15" s="103">
        <v>23</v>
      </c>
      <c r="U15" s="103">
        <v>23</v>
      </c>
      <c r="V15" s="103">
        <v>23</v>
      </c>
      <c r="W15" s="103">
        <v>23</v>
      </c>
      <c r="X15" s="103">
        <v>23</v>
      </c>
      <c r="Y15" s="103">
        <v>23</v>
      </c>
      <c r="Z15" s="103">
        <v>23</v>
      </c>
      <c r="AA15" s="103">
        <v>23</v>
      </c>
      <c r="AB15" s="103">
        <v>23</v>
      </c>
      <c r="AC15" s="103">
        <v>23</v>
      </c>
      <c r="AD15" s="103">
        <v>23</v>
      </c>
      <c r="AE15" s="103">
        <v>23</v>
      </c>
      <c r="AF15" s="103">
        <v>23</v>
      </c>
      <c r="AG15" s="108">
        <v>45</v>
      </c>
      <c r="AH15" s="21">
        <f t="shared" si="2"/>
        <v>23</v>
      </c>
      <c r="AI15" s="20">
        <f t="shared" si="3"/>
        <v>21.2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11.3</v>
      </c>
      <c r="C19" s="127">
        <v>11.3</v>
      </c>
      <c r="D19" s="127">
        <v>11.3</v>
      </c>
      <c r="E19" s="127">
        <v>11.3</v>
      </c>
      <c r="F19" s="127">
        <v>11.3</v>
      </c>
      <c r="G19" s="127">
        <v>11.3</v>
      </c>
      <c r="H19" s="127">
        <v>11.3</v>
      </c>
      <c r="I19" s="127">
        <v>11.3</v>
      </c>
      <c r="J19" s="127">
        <v>11.3</v>
      </c>
      <c r="K19" s="127">
        <v>11.3</v>
      </c>
      <c r="L19" s="127">
        <v>11.3</v>
      </c>
      <c r="M19" s="103">
        <v>11.3</v>
      </c>
      <c r="N19" s="103">
        <v>11.3</v>
      </c>
      <c r="O19" s="103">
        <v>11.3</v>
      </c>
      <c r="P19" s="103">
        <v>11.3</v>
      </c>
      <c r="Q19" s="103">
        <v>11.3</v>
      </c>
      <c r="R19" s="103">
        <v>11.3</v>
      </c>
      <c r="S19" s="103">
        <v>11.3</v>
      </c>
      <c r="T19" s="103">
        <v>11.3</v>
      </c>
      <c r="U19" s="103">
        <v>11.3</v>
      </c>
      <c r="V19" s="103">
        <v>11.3</v>
      </c>
      <c r="W19" s="103">
        <v>11.3</v>
      </c>
      <c r="X19" s="103">
        <v>11.3</v>
      </c>
      <c r="Y19" s="103">
        <v>11.3</v>
      </c>
      <c r="Z19" s="103">
        <v>11.3</v>
      </c>
      <c r="AA19" s="103">
        <v>11.3</v>
      </c>
      <c r="AB19" s="103">
        <v>11.3</v>
      </c>
      <c r="AC19" s="103">
        <v>11.3</v>
      </c>
      <c r="AD19" s="103">
        <v>11.3</v>
      </c>
      <c r="AE19" s="103">
        <v>11.3</v>
      </c>
      <c r="AF19" s="103">
        <v>11.3</v>
      </c>
      <c r="AG19" s="134">
        <v>30</v>
      </c>
      <c r="AH19" s="21">
        <f t="shared" si="2"/>
        <v>11.3</v>
      </c>
      <c r="AI19" s="20">
        <f t="shared" si="3"/>
        <v>11.3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8.1</v>
      </c>
      <c r="C20" s="127">
        <v>8.1</v>
      </c>
      <c r="D20" s="127">
        <v>8.1</v>
      </c>
      <c r="E20" s="127">
        <v>8.1</v>
      </c>
      <c r="F20" s="127">
        <v>8.1</v>
      </c>
      <c r="G20" s="127">
        <v>8.1</v>
      </c>
      <c r="H20" s="127">
        <v>8.1</v>
      </c>
      <c r="I20" s="127">
        <v>8.1</v>
      </c>
      <c r="J20" s="127">
        <v>8.1</v>
      </c>
      <c r="K20" s="127">
        <v>8.1</v>
      </c>
      <c r="L20" s="127">
        <v>8.1</v>
      </c>
      <c r="M20" s="103">
        <v>8.1</v>
      </c>
      <c r="N20" s="103">
        <v>8.1</v>
      </c>
      <c r="O20" s="103">
        <v>8.1</v>
      </c>
      <c r="P20" s="103">
        <v>8.1</v>
      </c>
      <c r="Q20" s="103">
        <v>8.1</v>
      </c>
      <c r="R20" s="103">
        <v>8.1</v>
      </c>
      <c r="S20" s="103">
        <v>8.1</v>
      </c>
      <c r="T20" s="103">
        <v>8.1</v>
      </c>
      <c r="U20" s="103">
        <v>8.1</v>
      </c>
      <c r="V20" s="103">
        <v>8.1</v>
      </c>
      <c r="W20" s="103">
        <v>8.1</v>
      </c>
      <c r="X20" s="103">
        <v>8.1</v>
      </c>
      <c r="Y20" s="103">
        <v>8.1</v>
      </c>
      <c r="Z20" s="103">
        <v>8.1</v>
      </c>
      <c r="AA20" s="103">
        <v>8.1</v>
      </c>
      <c r="AB20" s="103">
        <v>8.1</v>
      </c>
      <c r="AC20" s="103">
        <v>8.1</v>
      </c>
      <c r="AD20" s="103">
        <v>8.1</v>
      </c>
      <c r="AE20" s="103">
        <v>8.1</v>
      </c>
      <c r="AF20" s="103">
        <v>8.1</v>
      </c>
      <c r="AG20" s="134">
        <v>27</v>
      </c>
      <c r="AH20" s="21">
        <f t="shared" si="2"/>
        <v>8.1</v>
      </c>
      <c r="AI20" s="20">
        <f t="shared" si="3"/>
        <v>8.1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12.7</v>
      </c>
      <c r="C22" s="127">
        <v>12.7</v>
      </c>
      <c r="D22" s="127">
        <v>12.7</v>
      </c>
      <c r="E22" s="127">
        <v>12.7</v>
      </c>
      <c r="F22" s="127">
        <v>12.7</v>
      </c>
      <c r="G22" s="127">
        <v>12.7</v>
      </c>
      <c r="H22" s="127">
        <v>12.7</v>
      </c>
      <c r="I22" s="127">
        <v>12.7</v>
      </c>
      <c r="J22" s="127">
        <v>12.7</v>
      </c>
      <c r="K22" s="127">
        <v>12.7</v>
      </c>
      <c r="L22" s="127">
        <v>12.7</v>
      </c>
      <c r="M22" s="103">
        <v>12.7</v>
      </c>
      <c r="N22" s="103">
        <v>12.7</v>
      </c>
      <c r="O22" s="103">
        <v>12.7</v>
      </c>
      <c r="P22" s="103">
        <v>12.7</v>
      </c>
      <c r="Q22" s="103">
        <v>12.7</v>
      </c>
      <c r="R22" s="103">
        <v>12.7</v>
      </c>
      <c r="S22" s="103">
        <v>12.7</v>
      </c>
      <c r="T22" s="103">
        <v>12.7</v>
      </c>
      <c r="U22" s="103">
        <v>12.7</v>
      </c>
      <c r="V22" s="103">
        <v>12.7</v>
      </c>
      <c r="W22" s="103">
        <v>12.7</v>
      </c>
      <c r="X22" s="103">
        <v>12.7</v>
      </c>
      <c r="Y22" s="103">
        <v>12.7</v>
      </c>
      <c r="Z22" s="103">
        <v>16.600000000000001</v>
      </c>
      <c r="AA22" s="103">
        <v>16.600000000000001</v>
      </c>
      <c r="AB22" s="103">
        <v>16.600000000000001</v>
      </c>
      <c r="AC22" s="103">
        <v>16.600000000000001</v>
      </c>
      <c r="AD22" s="103">
        <v>16.600000000000001</v>
      </c>
      <c r="AE22" s="103">
        <v>16.600000000000001</v>
      </c>
      <c r="AF22" s="103">
        <v>16.600000000000001</v>
      </c>
      <c r="AG22" s="134">
        <v>25</v>
      </c>
      <c r="AH22" s="21">
        <f t="shared" si="2"/>
        <v>16.600000000000001</v>
      </c>
      <c r="AI22" s="20">
        <f t="shared" si="3"/>
        <v>12.7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6.4</v>
      </c>
      <c r="C24" s="127">
        <v>6.4</v>
      </c>
      <c r="D24" s="127">
        <v>6.4</v>
      </c>
      <c r="E24" s="127">
        <v>6.4</v>
      </c>
      <c r="F24" s="127">
        <v>6.4</v>
      </c>
      <c r="G24" s="127">
        <v>6.4</v>
      </c>
      <c r="H24" s="127">
        <v>6.4</v>
      </c>
      <c r="I24" s="127">
        <v>6.4</v>
      </c>
      <c r="J24" s="127">
        <v>6.4</v>
      </c>
      <c r="K24" s="127">
        <v>6.4</v>
      </c>
      <c r="L24" s="127">
        <v>6.4</v>
      </c>
      <c r="M24" s="103">
        <v>7.5</v>
      </c>
      <c r="N24" s="103">
        <v>7.5</v>
      </c>
      <c r="O24" s="103">
        <v>7.5</v>
      </c>
      <c r="P24" s="103">
        <v>7.5</v>
      </c>
      <c r="Q24" s="103">
        <v>7.5</v>
      </c>
      <c r="R24" s="103">
        <v>7.5</v>
      </c>
      <c r="S24" s="103">
        <v>7.5</v>
      </c>
      <c r="T24" s="103">
        <v>7.5</v>
      </c>
      <c r="U24" s="103">
        <v>7.5</v>
      </c>
      <c r="V24" s="103">
        <v>7.5</v>
      </c>
      <c r="W24" s="103">
        <v>7.5</v>
      </c>
      <c r="X24" s="103">
        <v>7.5</v>
      </c>
      <c r="Y24" s="103">
        <v>7.5</v>
      </c>
      <c r="Z24" s="103">
        <v>6.4</v>
      </c>
      <c r="AA24" s="103">
        <v>6.4</v>
      </c>
      <c r="AB24" s="103">
        <v>6.4</v>
      </c>
      <c r="AC24" s="103">
        <v>6.4</v>
      </c>
      <c r="AD24" s="103">
        <v>6.4</v>
      </c>
      <c r="AE24" s="103">
        <v>6.4</v>
      </c>
      <c r="AF24" s="103">
        <v>6.4</v>
      </c>
      <c r="AG24" s="134">
        <v>25</v>
      </c>
      <c r="AH24" s="21">
        <f t="shared" si="2"/>
        <v>7.5</v>
      </c>
      <c r="AI24" s="20">
        <f t="shared" si="3"/>
        <v>6.4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4.5</v>
      </c>
      <c r="C28" s="127">
        <v>4.5</v>
      </c>
      <c r="D28" s="127">
        <v>4.5</v>
      </c>
      <c r="E28" s="127">
        <v>4.5</v>
      </c>
      <c r="F28" s="127">
        <v>4.5</v>
      </c>
      <c r="G28" s="127">
        <v>4.5</v>
      </c>
      <c r="H28" s="127">
        <v>4.5</v>
      </c>
      <c r="I28" s="127">
        <v>4.5</v>
      </c>
      <c r="J28" s="127">
        <v>4.5</v>
      </c>
      <c r="K28" s="127">
        <v>4.5</v>
      </c>
      <c r="L28" s="127">
        <v>4.5</v>
      </c>
      <c r="M28" s="103">
        <v>4.5</v>
      </c>
      <c r="N28" s="103">
        <v>4.5</v>
      </c>
      <c r="O28" s="103">
        <v>4.5</v>
      </c>
      <c r="P28" s="103">
        <v>4.5</v>
      </c>
      <c r="Q28" s="103">
        <v>4.5</v>
      </c>
      <c r="R28" s="103">
        <v>4.5</v>
      </c>
      <c r="S28" s="103">
        <v>4.5</v>
      </c>
      <c r="T28" s="103">
        <v>4.5</v>
      </c>
      <c r="U28" s="103">
        <v>4.5</v>
      </c>
      <c r="V28" s="103">
        <v>4.5</v>
      </c>
      <c r="W28" s="103">
        <v>4.5</v>
      </c>
      <c r="X28" s="103">
        <v>4.5</v>
      </c>
      <c r="Y28" s="103">
        <v>4.5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4.5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130</v>
      </c>
      <c r="C36" s="123">
        <v>130</v>
      </c>
      <c r="D36" s="123">
        <v>130</v>
      </c>
      <c r="E36" s="123">
        <v>130</v>
      </c>
      <c r="F36" s="123">
        <v>130</v>
      </c>
      <c r="G36" s="123">
        <v>130</v>
      </c>
      <c r="H36" s="123">
        <v>130</v>
      </c>
      <c r="I36" s="123">
        <v>130</v>
      </c>
      <c r="J36" s="123">
        <v>130</v>
      </c>
      <c r="K36" s="123">
        <v>130</v>
      </c>
      <c r="L36" s="123">
        <v>130</v>
      </c>
      <c r="M36" s="123">
        <v>130</v>
      </c>
      <c r="N36" s="123">
        <v>130</v>
      </c>
      <c r="O36" s="123">
        <v>130</v>
      </c>
      <c r="P36" s="123">
        <v>130</v>
      </c>
      <c r="Q36" s="123">
        <v>130</v>
      </c>
      <c r="R36" s="123">
        <v>130</v>
      </c>
      <c r="S36" s="123">
        <v>130</v>
      </c>
      <c r="T36" s="123">
        <v>130</v>
      </c>
      <c r="U36" s="123">
        <v>130</v>
      </c>
      <c r="V36" s="123">
        <v>130</v>
      </c>
      <c r="W36" s="123">
        <v>130</v>
      </c>
      <c r="X36" s="123">
        <v>130</v>
      </c>
      <c r="Y36" s="123">
        <v>130</v>
      </c>
      <c r="Z36" s="103">
        <v>160</v>
      </c>
      <c r="AA36" s="103">
        <v>160</v>
      </c>
      <c r="AB36" s="103">
        <v>160</v>
      </c>
      <c r="AC36" s="103">
        <v>160</v>
      </c>
      <c r="AD36" s="103">
        <v>160</v>
      </c>
      <c r="AE36" s="103">
        <v>160</v>
      </c>
      <c r="AF36" s="103">
        <v>160</v>
      </c>
      <c r="AG36" s="106">
        <v>85</v>
      </c>
      <c r="AH36" s="21">
        <f t="shared" si="2"/>
        <v>160</v>
      </c>
      <c r="AI36" s="20">
        <f t="shared" si="3"/>
        <v>130</v>
      </c>
      <c r="AK36" s="42"/>
    </row>
    <row r="37" spans="1:88" ht="15.75" thickBot="1" x14ac:dyDescent="0.3">
      <c r="A37" s="129" t="s">
        <v>174</v>
      </c>
      <c r="B37" s="123">
        <v>26.1</v>
      </c>
      <c r="C37" s="123">
        <v>26.1</v>
      </c>
      <c r="D37" s="123">
        <v>26.1</v>
      </c>
      <c r="E37" s="123">
        <f>10.7+17.7</f>
        <v>28.4</v>
      </c>
      <c r="F37" s="123">
        <f>11.6+19.4</f>
        <v>31</v>
      </c>
      <c r="G37" s="123">
        <f>11.8+19.8</f>
        <v>31.6</v>
      </c>
      <c r="H37" s="123">
        <f>12+19.5</f>
        <v>31.5</v>
      </c>
      <c r="I37" s="123">
        <f>12.2+19.6</f>
        <v>31.8</v>
      </c>
      <c r="J37" s="123">
        <f>12.5+18.8</f>
        <v>31.3</v>
      </c>
      <c r="K37" s="123">
        <f>11.8+17.8</f>
        <v>29.6</v>
      </c>
      <c r="L37" s="123">
        <f>11.5+17.7</f>
        <v>29.2</v>
      </c>
      <c r="M37" s="128">
        <f>11.8+18.3</f>
        <v>30.1</v>
      </c>
      <c r="N37" s="128">
        <f>11.8+18.3</f>
        <v>30.1</v>
      </c>
      <c r="O37" s="128">
        <f>12.2+18.9</f>
        <v>31.099999999999998</v>
      </c>
      <c r="P37" s="128">
        <f>11.4+18.9</f>
        <v>30.299999999999997</v>
      </c>
      <c r="Q37" s="128">
        <f>12.2+19.8</f>
        <v>32</v>
      </c>
      <c r="R37" s="128">
        <f>13.3+21.2</f>
        <v>34.5</v>
      </c>
      <c r="S37" s="128">
        <v>30.7</v>
      </c>
      <c r="T37" s="128">
        <v>30.7</v>
      </c>
      <c r="U37" s="128">
        <v>24.2</v>
      </c>
      <c r="V37" s="128">
        <f>10.2+15.9</f>
        <v>26.1</v>
      </c>
      <c r="W37" s="128">
        <v>26.5</v>
      </c>
      <c r="X37" s="128">
        <v>26.4</v>
      </c>
      <c r="Y37" s="128">
        <v>25</v>
      </c>
      <c r="Z37" s="103">
        <v>25</v>
      </c>
      <c r="AA37" s="128">
        <v>27.4</v>
      </c>
      <c r="AB37" s="128">
        <v>27.4</v>
      </c>
      <c r="AC37" s="128">
        <v>29</v>
      </c>
      <c r="AD37" s="128">
        <v>29</v>
      </c>
      <c r="AE37" s="128">
        <v>29</v>
      </c>
      <c r="AF37" s="128">
        <v>30</v>
      </c>
      <c r="AG37" s="106">
        <v>240</v>
      </c>
      <c r="AH37" s="21">
        <f t="shared" si="2"/>
        <v>34.5</v>
      </c>
      <c r="AI37" s="20">
        <f t="shared" si="3"/>
        <v>24.2</v>
      </c>
      <c r="AK37" s="42"/>
    </row>
    <row r="38" spans="1:88" ht="15.75" thickBot="1" x14ac:dyDescent="0.3">
      <c r="A38" s="100" t="s">
        <v>173</v>
      </c>
      <c r="B38" s="99">
        <f>SUM(B11:B36)</f>
        <v>475.2</v>
      </c>
      <c r="C38" s="99">
        <f t="shared" ref="C38:AF38" si="4">SUM(C11:C36)</f>
        <v>465.2</v>
      </c>
      <c r="D38" s="99">
        <f t="shared" si="4"/>
        <v>357.2</v>
      </c>
      <c r="E38" s="99">
        <f t="shared" si="4"/>
        <v>357.2</v>
      </c>
      <c r="F38" s="99">
        <f t="shared" si="4"/>
        <v>357.2</v>
      </c>
      <c r="G38" s="99">
        <f t="shared" si="4"/>
        <v>385.2</v>
      </c>
      <c r="H38" s="99">
        <f t="shared" si="4"/>
        <v>565.20000000000005</v>
      </c>
      <c r="I38" s="99">
        <f t="shared" si="4"/>
        <v>615.20000000000005</v>
      </c>
      <c r="J38" s="99">
        <f t="shared" si="4"/>
        <v>625.20000000000005</v>
      </c>
      <c r="K38" s="99">
        <f t="shared" si="4"/>
        <v>595.20000000000005</v>
      </c>
      <c r="L38" s="99">
        <f t="shared" si="4"/>
        <v>615.20000000000005</v>
      </c>
      <c r="M38" s="99">
        <f t="shared" si="4"/>
        <v>566.29999999999995</v>
      </c>
      <c r="N38" s="99">
        <f t="shared" si="4"/>
        <v>546.29999999999995</v>
      </c>
      <c r="O38" s="99">
        <f t="shared" si="4"/>
        <v>362.5</v>
      </c>
      <c r="P38" s="99">
        <f t="shared" si="4"/>
        <v>362.5</v>
      </c>
      <c r="Q38" s="99">
        <f t="shared" si="4"/>
        <v>426.5</v>
      </c>
      <c r="R38" s="99">
        <f t="shared" si="4"/>
        <v>362.5</v>
      </c>
      <c r="S38" s="99">
        <f t="shared" si="4"/>
        <v>362.5</v>
      </c>
      <c r="T38" s="99">
        <f t="shared" si="4"/>
        <v>362.5</v>
      </c>
      <c r="U38" s="99">
        <f t="shared" si="4"/>
        <v>362.5</v>
      </c>
      <c r="V38" s="99">
        <f t="shared" si="4"/>
        <v>390.5</v>
      </c>
      <c r="W38" s="99">
        <f t="shared" si="4"/>
        <v>390.5</v>
      </c>
      <c r="X38" s="99">
        <f t="shared" si="4"/>
        <v>390.5</v>
      </c>
      <c r="Y38" s="99">
        <f t="shared" si="4"/>
        <v>430.5</v>
      </c>
      <c r="Z38" s="99">
        <f t="shared" si="4"/>
        <v>526.40000000000009</v>
      </c>
      <c r="AA38" s="99">
        <f t="shared" si="4"/>
        <v>726.40000000000009</v>
      </c>
      <c r="AB38" s="99">
        <f t="shared" si="4"/>
        <v>706.40000000000009</v>
      </c>
      <c r="AC38" s="99">
        <f t="shared" si="4"/>
        <v>606.40000000000009</v>
      </c>
      <c r="AD38" s="99">
        <f t="shared" si="4"/>
        <v>546.40000000000009</v>
      </c>
      <c r="AE38" s="99">
        <f t="shared" si="4"/>
        <v>626.40000000000009</v>
      </c>
      <c r="AF38" s="99">
        <f t="shared" si="4"/>
        <v>536.40000000000009</v>
      </c>
      <c r="AG38" s="106">
        <f>SUM(AG11:AG37)</f>
        <v>1492.8299999999997</v>
      </c>
      <c r="AH38" s="21">
        <f t="shared" si="2"/>
        <v>726.40000000000009</v>
      </c>
      <c r="AI38" s="20">
        <f t="shared" si="3"/>
        <v>357.2</v>
      </c>
      <c r="AK38" s="42"/>
    </row>
    <row r="39" spans="1:88" x14ac:dyDescent="0.25">
      <c r="A39" s="109" t="s">
        <v>172</v>
      </c>
      <c r="B39" s="127">
        <v>91</v>
      </c>
      <c r="C39" s="123">
        <v>65</v>
      </c>
      <c r="D39" s="123">
        <v>30</v>
      </c>
      <c r="E39" s="123">
        <v>0</v>
      </c>
      <c r="F39" s="123">
        <v>0</v>
      </c>
      <c r="G39" s="123">
        <v>0</v>
      </c>
      <c r="H39" s="123">
        <v>49</v>
      </c>
      <c r="I39" s="123">
        <v>93.5</v>
      </c>
      <c r="J39" s="123">
        <v>110</v>
      </c>
      <c r="K39" s="123">
        <v>145.4</v>
      </c>
      <c r="L39" s="123">
        <v>145.5</v>
      </c>
      <c r="M39" s="103">
        <v>145.30000000000001</v>
      </c>
      <c r="N39" s="103">
        <v>145.30000000000001</v>
      </c>
      <c r="O39" s="103">
        <v>94.2</v>
      </c>
      <c r="P39" s="103">
        <v>81.099999999999994</v>
      </c>
      <c r="Q39" s="103">
        <v>97</v>
      </c>
      <c r="R39" s="103">
        <v>85.6</v>
      </c>
      <c r="S39" s="103">
        <v>81.3</v>
      </c>
      <c r="T39" s="103">
        <v>65.8</v>
      </c>
      <c r="U39" s="103">
        <v>65.8</v>
      </c>
      <c r="V39" s="103">
        <v>121.4</v>
      </c>
      <c r="W39" s="103">
        <v>121.4</v>
      </c>
      <c r="X39" s="103">
        <v>121.4</v>
      </c>
      <c r="Y39" s="103">
        <v>145</v>
      </c>
      <c r="Z39" s="103">
        <v>145</v>
      </c>
      <c r="AA39" s="103">
        <v>145</v>
      </c>
      <c r="AB39" s="103">
        <v>144</v>
      </c>
      <c r="AC39" s="103">
        <v>70</v>
      </c>
      <c r="AD39" s="103">
        <v>60</v>
      </c>
      <c r="AE39" s="103">
        <v>45</v>
      </c>
      <c r="AF39" s="127">
        <v>45</v>
      </c>
      <c r="AG39" s="108">
        <v>144</v>
      </c>
      <c r="AH39" s="21">
        <f t="shared" si="2"/>
        <v>145.5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35</v>
      </c>
      <c r="C40" s="123">
        <v>35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34.6</v>
      </c>
      <c r="J40" s="123">
        <v>64</v>
      </c>
      <c r="K40" s="123">
        <v>69.8</v>
      </c>
      <c r="L40" s="123">
        <v>69.7</v>
      </c>
      <c r="M40" s="73">
        <v>69</v>
      </c>
      <c r="N40" s="73">
        <v>59</v>
      </c>
      <c r="O40" s="73">
        <v>45.1</v>
      </c>
      <c r="P40" s="73">
        <v>33.700000000000003</v>
      </c>
      <c r="Q40" s="73">
        <v>34.799999999999997</v>
      </c>
      <c r="R40" s="73">
        <v>35.6</v>
      </c>
      <c r="S40" s="73">
        <v>35.6</v>
      </c>
      <c r="T40" s="73">
        <v>23.2</v>
      </c>
      <c r="U40" s="73">
        <v>47.9</v>
      </c>
      <c r="V40" s="73">
        <v>47.9</v>
      </c>
      <c r="W40" s="73">
        <v>47.9</v>
      </c>
      <c r="X40" s="73">
        <v>47.9</v>
      </c>
      <c r="Y40" s="73">
        <v>48.7</v>
      </c>
      <c r="Z40" s="73">
        <v>70.3</v>
      </c>
      <c r="AA40" s="73">
        <v>70.3</v>
      </c>
      <c r="AB40" s="73">
        <v>70</v>
      </c>
      <c r="AC40" s="73">
        <v>23</v>
      </c>
      <c r="AD40" s="73">
        <v>22</v>
      </c>
      <c r="AE40" s="73">
        <v>25</v>
      </c>
      <c r="AF40" s="123">
        <v>35</v>
      </c>
      <c r="AG40" s="106">
        <v>70</v>
      </c>
      <c r="AH40" s="21">
        <f t="shared" si="2"/>
        <v>70.3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50</v>
      </c>
      <c r="C41" s="123">
        <v>61</v>
      </c>
      <c r="D41" s="123">
        <v>41</v>
      </c>
      <c r="E41" s="123">
        <v>0</v>
      </c>
      <c r="F41" s="123">
        <v>0</v>
      </c>
      <c r="G41" s="123">
        <v>0</v>
      </c>
      <c r="H41" s="123">
        <v>24.5</v>
      </c>
      <c r="I41" s="123">
        <v>16.3</v>
      </c>
      <c r="J41" s="123">
        <v>16.399999999999999</v>
      </c>
      <c r="K41" s="123">
        <v>34.200000000000003</v>
      </c>
      <c r="L41" s="123">
        <v>44.9</v>
      </c>
      <c r="M41" s="73">
        <v>67.8</v>
      </c>
      <c r="N41" s="73">
        <v>48</v>
      </c>
      <c r="O41" s="73">
        <v>46.5</v>
      </c>
      <c r="P41" s="73">
        <v>33</v>
      </c>
      <c r="Q41" s="73">
        <v>45.6</v>
      </c>
      <c r="R41" s="73">
        <v>34.200000000000003</v>
      </c>
      <c r="S41" s="73">
        <v>33.9</v>
      </c>
      <c r="T41" s="73">
        <v>17.3</v>
      </c>
      <c r="U41" s="73">
        <v>17.3</v>
      </c>
      <c r="V41" s="73">
        <v>32.700000000000003</v>
      </c>
      <c r="W41" s="73">
        <v>34</v>
      </c>
      <c r="X41" s="73">
        <v>34</v>
      </c>
      <c r="Y41" s="73">
        <v>50.9</v>
      </c>
      <c r="Z41" s="73">
        <v>68.900000000000006</v>
      </c>
      <c r="AA41" s="73">
        <v>68.900000000000006</v>
      </c>
      <c r="AB41" s="73">
        <v>68</v>
      </c>
      <c r="AC41" s="73">
        <v>53</v>
      </c>
      <c r="AD41" s="73">
        <v>55</v>
      </c>
      <c r="AE41" s="73">
        <v>54</v>
      </c>
      <c r="AF41" s="123">
        <v>54</v>
      </c>
      <c r="AG41" s="106">
        <v>69</v>
      </c>
      <c r="AH41" s="21">
        <f t="shared" si="2"/>
        <v>68.900000000000006</v>
      </c>
      <c r="AI41" s="20">
        <f t="shared" si="3"/>
        <v>0</v>
      </c>
      <c r="AK41" s="42"/>
    </row>
    <row r="42" spans="1:88" x14ac:dyDescent="0.25">
      <c r="A42" s="107" t="s">
        <v>169</v>
      </c>
      <c r="B42" s="123">
        <v>50.4</v>
      </c>
      <c r="C42" s="123">
        <v>50.4</v>
      </c>
      <c r="D42" s="123">
        <v>55.4</v>
      </c>
      <c r="E42" s="123">
        <v>57.9</v>
      </c>
      <c r="F42" s="123">
        <v>57.9</v>
      </c>
      <c r="G42" s="123">
        <v>57.9</v>
      </c>
      <c r="H42" s="123">
        <v>57.9</v>
      </c>
      <c r="I42" s="123">
        <v>57.9</v>
      </c>
      <c r="J42" s="123">
        <v>57.2</v>
      </c>
      <c r="K42" s="123">
        <v>59</v>
      </c>
      <c r="L42" s="123">
        <v>58.7</v>
      </c>
      <c r="M42" s="73">
        <v>52.6</v>
      </c>
      <c r="N42" s="73">
        <v>52.6</v>
      </c>
      <c r="O42" s="73">
        <v>58.5</v>
      </c>
      <c r="P42" s="73">
        <v>53.7</v>
      </c>
      <c r="Q42" s="73">
        <v>53.7</v>
      </c>
      <c r="R42" s="73">
        <v>53.9</v>
      </c>
      <c r="S42" s="73">
        <v>53.9</v>
      </c>
      <c r="T42" s="73">
        <v>53.4</v>
      </c>
      <c r="U42" s="73">
        <v>53.4</v>
      </c>
      <c r="V42" s="73">
        <v>53.4</v>
      </c>
      <c r="W42" s="73">
        <v>53.4</v>
      </c>
      <c r="X42" s="73">
        <v>53.4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106">
        <v>60</v>
      </c>
      <c r="AH42" s="21">
        <f t="shared" si="2"/>
        <v>60.4</v>
      </c>
      <c r="AI42" s="20">
        <f t="shared" si="3"/>
        <v>50.4</v>
      </c>
      <c r="AK42" s="42"/>
    </row>
    <row r="43" spans="1:88" x14ac:dyDescent="0.25">
      <c r="A43" s="107" t="s">
        <v>168</v>
      </c>
      <c r="B43" s="123">
        <v>12</v>
      </c>
      <c r="C43" s="123">
        <v>0</v>
      </c>
      <c r="D43" s="123">
        <v>0</v>
      </c>
      <c r="E43" s="123">
        <v>0</v>
      </c>
      <c r="F43" s="123">
        <v>0</v>
      </c>
      <c r="G43" s="123">
        <v>0</v>
      </c>
      <c r="H43" s="123">
        <v>13</v>
      </c>
      <c r="I43" s="123">
        <v>14.8</v>
      </c>
      <c r="J43" s="123">
        <v>18</v>
      </c>
      <c r="K43" s="123">
        <v>27.8</v>
      </c>
      <c r="L43" s="123">
        <v>20</v>
      </c>
      <c r="M43" s="103">
        <v>18.899999999999999</v>
      </c>
      <c r="N43" s="103">
        <v>18.899999999999999</v>
      </c>
      <c r="O43" s="103">
        <v>25</v>
      </c>
      <c r="P43" s="103">
        <v>15</v>
      </c>
      <c r="Q43" s="103">
        <v>10</v>
      </c>
      <c r="R43" s="103">
        <v>15</v>
      </c>
      <c r="S43" s="103">
        <v>0</v>
      </c>
      <c r="T43" s="103">
        <v>0</v>
      </c>
      <c r="U43" s="103">
        <v>13.2</v>
      </c>
      <c r="V43" s="103">
        <v>15</v>
      </c>
      <c r="W43" s="103">
        <v>13.3</v>
      </c>
      <c r="X43" s="103">
        <v>13.3</v>
      </c>
      <c r="Y43" s="103">
        <v>13.4</v>
      </c>
      <c r="Z43" s="73">
        <v>30</v>
      </c>
      <c r="AA43" s="7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30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13</v>
      </c>
      <c r="C45" s="123">
        <v>13</v>
      </c>
      <c r="D45" s="123">
        <v>13</v>
      </c>
      <c r="E45" s="123">
        <v>13</v>
      </c>
      <c r="F45" s="123">
        <v>13</v>
      </c>
      <c r="G45" s="123">
        <v>13</v>
      </c>
      <c r="H45" s="123">
        <v>13</v>
      </c>
      <c r="I45" s="123">
        <v>13</v>
      </c>
      <c r="J45" s="120">
        <v>13</v>
      </c>
      <c r="K45" s="120">
        <v>13</v>
      </c>
      <c r="L45" s="120">
        <v>13</v>
      </c>
      <c r="M45" s="120">
        <v>13</v>
      </c>
      <c r="N45" s="120">
        <v>13</v>
      </c>
      <c r="O45" s="120">
        <v>13</v>
      </c>
      <c r="P45" s="120">
        <v>13</v>
      </c>
      <c r="Q45" s="120">
        <v>13</v>
      </c>
      <c r="R45" s="120">
        <v>13</v>
      </c>
      <c r="S45" s="120">
        <v>13</v>
      </c>
      <c r="T45" s="120">
        <v>13</v>
      </c>
      <c r="U45" s="120">
        <v>13</v>
      </c>
      <c r="V45" s="120">
        <v>13</v>
      </c>
      <c r="W45" s="120">
        <v>13</v>
      </c>
      <c r="X45" s="120">
        <v>13</v>
      </c>
      <c r="Y45" s="120">
        <v>13</v>
      </c>
      <c r="Z45" s="103">
        <v>13</v>
      </c>
      <c r="AA45" s="103">
        <v>13</v>
      </c>
      <c r="AB45" s="103">
        <v>13</v>
      </c>
      <c r="AC45" s="103">
        <v>13</v>
      </c>
      <c r="AD45" s="103">
        <v>13</v>
      </c>
      <c r="AE45" s="103">
        <v>13</v>
      </c>
      <c r="AF45" s="103">
        <v>13</v>
      </c>
      <c r="AG45" s="106">
        <v>24</v>
      </c>
      <c r="AH45" s="21">
        <f t="shared" si="2"/>
        <v>13</v>
      </c>
      <c r="AI45" s="20">
        <f t="shared" si="3"/>
        <v>13</v>
      </c>
      <c r="AK45" s="42"/>
    </row>
    <row r="46" spans="1:88" x14ac:dyDescent="0.25">
      <c r="A46" s="107" t="s">
        <v>165</v>
      </c>
      <c r="B46" s="123">
        <v>4</v>
      </c>
      <c r="C46" s="123">
        <v>4</v>
      </c>
      <c r="D46" s="123">
        <v>4</v>
      </c>
      <c r="E46" s="123">
        <v>4</v>
      </c>
      <c r="F46" s="123">
        <v>4</v>
      </c>
      <c r="G46" s="123">
        <v>4</v>
      </c>
      <c r="H46" s="123">
        <v>4</v>
      </c>
      <c r="I46" s="123">
        <v>4</v>
      </c>
      <c r="J46" s="123">
        <v>4</v>
      </c>
      <c r="K46" s="123">
        <v>4</v>
      </c>
      <c r="L46" s="123">
        <v>4</v>
      </c>
      <c r="M46" s="123">
        <v>4</v>
      </c>
      <c r="N46" s="123">
        <v>4</v>
      </c>
      <c r="O46" s="123">
        <v>4</v>
      </c>
      <c r="P46" s="123">
        <v>4</v>
      </c>
      <c r="Q46" s="123">
        <v>4</v>
      </c>
      <c r="R46" s="123">
        <v>4</v>
      </c>
      <c r="S46" s="123">
        <v>4</v>
      </c>
      <c r="T46" s="123">
        <v>4</v>
      </c>
      <c r="U46" s="123">
        <v>4</v>
      </c>
      <c r="V46" s="123">
        <v>4</v>
      </c>
      <c r="W46" s="123">
        <v>4</v>
      </c>
      <c r="X46" s="123">
        <v>4</v>
      </c>
      <c r="Y46" s="123">
        <v>4</v>
      </c>
      <c r="Z46" s="103">
        <v>4</v>
      </c>
      <c r="AA46" s="103">
        <v>4</v>
      </c>
      <c r="AB46" s="103">
        <v>4</v>
      </c>
      <c r="AC46" s="103">
        <v>4</v>
      </c>
      <c r="AD46" s="103">
        <v>4</v>
      </c>
      <c r="AE46" s="103">
        <v>4</v>
      </c>
      <c r="AF46" s="103">
        <v>4</v>
      </c>
      <c r="AG46" s="106">
        <v>15</v>
      </c>
      <c r="AH46" s="21">
        <f t="shared" si="2"/>
        <v>4</v>
      </c>
      <c r="AI46" s="20">
        <f t="shared" si="3"/>
        <v>4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10</v>
      </c>
      <c r="C47" s="123">
        <v>10</v>
      </c>
      <c r="D47" s="123">
        <v>10</v>
      </c>
      <c r="E47" s="123">
        <v>10</v>
      </c>
      <c r="F47" s="123">
        <v>10</v>
      </c>
      <c r="G47" s="123">
        <v>10</v>
      </c>
      <c r="H47" s="123">
        <v>10</v>
      </c>
      <c r="I47" s="123">
        <v>10</v>
      </c>
      <c r="J47" s="123">
        <v>10</v>
      </c>
      <c r="K47" s="123">
        <v>10</v>
      </c>
      <c r="L47" s="123">
        <v>10</v>
      </c>
      <c r="M47" s="123">
        <v>10</v>
      </c>
      <c r="N47" s="123">
        <v>10</v>
      </c>
      <c r="O47" s="123">
        <v>10</v>
      </c>
      <c r="P47" s="123">
        <v>10</v>
      </c>
      <c r="Q47" s="123">
        <v>10</v>
      </c>
      <c r="R47" s="123">
        <v>10</v>
      </c>
      <c r="S47" s="123">
        <v>10</v>
      </c>
      <c r="T47" s="123">
        <v>10</v>
      </c>
      <c r="U47" s="123">
        <v>10</v>
      </c>
      <c r="V47" s="123">
        <v>10</v>
      </c>
      <c r="W47" s="123">
        <v>10</v>
      </c>
      <c r="X47" s="123">
        <v>10</v>
      </c>
      <c r="Y47" s="123">
        <v>10</v>
      </c>
      <c r="Z47" s="103">
        <v>10</v>
      </c>
      <c r="AA47" s="103">
        <v>10</v>
      </c>
      <c r="AB47" s="103">
        <v>10</v>
      </c>
      <c r="AC47" s="103">
        <v>10</v>
      </c>
      <c r="AD47" s="103">
        <v>10</v>
      </c>
      <c r="AE47" s="103">
        <v>10</v>
      </c>
      <c r="AF47" s="103">
        <v>10</v>
      </c>
      <c r="AG47" s="106">
        <v>14.1</v>
      </c>
      <c r="AH47" s="21">
        <f t="shared" si="2"/>
        <v>10</v>
      </c>
      <c r="AI47" s="20">
        <f t="shared" si="3"/>
        <v>10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6.1</v>
      </c>
      <c r="C48" s="123">
        <v>6.1</v>
      </c>
      <c r="D48" s="123">
        <v>6.1</v>
      </c>
      <c r="E48" s="123">
        <v>6.1</v>
      </c>
      <c r="F48" s="123">
        <v>6.1</v>
      </c>
      <c r="G48" s="123">
        <v>6.1</v>
      </c>
      <c r="H48" s="123">
        <v>7</v>
      </c>
      <c r="I48" s="123">
        <v>7.1</v>
      </c>
      <c r="J48" s="123">
        <v>7.1</v>
      </c>
      <c r="K48" s="123">
        <v>7.1</v>
      </c>
      <c r="L48" s="123">
        <v>7.1</v>
      </c>
      <c r="M48" s="123">
        <v>7.1</v>
      </c>
      <c r="N48" s="123">
        <v>7.1</v>
      </c>
      <c r="O48" s="123">
        <v>7.1</v>
      </c>
      <c r="P48" s="123">
        <v>7.1</v>
      </c>
      <c r="Q48" s="123">
        <v>7.1</v>
      </c>
      <c r="R48" s="123">
        <v>7.1</v>
      </c>
      <c r="S48" s="123">
        <v>7.1</v>
      </c>
      <c r="T48" s="123">
        <v>7.1</v>
      </c>
      <c r="U48" s="123">
        <v>7.1</v>
      </c>
      <c r="V48" s="123">
        <v>7.1</v>
      </c>
      <c r="W48" s="123">
        <v>7.1</v>
      </c>
      <c r="X48" s="123">
        <v>7.1</v>
      </c>
      <c r="Y48" s="123">
        <v>7.1</v>
      </c>
      <c r="Z48" s="103">
        <v>6.1</v>
      </c>
      <c r="AA48" s="103">
        <v>6.1</v>
      </c>
      <c r="AB48" s="103">
        <v>6.1</v>
      </c>
      <c r="AC48" s="103">
        <v>6.1</v>
      </c>
      <c r="AD48" s="103">
        <v>6.1</v>
      </c>
      <c r="AE48" s="103">
        <v>6.1</v>
      </c>
      <c r="AF48" s="103">
        <v>6.1</v>
      </c>
      <c r="AG48" s="106">
        <v>14</v>
      </c>
      <c r="AH48" s="21">
        <f t="shared" si="2"/>
        <v>7.1</v>
      </c>
      <c r="AI48" s="20">
        <f t="shared" si="3"/>
        <v>6.1</v>
      </c>
      <c r="AK48" s="42"/>
    </row>
    <row r="49" spans="1:37" x14ac:dyDescent="0.25">
      <c r="A49" s="107" t="s">
        <v>162</v>
      </c>
      <c r="B49" s="123">
        <v>5.8</v>
      </c>
      <c r="C49" s="123">
        <v>5.8</v>
      </c>
      <c r="D49" s="123">
        <v>5.8</v>
      </c>
      <c r="E49" s="123">
        <v>5.8</v>
      </c>
      <c r="F49" s="123">
        <v>5.8</v>
      </c>
      <c r="G49" s="123">
        <v>5.8</v>
      </c>
      <c r="H49" s="123">
        <v>5.8</v>
      </c>
      <c r="I49" s="123">
        <v>5.8</v>
      </c>
      <c r="J49" s="123">
        <v>5.8</v>
      </c>
      <c r="K49" s="123">
        <v>5.8</v>
      </c>
      <c r="L49" s="123">
        <v>5.8</v>
      </c>
      <c r="M49" s="123">
        <v>5.8</v>
      </c>
      <c r="N49" s="123">
        <v>5.8</v>
      </c>
      <c r="O49" s="123">
        <v>5.8</v>
      </c>
      <c r="P49" s="123">
        <v>5.8</v>
      </c>
      <c r="Q49" s="123">
        <v>5.8</v>
      </c>
      <c r="R49" s="123">
        <v>5.8</v>
      </c>
      <c r="S49" s="123">
        <v>5.8</v>
      </c>
      <c r="T49" s="123">
        <v>5.8</v>
      </c>
      <c r="U49" s="123">
        <v>5.8</v>
      </c>
      <c r="V49" s="123">
        <v>5.8</v>
      </c>
      <c r="W49" s="123">
        <v>5.8</v>
      </c>
      <c r="X49" s="123">
        <v>5.8</v>
      </c>
      <c r="Y49" s="123">
        <v>5.8</v>
      </c>
      <c r="Z49" s="103">
        <v>5.8</v>
      </c>
      <c r="AA49" s="103">
        <v>5.8</v>
      </c>
      <c r="AB49" s="103">
        <v>5.8</v>
      </c>
      <c r="AC49" s="103">
        <v>5.8</v>
      </c>
      <c r="AD49" s="103">
        <v>5.8</v>
      </c>
      <c r="AE49" s="103">
        <v>5.8</v>
      </c>
      <c r="AF49" s="103">
        <v>5.8</v>
      </c>
      <c r="AG49" s="106">
        <v>10.050000000000001</v>
      </c>
      <c r="AH49" s="21">
        <f t="shared" si="2"/>
        <v>5.8</v>
      </c>
      <c r="AI49" s="20">
        <f t="shared" si="3"/>
        <v>5.8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283.34000000000003</v>
      </c>
      <c r="C52" s="99">
        <f t="shared" ref="C52:AF52" si="6">SUM(C39:C51)</f>
        <v>256.34000000000003</v>
      </c>
      <c r="D52" s="99">
        <f t="shared" si="6"/>
        <v>171.34</v>
      </c>
      <c r="E52" s="99">
        <f t="shared" si="6"/>
        <v>102.84</v>
      </c>
      <c r="F52" s="99">
        <f t="shared" si="6"/>
        <v>102.84</v>
      </c>
      <c r="G52" s="99">
        <f t="shared" si="6"/>
        <v>102.84</v>
      </c>
      <c r="H52" s="99">
        <f t="shared" si="6"/>
        <v>190.24</v>
      </c>
      <c r="I52" s="99">
        <f t="shared" si="6"/>
        <v>263.04000000000002</v>
      </c>
      <c r="J52" s="99">
        <f t="shared" si="6"/>
        <v>311.54000000000008</v>
      </c>
      <c r="K52" s="99">
        <f t="shared" si="6"/>
        <v>382.14000000000004</v>
      </c>
      <c r="L52" s="99">
        <f t="shared" si="6"/>
        <v>384.74</v>
      </c>
      <c r="M52" s="99">
        <f t="shared" si="6"/>
        <v>399.54000000000008</v>
      </c>
      <c r="N52" s="99">
        <f t="shared" si="6"/>
        <v>369.74000000000007</v>
      </c>
      <c r="O52" s="99">
        <f t="shared" si="6"/>
        <v>315.24000000000007</v>
      </c>
      <c r="P52" s="99">
        <f t="shared" si="6"/>
        <v>262.44</v>
      </c>
      <c r="Q52" s="99">
        <f t="shared" si="6"/>
        <v>287.04000000000008</v>
      </c>
      <c r="R52" s="99">
        <f t="shared" si="6"/>
        <v>270.24</v>
      </c>
      <c r="S52" s="99">
        <f t="shared" si="6"/>
        <v>250.64000000000001</v>
      </c>
      <c r="T52" s="99">
        <f t="shared" si="6"/>
        <v>205.64</v>
      </c>
      <c r="U52" s="99">
        <f t="shared" si="6"/>
        <v>243.54</v>
      </c>
      <c r="V52" s="99">
        <f t="shared" si="6"/>
        <v>316.34000000000003</v>
      </c>
      <c r="W52" s="99">
        <f t="shared" si="6"/>
        <v>315.94000000000005</v>
      </c>
      <c r="X52" s="99">
        <f t="shared" si="6"/>
        <v>315.94000000000005</v>
      </c>
      <c r="Y52" s="99">
        <f t="shared" si="6"/>
        <v>364.34000000000003</v>
      </c>
      <c r="Z52" s="99">
        <f t="shared" si="6"/>
        <v>419.54000000000008</v>
      </c>
      <c r="AA52" s="99">
        <f t="shared" si="6"/>
        <v>419.54000000000008</v>
      </c>
      <c r="AB52" s="99">
        <f t="shared" si="6"/>
        <v>417.34000000000003</v>
      </c>
      <c r="AC52" s="99">
        <f t="shared" si="6"/>
        <v>281.34000000000003</v>
      </c>
      <c r="AD52" s="99">
        <f t="shared" si="6"/>
        <v>272.34000000000003</v>
      </c>
      <c r="AE52" s="99">
        <f t="shared" si="6"/>
        <v>259.34000000000003</v>
      </c>
      <c r="AF52" s="99">
        <f t="shared" si="6"/>
        <v>269.34000000000003</v>
      </c>
      <c r="AG52" s="98">
        <f>SUM(AG39:AG51)</f>
        <v>489.91</v>
      </c>
      <c r="AH52" s="21">
        <f t="shared" si="2"/>
        <v>419.54000000000008</v>
      </c>
      <c r="AI52" s="20">
        <f t="shared" si="3"/>
        <v>102.84</v>
      </c>
      <c r="AK52" s="42"/>
    </row>
    <row r="53" spans="1:37" x14ac:dyDescent="0.25">
      <c r="A53" s="109" t="s">
        <v>159</v>
      </c>
      <c r="B53" s="103">
        <v>50</v>
      </c>
      <c r="C53" s="123">
        <v>60</v>
      </c>
      <c r="D53" s="123">
        <v>40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35</v>
      </c>
      <c r="K53" s="123">
        <v>40</v>
      </c>
      <c r="L53" s="123">
        <v>40</v>
      </c>
      <c r="M53" s="122">
        <v>40</v>
      </c>
      <c r="N53" s="122">
        <v>40</v>
      </c>
      <c r="O53" s="122">
        <v>24</v>
      </c>
      <c r="P53" s="122">
        <v>14</v>
      </c>
      <c r="Q53" s="103">
        <v>14</v>
      </c>
      <c r="R53" s="103">
        <v>14</v>
      </c>
      <c r="S53" s="103">
        <v>29.1</v>
      </c>
      <c r="T53" s="103">
        <v>55.1</v>
      </c>
      <c r="U53" s="103">
        <v>55.1</v>
      </c>
      <c r="V53" s="103">
        <v>55.1</v>
      </c>
      <c r="W53" s="103">
        <v>19.7</v>
      </c>
      <c r="X53" s="103">
        <v>19.600000000000001</v>
      </c>
      <c r="Y53" s="103">
        <v>19.600000000000001</v>
      </c>
      <c r="Z53" s="103">
        <v>50</v>
      </c>
      <c r="AA53" s="103">
        <v>20</v>
      </c>
      <c r="AB53" s="103">
        <v>30</v>
      </c>
      <c r="AC53" s="103">
        <v>29</v>
      </c>
      <c r="AD53" s="103">
        <v>29.4</v>
      </c>
      <c r="AE53" s="103">
        <v>59</v>
      </c>
      <c r="AF53" s="103">
        <v>59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25</v>
      </c>
      <c r="C54" s="123">
        <v>28</v>
      </c>
      <c r="D54" s="123">
        <v>20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16.7</v>
      </c>
      <c r="K54" s="123">
        <v>17.100000000000001</v>
      </c>
      <c r="L54" s="123">
        <v>17.8</v>
      </c>
      <c r="M54" s="122">
        <v>16.899999999999999</v>
      </c>
      <c r="N54" s="122">
        <v>16.899999999999999</v>
      </c>
      <c r="O54" s="122">
        <v>9.9</v>
      </c>
      <c r="P54" s="122">
        <v>4</v>
      </c>
      <c r="Q54" s="73">
        <v>27.3</v>
      </c>
      <c r="R54" s="73">
        <v>18.8</v>
      </c>
      <c r="S54" s="103">
        <v>14.8</v>
      </c>
      <c r="T54" s="103">
        <v>24.8</v>
      </c>
      <c r="U54" s="103">
        <v>24.8</v>
      </c>
      <c r="V54" s="103">
        <v>24.8</v>
      </c>
      <c r="W54" s="73">
        <v>9.9</v>
      </c>
      <c r="X54" s="73">
        <v>8.8000000000000007</v>
      </c>
      <c r="Y54" s="73">
        <v>8.8000000000000007</v>
      </c>
      <c r="Z54" s="73">
        <v>17.899999999999999</v>
      </c>
      <c r="AA54" s="73">
        <v>8.5</v>
      </c>
      <c r="AB54" s="73">
        <v>9</v>
      </c>
      <c r="AC54" s="73">
        <v>15</v>
      </c>
      <c r="AD54" s="73">
        <v>14.2</v>
      </c>
      <c r="AE54" s="73">
        <v>28</v>
      </c>
      <c r="AF54" s="73">
        <v>28</v>
      </c>
      <c r="AG54" s="106">
        <v>32</v>
      </c>
      <c r="AH54" s="21">
        <f t="shared" si="2"/>
        <v>28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12</v>
      </c>
      <c r="C55" s="120">
        <v>10.199999999999999</v>
      </c>
      <c r="D55" s="120">
        <v>7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6.1</v>
      </c>
      <c r="K55" s="120">
        <v>6.3</v>
      </c>
      <c r="L55" s="120">
        <v>6.5</v>
      </c>
      <c r="M55" s="119">
        <v>6.2</v>
      </c>
      <c r="N55" s="119">
        <v>6.2</v>
      </c>
      <c r="O55" s="119">
        <v>3.6</v>
      </c>
      <c r="P55" s="119">
        <v>1.4</v>
      </c>
      <c r="Q55" s="118">
        <v>10</v>
      </c>
      <c r="R55" s="118">
        <v>6.8</v>
      </c>
      <c r="S55" s="103">
        <v>5.4</v>
      </c>
      <c r="T55" s="103">
        <v>9.1</v>
      </c>
      <c r="U55" s="103">
        <v>9.1</v>
      </c>
      <c r="V55" s="103">
        <v>9.1</v>
      </c>
      <c r="W55" s="118">
        <v>3.6</v>
      </c>
      <c r="X55" s="118">
        <v>3.2</v>
      </c>
      <c r="Y55" s="118">
        <v>3.2</v>
      </c>
      <c r="Z55" s="118">
        <v>6.5</v>
      </c>
      <c r="AA55" s="118">
        <v>3.1</v>
      </c>
      <c r="AB55" s="118">
        <v>3.3</v>
      </c>
      <c r="AC55" s="118">
        <v>5.6</v>
      </c>
      <c r="AD55" s="118">
        <v>5.2</v>
      </c>
      <c r="AE55" s="118">
        <v>10.3</v>
      </c>
      <c r="AF55" s="118">
        <v>10</v>
      </c>
      <c r="AG55" s="117">
        <v>14</v>
      </c>
      <c r="AH55" s="21">
        <f t="shared" si="2"/>
        <v>12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87</v>
      </c>
      <c r="C56" s="99">
        <f>SUM(C53:C55)</f>
        <v>98.2</v>
      </c>
      <c r="D56" s="99">
        <f t="shared" ref="D56:AF56" si="7">SUM(D53:D55)</f>
        <v>67</v>
      </c>
      <c r="E56" s="99">
        <f t="shared" si="7"/>
        <v>0</v>
      </c>
      <c r="F56" s="99">
        <f t="shared" si="7"/>
        <v>0</v>
      </c>
      <c r="G56" s="99">
        <f t="shared" si="7"/>
        <v>0</v>
      </c>
      <c r="H56" s="99">
        <f t="shared" si="7"/>
        <v>0</v>
      </c>
      <c r="I56" s="99">
        <f t="shared" si="7"/>
        <v>0</v>
      </c>
      <c r="J56" s="99">
        <f t="shared" si="7"/>
        <v>57.800000000000004</v>
      </c>
      <c r="K56" s="99">
        <f t="shared" si="7"/>
        <v>63.4</v>
      </c>
      <c r="L56" s="99">
        <f t="shared" si="7"/>
        <v>64.3</v>
      </c>
      <c r="M56" s="99">
        <f t="shared" si="7"/>
        <v>63.1</v>
      </c>
      <c r="N56" s="99">
        <f t="shared" si="7"/>
        <v>63.1</v>
      </c>
      <c r="O56" s="99">
        <f t="shared" si="7"/>
        <v>37.5</v>
      </c>
      <c r="P56" s="99">
        <f t="shared" si="7"/>
        <v>19.399999999999999</v>
      </c>
      <c r="Q56" s="99">
        <f t="shared" si="7"/>
        <v>51.3</v>
      </c>
      <c r="R56" s="99">
        <f t="shared" si="7"/>
        <v>39.599999999999994</v>
      </c>
      <c r="S56" s="99">
        <f t="shared" si="7"/>
        <v>49.300000000000004</v>
      </c>
      <c r="T56" s="99">
        <f t="shared" si="7"/>
        <v>89</v>
      </c>
      <c r="U56" s="99">
        <f t="shared" si="7"/>
        <v>89</v>
      </c>
      <c r="V56" s="99">
        <f t="shared" si="7"/>
        <v>89</v>
      </c>
      <c r="W56" s="99">
        <f t="shared" si="7"/>
        <v>33.200000000000003</v>
      </c>
      <c r="X56" s="99">
        <f t="shared" si="7"/>
        <v>31.6</v>
      </c>
      <c r="Y56" s="99">
        <f t="shared" si="7"/>
        <v>31.6</v>
      </c>
      <c r="Z56" s="99">
        <f t="shared" si="7"/>
        <v>74.400000000000006</v>
      </c>
      <c r="AA56" s="99">
        <f t="shared" si="7"/>
        <v>31.6</v>
      </c>
      <c r="AB56" s="99">
        <f t="shared" si="7"/>
        <v>42.3</v>
      </c>
      <c r="AC56" s="99">
        <f t="shared" si="7"/>
        <v>49.6</v>
      </c>
      <c r="AD56" s="99">
        <f t="shared" si="7"/>
        <v>48.8</v>
      </c>
      <c r="AE56" s="99">
        <f t="shared" si="7"/>
        <v>97.3</v>
      </c>
      <c r="AF56" s="99">
        <f t="shared" si="7"/>
        <v>97</v>
      </c>
      <c r="AG56" s="98">
        <f>SUM(AG53:AG55)</f>
        <v>106</v>
      </c>
      <c r="AH56" s="21">
        <f t="shared" si="2"/>
        <v>98.2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60</v>
      </c>
      <c r="C57" s="103">
        <v>27</v>
      </c>
      <c r="D57" s="103">
        <v>70</v>
      </c>
      <c r="E57" s="103">
        <v>71.400000000000006</v>
      </c>
      <c r="F57" s="103">
        <v>69.7</v>
      </c>
      <c r="G57" s="103">
        <v>73.5</v>
      </c>
      <c r="H57" s="103">
        <v>66.7</v>
      </c>
      <c r="I57" s="103">
        <v>70.3</v>
      </c>
      <c r="J57" s="103">
        <v>17</v>
      </c>
      <c r="K57" s="103">
        <v>30.9</v>
      </c>
      <c r="L57" s="103">
        <v>24.5</v>
      </c>
      <c r="M57" s="103">
        <v>55.6</v>
      </c>
      <c r="N57" s="103">
        <v>57.2</v>
      </c>
      <c r="O57" s="103">
        <v>69</v>
      </c>
      <c r="P57" s="103">
        <v>77.53</v>
      </c>
      <c r="Q57" s="103">
        <v>69.3</v>
      </c>
      <c r="R57" s="103">
        <v>70.069999999999993</v>
      </c>
      <c r="S57" s="103">
        <v>77.66</v>
      </c>
      <c r="T57" s="103">
        <v>74</v>
      </c>
      <c r="U57" s="103">
        <v>75.900000000000006</v>
      </c>
      <c r="V57" s="103">
        <v>70</v>
      </c>
      <c r="W57" s="103">
        <v>71.099999999999994</v>
      </c>
      <c r="X57" s="103">
        <v>72.099999999999994</v>
      </c>
      <c r="Y57" s="103">
        <v>59.1</v>
      </c>
      <c r="Z57" s="103">
        <v>60.2</v>
      </c>
      <c r="AA57" s="103">
        <v>55.4</v>
      </c>
      <c r="AB57" s="103">
        <v>56</v>
      </c>
      <c r="AC57" s="103">
        <v>74</v>
      </c>
      <c r="AD57" s="103">
        <v>74</v>
      </c>
      <c r="AE57" s="103">
        <v>70</v>
      </c>
      <c r="AF57" s="103">
        <v>68</v>
      </c>
      <c r="AG57" s="108"/>
      <c r="AH57" s="21">
        <f t="shared" si="2"/>
        <v>77.66</v>
      </c>
      <c r="AI57" s="20">
        <f t="shared" si="3"/>
        <v>17</v>
      </c>
      <c r="AK57" s="42"/>
    </row>
    <row r="58" spans="1:37" x14ac:dyDescent="0.25">
      <c r="A58" s="107" t="s">
        <v>138</v>
      </c>
      <c r="B58" s="73">
        <v>95</v>
      </c>
      <c r="C58" s="73">
        <v>96</v>
      </c>
      <c r="D58" s="73">
        <v>86</v>
      </c>
      <c r="E58" s="73">
        <v>0</v>
      </c>
      <c r="F58" s="73">
        <v>0</v>
      </c>
      <c r="G58" s="73">
        <v>0</v>
      </c>
      <c r="H58" s="73">
        <v>105</v>
      </c>
      <c r="I58" s="73">
        <v>112</v>
      </c>
      <c r="J58" s="73">
        <v>118</v>
      </c>
      <c r="K58" s="73">
        <v>125</v>
      </c>
      <c r="L58" s="73">
        <v>130</v>
      </c>
      <c r="M58" s="103">
        <v>132</v>
      </c>
      <c r="N58" s="103">
        <v>118</v>
      </c>
      <c r="O58" s="103">
        <v>106.4</v>
      </c>
      <c r="P58" s="103">
        <v>74.5</v>
      </c>
      <c r="Q58" s="103">
        <v>102</v>
      </c>
      <c r="R58" s="103">
        <v>68.400000000000006</v>
      </c>
      <c r="S58" s="103">
        <v>71.7</v>
      </c>
      <c r="T58" s="103">
        <v>71.3</v>
      </c>
      <c r="U58" s="103">
        <v>117</v>
      </c>
      <c r="V58" s="103">
        <v>122</v>
      </c>
      <c r="W58" s="103">
        <v>130</v>
      </c>
      <c r="X58" s="116">
        <v>137</v>
      </c>
      <c r="Y58" s="116">
        <v>137</v>
      </c>
      <c r="Z58" s="116">
        <v>140</v>
      </c>
      <c r="AA58" s="116">
        <v>120</v>
      </c>
      <c r="AB58" s="73">
        <v>104</v>
      </c>
      <c r="AC58" s="73">
        <v>100</v>
      </c>
      <c r="AD58" s="73">
        <v>106</v>
      </c>
      <c r="AE58" s="73">
        <v>97</v>
      </c>
      <c r="AF58" s="73">
        <v>99</v>
      </c>
      <c r="AG58" s="106"/>
      <c r="AH58" s="21">
        <f t="shared" si="2"/>
        <v>140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95</v>
      </c>
      <c r="C59" s="73">
        <v>0</v>
      </c>
      <c r="D59" s="73">
        <v>150</v>
      </c>
      <c r="E59" s="73">
        <v>380.2</v>
      </c>
      <c r="F59" s="73">
        <v>368</v>
      </c>
      <c r="G59" s="73">
        <v>390</v>
      </c>
      <c r="H59" s="103">
        <v>119</v>
      </c>
      <c r="I59" s="103">
        <v>0</v>
      </c>
      <c r="J59" s="103">
        <v>28.9</v>
      </c>
      <c r="K59" s="103">
        <v>55</v>
      </c>
      <c r="L59" s="103">
        <v>50.8</v>
      </c>
      <c r="M59" s="73">
        <v>50.4</v>
      </c>
      <c r="N59" s="73">
        <v>58</v>
      </c>
      <c r="O59" s="73">
        <v>288</v>
      </c>
      <c r="P59" s="73">
        <v>376</v>
      </c>
      <c r="Q59" s="73">
        <v>179</v>
      </c>
      <c r="R59" s="73">
        <v>370</v>
      </c>
      <c r="S59" s="73">
        <v>388.8</v>
      </c>
      <c r="T59" s="73">
        <v>399</v>
      </c>
      <c r="U59" s="73">
        <v>234</v>
      </c>
      <c r="V59" s="73">
        <v>198</v>
      </c>
      <c r="W59" s="73">
        <v>241</v>
      </c>
      <c r="X59" s="115">
        <v>266</v>
      </c>
      <c r="Y59" s="115">
        <v>255</v>
      </c>
      <c r="Z59" s="115">
        <v>230.8</v>
      </c>
      <c r="AA59" s="115">
        <v>58.1</v>
      </c>
      <c r="AB59" s="73">
        <v>41</v>
      </c>
      <c r="AC59" s="73">
        <v>190</v>
      </c>
      <c r="AD59" s="73">
        <v>200</v>
      </c>
      <c r="AE59" s="73">
        <v>0</v>
      </c>
      <c r="AF59" s="73">
        <v>4</v>
      </c>
      <c r="AG59" s="113"/>
      <c r="AH59" s="21">
        <f t="shared" si="2"/>
        <v>399</v>
      </c>
      <c r="AI59" s="20">
        <f t="shared" si="3"/>
        <v>0</v>
      </c>
      <c r="AK59" s="42"/>
    </row>
    <row r="60" spans="1:37" x14ac:dyDescent="0.25">
      <c r="A60" s="107" t="s">
        <v>139</v>
      </c>
      <c r="B60" s="77">
        <v>54</v>
      </c>
      <c r="C60" s="77">
        <v>50</v>
      </c>
      <c r="D60" s="77">
        <v>55</v>
      </c>
      <c r="E60" s="77">
        <v>47</v>
      </c>
      <c r="F60" s="77">
        <v>41</v>
      </c>
      <c r="G60" s="77">
        <v>47.7</v>
      </c>
      <c r="H60" s="77">
        <v>47</v>
      </c>
      <c r="I60" s="77">
        <v>48.9</v>
      </c>
      <c r="J60" s="77">
        <v>52.7</v>
      </c>
      <c r="K60" s="77">
        <v>55.9</v>
      </c>
      <c r="L60" s="77">
        <v>56.7</v>
      </c>
      <c r="M60" s="73">
        <v>51.1</v>
      </c>
      <c r="N60" s="73">
        <v>60</v>
      </c>
      <c r="O60" s="73">
        <v>54</v>
      </c>
      <c r="P60" s="73">
        <v>54.1</v>
      </c>
      <c r="Q60" s="73">
        <v>52</v>
      </c>
      <c r="R60" s="73">
        <v>46.1</v>
      </c>
      <c r="S60" s="73">
        <v>54.8</v>
      </c>
      <c r="T60" s="73">
        <v>55.1</v>
      </c>
      <c r="U60" s="73">
        <v>55.8</v>
      </c>
      <c r="V60" s="73">
        <v>55.8</v>
      </c>
      <c r="W60" s="73">
        <v>55.8</v>
      </c>
      <c r="X60" s="73">
        <v>47.6</v>
      </c>
      <c r="Y60" s="73">
        <v>47.6</v>
      </c>
      <c r="Z60" s="73">
        <v>47.8</v>
      </c>
      <c r="AA60" s="73">
        <v>41.3</v>
      </c>
      <c r="AB60" s="73">
        <v>19</v>
      </c>
      <c r="AC60" s="73">
        <v>45</v>
      </c>
      <c r="AD60" s="73">
        <v>45</v>
      </c>
      <c r="AE60" s="73">
        <v>43</v>
      </c>
      <c r="AF60" s="73">
        <v>51</v>
      </c>
      <c r="AG60" s="113"/>
      <c r="AH60" s="21">
        <f t="shared" si="2"/>
        <v>60</v>
      </c>
      <c r="AI60" s="20">
        <f t="shared" si="3"/>
        <v>19</v>
      </c>
      <c r="AK60" s="42"/>
    </row>
    <row r="61" spans="1:37" x14ac:dyDescent="0.25">
      <c r="A61" s="107" t="s">
        <v>154</v>
      </c>
      <c r="B61" s="103">
        <v>81</v>
      </c>
      <c r="C61" s="77">
        <v>80</v>
      </c>
      <c r="D61" s="77">
        <v>83</v>
      </c>
      <c r="E61" s="77">
        <v>79</v>
      </c>
      <c r="F61" s="77">
        <v>74.7</v>
      </c>
      <c r="G61" s="77">
        <v>81.099999999999994</v>
      </c>
      <c r="H61" s="77">
        <v>85</v>
      </c>
      <c r="I61" s="77">
        <v>81</v>
      </c>
      <c r="J61" s="77">
        <v>85.6</v>
      </c>
      <c r="K61" s="77">
        <v>73.8</v>
      </c>
      <c r="L61" s="77">
        <v>76.8</v>
      </c>
      <c r="M61" s="103">
        <v>65.2</v>
      </c>
      <c r="N61" s="103">
        <v>72.400000000000006</v>
      </c>
      <c r="O61" s="103">
        <v>73</v>
      </c>
      <c r="P61" s="103">
        <v>78.8</v>
      </c>
      <c r="Q61" s="103">
        <v>76.099999999999994</v>
      </c>
      <c r="R61" s="103">
        <v>84.4</v>
      </c>
      <c r="S61" s="103">
        <v>84.4</v>
      </c>
      <c r="T61" s="103">
        <v>84.4</v>
      </c>
      <c r="U61" s="103">
        <v>71.599999999999994</v>
      </c>
      <c r="V61" s="103">
        <v>0</v>
      </c>
      <c r="W61" s="103">
        <v>70</v>
      </c>
      <c r="X61" s="103">
        <v>70</v>
      </c>
      <c r="Y61" s="103">
        <v>75.900000000000006</v>
      </c>
      <c r="Z61" s="103">
        <v>77.2</v>
      </c>
      <c r="AA61" s="103">
        <v>66.7</v>
      </c>
      <c r="AB61" s="103">
        <v>81</v>
      </c>
      <c r="AC61" s="103">
        <v>90</v>
      </c>
      <c r="AD61" s="103">
        <v>86</v>
      </c>
      <c r="AE61" s="103">
        <v>80</v>
      </c>
      <c r="AF61" s="103">
        <v>75</v>
      </c>
      <c r="AG61" s="113"/>
      <c r="AH61" s="21">
        <f t="shared" si="2"/>
        <v>90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0</v>
      </c>
      <c r="C62" s="67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67">
        <v>0</v>
      </c>
      <c r="P62" s="67">
        <v>0</v>
      </c>
      <c r="Q62" s="67">
        <v>0</v>
      </c>
      <c r="R62" s="67">
        <v>0</v>
      </c>
      <c r="S62" s="67">
        <v>0</v>
      </c>
      <c r="T62" s="67">
        <v>5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67">
        <v>0</v>
      </c>
      <c r="AE62" s="67">
        <v>0</v>
      </c>
      <c r="AF62" s="67">
        <v>0</v>
      </c>
      <c r="AG62" s="113"/>
      <c r="AH62" s="21">
        <f t="shared" si="2"/>
        <v>5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77">
        <v>0</v>
      </c>
      <c r="F63" s="77">
        <v>0</v>
      </c>
      <c r="G63" s="77">
        <v>0</v>
      </c>
      <c r="H63" s="77">
        <v>0</v>
      </c>
      <c r="I63" s="103">
        <v>0</v>
      </c>
      <c r="J63" s="103">
        <v>0</v>
      </c>
      <c r="K63" s="103">
        <v>0</v>
      </c>
      <c r="L63" s="103">
        <v>0</v>
      </c>
      <c r="M63" s="103">
        <v>0</v>
      </c>
      <c r="N63" s="103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2</v>
      </c>
      <c r="C66" s="70">
        <v>2</v>
      </c>
      <c r="D66" s="70">
        <v>2</v>
      </c>
      <c r="E66" s="77">
        <v>2</v>
      </c>
      <c r="F66" s="77">
        <v>2</v>
      </c>
      <c r="G66" s="77">
        <v>2</v>
      </c>
      <c r="H66" s="77">
        <v>2</v>
      </c>
      <c r="I66" s="73">
        <v>2</v>
      </c>
      <c r="J66" s="73">
        <v>2</v>
      </c>
      <c r="K66" s="73">
        <v>10</v>
      </c>
      <c r="L66" s="73">
        <v>10</v>
      </c>
      <c r="M66" s="73">
        <v>10</v>
      </c>
      <c r="N66" s="73">
        <v>10</v>
      </c>
      <c r="O66" s="70">
        <v>10</v>
      </c>
      <c r="P66" s="70">
        <v>10</v>
      </c>
      <c r="Q66" s="70">
        <v>4</v>
      </c>
      <c r="R66" s="70">
        <v>4</v>
      </c>
      <c r="S66" s="70">
        <v>4</v>
      </c>
      <c r="T66" s="70">
        <v>4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102"/>
      <c r="AH66" s="21">
        <f t="shared" si="2"/>
        <v>10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7">
        <v>0</v>
      </c>
      <c r="F67" s="77">
        <v>0</v>
      </c>
      <c r="G67" s="77">
        <v>0</v>
      </c>
      <c r="H67" s="77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387</v>
      </c>
      <c r="C68" s="99">
        <f>SUM(C57:C67)</f>
        <v>255</v>
      </c>
      <c r="D68" s="99">
        <f t="shared" ref="D68:AF68" si="8">SUM(D57:D67)</f>
        <v>446</v>
      </c>
      <c r="E68" s="99">
        <f t="shared" si="8"/>
        <v>579.6</v>
      </c>
      <c r="F68" s="99">
        <f t="shared" si="8"/>
        <v>555.4</v>
      </c>
      <c r="G68" s="99">
        <f t="shared" si="8"/>
        <v>594.29999999999995</v>
      </c>
      <c r="H68" s="99">
        <f t="shared" si="8"/>
        <v>424.7</v>
      </c>
      <c r="I68" s="99">
        <f t="shared" si="8"/>
        <v>314.20000000000005</v>
      </c>
      <c r="J68" s="99">
        <f t="shared" si="8"/>
        <v>304.20000000000005</v>
      </c>
      <c r="K68" s="99">
        <f t="shared" si="8"/>
        <v>350.6</v>
      </c>
      <c r="L68" s="99">
        <f t="shared" si="8"/>
        <v>348.8</v>
      </c>
      <c r="M68" s="99">
        <f t="shared" si="8"/>
        <v>364.3</v>
      </c>
      <c r="N68" s="99">
        <f t="shared" si="8"/>
        <v>375.6</v>
      </c>
      <c r="O68" s="99">
        <f t="shared" si="8"/>
        <v>600.4</v>
      </c>
      <c r="P68" s="99">
        <f t="shared" si="8"/>
        <v>670.93</v>
      </c>
      <c r="Q68" s="99">
        <f t="shared" si="8"/>
        <v>482.4</v>
      </c>
      <c r="R68" s="99">
        <f t="shared" si="8"/>
        <v>642.97</v>
      </c>
      <c r="S68" s="99">
        <f t="shared" si="8"/>
        <v>681.36</v>
      </c>
      <c r="T68" s="99">
        <f t="shared" si="8"/>
        <v>692.8</v>
      </c>
      <c r="U68" s="99">
        <f t="shared" si="8"/>
        <v>554.29999999999995</v>
      </c>
      <c r="V68" s="99">
        <f t="shared" si="8"/>
        <v>445.8</v>
      </c>
      <c r="W68" s="99">
        <f t="shared" si="8"/>
        <v>567.90000000000009</v>
      </c>
      <c r="X68" s="99">
        <f t="shared" si="8"/>
        <v>592.70000000000005</v>
      </c>
      <c r="Y68" s="99">
        <f t="shared" si="8"/>
        <v>574.6</v>
      </c>
      <c r="Z68" s="99">
        <f t="shared" si="8"/>
        <v>556</v>
      </c>
      <c r="AA68" s="99">
        <f t="shared" si="8"/>
        <v>341.5</v>
      </c>
      <c r="AB68" s="99">
        <f t="shared" si="8"/>
        <v>301</v>
      </c>
      <c r="AC68" s="99">
        <f t="shared" si="8"/>
        <v>499</v>
      </c>
      <c r="AD68" s="99">
        <f t="shared" si="8"/>
        <v>511</v>
      </c>
      <c r="AE68" s="99">
        <f t="shared" si="8"/>
        <v>290</v>
      </c>
      <c r="AF68" s="99">
        <f t="shared" si="8"/>
        <v>297</v>
      </c>
      <c r="AG68" s="98">
        <f>SUM(AG57:AG67)</f>
        <v>0</v>
      </c>
      <c r="AH68" s="21">
        <f t="shared" si="2"/>
        <v>692.8</v>
      </c>
      <c r="AI68" s="20">
        <f t="shared" si="3"/>
        <v>255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1232.54</v>
      </c>
      <c r="C73" s="110">
        <f>C68+C56+C52+C38+C72</f>
        <v>1074.74</v>
      </c>
      <c r="D73" s="110">
        <f t="shared" ref="D73:AG73" si="10">D68+D56+D52+D38+D72</f>
        <v>1041.54</v>
      </c>
      <c r="E73" s="110">
        <f t="shared" si="10"/>
        <v>1039.6400000000001</v>
      </c>
      <c r="F73" s="110">
        <f t="shared" si="10"/>
        <v>1015.44</v>
      </c>
      <c r="G73" s="110">
        <f t="shared" si="10"/>
        <v>1082.3399999999999</v>
      </c>
      <c r="H73" s="110">
        <f t="shared" si="10"/>
        <v>1180.1400000000001</v>
      </c>
      <c r="I73" s="110">
        <f t="shared" si="10"/>
        <v>1192.44</v>
      </c>
      <c r="J73" s="110">
        <f t="shared" si="10"/>
        <v>1298.7400000000002</v>
      </c>
      <c r="K73" s="110">
        <f t="shared" si="10"/>
        <v>1391.3400000000001</v>
      </c>
      <c r="L73" s="110">
        <f t="shared" si="10"/>
        <v>1413.04</v>
      </c>
      <c r="M73" s="110">
        <f t="shared" si="10"/>
        <v>1393.24</v>
      </c>
      <c r="N73" s="110">
        <f t="shared" si="10"/>
        <v>1354.74</v>
      </c>
      <c r="O73" s="110">
        <f t="shared" si="10"/>
        <v>1315.64</v>
      </c>
      <c r="P73" s="110">
        <f t="shared" si="10"/>
        <v>1315.27</v>
      </c>
      <c r="Q73" s="110">
        <f t="shared" si="10"/>
        <v>1247.24</v>
      </c>
      <c r="R73" s="110">
        <f t="shared" si="10"/>
        <v>1315.31</v>
      </c>
      <c r="S73" s="110">
        <f t="shared" si="10"/>
        <v>1343.8</v>
      </c>
      <c r="T73" s="110">
        <f t="shared" si="10"/>
        <v>1349.94</v>
      </c>
      <c r="U73" s="110">
        <f t="shared" si="10"/>
        <v>1249.3399999999999</v>
      </c>
      <c r="V73" s="110">
        <f t="shared" si="10"/>
        <v>1241.6399999999999</v>
      </c>
      <c r="W73" s="110">
        <f t="shared" si="10"/>
        <v>1307.5400000000002</v>
      </c>
      <c r="X73" s="110">
        <f t="shared" si="10"/>
        <v>1330.7400000000002</v>
      </c>
      <c r="Y73" s="110">
        <f t="shared" si="10"/>
        <v>1401.04</v>
      </c>
      <c r="Z73" s="110">
        <f t="shared" si="10"/>
        <v>1576.3400000000001</v>
      </c>
      <c r="AA73" s="110">
        <f t="shared" si="10"/>
        <v>1519.0400000000002</v>
      </c>
      <c r="AB73" s="110">
        <f t="shared" si="10"/>
        <v>1467.0400000000002</v>
      </c>
      <c r="AC73" s="110">
        <f t="shared" si="10"/>
        <v>1436.3400000000001</v>
      </c>
      <c r="AD73" s="110">
        <f t="shared" si="10"/>
        <v>1378.54</v>
      </c>
      <c r="AE73" s="110">
        <f t="shared" si="10"/>
        <v>1273.0400000000002</v>
      </c>
      <c r="AF73" s="110">
        <f t="shared" si="10"/>
        <v>1199.7400000000002</v>
      </c>
      <c r="AG73" s="110">
        <f t="shared" si="10"/>
        <v>2144.14</v>
      </c>
      <c r="AH73" s="21">
        <f t="shared" si="2"/>
        <v>1576.3400000000001</v>
      </c>
      <c r="AI73" s="20">
        <f t="shared" si="3"/>
        <v>1015.44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>
        <v>70</v>
      </c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70</v>
      </c>
      <c r="AI74" s="20">
        <f t="shared" si="3"/>
        <v>70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1232.54</v>
      </c>
      <c r="C75" s="110">
        <f>C73+C74</f>
        <v>1074.74</v>
      </c>
      <c r="D75" s="110">
        <f t="shared" ref="D75:AF75" si="11">D72+D68+D56+D52+D38+D74</f>
        <v>1041.54</v>
      </c>
      <c r="E75" s="110">
        <f t="shared" si="11"/>
        <v>1039.6400000000001</v>
      </c>
      <c r="F75" s="110">
        <f t="shared" si="11"/>
        <v>1015.44</v>
      </c>
      <c r="G75" s="110">
        <f t="shared" si="11"/>
        <v>1082.3399999999999</v>
      </c>
      <c r="H75" s="110">
        <f t="shared" si="11"/>
        <v>1180.1400000000001</v>
      </c>
      <c r="I75" s="110">
        <f t="shared" si="11"/>
        <v>1192.44</v>
      </c>
      <c r="J75" s="110">
        <f t="shared" si="11"/>
        <v>1298.7400000000002</v>
      </c>
      <c r="K75" s="110">
        <f t="shared" si="11"/>
        <v>1391.3400000000001</v>
      </c>
      <c r="L75" s="110">
        <f t="shared" si="11"/>
        <v>1413.04</v>
      </c>
      <c r="M75" s="110">
        <f t="shared" si="11"/>
        <v>1393.24</v>
      </c>
      <c r="N75" s="110">
        <f t="shared" si="11"/>
        <v>1354.74</v>
      </c>
      <c r="O75" s="110">
        <f t="shared" si="11"/>
        <v>1315.64</v>
      </c>
      <c r="P75" s="110">
        <f t="shared" si="11"/>
        <v>1315.27</v>
      </c>
      <c r="Q75" s="110">
        <f t="shared" si="11"/>
        <v>1247.24</v>
      </c>
      <c r="R75" s="110">
        <f t="shared" si="11"/>
        <v>1315.31</v>
      </c>
      <c r="S75" s="110">
        <f t="shared" si="11"/>
        <v>1343.8</v>
      </c>
      <c r="T75" s="110">
        <f t="shared" si="11"/>
        <v>1349.94</v>
      </c>
      <c r="U75" s="110">
        <f t="shared" si="11"/>
        <v>1249.3399999999999</v>
      </c>
      <c r="V75" s="110">
        <f t="shared" si="11"/>
        <v>1311.6399999999999</v>
      </c>
      <c r="W75" s="110">
        <f t="shared" si="11"/>
        <v>1307.5400000000002</v>
      </c>
      <c r="X75" s="110">
        <f t="shared" si="11"/>
        <v>1330.7400000000002</v>
      </c>
      <c r="Y75" s="110">
        <f t="shared" si="11"/>
        <v>1401.04</v>
      </c>
      <c r="Z75" s="110">
        <f t="shared" si="11"/>
        <v>1576.3400000000001</v>
      </c>
      <c r="AA75" s="110">
        <f t="shared" si="11"/>
        <v>1519.0400000000002</v>
      </c>
      <c r="AB75" s="110">
        <f t="shared" si="11"/>
        <v>1467.0400000000002</v>
      </c>
      <c r="AC75" s="110">
        <f t="shared" si="11"/>
        <v>1436.3400000000001</v>
      </c>
      <c r="AD75" s="110">
        <f t="shared" si="11"/>
        <v>1378.54</v>
      </c>
      <c r="AE75" s="110">
        <f t="shared" si="11"/>
        <v>1273.0400000000002</v>
      </c>
      <c r="AF75" s="110">
        <f t="shared" si="11"/>
        <v>1199.7400000000002</v>
      </c>
      <c r="AG75" s="98">
        <f>AG72+AG68+AG56+AG52+AG38+AG74</f>
        <v>2144.14</v>
      </c>
      <c r="AH75" s="21">
        <f t="shared" si="2"/>
        <v>1576.3400000000001</v>
      </c>
      <c r="AI75" s="20">
        <f t="shared" si="3"/>
        <v>1015.44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2465.08</v>
      </c>
      <c r="C83" s="99">
        <f t="shared" ref="C83:AG83" si="20">SUM(C70:C82)</f>
        <v>2149.48</v>
      </c>
      <c r="D83" s="99">
        <f t="shared" si="20"/>
        <v>2083.08</v>
      </c>
      <c r="E83" s="99">
        <f t="shared" si="20"/>
        <v>2079.2800000000002</v>
      </c>
      <c r="F83" s="99">
        <f t="shared" si="20"/>
        <v>2030.88</v>
      </c>
      <c r="G83" s="99">
        <f t="shared" si="20"/>
        <v>2164.6799999999998</v>
      </c>
      <c r="H83" s="99">
        <f t="shared" si="20"/>
        <v>2360.2800000000002</v>
      </c>
      <c r="I83" s="99">
        <f t="shared" si="20"/>
        <v>2384.88</v>
      </c>
      <c r="J83" s="99">
        <f t="shared" si="20"/>
        <v>2597.4800000000005</v>
      </c>
      <c r="K83" s="99">
        <f t="shared" si="20"/>
        <v>2782.6800000000003</v>
      </c>
      <c r="L83" s="99">
        <f t="shared" si="20"/>
        <v>2826.08</v>
      </c>
      <c r="M83" s="99">
        <f t="shared" si="20"/>
        <v>2786.48</v>
      </c>
      <c r="N83" s="99">
        <f t="shared" si="20"/>
        <v>2709.48</v>
      </c>
      <c r="O83" s="99">
        <f t="shared" si="20"/>
        <v>2631.28</v>
      </c>
      <c r="P83" s="99">
        <f t="shared" si="20"/>
        <v>2630.54</v>
      </c>
      <c r="Q83" s="99">
        <f t="shared" si="20"/>
        <v>2494.48</v>
      </c>
      <c r="R83" s="99">
        <f t="shared" si="20"/>
        <v>2630.62</v>
      </c>
      <c r="S83" s="99">
        <f t="shared" si="20"/>
        <v>2687.6</v>
      </c>
      <c r="T83" s="99">
        <f t="shared" si="20"/>
        <v>2699.88</v>
      </c>
      <c r="U83" s="99">
        <f t="shared" si="20"/>
        <v>2498.6799999999998</v>
      </c>
      <c r="V83" s="99">
        <f t="shared" si="20"/>
        <v>2623.2799999999997</v>
      </c>
      <c r="W83" s="99">
        <f t="shared" si="20"/>
        <v>2615.0800000000004</v>
      </c>
      <c r="X83" s="99">
        <f t="shared" si="20"/>
        <v>2661.4800000000005</v>
      </c>
      <c r="Y83" s="99">
        <f t="shared" si="20"/>
        <v>2802.08</v>
      </c>
      <c r="Z83" s="99">
        <f t="shared" si="20"/>
        <v>3152.6800000000003</v>
      </c>
      <c r="AA83" s="99">
        <f t="shared" si="20"/>
        <v>3038.0800000000004</v>
      </c>
      <c r="AB83" s="99">
        <f t="shared" si="20"/>
        <v>2934.0800000000004</v>
      </c>
      <c r="AC83" s="99">
        <f t="shared" si="20"/>
        <v>2872.6800000000003</v>
      </c>
      <c r="AD83" s="99">
        <f t="shared" si="20"/>
        <v>2757.08</v>
      </c>
      <c r="AE83" s="99">
        <f t="shared" si="20"/>
        <v>2546.0800000000004</v>
      </c>
      <c r="AF83" s="99">
        <f t="shared" si="20"/>
        <v>2399.4800000000005</v>
      </c>
      <c r="AG83" s="98">
        <f t="shared" si="20"/>
        <v>4360.08</v>
      </c>
      <c r="AH83" s="21">
        <f t="shared" si="13"/>
        <v>3152.6800000000003</v>
      </c>
      <c r="AI83" s="20">
        <f t="shared" si="14"/>
        <v>2030.88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49.88</v>
      </c>
      <c r="C84" s="96">
        <v>49.95</v>
      </c>
      <c r="D84" s="96">
        <v>49.94</v>
      </c>
      <c r="E84" s="96">
        <v>49.966000000000001</v>
      </c>
      <c r="F84" s="96">
        <v>49.978999999999999</v>
      </c>
      <c r="G84" s="96">
        <v>49.981000000000002</v>
      </c>
      <c r="H84" s="96">
        <v>49.923000000000002</v>
      </c>
      <c r="I84" s="96">
        <v>49.993000000000002</v>
      </c>
      <c r="J84" s="96">
        <v>49.970999999999997</v>
      </c>
      <c r="K84" s="96">
        <v>49.936999999999998</v>
      </c>
      <c r="L84" s="96">
        <v>50.021999999999998</v>
      </c>
      <c r="M84" s="96">
        <v>50.036999999999999</v>
      </c>
      <c r="N84" s="96">
        <v>50.05</v>
      </c>
      <c r="O84" s="96">
        <v>50.01</v>
      </c>
      <c r="P84" s="96">
        <v>49.97</v>
      </c>
      <c r="Q84" s="96">
        <v>49.95</v>
      </c>
      <c r="R84" s="96">
        <v>50</v>
      </c>
      <c r="S84" s="96">
        <v>50.034999999999997</v>
      </c>
      <c r="T84" s="96">
        <v>50.01</v>
      </c>
      <c r="U84" s="96">
        <v>49.912999999999997</v>
      </c>
      <c r="V84" s="96">
        <v>49.935000000000002</v>
      </c>
      <c r="W84" s="96">
        <v>49.96</v>
      </c>
      <c r="X84" s="96">
        <v>49.932000000000002</v>
      </c>
      <c r="Y84" s="96">
        <v>49.854999999999997</v>
      </c>
      <c r="Z84" s="96">
        <v>50.026000000000003</v>
      </c>
      <c r="AA84" s="96">
        <v>49.941000000000003</v>
      </c>
      <c r="AB84" s="96">
        <v>49.97</v>
      </c>
      <c r="AC84" s="96">
        <v>49.98</v>
      </c>
      <c r="AD84" s="96">
        <v>50.05</v>
      </c>
      <c r="AE84" s="96">
        <v>49.98</v>
      </c>
      <c r="AF84" s="96">
        <v>49.9</v>
      </c>
      <c r="AG84" s="95"/>
      <c r="AH84" s="21">
        <f t="shared" si="13"/>
        <v>50.05</v>
      </c>
      <c r="AI84" s="20">
        <f t="shared" si="14"/>
        <v>49.854999999999997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129</v>
      </c>
      <c r="C85" s="73">
        <v>130.6</v>
      </c>
      <c r="D85" s="73">
        <v>130</v>
      </c>
      <c r="E85" s="73">
        <v>125</v>
      </c>
      <c r="F85" s="73">
        <v>125.5</v>
      </c>
      <c r="G85" s="73">
        <v>122.9</v>
      </c>
      <c r="H85" s="73">
        <v>127</v>
      </c>
      <c r="I85" s="73">
        <v>127.9</v>
      </c>
      <c r="J85" s="73">
        <v>126.4</v>
      </c>
      <c r="K85" s="73">
        <v>125.5</v>
      </c>
      <c r="L85" s="73">
        <v>125.6</v>
      </c>
      <c r="M85" s="73">
        <v>125.5</v>
      </c>
      <c r="N85" s="73">
        <v>126.3</v>
      </c>
      <c r="O85" s="73">
        <v>124.6</v>
      </c>
      <c r="P85" s="73">
        <v>123.5</v>
      </c>
      <c r="Q85" s="73">
        <v>123.5</v>
      </c>
      <c r="R85" s="73">
        <v>123.2</v>
      </c>
      <c r="S85" s="73">
        <v>124.1</v>
      </c>
      <c r="T85" s="73">
        <v>123.5</v>
      </c>
      <c r="U85" s="94">
        <v>126.8</v>
      </c>
      <c r="V85" s="94">
        <v>127.8</v>
      </c>
      <c r="W85" s="94">
        <v>127</v>
      </c>
      <c r="X85" s="94">
        <v>126.5</v>
      </c>
      <c r="Y85" s="94">
        <v>126.1</v>
      </c>
      <c r="Z85" s="94">
        <v>125.5</v>
      </c>
      <c r="AA85" s="94">
        <v>126.1</v>
      </c>
      <c r="AB85" s="73">
        <v>128</v>
      </c>
      <c r="AC85" s="73">
        <v>127</v>
      </c>
      <c r="AD85" s="73">
        <v>127</v>
      </c>
      <c r="AE85" s="73">
        <v>129</v>
      </c>
      <c r="AF85" s="73">
        <v>129</v>
      </c>
      <c r="AG85" s="89"/>
      <c r="AH85" s="21">
        <f t="shared" si="13"/>
        <v>130.6</v>
      </c>
      <c r="AI85" s="20">
        <f t="shared" si="14"/>
        <v>122.9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133</v>
      </c>
      <c r="C86" s="73">
        <v>134</v>
      </c>
      <c r="D86" s="73">
        <v>133</v>
      </c>
      <c r="E86" s="73">
        <v>128.30000000000001</v>
      </c>
      <c r="F86" s="73">
        <v>128.5</v>
      </c>
      <c r="G86" s="73">
        <v>126.1</v>
      </c>
      <c r="H86" s="73">
        <v>130</v>
      </c>
      <c r="I86" s="73">
        <v>130</v>
      </c>
      <c r="J86" s="73">
        <v>129.19999999999999</v>
      </c>
      <c r="K86" s="73">
        <v>128.19999999999999</v>
      </c>
      <c r="L86" s="73">
        <v>128</v>
      </c>
      <c r="M86" s="73">
        <v>128.6</v>
      </c>
      <c r="N86" s="73">
        <v>129.5</v>
      </c>
      <c r="O86" s="73">
        <v>126.8</v>
      </c>
      <c r="P86" s="73">
        <v>126.3</v>
      </c>
      <c r="Q86" s="73">
        <v>126.3</v>
      </c>
      <c r="R86" s="73">
        <v>64.3</v>
      </c>
      <c r="S86" s="73">
        <v>126.3</v>
      </c>
      <c r="T86" s="73">
        <v>126.3</v>
      </c>
      <c r="U86" s="94">
        <v>129.5</v>
      </c>
      <c r="V86" s="94">
        <v>130.1</v>
      </c>
      <c r="W86" s="94">
        <v>130.19999999999999</v>
      </c>
      <c r="X86" s="94">
        <v>129.19999999999999</v>
      </c>
      <c r="Y86" s="94">
        <v>128.80000000000001</v>
      </c>
      <c r="Z86" s="94">
        <v>128.5</v>
      </c>
      <c r="AA86" s="94">
        <v>129.1</v>
      </c>
      <c r="AB86" s="73">
        <v>132</v>
      </c>
      <c r="AC86" s="73">
        <v>130</v>
      </c>
      <c r="AD86" s="73">
        <v>131</v>
      </c>
      <c r="AE86" s="73">
        <v>132</v>
      </c>
      <c r="AF86" s="73">
        <v>132</v>
      </c>
      <c r="AG86" s="89"/>
      <c r="AH86" s="21">
        <f t="shared" si="13"/>
        <v>134</v>
      </c>
      <c r="AI86" s="20">
        <f t="shared" si="14"/>
        <v>64.3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133</v>
      </c>
      <c r="C87" s="73">
        <v>127</v>
      </c>
      <c r="D87" s="73">
        <v>133</v>
      </c>
      <c r="E87" s="73">
        <v>129.69999999999999</v>
      </c>
      <c r="F87" s="73">
        <v>130.1</v>
      </c>
      <c r="G87" s="73">
        <v>128.69999999999999</v>
      </c>
      <c r="H87" s="73">
        <v>132.30000000000001</v>
      </c>
      <c r="I87" s="73">
        <v>131.6</v>
      </c>
      <c r="J87" s="73">
        <v>128.69999999999999</v>
      </c>
      <c r="K87" s="73">
        <v>128.30000000000001</v>
      </c>
      <c r="L87" s="73">
        <v>129.6</v>
      </c>
      <c r="M87" s="73">
        <v>128.30000000000001</v>
      </c>
      <c r="N87" s="73">
        <v>127.7</v>
      </c>
      <c r="O87" s="73">
        <v>127.3</v>
      </c>
      <c r="P87" s="73">
        <v>130</v>
      </c>
      <c r="Q87" s="73">
        <v>130</v>
      </c>
      <c r="R87" s="73">
        <v>127.6</v>
      </c>
      <c r="S87" s="73">
        <v>129.69999999999999</v>
      </c>
      <c r="T87" s="73">
        <v>130.69999999999999</v>
      </c>
      <c r="U87" s="73">
        <v>128.4</v>
      </c>
      <c r="V87" s="73">
        <v>129</v>
      </c>
      <c r="W87" s="73">
        <v>129</v>
      </c>
      <c r="X87" s="94">
        <v>128.19999999999999</v>
      </c>
      <c r="Y87" s="94">
        <v>127.3</v>
      </c>
      <c r="Z87" s="94">
        <v>127.7</v>
      </c>
      <c r="AA87" s="94">
        <v>126.9</v>
      </c>
      <c r="AB87" s="73">
        <v>128</v>
      </c>
      <c r="AC87" s="73">
        <v>130</v>
      </c>
      <c r="AD87" s="73">
        <v>130</v>
      </c>
      <c r="AE87" s="73">
        <v>132</v>
      </c>
      <c r="AF87" s="73">
        <v>132</v>
      </c>
      <c r="AG87" s="89"/>
      <c r="AH87" s="21">
        <f t="shared" si="13"/>
        <v>133</v>
      </c>
      <c r="AI87" s="20">
        <f t="shared" si="14"/>
        <v>126.9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135</v>
      </c>
      <c r="C88" s="73">
        <v>132</v>
      </c>
      <c r="D88" s="73">
        <v>133</v>
      </c>
      <c r="E88" s="73">
        <v>131.5</v>
      </c>
      <c r="F88" s="73">
        <v>132.30000000000001</v>
      </c>
      <c r="G88" s="73">
        <v>130.69999999999999</v>
      </c>
      <c r="H88" s="73">
        <v>133.80000000000001</v>
      </c>
      <c r="I88" s="73">
        <v>132.30000000000001</v>
      </c>
      <c r="J88" s="73">
        <v>131.30000000000001</v>
      </c>
      <c r="K88" s="73">
        <v>130.80000000000001</v>
      </c>
      <c r="L88" s="73">
        <v>130.6</v>
      </c>
      <c r="M88" s="73">
        <v>129.30000000000001</v>
      </c>
      <c r="N88" s="73">
        <v>129.5</v>
      </c>
      <c r="O88" s="73">
        <v>128.69999999999999</v>
      </c>
      <c r="P88" s="73">
        <v>126.6</v>
      </c>
      <c r="Q88" s="73">
        <v>126.6</v>
      </c>
      <c r="R88" s="73">
        <v>128.69999999999999</v>
      </c>
      <c r="S88" s="73">
        <v>126.3</v>
      </c>
      <c r="T88" s="73">
        <v>127.1</v>
      </c>
      <c r="U88" s="73">
        <v>128.69999999999999</v>
      </c>
      <c r="V88" s="73">
        <v>128.80000000000001</v>
      </c>
      <c r="W88" s="73">
        <v>129</v>
      </c>
      <c r="X88" s="94">
        <v>128.30000000000001</v>
      </c>
      <c r="Y88" s="94">
        <v>123</v>
      </c>
      <c r="Z88" s="94">
        <v>123.3</v>
      </c>
      <c r="AA88" s="94">
        <v>126.5</v>
      </c>
      <c r="AB88" s="73">
        <v>130</v>
      </c>
      <c r="AC88" s="73">
        <v>132</v>
      </c>
      <c r="AD88" s="73">
        <v>133</v>
      </c>
      <c r="AE88" s="73">
        <v>133</v>
      </c>
      <c r="AF88" s="73">
        <v>133</v>
      </c>
      <c r="AG88" s="89"/>
      <c r="AH88" s="21">
        <f t="shared" si="13"/>
        <v>135</v>
      </c>
      <c r="AI88" s="20">
        <f t="shared" si="14"/>
        <v>123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132</v>
      </c>
      <c r="C89" s="66">
        <v>133.5</v>
      </c>
      <c r="D89" s="66">
        <v>131.6</v>
      </c>
      <c r="E89" s="66">
        <v>125.6</v>
      </c>
      <c r="F89" s="66">
        <v>126.1</v>
      </c>
      <c r="G89" s="66">
        <v>123.4</v>
      </c>
      <c r="H89" s="66">
        <v>131.6</v>
      </c>
      <c r="I89" s="66">
        <v>132.9</v>
      </c>
      <c r="J89" s="66">
        <v>134.80000000000001</v>
      </c>
      <c r="K89" s="66">
        <v>134.4</v>
      </c>
      <c r="L89" s="66">
        <v>131.6</v>
      </c>
      <c r="M89" s="66">
        <v>132.30000000000001</v>
      </c>
      <c r="N89" s="66">
        <v>134.1</v>
      </c>
      <c r="O89" s="66">
        <v>131.9</v>
      </c>
      <c r="P89" s="66">
        <v>130</v>
      </c>
      <c r="Q89" s="66">
        <v>130</v>
      </c>
      <c r="R89" s="66">
        <v>131.6</v>
      </c>
      <c r="S89" s="66">
        <v>131.80000000000001</v>
      </c>
      <c r="T89" s="66">
        <v>127</v>
      </c>
      <c r="U89" s="66">
        <v>137.4</v>
      </c>
      <c r="V89" s="66">
        <v>135.4</v>
      </c>
      <c r="W89" s="66">
        <v>134.30000000000001</v>
      </c>
      <c r="X89" s="94">
        <v>135.19999999999999</v>
      </c>
      <c r="Y89" s="94">
        <v>135.80000000000001</v>
      </c>
      <c r="Z89" s="94">
        <v>133.19999999999999</v>
      </c>
      <c r="AA89" s="94">
        <v>135.6</v>
      </c>
      <c r="AB89" s="66">
        <v>133.6</v>
      </c>
      <c r="AC89" s="66">
        <v>133</v>
      </c>
      <c r="AD89" s="66">
        <v>133</v>
      </c>
      <c r="AE89" s="66">
        <v>131</v>
      </c>
      <c r="AF89" s="66">
        <v>131</v>
      </c>
      <c r="AG89" s="91"/>
      <c r="AH89" s="21">
        <f t="shared" si="13"/>
        <v>137.4</v>
      </c>
      <c r="AI89" s="20">
        <f t="shared" si="14"/>
        <v>123.4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135</v>
      </c>
      <c r="C90" s="73">
        <v>135</v>
      </c>
      <c r="D90" s="73">
        <v>129</v>
      </c>
      <c r="E90" s="73">
        <v>129.1</v>
      </c>
      <c r="F90" s="73">
        <v>129.9</v>
      </c>
      <c r="G90" s="73">
        <v>128.80000000000001</v>
      </c>
      <c r="H90" s="73">
        <v>131.4</v>
      </c>
      <c r="I90" s="73">
        <v>130.30000000000001</v>
      </c>
      <c r="J90" s="73">
        <v>135</v>
      </c>
      <c r="K90" s="73">
        <v>133.5</v>
      </c>
      <c r="L90" s="73">
        <v>132</v>
      </c>
      <c r="M90" s="73">
        <v>133.9</v>
      </c>
      <c r="N90" s="73">
        <v>132.6</v>
      </c>
      <c r="O90" s="73">
        <v>127.3</v>
      </c>
      <c r="P90" s="73">
        <v>128.6</v>
      </c>
      <c r="Q90" s="73">
        <v>128.6</v>
      </c>
      <c r="R90" s="73">
        <v>133.80000000000001</v>
      </c>
      <c r="S90" s="73">
        <v>135.5</v>
      </c>
      <c r="T90" s="73">
        <v>135.80000000000001</v>
      </c>
      <c r="U90" s="73">
        <v>126</v>
      </c>
      <c r="V90" s="73">
        <v>136.1</v>
      </c>
      <c r="W90" s="73">
        <v>136</v>
      </c>
      <c r="X90" s="94">
        <v>134.4</v>
      </c>
      <c r="Y90" s="94">
        <v>130.80000000000001</v>
      </c>
      <c r="Z90" s="94">
        <v>135.80000000000001</v>
      </c>
      <c r="AA90" s="94">
        <v>132.6</v>
      </c>
      <c r="AB90" s="73">
        <v>128</v>
      </c>
      <c r="AC90" s="73">
        <v>132</v>
      </c>
      <c r="AD90" s="73">
        <v>131</v>
      </c>
      <c r="AE90" s="73">
        <v>132</v>
      </c>
      <c r="AF90" s="73">
        <v>132</v>
      </c>
      <c r="AG90" s="89"/>
      <c r="AH90" s="21">
        <f t="shared" si="13"/>
        <v>136.1</v>
      </c>
      <c r="AI90" s="20">
        <f t="shared" si="14"/>
        <v>126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67</v>
      </c>
      <c r="C91" s="87">
        <v>67.7</v>
      </c>
      <c r="D91" s="87">
        <v>67.599999999999994</v>
      </c>
      <c r="E91" s="87">
        <v>64.2</v>
      </c>
      <c r="F91" s="87">
        <v>64.5</v>
      </c>
      <c r="G91" s="87">
        <v>63.3</v>
      </c>
      <c r="H91" s="87">
        <v>65.099999999999994</v>
      </c>
      <c r="I91" s="87">
        <v>65.400000000000006</v>
      </c>
      <c r="J91" s="87">
        <v>65.3</v>
      </c>
      <c r="K91" s="87">
        <v>64.900000000000006</v>
      </c>
      <c r="L91" s="87">
        <v>64.900000000000006</v>
      </c>
      <c r="M91" s="87">
        <v>65.099999999999994</v>
      </c>
      <c r="N91" s="87">
        <v>65.599999999999994</v>
      </c>
      <c r="O91" s="87">
        <v>63.5</v>
      </c>
      <c r="P91" s="87">
        <v>63.5</v>
      </c>
      <c r="Q91" s="87">
        <v>63.5</v>
      </c>
      <c r="R91" s="87">
        <v>64.2</v>
      </c>
      <c r="S91" s="87">
        <v>63.2</v>
      </c>
      <c r="T91" s="87">
        <v>63.9</v>
      </c>
      <c r="U91" s="87">
        <v>65.2</v>
      </c>
      <c r="V91" s="87">
        <v>65.599999999999994</v>
      </c>
      <c r="W91" s="87">
        <v>65.8</v>
      </c>
      <c r="X91" s="87">
        <v>65.400000000000006</v>
      </c>
      <c r="Y91" s="87">
        <v>65.2</v>
      </c>
      <c r="Z91" s="87">
        <v>65.099999999999994</v>
      </c>
      <c r="AA91" s="87">
        <v>65.5</v>
      </c>
      <c r="AB91" s="87">
        <v>66.7</v>
      </c>
      <c r="AC91" s="87">
        <v>66.3</v>
      </c>
      <c r="AD91" s="87">
        <v>66.2</v>
      </c>
      <c r="AE91" s="87">
        <v>66.599999999999994</v>
      </c>
      <c r="AF91" s="87">
        <v>66.599999999999994</v>
      </c>
      <c r="AG91" s="86"/>
      <c r="AH91" s="21">
        <f t="shared" si="13"/>
        <v>67.7</v>
      </c>
      <c r="AI91" s="20">
        <f t="shared" si="14"/>
        <v>63.2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164.44</v>
      </c>
      <c r="C93" s="82">
        <f t="shared" si="21"/>
        <v>158.44</v>
      </c>
      <c r="D93" s="82">
        <f t="shared" si="21"/>
        <v>152.44</v>
      </c>
      <c r="E93" s="82">
        <f t="shared" si="21"/>
        <v>151.84</v>
      </c>
      <c r="F93" s="82">
        <f t="shared" si="21"/>
        <v>157.64000000000001</v>
      </c>
      <c r="G93" s="80">
        <f t="shared" si="21"/>
        <v>184.34</v>
      </c>
      <c r="H93" s="80">
        <f t="shared" si="21"/>
        <v>216.94</v>
      </c>
      <c r="I93" s="80">
        <f t="shared" si="21"/>
        <v>241.83999999999997</v>
      </c>
      <c r="J93" s="80">
        <f t="shared" si="21"/>
        <v>297.84000000000003</v>
      </c>
      <c r="K93" s="80">
        <f t="shared" si="21"/>
        <v>330.24000000000007</v>
      </c>
      <c r="L93" s="80">
        <f t="shared" si="21"/>
        <v>334.44000000000005</v>
      </c>
      <c r="M93" s="80">
        <f t="shared" si="21"/>
        <v>326.24</v>
      </c>
      <c r="N93" s="80">
        <f t="shared" si="21"/>
        <v>306.54000000000002</v>
      </c>
      <c r="O93" s="80">
        <f t="shared" si="21"/>
        <v>310.84000000000003</v>
      </c>
      <c r="P93" s="80">
        <f t="shared" si="21"/>
        <v>292.74000000000007</v>
      </c>
      <c r="Q93" s="80">
        <f t="shared" si="21"/>
        <v>287.54000000000008</v>
      </c>
      <c r="R93" s="80">
        <f t="shared" si="21"/>
        <v>278.04000000000002</v>
      </c>
      <c r="S93" s="80">
        <f t="shared" si="21"/>
        <v>280.64</v>
      </c>
      <c r="T93" s="80">
        <f t="shared" si="21"/>
        <v>292.54000000000008</v>
      </c>
      <c r="U93" s="80">
        <f t="shared" si="21"/>
        <v>292.94000000000005</v>
      </c>
      <c r="V93" s="80">
        <f t="shared" si="21"/>
        <v>281.24000000000007</v>
      </c>
      <c r="W93" s="80">
        <f t="shared" si="21"/>
        <v>277.84000000000003</v>
      </c>
      <c r="X93" s="80">
        <f t="shared" si="21"/>
        <v>304.34000000000003</v>
      </c>
      <c r="Y93" s="80">
        <f t="shared" si="21"/>
        <v>340.34000000000003</v>
      </c>
      <c r="Z93" s="80">
        <f t="shared" si="21"/>
        <v>383.94000000000005</v>
      </c>
      <c r="AA93" s="80">
        <f t="shared" si="21"/>
        <v>353.54</v>
      </c>
      <c r="AB93" s="80">
        <f t="shared" si="21"/>
        <v>313.14000000000004</v>
      </c>
      <c r="AC93" s="80">
        <f t="shared" si="21"/>
        <v>281.14</v>
      </c>
      <c r="AD93" s="80">
        <f t="shared" si="21"/>
        <v>274.14000000000004</v>
      </c>
      <c r="AE93" s="80">
        <f t="shared" si="21"/>
        <v>215.73999999999998</v>
      </c>
      <c r="AF93" s="80">
        <f t="shared" si="21"/>
        <v>176.14</v>
      </c>
      <c r="AG93" s="79"/>
      <c r="AH93" s="21">
        <f>MAX(C93:AF93)</f>
        <v>383.94000000000005</v>
      </c>
      <c r="AI93" s="20">
        <f>MIN(C93:AF93)</f>
        <v>151.84</v>
      </c>
    </row>
    <row r="94" spans="1:88" x14ac:dyDescent="0.25">
      <c r="A94" s="48" t="s">
        <v>122</v>
      </c>
      <c r="B94" s="78">
        <v>13</v>
      </c>
      <c r="C94" s="77">
        <v>8</v>
      </c>
      <c r="D94" s="77">
        <v>-13</v>
      </c>
      <c r="E94" s="77">
        <v>-46.4</v>
      </c>
      <c r="F94" s="77">
        <v>-47.3</v>
      </c>
      <c r="G94" s="76">
        <v>-50.7</v>
      </c>
      <c r="H94" s="76">
        <v>-14.1</v>
      </c>
      <c r="I94" s="76">
        <v>10.1</v>
      </c>
      <c r="J94" s="76">
        <v>-4</v>
      </c>
      <c r="K94" s="76">
        <v>15.3</v>
      </c>
      <c r="L94" s="76">
        <v>17.899999999999999</v>
      </c>
      <c r="M94" s="75">
        <v>53.2</v>
      </c>
      <c r="N94" s="75">
        <v>44.2</v>
      </c>
      <c r="O94" s="76">
        <v>24.6</v>
      </c>
      <c r="P94" s="76">
        <v>10.3</v>
      </c>
      <c r="Q94" s="76">
        <v>11.4</v>
      </c>
      <c r="R94" s="76">
        <v>4.2</v>
      </c>
      <c r="S94" s="76">
        <v>-3.4</v>
      </c>
      <c r="T94" s="76">
        <v>-25</v>
      </c>
      <c r="U94" s="75">
        <v>39.4</v>
      </c>
      <c r="V94" s="75">
        <v>25</v>
      </c>
      <c r="W94" s="75">
        <v>21.1</v>
      </c>
      <c r="X94" s="76">
        <v>25.5</v>
      </c>
      <c r="Y94" s="76">
        <v>39.4</v>
      </c>
      <c r="Z94" s="76">
        <v>38.700000000000003</v>
      </c>
      <c r="AA94" s="76">
        <v>37.200000000000003</v>
      </c>
      <c r="AB94" s="75">
        <v>30</v>
      </c>
      <c r="AC94" s="75">
        <v>7</v>
      </c>
      <c r="AD94" s="75">
        <v>2</v>
      </c>
      <c r="AE94" s="75">
        <v>2.6</v>
      </c>
      <c r="AF94" s="75">
        <v>12</v>
      </c>
      <c r="AG94" s="3">
        <v>75</v>
      </c>
      <c r="AH94" s="21">
        <f t="shared" ref="AH94:AH100" si="22">IF(ABS(MAX(C94:AF94))&gt;ABS(MIN(C94:AF94)),MAX(C94:AF94),MIN(C94:AF94))</f>
        <v>53.2</v>
      </c>
      <c r="AI94" s="64">
        <f t="shared" ref="AI94:AI100" si="23">INDEX($C$9:$AF$9,1,MATCH(AH94,C94:AF94,0))</f>
        <v>0.33333333333333331</v>
      </c>
    </row>
    <row r="95" spans="1:88" x14ac:dyDescent="0.25">
      <c r="A95" s="45" t="s">
        <v>121</v>
      </c>
      <c r="B95" s="74">
        <v>-40</v>
      </c>
      <c r="C95" s="67">
        <v>-42</v>
      </c>
      <c r="D95" s="67">
        <v>-40</v>
      </c>
      <c r="E95" s="67">
        <v>-48</v>
      </c>
      <c r="F95" s="67">
        <v>-43.3</v>
      </c>
      <c r="G95" s="67">
        <v>-30.6</v>
      </c>
      <c r="H95" s="67">
        <v>-27</v>
      </c>
      <c r="I95" s="67">
        <v>-14</v>
      </c>
      <c r="J95" s="67">
        <v>8</v>
      </c>
      <c r="K95" s="67">
        <v>16.3</v>
      </c>
      <c r="L95" s="67">
        <v>17</v>
      </c>
      <c r="M95" s="67">
        <v>7.8</v>
      </c>
      <c r="N95" s="67">
        <f>0.7-4.5</f>
        <v>-3.8</v>
      </c>
      <c r="O95" s="67">
        <f>10.5+9</f>
        <v>19.5</v>
      </c>
      <c r="P95" s="67">
        <f>15.2+15.7</f>
        <v>30.9</v>
      </c>
      <c r="Q95" s="67">
        <f>3.6-2.8</f>
        <v>0.80000000000000027</v>
      </c>
      <c r="R95" s="67">
        <f>5.5+2.4</f>
        <v>7.9</v>
      </c>
      <c r="S95" s="67">
        <v>19</v>
      </c>
      <c r="T95" s="67">
        <v>19</v>
      </c>
      <c r="U95" s="67">
        <v>3.6</v>
      </c>
      <c r="V95" s="67">
        <v>4</v>
      </c>
      <c r="W95" s="67">
        <v>2.9</v>
      </c>
      <c r="X95" s="67">
        <v>14</v>
      </c>
      <c r="Y95" s="67">
        <v>21</v>
      </c>
      <c r="Z95" s="67">
        <v>40</v>
      </c>
      <c r="AA95" s="67">
        <v>35</v>
      </c>
      <c r="AB95" s="73">
        <v>-3</v>
      </c>
      <c r="AC95" s="73">
        <v>10</v>
      </c>
      <c r="AD95" s="73">
        <v>-4</v>
      </c>
      <c r="AE95" s="73">
        <v>-28</v>
      </c>
      <c r="AF95" s="73">
        <v>-45</v>
      </c>
      <c r="AG95" s="3">
        <v>240</v>
      </c>
      <c r="AH95" s="21">
        <f t="shared" si="22"/>
        <v>-48</v>
      </c>
      <c r="AI95" s="64">
        <f t="shared" si="23"/>
        <v>0.125</v>
      </c>
    </row>
    <row r="96" spans="1:88" x14ac:dyDescent="0.25">
      <c r="A96" s="45" t="s">
        <v>120</v>
      </c>
      <c r="B96" s="74">
        <v>8</v>
      </c>
      <c r="C96" s="67">
        <v>20</v>
      </c>
      <c r="D96" s="67">
        <v>8</v>
      </c>
      <c r="E96" s="67">
        <v>0</v>
      </c>
      <c r="F96" s="67">
        <v>0</v>
      </c>
      <c r="G96" s="67">
        <v>0</v>
      </c>
      <c r="H96" s="67">
        <v>0</v>
      </c>
      <c r="I96" s="67">
        <v>0</v>
      </c>
      <c r="J96" s="67">
        <v>27.4</v>
      </c>
      <c r="K96" s="67">
        <v>28.3</v>
      </c>
      <c r="L96" s="67">
        <v>30.4</v>
      </c>
      <c r="M96" s="67">
        <v>25</v>
      </c>
      <c r="N96" s="67">
        <v>7.6</v>
      </c>
      <c r="O96" s="67">
        <v>0</v>
      </c>
      <c r="P96" s="67">
        <v>0</v>
      </c>
      <c r="Q96" s="67">
        <v>26.8</v>
      </c>
      <c r="R96" s="67">
        <v>0</v>
      </c>
      <c r="S96" s="67">
        <v>0</v>
      </c>
      <c r="T96" s="67">
        <v>29.8</v>
      </c>
      <c r="U96" s="67">
        <v>25</v>
      </c>
      <c r="V96" s="67">
        <v>29.3</v>
      </c>
      <c r="W96" s="67">
        <v>19.7</v>
      </c>
      <c r="X96" s="67">
        <v>18.5</v>
      </c>
      <c r="Y96" s="67">
        <v>22.5</v>
      </c>
      <c r="Z96" s="67">
        <v>40.700000000000003</v>
      </c>
      <c r="AA96" s="67">
        <v>29.1</v>
      </c>
      <c r="AB96" s="73">
        <v>18</v>
      </c>
      <c r="AC96" s="73">
        <v>14</v>
      </c>
      <c r="AD96" s="73">
        <v>14</v>
      </c>
      <c r="AE96" s="73">
        <v>24</v>
      </c>
      <c r="AF96" s="73">
        <v>17</v>
      </c>
      <c r="AG96" s="3">
        <v>60</v>
      </c>
      <c r="AH96" s="21">
        <f t="shared" si="22"/>
        <v>40.700000000000003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24</v>
      </c>
      <c r="C97" s="70">
        <v>13</v>
      </c>
      <c r="D97" s="70">
        <v>33</v>
      </c>
      <c r="E97" s="70">
        <v>79.3</v>
      </c>
      <c r="F97" s="70">
        <v>81.3</v>
      </c>
      <c r="G97" s="70">
        <v>98.7</v>
      </c>
      <c r="H97" s="70">
        <v>91.1</v>
      </c>
      <c r="I97" s="70">
        <v>78.8</v>
      </c>
      <c r="J97" s="70">
        <v>100.2</v>
      </c>
      <c r="K97" s="70">
        <v>102.3</v>
      </c>
      <c r="L97" s="70">
        <v>101.4</v>
      </c>
      <c r="M97" s="70">
        <v>78.599999999999994</v>
      </c>
      <c r="N97" s="70">
        <v>96.9</v>
      </c>
      <c r="O97" s="70">
        <v>97.4</v>
      </c>
      <c r="P97" s="70">
        <v>87</v>
      </c>
      <c r="Q97" s="70">
        <v>84</v>
      </c>
      <c r="R97" s="70">
        <v>101.2</v>
      </c>
      <c r="S97" s="70">
        <v>100.3</v>
      </c>
      <c r="T97" s="70">
        <v>104.5</v>
      </c>
      <c r="U97" s="70">
        <v>60.7</v>
      </c>
      <c r="V97" s="70">
        <v>58.7</v>
      </c>
      <c r="W97" s="70">
        <v>69.900000000000006</v>
      </c>
      <c r="X97" s="70">
        <v>82.1</v>
      </c>
      <c r="Y97" s="70">
        <v>86.2</v>
      </c>
      <c r="Z97" s="70">
        <v>89.4</v>
      </c>
      <c r="AA97" s="70">
        <v>77.099999999999994</v>
      </c>
      <c r="AB97" s="69">
        <v>93</v>
      </c>
      <c r="AC97" s="69">
        <v>75</v>
      </c>
      <c r="AD97" s="69">
        <v>87</v>
      </c>
      <c r="AE97" s="69">
        <v>42</v>
      </c>
      <c r="AF97" s="69">
        <v>17</v>
      </c>
      <c r="AG97" s="72">
        <v>120</v>
      </c>
      <c r="AH97" s="21">
        <f t="shared" si="22"/>
        <v>104.5</v>
      </c>
      <c r="AI97" s="64">
        <f t="shared" si="23"/>
        <v>0.625</v>
      </c>
    </row>
    <row r="98" spans="1:37" x14ac:dyDescent="0.25">
      <c r="A98" s="41" t="s">
        <v>118</v>
      </c>
      <c r="B98" s="71">
        <v>30</v>
      </c>
      <c r="C98" s="70">
        <v>15</v>
      </c>
      <c r="D98" s="70">
        <v>40</v>
      </c>
      <c r="E98" s="70">
        <v>83.8</v>
      </c>
      <c r="F98" s="70">
        <v>85.9</v>
      </c>
      <c r="G98" s="70">
        <v>98.3</v>
      </c>
      <c r="H98" s="70">
        <v>80.099999999999994</v>
      </c>
      <c r="I98" s="70">
        <v>59.9</v>
      </c>
      <c r="J98" s="70">
        <v>78</v>
      </c>
      <c r="K98" s="70">
        <v>75.900000000000006</v>
      </c>
      <c r="L98" s="70">
        <v>75.5</v>
      </c>
      <c r="M98" s="70">
        <v>56.1</v>
      </c>
      <c r="N98" s="70">
        <v>60.1</v>
      </c>
      <c r="O98" s="70">
        <v>75.900000000000006</v>
      </c>
      <c r="P98" s="70">
        <v>102</v>
      </c>
      <c r="Q98" s="70">
        <v>102</v>
      </c>
      <c r="R98" s="70">
        <v>94.4</v>
      </c>
      <c r="S98" s="70">
        <v>89.5</v>
      </c>
      <c r="T98" s="70">
        <v>95.5</v>
      </c>
      <c r="U98" s="70">
        <v>49.5</v>
      </c>
      <c r="V98" s="70">
        <v>49.4</v>
      </c>
      <c r="W98" s="70">
        <v>58.6</v>
      </c>
      <c r="X98" s="70">
        <v>69</v>
      </c>
      <c r="Y98" s="70">
        <v>66.400000000000006</v>
      </c>
      <c r="Z98" s="70">
        <v>79</v>
      </c>
      <c r="AA98" s="70">
        <v>86.1</v>
      </c>
      <c r="AB98" s="69">
        <v>61</v>
      </c>
      <c r="AC98" s="69">
        <v>83</v>
      </c>
      <c r="AD98" s="69">
        <v>72</v>
      </c>
      <c r="AE98" s="69">
        <v>30</v>
      </c>
      <c r="AF98" s="69">
        <v>15</v>
      </c>
      <c r="AG98" s="72"/>
      <c r="AH98" s="21">
        <f t="shared" si="22"/>
        <v>102</v>
      </c>
      <c r="AI98" s="64">
        <f t="shared" si="23"/>
        <v>0.45833333333333298</v>
      </c>
    </row>
    <row r="99" spans="1:37" x14ac:dyDescent="0.25">
      <c r="A99" s="41" t="s">
        <v>117</v>
      </c>
      <c r="B99" s="71">
        <v>53</v>
      </c>
      <c r="C99" s="70">
        <v>66</v>
      </c>
      <c r="D99" s="70">
        <v>56</v>
      </c>
      <c r="E99" s="70">
        <v>68.599999999999994</v>
      </c>
      <c r="F99" s="70">
        <v>67.8</v>
      </c>
      <c r="G99" s="70">
        <v>70.8</v>
      </c>
      <c r="H99" s="70">
        <v>49.3</v>
      </c>
      <c r="I99" s="70">
        <v>31.8</v>
      </c>
      <c r="J99" s="70">
        <v>65.900000000000006</v>
      </c>
      <c r="K99" s="70">
        <v>48.3</v>
      </c>
      <c r="L99" s="70">
        <v>52.1</v>
      </c>
      <c r="M99" s="70">
        <v>23.6</v>
      </c>
      <c r="N99" s="70">
        <v>21</v>
      </c>
      <c r="O99" s="70">
        <v>39.6</v>
      </c>
      <c r="P99" s="70">
        <v>46.9</v>
      </c>
      <c r="Q99" s="70">
        <v>46.3</v>
      </c>
      <c r="R99" s="70">
        <v>48</v>
      </c>
      <c r="S99" s="70">
        <v>58.8</v>
      </c>
      <c r="T99" s="70">
        <v>64.099999999999994</v>
      </c>
      <c r="U99" s="70">
        <v>18.5</v>
      </c>
      <c r="V99" s="70">
        <v>27.4</v>
      </c>
      <c r="W99" s="70">
        <v>31.9</v>
      </c>
      <c r="X99" s="70">
        <v>25.8</v>
      </c>
      <c r="Y99" s="70">
        <v>23</v>
      </c>
      <c r="Z99" s="70">
        <v>45</v>
      </c>
      <c r="AA99" s="70">
        <v>47.8</v>
      </c>
      <c r="AB99" s="69">
        <v>51</v>
      </c>
      <c r="AC99" s="69">
        <v>50</v>
      </c>
      <c r="AD99" s="69">
        <v>54</v>
      </c>
      <c r="AE99" s="69">
        <v>57</v>
      </c>
      <c r="AF99" s="69">
        <v>52</v>
      </c>
      <c r="AG99" s="65"/>
      <c r="AH99" s="21">
        <f t="shared" si="22"/>
        <v>70.8</v>
      </c>
      <c r="AI99" s="64">
        <f t="shared" si="23"/>
        <v>0.20833333333333301</v>
      </c>
    </row>
    <row r="100" spans="1:37" ht="15.75" thickBot="1" x14ac:dyDescent="0.3">
      <c r="A100" s="68" t="s">
        <v>116</v>
      </c>
      <c r="B100" s="66">
        <v>37</v>
      </c>
      <c r="C100" s="67">
        <v>35</v>
      </c>
      <c r="D100" s="67">
        <v>33</v>
      </c>
      <c r="E100" s="67">
        <v>79.900000000000006</v>
      </c>
      <c r="F100" s="67">
        <v>78.099999999999994</v>
      </c>
      <c r="G100" s="67">
        <v>78.8</v>
      </c>
      <c r="H100" s="67">
        <v>31.4</v>
      </c>
      <c r="I100" s="67">
        <v>28.3</v>
      </c>
      <c r="J100" s="67">
        <v>36.5</v>
      </c>
      <c r="K100" s="67">
        <v>44.8</v>
      </c>
      <c r="L100" s="67">
        <v>43.3</v>
      </c>
      <c r="M100" s="67">
        <v>52.7</v>
      </c>
      <c r="N100" s="67">
        <v>49.6</v>
      </c>
      <c r="O100" s="67">
        <v>40.299999999999997</v>
      </c>
      <c r="P100" s="67">
        <v>69.8</v>
      </c>
      <c r="Q100" s="67">
        <v>42.8</v>
      </c>
      <c r="R100" s="67">
        <v>68</v>
      </c>
      <c r="S100" s="67">
        <v>71.7</v>
      </c>
      <c r="T100" s="67">
        <v>71.8</v>
      </c>
      <c r="U100" s="67">
        <v>50.3</v>
      </c>
      <c r="V100" s="67">
        <v>50</v>
      </c>
      <c r="W100" s="67">
        <v>45.1</v>
      </c>
      <c r="X100" s="67">
        <v>44</v>
      </c>
      <c r="Y100" s="67">
        <v>60</v>
      </c>
      <c r="Z100" s="67">
        <v>66</v>
      </c>
      <c r="AA100" s="67">
        <v>70</v>
      </c>
      <c r="AB100" s="66">
        <v>78</v>
      </c>
      <c r="AC100" s="66">
        <v>73</v>
      </c>
      <c r="AD100" s="66">
        <v>72</v>
      </c>
      <c r="AE100" s="66">
        <v>62</v>
      </c>
      <c r="AF100" s="66">
        <v>53</v>
      </c>
      <c r="AG100" s="65"/>
      <c r="AH100" s="21">
        <f t="shared" si="22"/>
        <v>79.900000000000006</v>
      </c>
      <c r="AI100" s="64">
        <f t="shared" si="23"/>
        <v>0.125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1413.04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1232.54</v>
      </c>
      <c r="U214" s="9">
        <f t="shared" si="60"/>
        <v>1074.74</v>
      </c>
      <c r="V214" s="9">
        <f t="shared" si="60"/>
        <v>1041.54</v>
      </c>
      <c r="W214" s="9">
        <f t="shared" si="60"/>
        <v>1039.6400000000001</v>
      </c>
      <c r="X214" s="9">
        <f t="shared" si="60"/>
        <v>1015.44</v>
      </c>
      <c r="Y214" s="9">
        <f t="shared" si="60"/>
        <v>1082.3399999999999</v>
      </c>
      <c r="Z214" s="9">
        <f t="shared" si="60"/>
        <v>1180.1400000000001</v>
      </c>
      <c r="AA214" s="9">
        <f t="shared" si="60"/>
        <v>1192.44</v>
      </c>
      <c r="AB214" s="9">
        <f t="shared" si="60"/>
        <v>1298.7400000000002</v>
      </c>
      <c r="AC214" s="9">
        <f t="shared" si="60"/>
        <v>1391.3400000000001</v>
      </c>
      <c r="AD214" s="9">
        <f t="shared" si="60"/>
        <v>1413.04</v>
      </c>
      <c r="AE214" s="9">
        <f t="shared" si="60"/>
        <v>1393.24</v>
      </c>
      <c r="AF214" s="9">
        <f t="shared" si="60"/>
        <v>1354.74</v>
      </c>
      <c r="AG214" s="9">
        <f t="shared" si="60"/>
        <v>1315.64</v>
      </c>
      <c r="AH214" s="9">
        <f t="shared" si="60"/>
        <v>1315.27</v>
      </c>
      <c r="AI214" s="9">
        <f t="shared" si="60"/>
        <v>1247.24</v>
      </c>
      <c r="AJ214" s="9">
        <f t="shared" si="60"/>
        <v>1315.31</v>
      </c>
      <c r="AK214" s="9">
        <f t="shared" si="60"/>
        <v>1343.8</v>
      </c>
      <c r="AL214" s="9">
        <f t="shared" si="60"/>
        <v>1349.94</v>
      </c>
      <c r="AM214" s="9">
        <f t="shared" si="60"/>
        <v>1249.3399999999999</v>
      </c>
      <c r="AN214" s="9">
        <f t="shared" si="60"/>
        <v>1311.6399999999999</v>
      </c>
      <c r="AO214" s="9">
        <f t="shared" si="60"/>
        <v>1307.5400000000002</v>
      </c>
      <c r="AP214" s="9">
        <f t="shared" si="60"/>
        <v>1330.7400000000002</v>
      </c>
      <c r="AQ214" s="9">
        <f t="shared" si="60"/>
        <v>1401.04</v>
      </c>
      <c r="AR214" s="9">
        <f t="shared" si="60"/>
        <v>1576.3400000000001</v>
      </c>
      <c r="AS214" s="9">
        <f t="shared" si="60"/>
        <v>1519.0400000000002</v>
      </c>
      <c r="AT214" s="9">
        <f t="shared" si="60"/>
        <v>1467.0400000000002</v>
      </c>
      <c r="AU214" s="9">
        <f t="shared" si="60"/>
        <v>1436.3400000000001</v>
      </c>
      <c r="AV214" s="9">
        <f t="shared" si="60"/>
        <v>1378.54</v>
      </c>
      <c r="AW214" s="9">
        <f t="shared" si="60"/>
        <v>1273.0400000000002</v>
      </c>
      <c r="AX214" s="9">
        <f t="shared" si="60"/>
        <v>1199.7400000000002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C57:L59 C60:M61 M58:M59 U40:Y42 X85:AA91 AB81:AF81 B81:R81 C56:AF56 B82:AF83 D194:AF200 B194:B200 C68:AF72 B84:B91 B73:AF80 B9:AF10 B192:AF192 AF57 B53:B72 AG73 AB94:AF100 B94:B100 U213:AF213 C62:C67 D63:D67 B36:L36 N58:N61 O58:R67 S58:W59 M39:X42 M11:AF11 N45:Y48 M53:AF55 Z12:Z37 Z40:AE43 AA12:AF36 AF42:AF43 AB84:AF91">
    <cfRule type="expression" dxfId="8440" priority="274">
      <formula>B$9&gt;=20/24</formula>
    </cfRule>
    <cfRule type="expression" dxfId="8439" priority="275">
      <formula>AND(B$9&gt;=14/24,B$9&lt;20/24)</formula>
    </cfRule>
    <cfRule type="expression" dxfId="8438" priority="276">
      <formula>AND(B$9&gt;=8/24,B$9&lt;14/24)</formula>
    </cfRule>
    <cfRule type="expression" dxfId="8437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436" priority="269">
      <formula>M$9&gt;=20/24</formula>
    </cfRule>
    <cfRule type="expression" dxfId="8435" priority="270">
      <formula>AND(M$9&gt;=14/24,M$9&lt;20/24)</formula>
    </cfRule>
    <cfRule type="expression" dxfId="8434" priority="271">
      <formula>AND(M$9&gt;=8/24,M$9&lt;14/24)</formula>
    </cfRule>
    <cfRule type="expression" dxfId="8433" priority="272">
      <formula>M$9&lt;8/24</formula>
    </cfRule>
  </conditionalFormatting>
  <conditionalFormatting sqref="M43:X43">
    <cfRule type="expression" dxfId="8432" priority="265">
      <formula>M$9&gt;=20/24</formula>
    </cfRule>
    <cfRule type="expression" dxfId="8431" priority="266">
      <formula>AND(M$9&gt;=14/24,M$9&lt;20/24)</formula>
    </cfRule>
    <cfRule type="expression" dxfId="8430" priority="267">
      <formula>AND(M$9&gt;=8/24,M$9&lt;14/24)</formula>
    </cfRule>
    <cfRule type="expression" dxfId="8429" priority="268">
      <formula>M$9&lt;8/24</formula>
    </cfRule>
  </conditionalFormatting>
  <conditionalFormatting sqref="S39:AE39">
    <cfRule type="expression" dxfId="8428" priority="257">
      <formula>S$9&gt;=20/24</formula>
    </cfRule>
    <cfRule type="expression" dxfId="8427" priority="258">
      <formula>AND(S$9&gt;=14/24,S$9&lt;20/24)</formula>
    </cfRule>
    <cfRule type="expression" dxfId="8426" priority="259">
      <formula>AND(S$9&gt;=8/24,S$9&lt;14/24)</formula>
    </cfRule>
    <cfRule type="expression" dxfId="8425" priority="260">
      <formula>S$9&lt;8/24</formula>
    </cfRule>
  </conditionalFormatting>
  <conditionalFormatting sqref="T68 S57:AE57">
    <cfRule type="expression" dxfId="8424" priority="253">
      <formula>S$9&gt;=20/24</formula>
    </cfRule>
    <cfRule type="expression" dxfId="8423" priority="254">
      <formula>AND(S$9&gt;=14/24,S$9&lt;20/24)</formula>
    </cfRule>
    <cfRule type="expression" dxfId="8422" priority="255">
      <formula>AND(S$9&gt;=8/24,S$9&lt;14/24)</formula>
    </cfRule>
    <cfRule type="expression" dxfId="8421" priority="256">
      <formula>S$9&lt;8/24</formula>
    </cfRule>
  </conditionalFormatting>
  <conditionalFormatting sqref="S81:AA81">
    <cfRule type="expression" dxfId="8420" priority="249">
      <formula>S$9&gt;=20/24</formula>
    </cfRule>
    <cfRule type="expression" dxfId="8419" priority="250">
      <formula>AND(S$9&gt;=14/24,S$9&lt;20/24)</formula>
    </cfRule>
    <cfRule type="expression" dxfId="8418" priority="251">
      <formula>AND(S$9&gt;=8/24,S$9&lt;14/24)</formula>
    </cfRule>
    <cfRule type="expression" dxfId="8417" priority="252">
      <formula>S$9&lt;8/24</formula>
    </cfRule>
  </conditionalFormatting>
  <conditionalFormatting sqref="U84:AA84">
    <cfRule type="expression" dxfId="8416" priority="245">
      <formula>U$9&gt;=20/24</formula>
    </cfRule>
    <cfRule type="expression" dxfId="8415" priority="246">
      <formula>AND(U$9&gt;=14/24,U$9&lt;20/24)</formula>
    </cfRule>
    <cfRule type="expression" dxfId="8414" priority="247">
      <formula>AND(U$9&gt;=8/24,U$9&lt;14/24)</formula>
    </cfRule>
    <cfRule type="expression" dxfId="8413" priority="248">
      <formula>U$9&lt;8/24</formula>
    </cfRule>
  </conditionalFormatting>
  <conditionalFormatting sqref="M49:Y49">
    <cfRule type="expression" dxfId="8412" priority="237">
      <formula>M$9&gt;=20/24</formula>
    </cfRule>
    <cfRule type="expression" dxfId="8411" priority="238">
      <formula>AND(M$9&gt;=14/24,M$9&lt;20/24)</formula>
    </cfRule>
    <cfRule type="expression" dxfId="8410" priority="239">
      <formula>AND(M$9&gt;=8/24,M$9&lt;14/24)</formula>
    </cfRule>
    <cfRule type="expression" dxfId="8409" priority="240">
      <formula>M$9&lt;8/24</formula>
    </cfRule>
  </conditionalFormatting>
  <conditionalFormatting sqref="M50:Y50">
    <cfRule type="expression" dxfId="8408" priority="233">
      <formula>M$9&gt;=20/24</formula>
    </cfRule>
    <cfRule type="expression" dxfId="8407" priority="234">
      <formula>AND(M$9&gt;=14/24,M$9&lt;20/24)</formula>
    </cfRule>
    <cfRule type="expression" dxfId="8406" priority="235">
      <formula>AND(M$9&gt;=8/24,M$9&lt;14/24)</formula>
    </cfRule>
    <cfRule type="expression" dxfId="8405" priority="236">
      <formula>M$9&lt;8/24</formula>
    </cfRule>
  </conditionalFormatting>
  <conditionalFormatting sqref="M45:Y48">
    <cfRule type="expression" dxfId="8404" priority="229">
      <formula>M$9&gt;=20/24</formula>
    </cfRule>
    <cfRule type="expression" dxfId="8403" priority="230">
      <formula>AND(M$9&gt;=14/24,M$9&lt;20/24)</formula>
    </cfRule>
    <cfRule type="expression" dxfId="8402" priority="231">
      <formula>AND(M$9&gt;=8/24,M$9&lt;14/24)</formula>
    </cfRule>
    <cfRule type="expression" dxfId="8401" priority="232">
      <formula>M$9&lt;8/24</formula>
    </cfRule>
  </conditionalFormatting>
  <conditionalFormatting sqref="S37:Y37 AA37:AF37">
    <cfRule type="expression" dxfId="8400" priority="225">
      <formula>S$9&gt;=20/24</formula>
    </cfRule>
    <cfRule type="expression" dxfId="8399" priority="226">
      <formula>AND(S$9&gt;=14/24,S$9&lt;20/24)</formula>
    </cfRule>
    <cfRule type="expression" dxfId="8398" priority="227">
      <formula>AND(S$9&gt;=8/24,S$9&lt;14/24)</formula>
    </cfRule>
    <cfRule type="expression" dxfId="8397" priority="228">
      <formula>S$9&lt;8/24</formula>
    </cfRule>
  </conditionalFormatting>
  <conditionalFormatting sqref="U43:Y43 S42:X43 S45:AF48">
    <cfRule type="expression" dxfId="8396" priority="217">
      <formula>S$9&gt;=20/24</formula>
    </cfRule>
    <cfRule type="expression" dxfId="8395" priority="218">
      <formula>AND(S$9&gt;=14/24,S$9&lt;20/24)</formula>
    </cfRule>
    <cfRule type="expression" dxfId="8394" priority="219">
      <formula>AND(S$9&gt;=8/24,S$9&lt;14/24)</formula>
    </cfRule>
    <cfRule type="expression" dxfId="8393" priority="220">
      <formula>S$9&lt;8/24</formula>
    </cfRule>
  </conditionalFormatting>
  <conditionalFormatting sqref="S49:AF49">
    <cfRule type="expression" dxfId="8392" priority="213">
      <formula>S$9&gt;=20/24</formula>
    </cfRule>
    <cfRule type="expression" dxfId="8391" priority="214">
      <formula>AND(S$9&gt;=14/24,S$9&lt;20/24)</formula>
    </cfRule>
    <cfRule type="expression" dxfId="8390" priority="215">
      <formula>AND(S$9&gt;=8/24,S$9&lt;14/24)</formula>
    </cfRule>
    <cfRule type="expression" dxfId="8389" priority="216">
      <formula>S$9&lt;8/24</formula>
    </cfRule>
  </conditionalFormatting>
  <conditionalFormatting sqref="S50:AF50">
    <cfRule type="expression" dxfId="8388" priority="209">
      <formula>S$9&gt;=20/24</formula>
    </cfRule>
    <cfRule type="expression" dxfId="8387" priority="210">
      <formula>AND(S$9&gt;=14/24,S$9&lt;20/24)</formula>
    </cfRule>
    <cfRule type="expression" dxfId="8386" priority="211">
      <formula>AND(S$9&gt;=8/24,S$9&lt;14/24)</formula>
    </cfRule>
    <cfRule type="expression" dxfId="8385" priority="212">
      <formula>S$9&lt;8/24</formula>
    </cfRule>
  </conditionalFormatting>
  <conditionalFormatting sqref="T71:T73 S60:U67 X60:AF67">
    <cfRule type="expression" dxfId="8384" priority="205">
      <formula>S$9&gt;=20/24</formula>
    </cfRule>
    <cfRule type="expression" dxfId="8383" priority="206">
      <formula>AND(S$9&gt;=14/24,S$9&lt;20/24)</formula>
    </cfRule>
    <cfRule type="expression" dxfId="8382" priority="207">
      <formula>AND(S$9&gt;=8/24,S$9&lt;14/24)</formula>
    </cfRule>
    <cfRule type="expression" dxfId="8381" priority="208">
      <formula>S$9&lt;8/24</formula>
    </cfRule>
  </conditionalFormatting>
  <conditionalFormatting sqref="D62:I62 I63:I67 J62:L67">
    <cfRule type="expression" dxfId="8380" priority="201">
      <formula>D$9&gt;=20/24</formula>
    </cfRule>
    <cfRule type="expression" dxfId="8379" priority="202">
      <formula>AND(D$9&gt;=14/24,D$9&lt;20/24)</formula>
    </cfRule>
    <cfRule type="expression" dxfId="8378" priority="203">
      <formula>AND(D$9&gt;=8/24,D$9&lt;14/24)</formula>
    </cfRule>
    <cfRule type="expression" dxfId="8377" priority="204">
      <formula>D$9&lt;8/24</formula>
    </cfRule>
  </conditionalFormatting>
  <conditionalFormatting sqref="U94:AA97">
    <cfRule type="expression" dxfId="8376" priority="197">
      <formula>U$9&gt;=20/24</formula>
    </cfRule>
    <cfRule type="expression" dxfId="8375" priority="198">
      <formula>AND(U$9&gt;=14/24,U$9&lt;20/24)</formula>
    </cfRule>
    <cfRule type="expression" dxfId="8374" priority="199">
      <formula>AND(U$9&gt;=8/24,U$9&lt;14/24)</formula>
    </cfRule>
    <cfRule type="expression" dxfId="8373" priority="200">
      <formula>U$9&lt;8/24</formula>
    </cfRule>
  </conditionalFormatting>
  <conditionalFormatting sqref="AG51 B11:E32 F12:L32 B34:L37 S37:Y37 F11:AF11 Z12:AF37 B38:AF56">
    <cfRule type="expression" dxfId="8372" priority="196">
      <formula>B11&gt;$AG11</formula>
    </cfRule>
  </conditionalFormatting>
  <conditionalFormatting sqref="A101:A157 A84:A97 A11:A14 A16:A32 A45:A72 A80:A82 A74:A78 A35:A43 A170:A200">
    <cfRule type="expression" dxfId="8371" priority="195">
      <formula>$AH11=0</formula>
    </cfRule>
  </conditionalFormatting>
  <conditionalFormatting sqref="U98:AA98">
    <cfRule type="expression" dxfId="8370" priority="191">
      <formula>U$9&gt;=20/24</formula>
    </cfRule>
    <cfRule type="expression" dxfId="8369" priority="192">
      <formula>AND(U$9&gt;=14/24,U$9&lt;20/24)</formula>
    </cfRule>
    <cfRule type="expression" dxfId="8368" priority="193">
      <formula>AND(U$9&gt;=8/24,U$9&lt;14/24)</formula>
    </cfRule>
    <cfRule type="expression" dxfId="8367" priority="194">
      <formula>U$9&lt;8/24</formula>
    </cfRule>
  </conditionalFormatting>
  <conditionalFormatting sqref="A98">
    <cfRule type="expression" dxfId="8366" priority="190">
      <formula>$AH98=0</formula>
    </cfRule>
  </conditionalFormatting>
  <conditionalFormatting sqref="E63:H67">
    <cfRule type="expression" dxfId="8365" priority="182">
      <formula>E$9&gt;=20/24</formula>
    </cfRule>
    <cfRule type="expression" dxfId="8364" priority="183">
      <formula>AND(E$9&gt;=14/24,E$9&lt;20/24)</formula>
    </cfRule>
    <cfRule type="expression" dxfId="8363" priority="184">
      <formula>AND(E$9&gt;=8/24,E$9&lt;14/24)</formula>
    </cfRule>
    <cfRule type="expression" dxfId="8362" priority="185">
      <formula>E$9&lt;8/24</formula>
    </cfRule>
  </conditionalFormatting>
  <conditionalFormatting sqref="M62:N67">
    <cfRule type="expression" dxfId="8361" priority="178">
      <formula>M$9&gt;=20/24</formula>
    </cfRule>
    <cfRule type="expression" dxfId="8360" priority="179">
      <formula>AND(M$9&gt;=14/24,M$9&lt;20/24)</formula>
    </cfRule>
    <cfRule type="expression" dxfId="8359" priority="180">
      <formula>AND(M$9&gt;=8/24,M$9&lt;14/24)</formula>
    </cfRule>
    <cfRule type="expression" dxfId="8358" priority="181">
      <formula>M$9&lt;8/24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8357" priority="164">
      <formula>$AH34=0</formula>
    </cfRule>
  </conditionalFormatting>
  <conditionalFormatting sqref="A83">
    <cfRule type="expression" dxfId="8356" priority="163">
      <formula>$AH83=0</formula>
    </cfRule>
  </conditionalFormatting>
  <conditionalFormatting sqref="A15">
    <cfRule type="expression" dxfId="8355" priority="153">
      <formula>$AH15=0</formula>
    </cfRule>
  </conditionalFormatting>
  <conditionalFormatting sqref="A164:A169">
    <cfRule type="expression" dxfId="8354" priority="152">
      <formula>$AH164=0</formula>
    </cfRule>
  </conditionalFormatting>
  <conditionalFormatting sqref="A158:A163">
    <cfRule type="expression" dxfId="8353" priority="151">
      <formula>$AH158=0</formula>
    </cfRule>
  </conditionalFormatting>
  <conditionalFormatting sqref="Z44:AF44">
    <cfRule type="expression" dxfId="8352" priority="147">
      <formula>Z$9&gt;=20/24</formula>
    </cfRule>
    <cfRule type="expression" dxfId="8351" priority="148">
      <formula>AND(Z$9&gt;=14/24,Z$9&lt;20/24)</formula>
    </cfRule>
    <cfRule type="expression" dxfId="8350" priority="149">
      <formula>AND(Z$9&gt;=8/24,Z$9&lt;14/24)</formula>
    </cfRule>
    <cfRule type="expression" dxfId="8349" priority="150">
      <formula>Z$9&lt;8/24</formula>
    </cfRule>
  </conditionalFormatting>
  <conditionalFormatting sqref="M44:Y44">
    <cfRule type="expression" dxfId="8348" priority="143">
      <formula>M$9&gt;=20/24</formula>
    </cfRule>
    <cfRule type="expression" dxfId="8347" priority="144">
      <formula>AND(M$9&gt;=14/24,M$9&lt;20/24)</formula>
    </cfRule>
    <cfRule type="expression" dxfId="8346" priority="145">
      <formula>AND(M$9&gt;=8/24,M$9&lt;14/24)</formula>
    </cfRule>
    <cfRule type="expression" dxfId="8345" priority="146">
      <formula>M$9&lt;8/24</formula>
    </cfRule>
  </conditionalFormatting>
  <conditionalFormatting sqref="S44:Y44">
    <cfRule type="expression" dxfId="8344" priority="139">
      <formula>S$9&gt;=20/24</formula>
    </cfRule>
    <cfRule type="expression" dxfId="8343" priority="140">
      <formula>AND(S$9&gt;=14/24,S$9&lt;20/24)</formula>
    </cfRule>
    <cfRule type="expression" dxfId="8342" priority="141">
      <formula>AND(S$9&gt;=8/24,S$9&lt;14/24)</formula>
    </cfRule>
    <cfRule type="expression" dxfId="8341" priority="142">
      <formula>S$9&lt;8/24</formula>
    </cfRule>
  </conditionalFormatting>
  <conditionalFormatting sqref="A44">
    <cfRule type="expression" dxfId="8340" priority="138">
      <formula>$AH44=0</formula>
    </cfRule>
  </conditionalFormatting>
  <conditionalFormatting sqref="A79">
    <cfRule type="expression" dxfId="8339" priority="137">
      <formula>$AH79=0</formula>
    </cfRule>
  </conditionalFormatting>
  <conditionalFormatting sqref="A73">
    <cfRule type="expression" dxfId="8338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V60:W67">
    <cfRule type="expression" dxfId="8337" priority="132">
      <formula>V$9&gt;=20/24</formula>
    </cfRule>
    <cfRule type="expression" dxfId="8336" priority="133">
      <formula>AND(V$9&gt;=14/24,V$9&lt;20/24)</formula>
    </cfRule>
    <cfRule type="expression" dxfId="8335" priority="134">
      <formula>AND(V$9&gt;=8/24,V$9&lt;14/24)</formula>
    </cfRule>
    <cfRule type="expression" dxfId="8334" priority="135">
      <formula>V$9&lt;8/24</formula>
    </cfRule>
  </conditionalFormatting>
  <conditionalFormatting sqref="U85:W91">
    <cfRule type="expression" dxfId="8333" priority="128">
      <formula>U$9&gt;=20/24</formula>
    </cfRule>
    <cfRule type="expression" dxfId="8332" priority="129">
      <formula>AND(U$9&gt;=14/24,U$9&lt;20/24)</formula>
    </cfRule>
    <cfRule type="expression" dxfId="8331" priority="130">
      <formula>AND(U$9&gt;=8/24,U$9&lt;14/24)</formula>
    </cfRule>
    <cfRule type="expression" dxfId="8330" priority="131">
      <formula>U$9&lt;8/24</formula>
    </cfRule>
  </conditionalFormatting>
  <conditionalFormatting sqref="S85:T91 C84:R91">
    <cfRule type="expression" dxfId="8329" priority="124">
      <formula>C$9&gt;=20/24</formula>
    </cfRule>
    <cfRule type="expression" dxfId="8328" priority="125">
      <formula>AND(C$9&gt;=14/24,C$9&lt;20/24)</formula>
    </cfRule>
    <cfRule type="expression" dxfId="8327" priority="126">
      <formula>AND(C$9&gt;=8/24,C$9&lt;14/24)</formula>
    </cfRule>
    <cfRule type="expression" dxfId="8326" priority="127">
      <formula>C$9&lt;8/24</formula>
    </cfRule>
  </conditionalFormatting>
  <conditionalFormatting sqref="S84:T84">
    <cfRule type="expression" dxfId="8325" priority="120">
      <formula>S$9&gt;=20/24</formula>
    </cfRule>
    <cfRule type="expression" dxfId="8324" priority="121">
      <formula>AND(S$9&gt;=14/24,S$9&lt;20/24)</formula>
    </cfRule>
    <cfRule type="expression" dxfId="8323" priority="122">
      <formula>AND(S$9&gt;=8/24,S$9&lt;14/24)</formula>
    </cfRule>
    <cfRule type="expression" dxfId="8322" priority="123">
      <formula>S$9&lt;8/24</formula>
    </cfRule>
  </conditionalFormatting>
  <conditionalFormatting sqref="C94:F94 C95:N97">
    <cfRule type="expression" dxfId="8321" priority="116">
      <formula>C$9&gt;=20/24</formula>
    </cfRule>
    <cfRule type="expression" dxfId="8320" priority="117">
      <formula>AND(C$9&gt;=14/24,C$9&lt;20/24)</formula>
    </cfRule>
    <cfRule type="expression" dxfId="8319" priority="118">
      <formula>AND(C$9&gt;=8/24,C$9&lt;14/24)</formula>
    </cfRule>
    <cfRule type="expression" dxfId="8318" priority="119">
      <formula>C$9&lt;8/24</formula>
    </cfRule>
  </conditionalFormatting>
  <conditionalFormatting sqref="O94:R97">
    <cfRule type="expression" dxfId="8317" priority="112">
      <formula>O$9&gt;=20/24</formula>
    </cfRule>
    <cfRule type="expression" dxfId="8316" priority="113">
      <formula>AND(O$9&gt;=14/24,O$9&lt;20/24)</formula>
    </cfRule>
    <cfRule type="expression" dxfId="8315" priority="114">
      <formula>AND(O$9&gt;=8/24,O$9&lt;14/24)</formula>
    </cfRule>
    <cfRule type="expression" dxfId="8314" priority="115">
      <formula>O$9&lt;8/24</formula>
    </cfRule>
  </conditionalFormatting>
  <conditionalFormatting sqref="S94:T97">
    <cfRule type="expression" dxfId="8313" priority="108">
      <formula>S$9&gt;=20/24</formula>
    </cfRule>
    <cfRule type="expression" dxfId="8312" priority="109">
      <formula>AND(S$9&gt;=14/24,S$9&lt;20/24)</formula>
    </cfRule>
    <cfRule type="expression" dxfId="8311" priority="110">
      <formula>AND(S$9&gt;=8/24,S$9&lt;14/24)</formula>
    </cfRule>
    <cfRule type="expression" dxfId="8310" priority="111">
      <formula>S$9&lt;8/24</formula>
    </cfRule>
  </conditionalFormatting>
  <conditionalFormatting sqref="C98:N98">
    <cfRule type="expression" dxfId="8309" priority="104">
      <formula>C$9&gt;=20/24</formula>
    </cfRule>
    <cfRule type="expression" dxfId="8308" priority="105">
      <formula>AND(C$9&gt;=14/24,C$9&lt;20/24)</formula>
    </cfRule>
    <cfRule type="expression" dxfId="8307" priority="106">
      <formula>AND(C$9&gt;=8/24,C$9&lt;14/24)</formula>
    </cfRule>
    <cfRule type="expression" dxfId="8306" priority="107">
      <formula>C$9&lt;8/24</formula>
    </cfRule>
  </conditionalFormatting>
  <conditionalFormatting sqref="O98:R98">
    <cfRule type="expression" dxfId="8305" priority="100">
      <formula>O$9&gt;=20/24</formula>
    </cfRule>
    <cfRule type="expression" dxfId="8304" priority="101">
      <formula>AND(O$9&gt;=14/24,O$9&lt;20/24)</formula>
    </cfRule>
    <cfRule type="expression" dxfId="8303" priority="102">
      <formula>AND(O$9&gt;=8/24,O$9&lt;14/24)</formula>
    </cfRule>
    <cfRule type="expression" dxfId="8302" priority="103">
      <formula>O$9&lt;8/24</formula>
    </cfRule>
  </conditionalFormatting>
  <conditionalFormatting sqref="S98:T98">
    <cfRule type="expression" dxfId="8301" priority="96">
      <formula>S$9&gt;=20/24</formula>
    </cfRule>
    <cfRule type="expression" dxfId="8300" priority="97">
      <formula>AND(S$9&gt;=14/24,S$9&lt;20/24)</formula>
    </cfRule>
    <cfRule type="expression" dxfId="8299" priority="98">
      <formula>AND(S$9&gt;=8/24,S$9&lt;14/24)</formula>
    </cfRule>
    <cfRule type="expression" dxfId="8298" priority="99">
      <formula>S$9&lt;8/24</formula>
    </cfRule>
  </conditionalFormatting>
  <conditionalFormatting sqref="M94:N94">
    <cfRule type="expression" dxfId="8297" priority="92">
      <formula>M$9&gt;=20/24</formula>
    </cfRule>
    <cfRule type="expression" dxfId="8296" priority="93">
      <formula>AND(M$9&gt;=14/24,M$9&lt;20/24)</formula>
    </cfRule>
    <cfRule type="expression" dxfId="8295" priority="94">
      <formula>AND(M$9&gt;=8/24,M$9&lt;14/24)</formula>
    </cfRule>
    <cfRule type="expression" dxfId="8294" priority="95">
      <formula>M$9&lt;8/24</formula>
    </cfRule>
  </conditionalFormatting>
  <conditionalFormatting sqref="G94:L94">
    <cfRule type="expression" dxfId="8293" priority="88">
      <formula>G$9&gt;=20/24</formula>
    </cfRule>
    <cfRule type="expression" dxfId="8292" priority="89">
      <formula>AND(G$9&gt;=14/24,G$9&lt;20/24)</formula>
    </cfRule>
    <cfRule type="expression" dxfId="8291" priority="90">
      <formula>AND(G$9&gt;=8/24,G$9&lt;14/24)</formula>
    </cfRule>
    <cfRule type="expression" dxfId="8290" priority="91">
      <formula>G$9&lt;8/24</formula>
    </cfRule>
  </conditionalFormatting>
  <conditionalFormatting sqref="U94:W94">
    <cfRule type="expression" dxfId="8289" priority="84">
      <formula>U$9&gt;=20/24</formula>
    </cfRule>
    <cfRule type="expression" dxfId="8288" priority="85">
      <formula>AND(U$9&gt;=14/24,U$9&lt;20/24)</formula>
    </cfRule>
    <cfRule type="expression" dxfId="8287" priority="86">
      <formula>AND(U$9&gt;=8/24,U$9&lt;14/24)</formula>
    </cfRule>
    <cfRule type="expression" dxfId="8286" priority="87">
      <formula>U$9&lt;8/24</formula>
    </cfRule>
  </conditionalFormatting>
  <conditionalFormatting sqref="O94:T94">
    <cfRule type="expression" dxfId="8285" priority="80">
      <formula>O$9&gt;=20/24</formula>
    </cfRule>
    <cfRule type="expression" dxfId="8284" priority="81">
      <formula>AND(O$9&gt;=14/24,O$9&lt;20/24)</formula>
    </cfRule>
    <cfRule type="expression" dxfId="8283" priority="82">
      <formula>AND(O$9&gt;=8/24,O$9&lt;14/24)</formula>
    </cfRule>
    <cfRule type="expression" dxfId="8282" priority="83">
      <formula>O$9&lt;8/24</formula>
    </cfRule>
  </conditionalFormatting>
  <conditionalFormatting sqref="U99:AA100">
    <cfRule type="expression" dxfId="8281" priority="76">
      <formula>U$9&gt;=20/24</formula>
    </cfRule>
    <cfRule type="expression" dxfId="8280" priority="77">
      <formula>AND(U$9&gt;=14/24,U$9&lt;20/24)</formula>
    </cfRule>
    <cfRule type="expression" dxfId="8279" priority="78">
      <formula>AND(U$9&gt;=8/24,U$9&lt;14/24)</formula>
    </cfRule>
    <cfRule type="expression" dxfId="8278" priority="79">
      <formula>U$9&lt;8/24</formula>
    </cfRule>
  </conditionalFormatting>
  <conditionalFormatting sqref="C99:N100">
    <cfRule type="expression" dxfId="8277" priority="72">
      <formula>C$9&gt;=20/24</formula>
    </cfRule>
    <cfRule type="expression" dxfId="8276" priority="73">
      <formula>AND(C$9&gt;=14/24,C$9&lt;20/24)</formula>
    </cfRule>
    <cfRule type="expression" dxfId="8275" priority="74">
      <formula>AND(C$9&gt;=8/24,C$9&lt;14/24)</formula>
    </cfRule>
    <cfRule type="expression" dxfId="8274" priority="75">
      <formula>C$9&lt;8/24</formula>
    </cfRule>
  </conditionalFormatting>
  <conditionalFormatting sqref="O99:R100">
    <cfRule type="expression" dxfId="8273" priority="68">
      <formula>O$9&gt;=20/24</formula>
    </cfRule>
    <cfRule type="expression" dxfId="8272" priority="69">
      <formula>AND(O$9&gt;=14/24,O$9&lt;20/24)</formula>
    </cfRule>
    <cfRule type="expression" dxfId="8271" priority="70">
      <formula>AND(O$9&gt;=8/24,O$9&lt;14/24)</formula>
    </cfRule>
    <cfRule type="expression" dxfId="8270" priority="71">
      <formula>O$9&lt;8/24</formula>
    </cfRule>
  </conditionalFormatting>
  <conditionalFormatting sqref="S99:T100">
    <cfRule type="expression" dxfId="8269" priority="64">
      <formula>S$9&gt;=20/24</formula>
    </cfRule>
    <cfRule type="expression" dxfId="8268" priority="65">
      <formula>AND(S$9&gt;=14/24,S$9&lt;20/24)</formula>
    </cfRule>
    <cfRule type="expression" dxfId="8267" priority="66">
      <formula>AND(S$9&gt;=8/24,S$9&lt;14/24)</formula>
    </cfRule>
    <cfRule type="expression" dxfId="8266" priority="67">
      <formula>S$9&lt;8/24</formula>
    </cfRule>
  </conditionalFormatting>
  <conditionalFormatting sqref="AB58:AF59">
    <cfRule type="expression" dxfId="8265" priority="48">
      <formula>AB$9&gt;=20/24</formula>
    </cfRule>
    <cfRule type="expression" dxfId="8264" priority="49">
      <formula>AND(AB$9&gt;=14/24,AB$9&lt;20/24)</formula>
    </cfRule>
    <cfRule type="expression" dxfId="8263" priority="50">
      <formula>AND(AB$9&gt;=8/24,AB$9&lt;14/24)</formula>
    </cfRule>
    <cfRule type="expression" dxfId="8262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261" priority="281">
      <formula>C$9&gt;=20/24</formula>
    </cfRule>
    <cfRule type="expression" dxfId="8260" priority="282">
      <formula>AND(C$9&gt;=14/24,C$9&lt;20/24)</formula>
    </cfRule>
    <cfRule type="expression" dxfId="8259" priority="283">
      <formula>AND(C$9&gt;=8/24,C$9&lt;14/24)</formula>
    </cfRule>
    <cfRule type="expression" dxfId="8258" priority="284">
      <formula>C$9&lt;8/24</formula>
    </cfRule>
  </conditionalFormatting>
  <conditionalFormatting sqref="A201">
    <cfRule type="expression" dxfId="8257" priority="285">
      <formula>$AH201=0</formula>
    </cfRule>
  </conditionalFormatting>
  <conditionalFormatting sqref="AG213">
    <cfRule type="expression" dxfId="8256" priority="286">
      <formula>B$9&gt;=20/24</formula>
    </cfRule>
    <cfRule type="expression" dxfId="8255" priority="287">
      <formula>AND(B$9&gt;=14/24,B$9&lt;20/24)</formula>
    </cfRule>
    <cfRule type="expression" dxfId="8254" priority="288">
      <formula>AND(B$9&gt;=8/24,B$9&lt;14/24)</formula>
    </cfRule>
    <cfRule type="expression" dxfId="8253" priority="289">
      <formula>B$9&lt;8/24</formula>
    </cfRule>
  </conditionalFormatting>
  <conditionalFormatting sqref="S8">
    <cfRule type="expression" dxfId="8252" priority="42">
      <formula>U$9&gt;=20/24</formula>
    </cfRule>
    <cfRule type="expression" dxfId="8251" priority="43">
      <formula>AND(U$9&gt;=14/24,U$9&lt;20/24)</formula>
    </cfRule>
    <cfRule type="expression" dxfId="8250" priority="44">
      <formula>AND(U$9&gt;=8/24,U$9&lt;14/24)</formula>
    </cfRule>
    <cfRule type="expression" dxfId="8249" priority="45">
      <formula>U$9&lt;8/24</formula>
    </cfRule>
  </conditionalFormatting>
  <conditionalFormatting sqref="AB8">
    <cfRule type="expression" dxfId="8248" priority="38">
      <formula>AD$9&gt;=20/24</formula>
    </cfRule>
    <cfRule type="expression" dxfId="8247" priority="39">
      <formula>AND(AD$9&gt;=14/24,AD$9&lt;20/24)</formula>
    </cfRule>
    <cfRule type="expression" dxfId="8246" priority="40">
      <formula>AND(AD$9&gt;=8/24,AD$9&lt;14/24)</formula>
    </cfRule>
    <cfRule type="expression" dxfId="8245" priority="41">
      <formula>AD$9&lt;8/24</formula>
    </cfRule>
  </conditionalFormatting>
  <conditionalFormatting sqref="AH213:AX213">
    <cfRule type="expression" dxfId="8244" priority="290">
      <formula>AG$9&gt;=20/24</formula>
    </cfRule>
    <cfRule type="expression" dxfId="8243" priority="291">
      <formula>AND(AG$9&gt;=14/24,AG$9&lt;20/24)</formula>
    </cfRule>
    <cfRule type="expression" dxfId="8242" priority="292">
      <formula>AND(AG$9&gt;=8/24,AG$9&lt;14/24)</formula>
    </cfRule>
    <cfRule type="expression" dxfId="8241" priority="293">
      <formula>AG$9&lt;8/24</formula>
    </cfRule>
  </conditionalFormatting>
  <conditionalFormatting sqref="T213">
    <cfRule type="expression" dxfId="8240" priority="294">
      <formula>AX$9&gt;=20/24</formula>
    </cfRule>
    <cfRule type="expression" dxfId="8239" priority="295">
      <formula>AND(AX$9&gt;=14/24,AX$9&lt;20/24)</formula>
    </cfRule>
    <cfRule type="expression" dxfId="8238" priority="296">
      <formula>AND(AX$9&gt;=8/24,AX$9&lt;14/24)</formula>
    </cfRule>
    <cfRule type="expression" dxfId="8237" priority="297">
      <formula>AX$9&lt;8/24</formula>
    </cfRule>
  </conditionalFormatting>
  <conditionalFormatting sqref="A99:A100">
    <cfRule type="expression" dxfId="8236" priority="37">
      <formula>$AH99=0</formula>
    </cfRule>
  </conditionalFormatting>
  <conditionalFormatting sqref="B33:L33">
    <cfRule type="expression" dxfId="8235" priority="24">
      <formula>B33&gt;$AG33</formula>
    </cfRule>
  </conditionalFormatting>
  <conditionalFormatting sqref="M36:R37 M12:Y14 M16:Y32 S36:Y36">
    <cfRule type="expression" dxfId="8234" priority="20">
      <formula>M$9&gt;=20/24</formula>
    </cfRule>
    <cfRule type="expression" dxfId="8233" priority="21">
      <formula>AND(M$9&gt;=14/24,M$9&lt;20/24)</formula>
    </cfRule>
    <cfRule type="expression" dxfId="8232" priority="22">
      <formula>AND(M$9&gt;=8/24,M$9&lt;14/24)</formula>
    </cfRule>
    <cfRule type="expression" dxfId="8231" priority="23">
      <formula>M$9&lt;8/24</formula>
    </cfRule>
  </conditionalFormatting>
  <conditionalFormatting sqref="M35:Y35">
    <cfRule type="expression" dxfId="8230" priority="16">
      <formula>M$9&gt;=20/24</formula>
    </cfRule>
    <cfRule type="expression" dxfId="8229" priority="17">
      <formula>AND(M$9&gt;=14/24,M$9&lt;20/24)</formula>
    </cfRule>
    <cfRule type="expression" dxfId="8228" priority="18">
      <formula>AND(M$9&gt;=8/24,M$9&lt;14/24)</formula>
    </cfRule>
    <cfRule type="expression" dxfId="8227" priority="19">
      <formula>M$9&lt;8/24</formula>
    </cfRule>
  </conditionalFormatting>
  <conditionalFormatting sqref="M34:R37 M12:Y14 M16:Y32 S34:Y36">
    <cfRule type="expression" dxfId="8226" priority="15">
      <formula>M12&gt;$AG12</formula>
    </cfRule>
  </conditionalFormatting>
  <conditionalFormatting sqref="M34:Y34">
    <cfRule type="expression" dxfId="8225" priority="11">
      <formula>M$9&gt;=20/24</formula>
    </cfRule>
    <cfRule type="expression" dxfId="8224" priority="12">
      <formula>AND(M$9&gt;=14/24,M$9&lt;20/24)</formula>
    </cfRule>
    <cfRule type="expression" dxfId="8223" priority="13">
      <formula>AND(M$9&gt;=8/24,M$9&lt;14/24)</formula>
    </cfRule>
    <cfRule type="expression" dxfId="8222" priority="14">
      <formula>M$9&lt;8/24</formula>
    </cfRule>
  </conditionalFormatting>
  <conditionalFormatting sqref="M15:Y15">
    <cfRule type="expression" dxfId="8221" priority="7">
      <formula>M$9&gt;=20/24</formula>
    </cfRule>
    <cfRule type="expression" dxfId="8220" priority="8">
      <formula>AND(M$9&gt;=14/24,M$9&lt;20/24)</formula>
    </cfRule>
    <cfRule type="expression" dxfId="8219" priority="9">
      <formula>AND(M$9&gt;=8/24,M$9&lt;14/24)</formula>
    </cfRule>
    <cfRule type="expression" dxfId="8218" priority="10">
      <formula>M$9&lt;8/24</formula>
    </cfRule>
  </conditionalFormatting>
  <conditionalFormatting sqref="M15:Y15">
    <cfRule type="expression" dxfId="8217" priority="6">
      <formula>M15&gt;$AG15</formula>
    </cfRule>
  </conditionalFormatting>
  <conditionalFormatting sqref="M33:Y33">
    <cfRule type="expression" dxfId="8216" priority="2">
      <formula>M$9&gt;=20/24</formula>
    </cfRule>
    <cfRule type="expression" dxfId="8215" priority="3">
      <formula>AND(M$9&gt;=14/24,M$9&lt;20/24)</formula>
    </cfRule>
    <cfRule type="expression" dxfId="8214" priority="4">
      <formula>AND(M$9&gt;=8/24,M$9&lt;14/24)</formula>
    </cfRule>
    <cfRule type="expression" dxfId="8213" priority="5">
      <formula>M$9&lt;8/24</formula>
    </cfRule>
  </conditionalFormatting>
  <conditionalFormatting sqref="M33:Y33">
    <cfRule type="expression" dxfId="8212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B23C723E-B24D-4D07-A7F6-E49E9F5B1BB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CJ472"/>
  <sheetViews>
    <sheetView zoomScale="90" zoomScaleNormal="90" workbookViewId="0">
      <pane xSplit="1" ySplit="10" topLeftCell="B11" activePane="bottomRight" state="frozen"/>
      <selection activeCell="AK51" sqref="AK51"/>
      <selection pane="topRight" activeCell="AK51" sqref="AK51"/>
      <selection pane="bottomLeft" activeCell="AK51" sqref="AK51"/>
      <selection pane="bottomRight" activeCell="AK51" sqref="AK5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4" width="6.85546875" customWidth="1"/>
    <col min="25" max="25" width="8.5703125" customWidth="1"/>
    <col min="26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2078/12/3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332.3</v>
      </c>
      <c r="C5" s="157">
        <f t="shared" si="0"/>
        <v>360.8</v>
      </c>
      <c r="D5" s="157">
        <f t="shared" si="0"/>
        <v>408.6</v>
      </c>
      <c r="E5" s="157">
        <f t="shared" si="0"/>
        <v>500.8</v>
      </c>
      <c r="F5" s="157">
        <f t="shared" si="0"/>
        <v>343.2</v>
      </c>
      <c r="G5" s="157">
        <f t="shared" si="0"/>
        <v>359</v>
      </c>
      <c r="H5" s="157">
        <f t="shared" si="0"/>
        <v>322</v>
      </c>
      <c r="I5" s="157">
        <f t="shared" si="0"/>
        <v>294</v>
      </c>
      <c r="J5" s="157">
        <f t="shared" si="0"/>
        <v>280</v>
      </c>
      <c r="K5" s="157">
        <f t="shared" si="0"/>
        <v>278.7</v>
      </c>
      <c r="L5" s="157">
        <f t="shared" si="0"/>
        <v>285.89999999999998</v>
      </c>
      <c r="M5" s="157">
        <f t="shared" si="0"/>
        <v>291.10000000000002</v>
      </c>
      <c r="N5" s="157">
        <f t="shared" si="0"/>
        <v>260.40000000000003</v>
      </c>
      <c r="O5" s="157">
        <f t="shared" si="0"/>
        <v>318.45000000000005</v>
      </c>
      <c r="P5" s="157">
        <f t="shared" si="0"/>
        <v>350.2</v>
      </c>
      <c r="Q5" s="157">
        <f t="shared" si="0"/>
        <v>363.5</v>
      </c>
      <c r="R5" s="157">
        <f t="shared" si="0"/>
        <v>439.04</v>
      </c>
      <c r="S5" s="157">
        <f t="shared" si="0"/>
        <v>403</v>
      </c>
      <c r="T5" s="157">
        <f t="shared" si="0"/>
        <v>554.29999999999995</v>
      </c>
      <c r="U5" s="157">
        <f t="shared" si="0"/>
        <v>445.8</v>
      </c>
      <c r="V5" s="157">
        <f t="shared" si="0"/>
        <v>567.90000000000009</v>
      </c>
      <c r="W5" s="157">
        <f t="shared" si="0"/>
        <v>592.70000000000005</v>
      </c>
      <c r="X5" s="157">
        <f t="shared" si="0"/>
        <v>574.6</v>
      </c>
      <c r="Y5" s="157">
        <f t="shared" si="0"/>
        <v>556</v>
      </c>
      <c r="Z5" s="157">
        <f t="shared" si="0"/>
        <v>341.5</v>
      </c>
      <c r="AA5" s="157">
        <f t="shared" si="0"/>
        <v>301</v>
      </c>
      <c r="AB5" s="157">
        <f t="shared" si="0"/>
        <v>499</v>
      </c>
      <c r="AC5" s="157">
        <f t="shared" si="0"/>
        <v>511</v>
      </c>
      <c r="AD5" s="157">
        <f t="shared" si="0"/>
        <v>290</v>
      </c>
      <c r="AE5" s="157">
        <f t="shared" si="0"/>
        <v>297</v>
      </c>
      <c r="AF5" s="157">
        <f>B68</f>
        <v>306.5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1227MW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Load=992</v>
      </c>
      <c r="B7" s="146">
        <f>B75</f>
        <v>1062.44</v>
      </c>
      <c r="C7" s="146">
        <f t="shared" ref="C7:AF7" si="1">C75</f>
        <v>1031.3399999999999</v>
      </c>
      <c r="D7" s="146">
        <f t="shared" si="1"/>
        <v>1027.24</v>
      </c>
      <c r="E7" s="146">
        <f t="shared" si="1"/>
        <v>992.14</v>
      </c>
      <c r="F7" s="146">
        <f t="shared" si="1"/>
        <v>995.14</v>
      </c>
      <c r="G7" s="146">
        <f t="shared" si="1"/>
        <v>1019.94</v>
      </c>
      <c r="H7" s="146">
        <f t="shared" si="1"/>
        <v>1057.74</v>
      </c>
      <c r="I7" s="146">
        <f t="shared" si="1"/>
        <v>1078.54</v>
      </c>
      <c r="J7" s="146">
        <f t="shared" si="1"/>
        <v>1141.3400000000001</v>
      </c>
      <c r="K7" s="146">
        <f t="shared" si="1"/>
        <v>1166.04</v>
      </c>
      <c r="L7" s="146">
        <f t="shared" si="1"/>
        <v>1185.2400000000002</v>
      </c>
      <c r="M7" s="146">
        <f t="shared" si="1"/>
        <v>1227.3400000000001</v>
      </c>
      <c r="N7" s="146">
        <f t="shared" si="1"/>
        <v>1162.0400000000002</v>
      </c>
      <c r="O7" s="146">
        <f t="shared" si="1"/>
        <v>1168.3400000000001</v>
      </c>
      <c r="P7" s="146">
        <f t="shared" si="1"/>
        <v>1141.2900000000002</v>
      </c>
      <c r="Q7" s="146">
        <f t="shared" si="1"/>
        <v>1116.54</v>
      </c>
      <c r="R7" s="146">
        <f t="shared" si="1"/>
        <v>1066.44</v>
      </c>
      <c r="S7" s="146">
        <f t="shared" si="1"/>
        <v>1103.68</v>
      </c>
      <c r="T7" s="146">
        <f t="shared" si="1"/>
        <v>1079.8399999999999</v>
      </c>
      <c r="U7" s="146">
        <f t="shared" si="1"/>
        <v>1269.6399999999999</v>
      </c>
      <c r="V7" s="146">
        <f t="shared" si="1"/>
        <v>1335.54</v>
      </c>
      <c r="W7" s="146">
        <f t="shared" si="1"/>
        <v>1320.64</v>
      </c>
      <c r="X7" s="146">
        <f t="shared" si="1"/>
        <v>1343.8400000000001</v>
      </c>
      <c r="Y7" s="146">
        <f t="shared" si="1"/>
        <v>1413.8400000000001</v>
      </c>
      <c r="Z7" s="146">
        <f t="shared" si="1"/>
        <v>1576.3400000000001</v>
      </c>
      <c r="AA7" s="146">
        <f t="shared" si="1"/>
        <v>1519.0400000000002</v>
      </c>
      <c r="AB7" s="146">
        <f t="shared" si="1"/>
        <v>1467.0400000000002</v>
      </c>
      <c r="AC7" s="146">
        <f t="shared" si="1"/>
        <v>1436.3400000000001</v>
      </c>
      <c r="AD7" s="146">
        <f t="shared" si="1"/>
        <v>1378.54</v>
      </c>
      <c r="AE7" s="146">
        <f t="shared" si="1"/>
        <v>1273.0400000000002</v>
      </c>
      <c r="AF7" s="146">
        <f t="shared" si="1"/>
        <v>1199.7400000000002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79">
        <v>70</v>
      </c>
      <c r="C11" s="179">
        <v>40</v>
      </c>
      <c r="D11" s="179">
        <v>40</v>
      </c>
      <c r="E11" s="127">
        <v>10</v>
      </c>
      <c r="F11" s="127">
        <v>10</v>
      </c>
      <c r="G11" s="127">
        <v>60</v>
      </c>
      <c r="H11" s="127">
        <v>76</v>
      </c>
      <c r="I11" s="127">
        <v>76</v>
      </c>
      <c r="J11" s="127">
        <v>120</v>
      </c>
      <c r="K11" s="127">
        <v>120</v>
      </c>
      <c r="L11" s="127">
        <v>130</v>
      </c>
      <c r="M11" s="103">
        <v>145.5</v>
      </c>
      <c r="N11" s="103">
        <v>76</v>
      </c>
      <c r="O11" s="103">
        <v>150</v>
      </c>
      <c r="P11" s="103">
        <v>105</v>
      </c>
      <c r="Q11" s="103">
        <v>105</v>
      </c>
      <c r="R11" s="135">
        <v>76</v>
      </c>
      <c r="S11" s="135">
        <v>30</v>
      </c>
      <c r="T11" s="135">
        <v>12</v>
      </c>
      <c r="U11" s="135">
        <v>12</v>
      </c>
      <c r="V11" s="135">
        <v>40</v>
      </c>
      <c r="W11" s="135">
        <v>40</v>
      </c>
      <c r="X11" s="135">
        <v>40</v>
      </c>
      <c r="Y11" s="135">
        <v>80</v>
      </c>
      <c r="Z11" s="179">
        <v>150</v>
      </c>
      <c r="AA11" s="179">
        <v>350</v>
      </c>
      <c r="AB11" s="103">
        <v>330</v>
      </c>
      <c r="AC11" s="103">
        <v>230</v>
      </c>
      <c r="AD11" s="103">
        <v>170</v>
      </c>
      <c r="AE11" s="103">
        <v>250</v>
      </c>
      <c r="AF11" s="127">
        <v>160</v>
      </c>
      <c r="AG11" s="54">
        <v>456</v>
      </c>
      <c r="AH11" s="21">
        <f>MAX(B11:AF11)</f>
        <v>350</v>
      </c>
      <c r="AI11" s="20">
        <f>MIN(B11:AF11)</f>
        <v>10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31</v>
      </c>
      <c r="C12" s="103">
        <v>31</v>
      </c>
      <c r="D12" s="103">
        <v>31</v>
      </c>
      <c r="E12" s="103">
        <v>31</v>
      </c>
      <c r="F12" s="103">
        <v>31</v>
      </c>
      <c r="G12" s="103">
        <v>31</v>
      </c>
      <c r="H12" s="103">
        <v>31</v>
      </c>
      <c r="I12" s="103">
        <v>31</v>
      </c>
      <c r="J12" s="103">
        <v>31</v>
      </c>
      <c r="K12" s="103">
        <v>31</v>
      </c>
      <c r="L12" s="103">
        <v>31</v>
      </c>
      <c r="M12" s="103">
        <v>31</v>
      </c>
      <c r="N12" s="103">
        <v>31</v>
      </c>
      <c r="O12" s="103">
        <v>31</v>
      </c>
      <c r="P12" s="103">
        <v>31</v>
      </c>
      <c r="Q12" s="103">
        <v>31</v>
      </c>
      <c r="R12" s="103">
        <v>31</v>
      </c>
      <c r="S12" s="103">
        <v>31</v>
      </c>
      <c r="T12" s="103">
        <v>31</v>
      </c>
      <c r="U12" s="103">
        <v>31</v>
      </c>
      <c r="V12" s="103">
        <v>31</v>
      </c>
      <c r="W12" s="103">
        <v>31</v>
      </c>
      <c r="X12" s="103">
        <v>31</v>
      </c>
      <c r="Y12" s="103">
        <v>31</v>
      </c>
      <c r="Z12" s="103">
        <v>31</v>
      </c>
      <c r="AA12" s="103">
        <v>31</v>
      </c>
      <c r="AB12" s="103">
        <v>31</v>
      </c>
      <c r="AC12" s="103">
        <v>31</v>
      </c>
      <c r="AD12" s="103">
        <v>31</v>
      </c>
      <c r="AE12" s="103">
        <v>31</v>
      </c>
      <c r="AF12" s="103">
        <v>31</v>
      </c>
      <c r="AG12" s="134">
        <v>60</v>
      </c>
      <c r="AH12" s="21">
        <f t="shared" ref="AH12:AH75" si="2">MAX(B12:AF12)</f>
        <v>31</v>
      </c>
      <c r="AI12" s="20">
        <f t="shared" ref="AI12:AI75" si="3">MIN(B12:AF12)</f>
        <v>31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17.2</v>
      </c>
      <c r="C13" s="103">
        <v>17.3</v>
      </c>
      <c r="D13" s="103">
        <v>17.2</v>
      </c>
      <c r="E13" s="103">
        <v>17.2</v>
      </c>
      <c r="F13" s="103">
        <v>17.2</v>
      </c>
      <c r="G13" s="103">
        <v>17.2</v>
      </c>
      <c r="H13" s="103">
        <v>17.2</v>
      </c>
      <c r="I13" s="103">
        <v>17.2</v>
      </c>
      <c r="J13" s="103">
        <v>17.899999999999999</v>
      </c>
      <c r="K13" s="103">
        <v>17.899999999999999</v>
      </c>
      <c r="L13" s="103">
        <v>17.899999999999999</v>
      </c>
      <c r="M13" s="103">
        <v>17.899999999999999</v>
      </c>
      <c r="N13" s="103">
        <v>17.899999999999999</v>
      </c>
      <c r="O13" s="103">
        <v>17.5</v>
      </c>
      <c r="P13" s="103">
        <v>18</v>
      </c>
      <c r="Q13" s="103">
        <v>18</v>
      </c>
      <c r="R13" s="103">
        <v>18</v>
      </c>
      <c r="S13" s="103">
        <v>18</v>
      </c>
      <c r="T13" s="103">
        <v>16.8</v>
      </c>
      <c r="U13" s="103">
        <v>16.8</v>
      </c>
      <c r="V13" s="103">
        <v>16.8</v>
      </c>
      <c r="W13" s="103">
        <v>16.8</v>
      </c>
      <c r="X13" s="103">
        <v>16.8</v>
      </c>
      <c r="Y13" s="103">
        <v>16.8</v>
      </c>
      <c r="Z13" s="103">
        <v>14.4</v>
      </c>
      <c r="AA13" s="103">
        <v>14.4</v>
      </c>
      <c r="AB13" s="103">
        <v>14.4</v>
      </c>
      <c r="AC13" s="103">
        <v>14.4</v>
      </c>
      <c r="AD13" s="103">
        <v>14.4</v>
      </c>
      <c r="AE13" s="103">
        <v>14.4</v>
      </c>
      <c r="AF13" s="103">
        <v>14.4</v>
      </c>
      <c r="AG13" s="134">
        <v>52.4</v>
      </c>
      <c r="AH13" s="21">
        <f t="shared" si="2"/>
        <v>18</v>
      </c>
      <c r="AI13" s="20">
        <f t="shared" si="3"/>
        <v>14.4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25</v>
      </c>
      <c r="C14" s="103">
        <v>25</v>
      </c>
      <c r="D14" s="103">
        <v>25</v>
      </c>
      <c r="E14" s="103">
        <v>25</v>
      </c>
      <c r="F14" s="103">
        <v>25</v>
      </c>
      <c r="G14" s="103">
        <v>25</v>
      </c>
      <c r="H14" s="103">
        <v>25</v>
      </c>
      <c r="I14" s="103">
        <v>25</v>
      </c>
      <c r="J14" s="103">
        <v>25</v>
      </c>
      <c r="K14" s="103">
        <v>25</v>
      </c>
      <c r="L14" s="103">
        <v>25</v>
      </c>
      <c r="M14" s="103">
        <v>25</v>
      </c>
      <c r="N14" s="103">
        <v>25</v>
      </c>
      <c r="O14" s="103">
        <v>25</v>
      </c>
      <c r="P14" s="103">
        <v>25</v>
      </c>
      <c r="Q14" s="103">
        <v>25</v>
      </c>
      <c r="R14" s="103">
        <v>25</v>
      </c>
      <c r="S14" s="103">
        <v>25</v>
      </c>
      <c r="T14" s="103">
        <v>25.5</v>
      </c>
      <c r="U14" s="103">
        <v>25.5</v>
      </c>
      <c r="V14" s="103">
        <v>25.5</v>
      </c>
      <c r="W14" s="103">
        <v>25.5</v>
      </c>
      <c r="X14" s="103">
        <v>25.5</v>
      </c>
      <c r="Y14" s="103">
        <v>25.5</v>
      </c>
      <c r="Z14" s="103">
        <v>25.3</v>
      </c>
      <c r="AA14" s="103">
        <v>25.3</v>
      </c>
      <c r="AB14" s="103">
        <v>25.3</v>
      </c>
      <c r="AC14" s="103">
        <v>25.3</v>
      </c>
      <c r="AD14" s="103">
        <v>25.3</v>
      </c>
      <c r="AE14" s="103">
        <v>25.3</v>
      </c>
      <c r="AF14" s="103">
        <v>25.3</v>
      </c>
      <c r="AG14" s="134">
        <v>50</v>
      </c>
      <c r="AH14" s="21">
        <f t="shared" si="2"/>
        <v>25.5</v>
      </c>
      <c r="AI14" s="20">
        <f t="shared" si="3"/>
        <v>25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23</v>
      </c>
      <c r="C15" s="103">
        <v>23</v>
      </c>
      <c r="D15" s="103">
        <v>23</v>
      </c>
      <c r="E15" s="103">
        <v>23</v>
      </c>
      <c r="F15" s="103">
        <v>23</v>
      </c>
      <c r="G15" s="103">
        <v>23</v>
      </c>
      <c r="H15" s="103">
        <v>23</v>
      </c>
      <c r="I15" s="103">
        <v>23</v>
      </c>
      <c r="J15" s="103">
        <v>23</v>
      </c>
      <c r="K15" s="103">
        <v>23</v>
      </c>
      <c r="L15" s="103">
        <v>23</v>
      </c>
      <c r="M15" s="103">
        <v>23</v>
      </c>
      <c r="N15" s="103">
        <v>23</v>
      </c>
      <c r="O15" s="103">
        <v>23</v>
      </c>
      <c r="P15" s="103">
        <v>23.5</v>
      </c>
      <c r="Q15" s="103">
        <v>23.5</v>
      </c>
      <c r="R15" s="103">
        <v>23.5</v>
      </c>
      <c r="S15" s="103">
        <v>23.5</v>
      </c>
      <c r="T15" s="103">
        <v>23.5</v>
      </c>
      <c r="U15" s="103">
        <v>23.5</v>
      </c>
      <c r="V15" s="103">
        <v>23</v>
      </c>
      <c r="W15" s="103">
        <v>23</v>
      </c>
      <c r="X15" s="103">
        <v>23</v>
      </c>
      <c r="Y15" s="103">
        <v>23</v>
      </c>
      <c r="Z15" s="103">
        <v>23</v>
      </c>
      <c r="AA15" s="103">
        <v>23</v>
      </c>
      <c r="AB15" s="103">
        <v>23</v>
      </c>
      <c r="AC15" s="103">
        <v>23</v>
      </c>
      <c r="AD15" s="103">
        <v>23</v>
      </c>
      <c r="AE15" s="103">
        <v>23</v>
      </c>
      <c r="AF15" s="103">
        <v>23</v>
      </c>
      <c r="AG15" s="108">
        <v>45</v>
      </c>
      <c r="AH15" s="21">
        <f t="shared" si="2"/>
        <v>23.5</v>
      </c>
      <c r="AI15" s="20">
        <f t="shared" si="3"/>
        <v>23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16</v>
      </c>
      <c r="C16" s="103">
        <v>16</v>
      </c>
      <c r="D16" s="103">
        <v>16</v>
      </c>
      <c r="E16" s="103">
        <v>16</v>
      </c>
      <c r="F16" s="103">
        <v>16</v>
      </c>
      <c r="G16" s="103">
        <v>16</v>
      </c>
      <c r="H16" s="103">
        <v>16</v>
      </c>
      <c r="I16" s="103">
        <v>16</v>
      </c>
      <c r="J16" s="103">
        <v>16</v>
      </c>
      <c r="K16" s="103">
        <v>16</v>
      </c>
      <c r="L16" s="103">
        <v>16</v>
      </c>
      <c r="M16" s="103">
        <v>16</v>
      </c>
      <c r="N16" s="103">
        <v>16</v>
      </c>
      <c r="O16" s="103">
        <v>16</v>
      </c>
      <c r="P16" s="103">
        <v>16</v>
      </c>
      <c r="Q16" s="103">
        <v>16</v>
      </c>
      <c r="R16" s="103">
        <v>16</v>
      </c>
      <c r="S16" s="103">
        <v>16</v>
      </c>
      <c r="T16" s="103">
        <v>16</v>
      </c>
      <c r="U16" s="103">
        <v>16</v>
      </c>
      <c r="V16" s="103">
        <v>16</v>
      </c>
      <c r="W16" s="103">
        <v>16</v>
      </c>
      <c r="X16" s="103">
        <v>16</v>
      </c>
      <c r="Y16" s="103">
        <v>16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16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6.5</v>
      </c>
      <c r="C17" s="103">
        <v>6.5</v>
      </c>
      <c r="D17" s="103">
        <v>6.5</v>
      </c>
      <c r="E17" s="103">
        <v>6.5</v>
      </c>
      <c r="F17" s="103">
        <v>6.5</v>
      </c>
      <c r="G17" s="103">
        <v>6.5</v>
      </c>
      <c r="H17" s="103">
        <v>6.5</v>
      </c>
      <c r="I17" s="103">
        <v>6.5</v>
      </c>
      <c r="J17" s="103">
        <v>6.5</v>
      </c>
      <c r="K17" s="103">
        <v>6.5</v>
      </c>
      <c r="L17" s="103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03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12.4</v>
      </c>
      <c r="C19" s="103">
        <v>12</v>
      </c>
      <c r="D19" s="103">
        <v>12.5</v>
      </c>
      <c r="E19" s="103">
        <v>12.5</v>
      </c>
      <c r="F19" s="103">
        <v>12.5</v>
      </c>
      <c r="G19" s="103">
        <v>12.5</v>
      </c>
      <c r="H19" s="103">
        <v>12.5</v>
      </c>
      <c r="I19" s="103">
        <v>12.5</v>
      </c>
      <c r="J19" s="103">
        <v>12.3</v>
      </c>
      <c r="K19" s="103">
        <v>12.3</v>
      </c>
      <c r="L19" s="103">
        <v>12.3</v>
      </c>
      <c r="M19" s="103">
        <v>12.3</v>
      </c>
      <c r="N19" s="103">
        <v>12.3</v>
      </c>
      <c r="O19" s="103">
        <v>12.3</v>
      </c>
      <c r="P19" s="103">
        <v>12.3</v>
      </c>
      <c r="Q19" s="103">
        <v>12.3</v>
      </c>
      <c r="R19" s="103">
        <v>12.3</v>
      </c>
      <c r="S19" s="103">
        <v>12.3</v>
      </c>
      <c r="T19" s="103">
        <v>12.3</v>
      </c>
      <c r="U19" s="103">
        <v>12.3</v>
      </c>
      <c r="V19" s="103">
        <v>12.3</v>
      </c>
      <c r="W19" s="103">
        <v>12.3</v>
      </c>
      <c r="X19" s="103">
        <v>12.3</v>
      </c>
      <c r="Y19" s="103">
        <v>12.3</v>
      </c>
      <c r="Z19" s="103">
        <v>11.3</v>
      </c>
      <c r="AA19" s="103">
        <v>11.3</v>
      </c>
      <c r="AB19" s="103">
        <v>11.3</v>
      </c>
      <c r="AC19" s="103">
        <v>11.3</v>
      </c>
      <c r="AD19" s="103">
        <v>11.3</v>
      </c>
      <c r="AE19" s="103">
        <v>11.3</v>
      </c>
      <c r="AF19" s="103">
        <v>11.3</v>
      </c>
      <c r="AG19" s="134">
        <v>30</v>
      </c>
      <c r="AH19" s="21">
        <f t="shared" si="2"/>
        <v>12.5</v>
      </c>
      <c r="AI19" s="20">
        <f t="shared" si="3"/>
        <v>11.3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8.1</v>
      </c>
      <c r="C20" s="103">
        <v>8.1</v>
      </c>
      <c r="D20" s="103">
        <v>8.1</v>
      </c>
      <c r="E20" s="103">
        <v>8.1</v>
      </c>
      <c r="F20" s="103">
        <v>8.1</v>
      </c>
      <c r="G20" s="103">
        <v>8.1</v>
      </c>
      <c r="H20" s="103">
        <v>8.1</v>
      </c>
      <c r="I20" s="103">
        <v>8.1</v>
      </c>
      <c r="J20" s="103">
        <v>8.1</v>
      </c>
      <c r="K20" s="103">
        <v>8.1</v>
      </c>
      <c r="L20" s="103">
        <v>8.1</v>
      </c>
      <c r="M20" s="103">
        <v>8.1</v>
      </c>
      <c r="N20" s="103">
        <v>8.1</v>
      </c>
      <c r="O20" s="103">
        <v>8.1</v>
      </c>
      <c r="P20" s="103">
        <v>8.1</v>
      </c>
      <c r="Q20" s="103">
        <v>8.1</v>
      </c>
      <c r="R20" s="103">
        <v>8.1</v>
      </c>
      <c r="S20" s="103">
        <v>8.1</v>
      </c>
      <c r="T20" s="103">
        <v>8.1</v>
      </c>
      <c r="U20" s="103">
        <v>8.1</v>
      </c>
      <c r="V20" s="103">
        <v>8.1</v>
      </c>
      <c r="W20" s="103">
        <v>8.1</v>
      </c>
      <c r="X20" s="103">
        <v>8.1</v>
      </c>
      <c r="Y20" s="103">
        <v>8.1</v>
      </c>
      <c r="Z20" s="103">
        <v>8.1</v>
      </c>
      <c r="AA20" s="103">
        <v>8.1</v>
      </c>
      <c r="AB20" s="103">
        <v>8.1</v>
      </c>
      <c r="AC20" s="103">
        <v>8.1</v>
      </c>
      <c r="AD20" s="103">
        <v>8.1</v>
      </c>
      <c r="AE20" s="103">
        <v>8.1</v>
      </c>
      <c r="AF20" s="103">
        <v>8.1</v>
      </c>
      <c r="AG20" s="134">
        <v>27</v>
      </c>
      <c r="AH20" s="21">
        <f t="shared" si="2"/>
        <v>8.1</v>
      </c>
      <c r="AI20" s="20">
        <f t="shared" si="3"/>
        <v>8.1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03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12.6</v>
      </c>
      <c r="C22" s="103">
        <v>12.6</v>
      </c>
      <c r="D22" s="103">
        <v>12.6</v>
      </c>
      <c r="E22" s="103">
        <v>12.6</v>
      </c>
      <c r="F22" s="103">
        <v>12.6</v>
      </c>
      <c r="G22" s="103">
        <v>12.6</v>
      </c>
      <c r="H22" s="103">
        <v>12.6</v>
      </c>
      <c r="I22" s="103">
        <v>12.6</v>
      </c>
      <c r="J22" s="103">
        <v>12</v>
      </c>
      <c r="K22" s="103">
        <v>12</v>
      </c>
      <c r="L22" s="103">
        <v>12</v>
      </c>
      <c r="M22" s="103">
        <v>12</v>
      </c>
      <c r="N22" s="103">
        <v>12</v>
      </c>
      <c r="O22" s="103">
        <v>12</v>
      </c>
      <c r="P22" s="103">
        <v>12</v>
      </c>
      <c r="Q22" s="103">
        <v>12</v>
      </c>
      <c r="R22" s="103">
        <v>12</v>
      </c>
      <c r="S22" s="103">
        <v>12</v>
      </c>
      <c r="T22" s="103">
        <v>12</v>
      </c>
      <c r="U22" s="103">
        <v>12</v>
      </c>
      <c r="V22" s="103">
        <v>12</v>
      </c>
      <c r="W22" s="103">
        <v>12</v>
      </c>
      <c r="X22" s="103">
        <v>12</v>
      </c>
      <c r="Y22" s="103">
        <v>12</v>
      </c>
      <c r="Z22" s="103">
        <v>16.600000000000001</v>
      </c>
      <c r="AA22" s="103">
        <v>16.600000000000001</v>
      </c>
      <c r="AB22" s="103">
        <v>16.600000000000001</v>
      </c>
      <c r="AC22" s="103">
        <v>16.600000000000001</v>
      </c>
      <c r="AD22" s="103">
        <v>16.600000000000001</v>
      </c>
      <c r="AE22" s="103">
        <v>16.600000000000001</v>
      </c>
      <c r="AF22" s="103">
        <v>16.600000000000001</v>
      </c>
      <c r="AG22" s="134">
        <v>25</v>
      </c>
      <c r="AH22" s="21">
        <f t="shared" si="2"/>
        <v>16.600000000000001</v>
      </c>
      <c r="AI22" s="20">
        <f t="shared" si="3"/>
        <v>12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4.8</v>
      </c>
      <c r="C23" s="103">
        <v>4.8</v>
      </c>
      <c r="D23" s="103">
        <v>4.8</v>
      </c>
      <c r="E23" s="103">
        <v>4.8</v>
      </c>
      <c r="F23" s="103">
        <v>4.8</v>
      </c>
      <c r="G23" s="103">
        <v>4.8</v>
      </c>
      <c r="H23" s="103">
        <v>4.8</v>
      </c>
      <c r="I23" s="103">
        <v>4.8</v>
      </c>
      <c r="J23" s="103">
        <v>4.8</v>
      </c>
      <c r="K23" s="103">
        <v>4.8</v>
      </c>
      <c r="L23" s="103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9.6999999999999993</v>
      </c>
      <c r="C24" s="103">
        <v>11</v>
      </c>
      <c r="D24" s="103">
        <v>11</v>
      </c>
      <c r="E24" s="103">
        <v>11</v>
      </c>
      <c r="F24" s="103">
        <v>11</v>
      </c>
      <c r="G24" s="103">
        <v>11</v>
      </c>
      <c r="H24" s="103">
        <v>11</v>
      </c>
      <c r="I24" s="103">
        <v>11</v>
      </c>
      <c r="J24" s="103">
        <v>11</v>
      </c>
      <c r="K24" s="103">
        <v>11</v>
      </c>
      <c r="L24" s="103">
        <v>11</v>
      </c>
      <c r="M24" s="103">
        <v>11</v>
      </c>
      <c r="N24" s="103">
        <v>11</v>
      </c>
      <c r="O24" s="103">
        <v>11</v>
      </c>
      <c r="P24" s="103">
        <v>11</v>
      </c>
      <c r="Q24" s="103">
        <v>11</v>
      </c>
      <c r="R24" s="103">
        <v>11</v>
      </c>
      <c r="S24" s="103">
        <v>11</v>
      </c>
      <c r="T24" s="103">
        <v>11</v>
      </c>
      <c r="U24" s="103">
        <v>11</v>
      </c>
      <c r="V24" s="103">
        <v>11</v>
      </c>
      <c r="W24" s="103">
        <v>11</v>
      </c>
      <c r="X24" s="103">
        <v>11</v>
      </c>
      <c r="Y24" s="103">
        <v>11</v>
      </c>
      <c r="Z24" s="103">
        <v>6.4</v>
      </c>
      <c r="AA24" s="103">
        <v>6.4</v>
      </c>
      <c r="AB24" s="103">
        <v>6.4</v>
      </c>
      <c r="AC24" s="103">
        <v>6.4</v>
      </c>
      <c r="AD24" s="103">
        <v>6.4</v>
      </c>
      <c r="AE24" s="103">
        <v>6.4</v>
      </c>
      <c r="AF24" s="103">
        <v>6.4</v>
      </c>
      <c r="AG24" s="134">
        <v>25</v>
      </c>
      <c r="AH24" s="21">
        <f t="shared" si="2"/>
        <v>11</v>
      </c>
      <c r="AI24" s="20">
        <f t="shared" si="3"/>
        <v>6.4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03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6.7</v>
      </c>
      <c r="C26" s="103">
        <v>6.7</v>
      </c>
      <c r="D26" s="103">
        <v>6.7</v>
      </c>
      <c r="E26" s="103">
        <v>6.7</v>
      </c>
      <c r="F26" s="103">
        <v>6.7</v>
      </c>
      <c r="G26" s="103">
        <v>6.7</v>
      </c>
      <c r="H26" s="103">
        <v>6.7</v>
      </c>
      <c r="I26" s="103">
        <v>6.7</v>
      </c>
      <c r="J26" s="103">
        <v>6.7</v>
      </c>
      <c r="K26" s="103">
        <v>6.7</v>
      </c>
      <c r="L26" s="103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03">
        <v>2.5</v>
      </c>
      <c r="C27" s="103">
        <v>2.5</v>
      </c>
      <c r="D27" s="103">
        <v>2.5</v>
      </c>
      <c r="E27" s="103">
        <v>2.5</v>
      </c>
      <c r="F27" s="103">
        <v>2.5</v>
      </c>
      <c r="G27" s="103">
        <v>2.5</v>
      </c>
      <c r="H27" s="103">
        <v>2.5</v>
      </c>
      <c r="I27" s="103">
        <v>2.5</v>
      </c>
      <c r="J27" s="103">
        <v>2.5</v>
      </c>
      <c r="K27" s="103">
        <v>2.5</v>
      </c>
      <c r="L27" s="103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4.5</v>
      </c>
      <c r="C28" s="103">
        <v>4.5</v>
      </c>
      <c r="D28" s="103">
        <v>4.5</v>
      </c>
      <c r="E28" s="103">
        <v>4.5</v>
      </c>
      <c r="F28" s="103">
        <v>4.5</v>
      </c>
      <c r="G28" s="103">
        <v>4.5</v>
      </c>
      <c r="H28" s="103">
        <v>4.5</v>
      </c>
      <c r="I28" s="103">
        <v>4.5</v>
      </c>
      <c r="J28" s="103">
        <v>4.5</v>
      </c>
      <c r="K28" s="103">
        <v>4.5</v>
      </c>
      <c r="L28" s="103">
        <v>4.5</v>
      </c>
      <c r="M28" s="103">
        <v>4.5</v>
      </c>
      <c r="N28" s="103">
        <v>4.5</v>
      </c>
      <c r="O28" s="103">
        <v>4.5</v>
      </c>
      <c r="P28" s="103">
        <v>4.5</v>
      </c>
      <c r="Q28" s="103">
        <v>4.5</v>
      </c>
      <c r="R28" s="103">
        <v>4.5</v>
      </c>
      <c r="S28" s="103">
        <v>4.5</v>
      </c>
      <c r="T28" s="103">
        <v>4.5</v>
      </c>
      <c r="U28" s="103">
        <v>4.5</v>
      </c>
      <c r="V28" s="103">
        <v>4.5</v>
      </c>
      <c r="W28" s="103">
        <v>4.5</v>
      </c>
      <c r="X28" s="103">
        <v>4.5</v>
      </c>
      <c r="Y28" s="103">
        <v>4.5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4.5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03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03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0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0</v>
      </c>
      <c r="C33" s="103">
        <v>0</v>
      </c>
      <c r="D33" s="103">
        <v>0</v>
      </c>
      <c r="E33" s="103">
        <v>0</v>
      </c>
      <c r="F33" s="103">
        <v>0</v>
      </c>
      <c r="G33" s="103">
        <v>0</v>
      </c>
      <c r="H33" s="103">
        <v>0</v>
      </c>
      <c r="I33" s="103">
        <v>0</v>
      </c>
      <c r="J33" s="103">
        <v>0</v>
      </c>
      <c r="K33" s="103">
        <v>0</v>
      </c>
      <c r="L33" s="10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4.8</v>
      </c>
      <c r="N34" s="103">
        <v>4.8</v>
      </c>
      <c r="O34" s="103">
        <v>4.8</v>
      </c>
      <c r="P34" s="103">
        <v>4.8</v>
      </c>
      <c r="Q34" s="103">
        <v>4.8</v>
      </c>
      <c r="R34" s="103">
        <v>4.8</v>
      </c>
      <c r="S34" s="103">
        <v>4.8</v>
      </c>
      <c r="T34" s="103">
        <v>4.8</v>
      </c>
      <c r="U34" s="103">
        <v>4.8</v>
      </c>
      <c r="V34" s="103">
        <v>4.8</v>
      </c>
      <c r="W34" s="103">
        <v>4.8</v>
      </c>
      <c r="X34" s="103">
        <v>4.8</v>
      </c>
      <c r="Y34" s="103">
        <v>4.8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4.8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130</v>
      </c>
      <c r="C36" s="123">
        <v>130</v>
      </c>
      <c r="D36" s="123">
        <v>130</v>
      </c>
      <c r="E36" s="123">
        <v>130</v>
      </c>
      <c r="F36" s="123">
        <v>130</v>
      </c>
      <c r="G36" s="123">
        <v>130</v>
      </c>
      <c r="H36" s="123">
        <v>130</v>
      </c>
      <c r="I36" s="123">
        <v>130</v>
      </c>
      <c r="J36" s="123">
        <v>130</v>
      </c>
      <c r="K36" s="123">
        <v>130</v>
      </c>
      <c r="L36" s="123">
        <v>130</v>
      </c>
      <c r="M36" s="123">
        <v>130</v>
      </c>
      <c r="N36" s="123">
        <v>130</v>
      </c>
      <c r="O36" s="123">
        <v>130</v>
      </c>
      <c r="P36" s="123">
        <v>130</v>
      </c>
      <c r="Q36" s="123">
        <v>130</v>
      </c>
      <c r="R36" s="123">
        <v>130</v>
      </c>
      <c r="S36" s="123">
        <v>130</v>
      </c>
      <c r="T36" s="123">
        <v>130</v>
      </c>
      <c r="U36" s="123">
        <v>130</v>
      </c>
      <c r="V36" s="123">
        <v>130</v>
      </c>
      <c r="W36" s="123">
        <v>130</v>
      </c>
      <c r="X36" s="123">
        <v>130</v>
      </c>
      <c r="Y36" s="123">
        <v>130</v>
      </c>
      <c r="Z36" s="103">
        <v>160</v>
      </c>
      <c r="AA36" s="103">
        <v>160</v>
      </c>
      <c r="AB36" s="103">
        <v>160</v>
      </c>
      <c r="AC36" s="103">
        <v>160</v>
      </c>
      <c r="AD36" s="103">
        <v>160</v>
      </c>
      <c r="AE36" s="103">
        <v>160</v>
      </c>
      <c r="AF36" s="103">
        <v>160</v>
      </c>
      <c r="AG36" s="106">
        <v>85</v>
      </c>
      <c r="AH36" s="21">
        <f t="shared" si="2"/>
        <v>160</v>
      </c>
      <c r="AI36" s="20">
        <f t="shared" si="3"/>
        <v>130</v>
      </c>
      <c r="AK36" s="42"/>
    </row>
    <row r="37" spans="1:88" ht="15.75" thickBot="1" x14ac:dyDescent="0.3">
      <c r="A37" s="129" t="s">
        <v>174</v>
      </c>
      <c r="B37" s="128">
        <f>9.8+16.8</f>
        <v>26.6</v>
      </c>
      <c r="C37" s="128">
        <f>9.8+17.2</f>
        <v>27</v>
      </c>
      <c r="D37" s="128">
        <f>10.1+17.4</f>
        <v>27.5</v>
      </c>
      <c r="E37" s="128">
        <v>29.1</v>
      </c>
      <c r="F37" s="128">
        <v>29.1</v>
      </c>
      <c r="G37" s="128">
        <v>29.1</v>
      </c>
      <c r="H37" s="128">
        <v>28.8</v>
      </c>
      <c r="I37" s="128">
        <v>26.4</v>
      </c>
      <c r="J37" s="128">
        <v>25.8</v>
      </c>
      <c r="K37" s="128">
        <v>25.8</v>
      </c>
      <c r="L37" s="128">
        <v>25.8</v>
      </c>
      <c r="M37" s="128">
        <v>29.4</v>
      </c>
      <c r="N37" s="128">
        <v>29.8</v>
      </c>
      <c r="O37" s="128">
        <v>29.6</v>
      </c>
      <c r="P37" s="128">
        <v>28.2</v>
      </c>
      <c r="Q37" s="128">
        <v>28.8</v>
      </c>
      <c r="R37" s="128">
        <v>29.3</v>
      </c>
      <c r="S37" s="128">
        <v>29.3</v>
      </c>
      <c r="T37" s="128">
        <f>11.5+18.8</f>
        <v>30.3</v>
      </c>
      <c r="U37" s="128">
        <v>24.2</v>
      </c>
      <c r="V37" s="128">
        <f>10.2+15.9</f>
        <v>26.1</v>
      </c>
      <c r="W37" s="128">
        <v>26.5</v>
      </c>
      <c r="X37" s="128">
        <v>26.4</v>
      </c>
      <c r="Y37" s="128">
        <v>25</v>
      </c>
      <c r="Z37" s="103">
        <v>25</v>
      </c>
      <c r="AA37" s="128">
        <v>27.4</v>
      </c>
      <c r="AB37" s="128">
        <v>27.4</v>
      </c>
      <c r="AC37" s="128">
        <v>29</v>
      </c>
      <c r="AD37" s="128">
        <v>29</v>
      </c>
      <c r="AE37" s="128">
        <v>29</v>
      </c>
      <c r="AF37" s="128">
        <v>30</v>
      </c>
      <c r="AG37" s="106">
        <v>240</v>
      </c>
      <c r="AH37" s="21">
        <f t="shared" si="2"/>
        <v>30.3</v>
      </c>
      <c r="AI37" s="20">
        <f t="shared" si="3"/>
        <v>24.2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425.8</v>
      </c>
      <c r="C38" s="99">
        <f t="shared" ref="C38:AF38" si="5">SUM(C11:C36)</f>
        <v>396.8</v>
      </c>
      <c r="D38" s="99">
        <f t="shared" si="5"/>
        <v>397.2</v>
      </c>
      <c r="E38" s="99">
        <f t="shared" si="5"/>
        <v>367.19999999999993</v>
      </c>
      <c r="F38" s="99">
        <f t="shared" si="5"/>
        <v>367.19999999999993</v>
      </c>
      <c r="G38" s="99">
        <f t="shared" si="5"/>
        <v>417.2</v>
      </c>
      <c r="H38" s="99">
        <f t="shared" si="5"/>
        <v>433.2</v>
      </c>
      <c r="I38" s="99">
        <f t="shared" si="5"/>
        <v>433.2</v>
      </c>
      <c r="J38" s="99">
        <f t="shared" si="5"/>
        <v>477.1</v>
      </c>
      <c r="K38" s="99">
        <f t="shared" si="5"/>
        <v>477.1</v>
      </c>
      <c r="L38" s="99">
        <f t="shared" si="5"/>
        <v>487.1</v>
      </c>
      <c r="M38" s="99">
        <f t="shared" si="5"/>
        <v>502.40000000000003</v>
      </c>
      <c r="N38" s="99">
        <f t="shared" si="5"/>
        <v>432.90000000000003</v>
      </c>
      <c r="O38" s="99">
        <f t="shared" si="5"/>
        <v>506.50000000000006</v>
      </c>
      <c r="P38" s="99">
        <f t="shared" si="5"/>
        <v>462.5</v>
      </c>
      <c r="Q38" s="99">
        <f t="shared" si="5"/>
        <v>462.5</v>
      </c>
      <c r="R38" s="99">
        <f t="shared" si="5"/>
        <v>433.50000000000006</v>
      </c>
      <c r="S38" s="99">
        <f t="shared" si="5"/>
        <v>387.5</v>
      </c>
      <c r="T38" s="99">
        <f t="shared" si="5"/>
        <v>368.8</v>
      </c>
      <c r="U38" s="99">
        <f t="shared" si="5"/>
        <v>368.8</v>
      </c>
      <c r="V38" s="99">
        <f t="shared" si="5"/>
        <v>396.3</v>
      </c>
      <c r="W38" s="99">
        <f t="shared" si="5"/>
        <v>396.3</v>
      </c>
      <c r="X38" s="99">
        <f t="shared" si="5"/>
        <v>396.3</v>
      </c>
      <c r="Y38" s="99">
        <f t="shared" si="5"/>
        <v>436.3</v>
      </c>
      <c r="Z38" s="99">
        <f t="shared" si="5"/>
        <v>526.40000000000009</v>
      </c>
      <c r="AA38" s="99">
        <f t="shared" si="5"/>
        <v>726.40000000000009</v>
      </c>
      <c r="AB38" s="99">
        <f t="shared" si="5"/>
        <v>706.40000000000009</v>
      </c>
      <c r="AC38" s="99">
        <f t="shared" si="5"/>
        <v>606.40000000000009</v>
      </c>
      <c r="AD38" s="99">
        <f t="shared" si="5"/>
        <v>546.40000000000009</v>
      </c>
      <c r="AE38" s="99">
        <f t="shared" si="5"/>
        <v>626.40000000000009</v>
      </c>
      <c r="AF38" s="99">
        <f t="shared" si="5"/>
        <v>536.40000000000009</v>
      </c>
      <c r="AG38" s="106">
        <f>SUM(AG11:AG37)</f>
        <v>1492.8299999999997</v>
      </c>
      <c r="AH38" s="21">
        <f t="shared" si="2"/>
        <v>726.40000000000009</v>
      </c>
      <c r="AI38" s="20">
        <f t="shared" si="3"/>
        <v>367.19999999999993</v>
      </c>
      <c r="AK38" s="42"/>
    </row>
    <row r="39" spans="1:88" x14ac:dyDescent="0.25">
      <c r="A39" s="109" t="s">
        <v>172</v>
      </c>
      <c r="B39" s="127">
        <v>61</v>
      </c>
      <c r="C39" s="123">
        <v>43.9</v>
      </c>
      <c r="D39" s="123">
        <v>29.8</v>
      </c>
      <c r="E39" s="123">
        <v>0</v>
      </c>
      <c r="F39" s="123">
        <v>0</v>
      </c>
      <c r="G39" s="123">
        <v>0</v>
      </c>
      <c r="H39" s="123">
        <v>0</v>
      </c>
      <c r="I39" s="123">
        <v>48</v>
      </c>
      <c r="J39" s="123">
        <v>75.5</v>
      </c>
      <c r="K39" s="123">
        <v>121</v>
      </c>
      <c r="L39" s="123">
        <v>131</v>
      </c>
      <c r="M39" s="103">
        <v>145.69999999999999</v>
      </c>
      <c r="N39" s="103">
        <v>145.9</v>
      </c>
      <c r="O39" s="103">
        <v>145.30000000000001</v>
      </c>
      <c r="P39" s="103">
        <v>126.4</v>
      </c>
      <c r="Q39" s="103">
        <v>97</v>
      </c>
      <c r="R39" s="103">
        <v>97.3</v>
      </c>
      <c r="S39" s="103">
        <v>72</v>
      </c>
      <c r="T39" s="103">
        <v>63</v>
      </c>
      <c r="U39" s="103">
        <v>63</v>
      </c>
      <c r="V39" s="103">
        <v>121.4</v>
      </c>
      <c r="W39" s="103">
        <v>121.4</v>
      </c>
      <c r="X39" s="103">
        <v>121.4</v>
      </c>
      <c r="Y39" s="103">
        <v>145</v>
      </c>
      <c r="Z39" s="103">
        <v>145</v>
      </c>
      <c r="AA39" s="103">
        <v>145</v>
      </c>
      <c r="AB39" s="103">
        <v>144</v>
      </c>
      <c r="AC39" s="103">
        <v>70</v>
      </c>
      <c r="AD39" s="103">
        <v>60</v>
      </c>
      <c r="AE39" s="103">
        <v>45</v>
      </c>
      <c r="AF39" s="103">
        <v>45</v>
      </c>
      <c r="AG39" s="108">
        <v>144</v>
      </c>
      <c r="AH39" s="21">
        <f t="shared" si="2"/>
        <v>145.9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34.799999999999997</v>
      </c>
      <c r="C40" s="123">
        <v>23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0</v>
      </c>
      <c r="J40" s="123">
        <v>35</v>
      </c>
      <c r="K40" s="123">
        <v>60</v>
      </c>
      <c r="L40" s="123">
        <v>65</v>
      </c>
      <c r="M40" s="73">
        <v>59.7</v>
      </c>
      <c r="N40" s="73">
        <v>59.4</v>
      </c>
      <c r="O40" s="73">
        <v>70.5</v>
      </c>
      <c r="P40" s="73">
        <v>55.4</v>
      </c>
      <c r="Q40" s="73">
        <v>37.200000000000003</v>
      </c>
      <c r="R40" s="73">
        <v>35.1</v>
      </c>
      <c r="S40" s="73">
        <v>35.299999999999997</v>
      </c>
      <c r="T40" s="73">
        <v>22.6</v>
      </c>
      <c r="U40" s="73">
        <v>47.9</v>
      </c>
      <c r="V40" s="73">
        <v>47.9</v>
      </c>
      <c r="W40" s="73">
        <v>47.9</v>
      </c>
      <c r="X40" s="73">
        <v>47.9</v>
      </c>
      <c r="Y40" s="73">
        <v>48.7</v>
      </c>
      <c r="Z40" s="73">
        <v>70.3</v>
      </c>
      <c r="AA40" s="73">
        <v>70.3</v>
      </c>
      <c r="AB40" s="73">
        <v>70</v>
      </c>
      <c r="AC40" s="73">
        <v>23</v>
      </c>
      <c r="AD40" s="73">
        <v>22</v>
      </c>
      <c r="AE40" s="73">
        <v>25</v>
      </c>
      <c r="AF40" s="73">
        <v>35</v>
      </c>
      <c r="AG40" s="106">
        <v>70</v>
      </c>
      <c r="AH40" s="21">
        <f t="shared" si="2"/>
        <v>70.5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32.799999999999997</v>
      </c>
      <c r="C41" s="123">
        <v>32.799999999999997</v>
      </c>
      <c r="D41" s="123">
        <v>32.9</v>
      </c>
      <c r="E41" s="123">
        <v>0</v>
      </c>
      <c r="F41" s="123">
        <v>0</v>
      </c>
      <c r="G41" s="123">
        <v>40</v>
      </c>
      <c r="H41" s="123">
        <v>46</v>
      </c>
      <c r="I41" s="123">
        <v>41</v>
      </c>
      <c r="J41" s="123">
        <v>41</v>
      </c>
      <c r="K41" s="123">
        <v>47.5</v>
      </c>
      <c r="L41" s="123">
        <v>61</v>
      </c>
      <c r="M41" s="73">
        <v>60.4</v>
      </c>
      <c r="N41" s="73">
        <v>67.8</v>
      </c>
      <c r="O41" s="73">
        <v>61.7</v>
      </c>
      <c r="P41" s="73">
        <v>54.9</v>
      </c>
      <c r="Q41" s="73">
        <v>45.3</v>
      </c>
      <c r="R41" s="73">
        <v>22.9</v>
      </c>
      <c r="S41" s="73">
        <v>22.5</v>
      </c>
      <c r="T41" s="73">
        <v>16</v>
      </c>
      <c r="U41" s="73">
        <v>16</v>
      </c>
      <c r="V41" s="73">
        <v>32.700000000000003</v>
      </c>
      <c r="W41" s="73">
        <v>34</v>
      </c>
      <c r="X41" s="73">
        <v>34</v>
      </c>
      <c r="Y41" s="73">
        <v>50.9</v>
      </c>
      <c r="Z41" s="73">
        <v>68.900000000000006</v>
      </c>
      <c r="AA41" s="73">
        <v>68.900000000000006</v>
      </c>
      <c r="AB41" s="73">
        <v>68</v>
      </c>
      <c r="AC41" s="73">
        <v>53</v>
      </c>
      <c r="AD41" s="73">
        <v>55</v>
      </c>
      <c r="AE41" s="73">
        <v>54</v>
      </c>
      <c r="AF41" s="73">
        <v>54</v>
      </c>
      <c r="AG41" s="106">
        <v>69</v>
      </c>
      <c r="AH41" s="21">
        <f t="shared" si="2"/>
        <v>68.900000000000006</v>
      </c>
      <c r="AI41" s="20">
        <f t="shared" si="3"/>
        <v>0</v>
      </c>
      <c r="AK41" s="42"/>
    </row>
    <row r="42" spans="1:88" x14ac:dyDescent="0.25">
      <c r="A42" s="107" t="s">
        <v>169</v>
      </c>
      <c r="B42" s="123">
        <v>56.4</v>
      </c>
      <c r="C42" s="123">
        <v>58</v>
      </c>
      <c r="D42" s="123">
        <v>60.4</v>
      </c>
      <c r="E42" s="123">
        <v>60.2</v>
      </c>
      <c r="F42" s="123">
        <v>60.2</v>
      </c>
      <c r="G42" s="123">
        <v>60.2</v>
      </c>
      <c r="H42" s="123">
        <v>60.2</v>
      </c>
      <c r="I42" s="123">
        <v>60</v>
      </c>
      <c r="J42" s="123">
        <v>60</v>
      </c>
      <c r="K42" s="123">
        <v>58.5</v>
      </c>
      <c r="L42" s="123">
        <v>58.5</v>
      </c>
      <c r="M42" s="73">
        <v>58.5</v>
      </c>
      <c r="N42" s="73">
        <v>58.5</v>
      </c>
      <c r="O42" s="73">
        <v>58</v>
      </c>
      <c r="P42" s="73">
        <v>56.7</v>
      </c>
      <c r="Q42" s="73">
        <v>56.4</v>
      </c>
      <c r="R42" s="73">
        <v>55.2</v>
      </c>
      <c r="S42" s="73">
        <v>53.4</v>
      </c>
      <c r="T42" s="73">
        <v>53.7</v>
      </c>
      <c r="U42" s="73">
        <v>53.7</v>
      </c>
      <c r="V42" s="73">
        <v>53.7</v>
      </c>
      <c r="W42" s="73">
        <v>53.7</v>
      </c>
      <c r="X42" s="73">
        <v>53.7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106">
        <v>60</v>
      </c>
      <c r="AH42" s="21">
        <f t="shared" si="2"/>
        <v>60.4</v>
      </c>
      <c r="AI42" s="20">
        <f t="shared" si="3"/>
        <v>53.4</v>
      </c>
      <c r="AK42" s="42"/>
    </row>
    <row r="43" spans="1:88" x14ac:dyDescent="0.25">
      <c r="A43" s="107" t="s">
        <v>168</v>
      </c>
      <c r="B43" s="123">
        <v>0</v>
      </c>
      <c r="C43" s="123">
        <v>0</v>
      </c>
      <c r="D43" s="123">
        <v>0</v>
      </c>
      <c r="E43" s="123">
        <v>10</v>
      </c>
      <c r="F43" s="123">
        <v>15</v>
      </c>
      <c r="G43" s="123">
        <v>15</v>
      </c>
      <c r="H43" s="123">
        <v>15</v>
      </c>
      <c r="I43" s="123">
        <v>30</v>
      </c>
      <c r="J43" s="123">
        <v>30</v>
      </c>
      <c r="K43" s="123">
        <v>25</v>
      </c>
      <c r="L43" s="123">
        <v>30</v>
      </c>
      <c r="M43" s="103">
        <v>25</v>
      </c>
      <c r="N43" s="103">
        <v>17.5</v>
      </c>
      <c r="O43" s="103">
        <v>15</v>
      </c>
      <c r="P43" s="103">
        <v>15</v>
      </c>
      <c r="Q43" s="103">
        <v>15</v>
      </c>
      <c r="R43" s="103">
        <v>6</v>
      </c>
      <c r="S43" s="103">
        <v>0</v>
      </c>
      <c r="T43" s="103">
        <v>0</v>
      </c>
      <c r="U43" s="103">
        <v>13.2</v>
      </c>
      <c r="V43" s="103">
        <v>15</v>
      </c>
      <c r="W43" s="103">
        <v>13.3</v>
      </c>
      <c r="X43" s="103">
        <v>13.3</v>
      </c>
      <c r="Y43" s="103">
        <v>13.4</v>
      </c>
      <c r="Z43" s="73">
        <v>30</v>
      </c>
      <c r="AA43" s="7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30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80">
        <v>5</v>
      </c>
      <c r="N44" s="180">
        <v>5</v>
      </c>
      <c r="O44" s="103">
        <v>5</v>
      </c>
      <c r="P44" s="103">
        <v>6</v>
      </c>
      <c r="Q44" s="103">
        <v>7</v>
      </c>
      <c r="R44" s="103">
        <v>7</v>
      </c>
      <c r="S44" s="103">
        <v>7</v>
      </c>
      <c r="T44" s="103">
        <v>7</v>
      </c>
      <c r="U44" s="103">
        <v>7</v>
      </c>
      <c r="V44" s="103">
        <v>7</v>
      </c>
      <c r="W44" s="103">
        <v>7</v>
      </c>
      <c r="X44" s="103">
        <v>7</v>
      </c>
      <c r="Y44" s="103">
        <v>7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7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13</v>
      </c>
      <c r="C45" s="103">
        <v>13</v>
      </c>
      <c r="D45" s="103">
        <v>13</v>
      </c>
      <c r="E45" s="103">
        <v>13</v>
      </c>
      <c r="F45" s="103">
        <v>13</v>
      </c>
      <c r="G45" s="103">
        <v>13</v>
      </c>
      <c r="H45" s="103">
        <v>13</v>
      </c>
      <c r="I45" s="103">
        <v>13</v>
      </c>
      <c r="J45" s="103">
        <v>13</v>
      </c>
      <c r="K45" s="103">
        <v>13</v>
      </c>
      <c r="L45" s="103">
        <v>13</v>
      </c>
      <c r="M45" s="103">
        <v>13</v>
      </c>
      <c r="N45" s="103">
        <v>13</v>
      </c>
      <c r="O45" s="103">
        <v>13</v>
      </c>
      <c r="P45" s="103">
        <v>13</v>
      </c>
      <c r="Q45" s="103">
        <v>13</v>
      </c>
      <c r="R45" s="103">
        <v>13</v>
      </c>
      <c r="S45" s="103">
        <v>13</v>
      </c>
      <c r="T45" s="103">
        <v>13</v>
      </c>
      <c r="U45" s="103">
        <v>13</v>
      </c>
      <c r="V45" s="103">
        <v>13</v>
      </c>
      <c r="W45" s="103">
        <v>13</v>
      </c>
      <c r="X45" s="103">
        <v>13</v>
      </c>
      <c r="Y45" s="103">
        <v>13</v>
      </c>
      <c r="Z45" s="103">
        <v>13</v>
      </c>
      <c r="AA45" s="103">
        <v>13</v>
      </c>
      <c r="AB45" s="103">
        <v>13</v>
      </c>
      <c r="AC45" s="103">
        <v>13</v>
      </c>
      <c r="AD45" s="103">
        <v>13</v>
      </c>
      <c r="AE45" s="103">
        <v>13</v>
      </c>
      <c r="AF45" s="103">
        <v>13</v>
      </c>
      <c r="AG45" s="106">
        <v>24</v>
      </c>
      <c r="AH45" s="21">
        <f t="shared" si="2"/>
        <v>13</v>
      </c>
      <c r="AI45" s="20">
        <f t="shared" si="3"/>
        <v>13</v>
      </c>
      <c r="AK45" s="42"/>
    </row>
    <row r="46" spans="1:88" x14ac:dyDescent="0.25">
      <c r="A46" s="107" t="s">
        <v>165</v>
      </c>
      <c r="B46" s="103">
        <v>4</v>
      </c>
      <c r="C46" s="103">
        <v>4</v>
      </c>
      <c r="D46" s="103">
        <v>4</v>
      </c>
      <c r="E46" s="103">
        <v>4</v>
      </c>
      <c r="F46" s="103">
        <v>4</v>
      </c>
      <c r="G46" s="103">
        <v>4</v>
      </c>
      <c r="H46" s="103">
        <v>4</v>
      </c>
      <c r="I46" s="103">
        <v>4</v>
      </c>
      <c r="J46" s="103">
        <v>4</v>
      </c>
      <c r="K46" s="103">
        <v>4</v>
      </c>
      <c r="L46" s="103">
        <v>4</v>
      </c>
      <c r="M46" s="103">
        <v>4</v>
      </c>
      <c r="N46" s="103">
        <v>4</v>
      </c>
      <c r="O46" s="103">
        <v>4</v>
      </c>
      <c r="P46" s="103">
        <v>4</v>
      </c>
      <c r="Q46" s="103">
        <v>4</v>
      </c>
      <c r="R46" s="103">
        <v>4</v>
      </c>
      <c r="S46" s="103">
        <v>4</v>
      </c>
      <c r="T46" s="103">
        <v>4</v>
      </c>
      <c r="U46" s="103">
        <v>4</v>
      </c>
      <c r="V46" s="103">
        <v>4</v>
      </c>
      <c r="W46" s="103">
        <v>4</v>
      </c>
      <c r="X46" s="103">
        <v>4</v>
      </c>
      <c r="Y46" s="103">
        <v>4</v>
      </c>
      <c r="Z46" s="103">
        <v>4</v>
      </c>
      <c r="AA46" s="103">
        <v>4</v>
      </c>
      <c r="AB46" s="103">
        <v>4</v>
      </c>
      <c r="AC46" s="103">
        <v>4</v>
      </c>
      <c r="AD46" s="103">
        <v>4</v>
      </c>
      <c r="AE46" s="103">
        <v>4</v>
      </c>
      <c r="AF46" s="103">
        <v>4</v>
      </c>
      <c r="AG46" s="106">
        <v>15</v>
      </c>
      <c r="AH46" s="21">
        <f t="shared" si="2"/>
        <v>4</v>
      </c>
      <c r="AI46" s="20">
        <f t="shared" si="3"/>
        <v>4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10</v>
      </c>
      <c r="C47" s="103">
        <v>10</v>
      </c>
      <c r="D47" s="103">
        <v>10</v>
      </c>
      <c r="E47" s="103">
        <v>10</v>
      </c>
      <c r="F47" s="103">
        <v>10</v>
      </c>
      <c r="G47" s="103">
        <v>10</v>
      </c>
      <c r="H47" s="103">
        <v>10</v>
      </c>
      <c r="I47" s="103">
        <v>10</v>
      </c>
      <c r="J47" s="103">
        <v>10</v>
      </c>
      <c r="K47" s="103">
        <v>10</v>
      </c>
      <c r="L47" s="103">
        <v>10</v>
      </c>
      <c r="M47" s="103">
        <v>10</v>
      </c>
      <c r="N47" s="103">
        <v>10</v>
      </c>
      <c r="O47" s="103">
        <v>10</v>
      </c>
      <c r="P47" s="103">
        <v>10</v>
      </c>
      <c r="Q47" s="103">
        <v>10</v>
      </c>
      <c r="R47" s="103">
        <v>10</v>
      </c>
      <c r="S47" s="103">
        <v>10</v>
      </c>
      <c r="T47" s="103">
        <v>10</v>
      </c>
      <c r="U47" s="103">
        <v>10</v>
      </c>
      <c r="V47" s="103">
        <v>10</v>
      </c>
      <c r="W47" s="103">
        <v>10</v>
      </c>
      <c r="X47" s="103">
        <v>10</v>
      </c>
      <c r="Y47" s="103">
        <v>10</v>
      </c>
      <c r="Z47" s="103">
        <v>10</v>
      </c>
      <c r="AA47" s="103">
        <v>10</v>
      </c>
      <c r="AB47" s="103">
        <v>10</v>
      </c>
      <c r="AC47" s="103">
        <v>10</v>
      </c>
      <c r="AD47" s="103">
        <v>10</v>
      </c>
      <c r="AE47" s="103">
        <v>10</v>
      </c>
      <c r="AF47" s="103">
        <v>10</v>
      </c>
      <c r="AG47" s="106">
        <v>14.1</v>
      </c>
      <c r="AH47" s="21">
        <f t="shared" si="2"/>
        <v>10</v>
      </c>
      <c r="AI47" s="20">
        <f t="shared" si="3"/>
        <v>10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7.1</v>
      </c>
      <c r="C48" s="103">
        <v>7.1</v>
      </c>
      <c r="D48" s="103">
        <v>7.1</v>
      </c>
      <c r="E48" s="103">
        <v>7.1</v>
      </c>
      <c r="F48" s="103">
        <v>7.1</v>
      </c>
      <c r="G48" s="103">
        <v>7.1</v>
      </c>
      <c r="H48" s="103">
        <v>7.1</v>
      </c>
      <c r="I48" s="103">
        <v>7.1</v>
      </c>
      <c r="J48" s="103">
        <v>7.1</v>
      </c>
      <c r="K48" s="103">
        <v>7.1</v>
      </c>
      <c r="L48" s="103">
        <v>7.1</v>
      </c>
      <c r="M48" s="103">
        <v>7.1</v>
      </c>
      <c r="N48" s="103">
        <v>7.1</v>
      </c>
      <c r="O48" s="103">
        <v>7.1</v>
      </c>
      <c r="P48" s="103">
        <v>7.1</v>
      </c>
      <c r="Q48" s="103">
        <v>7.1</v>
      </c>
      <c r="R48" s="103">
        <v>7.1</v>
      </c>
      <c r="S48" s="103">
        <v>7.1</v>
      </c>
      <c r="T48" s="103">
        <v>7.1</v>
      </c>
      <c r="U48" s="103">
        <v>7.1</v>
      </c>
      <c r="V48" s="103">
        <v>7.1</v>
      </c>
      <c r="W48" s="103">
        <v>7.1</v>
      </c>
      <c r="X48" s="103">
        <v>7.1</v>
      </c>
      <c r="Y48" s="103">
        <v>7.1</v>
      </c>
      <c r="Z48" s="103">
        <v>6.1</v>
      </c>
      <c r="AA48" s="103">
        <v>6.1</v>
      </c>
      <c r="AB48" s="103">
        <v>6.1</v>
      </c>
      <c r="AC48" s="103">
        <v>6.1</v>
      </c>
      <c r="AD48" s="103">
        <v>6.1</v>
      </c>
      <c r="AE48" s="103">
        <v>6.1</v>
      </c>
      <c r="AF48" s="103">
        <v>6.1</v>
      </c>
      <c r="AG48" s="106">
        <v>14</v>
      </c>
      <c r="AH48" s="21">
        <f t="shared" si="2"/>
        <v>7.1</v>
      </c>
      <c r="AI48" s="20">
        <f t="shared" si="3"/>
        <v>6.1</v>
      </c>
      <c r="AK48" s="42"/>
    </row>
    <row r="49" spans="1:37" x14ac:dyDescent="0.25">
      <c r="A49" s="107" t="s">
        <v>162</v>
      </c>
      <c r="B49" s="103">
        <v>5.8</v>
      </c>
      <c r="C49" s="103">
        <v>5.8</v>
      </c>
      <c r="D49" s="103">
        <v>5.8</v>
      </c>
      <c r="E49" s="103">
        <v>5.8</v>
      </c>
      <c r="F49" s="103">
        <v>5.8</v>
      </c>
      <c r="G49" s="103">
        <v>5.8</v>
      </c>
      <c r="H49" s="103">
        <v>5.8</v>
      </c>
      <c r="I49" s="103">
        <v>5.8</v>
      </c>
      <c r="J49" s="103">
        <v>5.8</v>
      </c>
      <c r="K49" s="103">
        <v>5.8</v>
      </c>
      <c r="L49" s="103">
        <v>5.8</v>
      </c>
      <c r="M49" s="103">
        <v>5.8</v>
      </c>
      <c r="N49" s="103">
        <v>5.8</v>
      </c>
      <c r="O49" s="103">
        <v>5.8</v>
      </c>
      <c r="P49" s="103">
        <v>5.8</v>
      </c>
      <c r="Q49" s="103">
        <v>5.8</v>
      </c>
      <c r="R49" s="103">
        <v>5.8</v>
      </c>
      <c r="S49" s="103">
        <v>5.8</v>
      </c>
      <c r="T49" s="103">
        <v>5.8</v>
      </c>
      <c r="U49" s="103">
        <v>5.8</v>
      </c>
      <c r="V49" s="103">
        <v>5.8</v>
      </c>
      <c r="W49" s="103">
        <v>5.8</v>
      </c>
      <c r="X49" s="103">
        <v>5.8</v>
      </c>
      <c r="Y49" s="103">
        <v>5.8</v>
      </c>
      <c r="Z49" s="103">
        <v>5.8</v>
      </c>
      <c r="AA49" s="103">
        <v>5.8</v>
      </c>
      <c r="AB49" s="103">
        <v>5.8</v>
      </c>
      <c r="AC49" s="103">
        <v>5.8</v>
      </c>
      <c r="AD49" s="103">
        <v>5.8</v>
      </c>
      <c r="AE49" s="103">
        <v>5.8</v>
      </c>
      <c r="AF49" s="103">
        <v>5.8</v>
      </c>
      <c r="AG49" s="106">
        <v>10.050000000000001</v>
      </c>
      <c r="AH49" s="21">
        <f t="shared" si="2"/>
        <v>5.8</v>
      </c>
      <c r="AI49" s="20">
        <f t="shared" si="3"/>
        <v>5.8</v>
      </c>
      <c r="AK49" s="42"/>
    </row>
    <row r="50" spans="1:37" x14ac:dyDescent="0.25">
      <c r="A50" s="107" t="s">
        <v>161</v>
      </c>
      <c r="B50" s="103">
        <v>2.5</v>
      </c>
      <c r="C50" s="103">
        <v>2.5</v>
      </c>
      <c r="D50" s="103">
        <v>2.5</v>
      </c>
      <c r="E50" s="103">
        <v>2.5</v>
      </c>
      <c r="F50" s="103">
        <v>2.5</v>
      </c>
      <c r="G50" s="103">
        <v>2.5</v>
      </c>
      <c r="H50" s="103">
        <v>2.5</v>
      </c>
      <c r="I50" s="103">
        <v>2.5</v>
      </c>
      <c r="J50" s="103">
        <v>2.5</v>
      </c>
      <c r="K50" s="103">
        <v>2.5</v>
      </c>
      <c r="L50" s="10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230.94</v>
      </c>
      <c r="C52" s="99">
        <f t="shared" ref="C52:AF52" si="9">SUM(C39:C51)</f>
        <v>203.64</v>
      </c>
      <c r="D52" s="99">
        <f t="shared" si="9"/>
        <v>169.04</v>
      </c>
      <c r="E52" s="99">
        <f t="shared" si="9"/>
        <v>116.14</v>
      </c>
      <c r="F52" s="99">
        <f t="shared" si="9"/>
        <v>121.14</v>
      </c>
      <c r="G52" s="99">
        <f t="shared" si="9"/>
        <v>161.13999999999999</v>
      </c>
      <c r="H52" s="99">
        <f t="shared" si="9"/>
        <v>167.14</v>
      </c>
      <c r="I52" s="99">
        <f t="shared" si="9"/>
        <v>224.94</v>
      </c>
      <c r="J52" s="99">
        <f t="shared" si="9"/>
        <v>287.44000000000005</v>
      </c>
      <c r="K52" s="99">
        <f t="shared" si="9"/>
        <v>357.94000000000005</v>
      </c>
      <c r="L52" s="99">
        <f t="shared" si="9"/>
        <v>391.44000000000005</v>
      </c>
      <c r="M52" s="99">
        <f t="shared" si="9"/>
        <v>400.24</v>
      </c>
      <c r="N52" s="99">
        <f t="shared" si="9"/>
        <v>400.04000000000008</v>
      </c>
      <c r="O52" s="99">
        <f t="shared" si="9"/>
        <v>401.44000000000005</v>
      </c>
      <c r="P52" s="99">
        <f t="shared" si="9"/>
        <v>360.34000000000009</v>
      </c>
      <c r="Q52" s="99">
        <f t="shared" si="9"/>
        <v>303.84000000000003</v>
      </c>
      <c r="R52" s="99">
        <f t="shared" si="9"/>
        <v>269.44000000000005</v>
      </c>
      <c r="S52" s="99">
        <f t="shared" si="9"/>
        <v>236.14000000000001</v>
      </c>
      <c r="T52" s="99">
        <f t="shared" si="9"/>
        <v>208.24</v>
      </c>
      <c r="U52" s="99">
        <f t="shared" si="9"/>
        <v>246.74</v>
      </c>
      <c r="V52" s="99">
        <f t="shared" si="9"/>
        <v>323.64000000000004</v>
      </c>
      <c r="W52" s="99">
        <f t="shared" si="9"/>
        <v>323.24000000000007</v>
      </c>
      <c r="X52" s="99">
        <f t="shared" si="9"/>
        <v>323.24000000000007</v>
      </c>
      <c r="Y52" s="99">
        <f t="shared" si="9"/>
        <v>371.34000000000003</v>
      </c>
      <c r="Z52" s="99">
        <f t="shared" si="9"/>
        <v>419.54000000000008</v>
      </c>
      <c r="AA52" s="99">
        <f t="shared" si="9"/>
        <v>419.54000000000008</v>
      </c>
      <c r="AB52" s="99">
        <f t="shared" si="9"/>
        <v>417.34000000000003</v>
      </c>
      <c r="AC52" s="99">
        <f t="shared" si="9"/>
        <v>281.34000000000003</v>
      </c>
      <c r="AD52" s="99">
        <f t="shared" si="9"/>
        <v>272.34000000000003</v>
      </c>
      <c r="AE52" s="99">
        <f t="shared" si="9"/>
        <v>259.34000000000003</v>
      </c>
      <c r="AF52" s="99">
        <f t="shared" si="9"/>
        <v>269.34000000000003</v>
      </c>
      <c r="AG52" s="98">
        <f>SUM(AG39:AG51)</f>
        <v>489.91</v>
      </c>
      <c r="AH52" s="21">
        <f t="shared" si="2"/>
        <v>419.54000000000008</v>
      </c>
      <c r="AI52" s="20">
        <f t="shared" si="3"/>
        <v>116.14</v>
      </c>
      <c r="AK52" s="42"/>
    </row>
    <row r="53" spans="1:37" x14ac:dyDescent="0.25">
      <c r="A53" s="109" t="s">
        <v>159</v>
      </c>
      <c r="B53" s="103">
        <v>60.3</v>
      </c>
      <c r="C53" s="123">
        <v>59.6</v>
      </c>
      <c r="D53" s="123">
        <v>59.8</v>
      </c>
      <c r="E53" s="123">
        <v>59.8</v>
      </c>
      <c r="F53" s="123">
        <v>0</v>
      </c>
      <c r="G53" s="123">
        <v>59.6</v>
      </c>
      <c r="H53" s="123">
        <v>59.6</v>
      </c>
      <c r="I53" s="123">
        <v>59.6</v>
      </c>
      <c r="J53" s="123">
        <v>42</v>
      </c>
      <c r="K53" s="123">
        <v>30</v>
      </c>
      <c r="L53" s="123">
        <v>13</v>
      </c>
      <c r="M53" s="122">
        <v>24.9</v>
      </c>
      <c r="N53" s="122">
        <v>17.5</v>
      </c>
      <c r="O53" s="122">
        <v>0</v>
      </c>
      <c r="P53" s="122">
        <v>0</v>
      </c>
      <c r="Q53" s="122">
        <v>0</v>
      </c>
      <c r="R53" s="122">
        <v>0</v>
      </c>
      <c r="S53" s="103">
        <v>29.4</v>
      </c>
      <c r="T53" s="103">
        <v>59.7</v>
      </c>
      <c r="U53" s="103">
        <v>59.7</v>
      </c>
      <c r="V53" s="103">
        <v>59.7</v>
      </c>
      <c r="W53" s="103">
        <v>19.7</v>
      </c>
      <c r="X53" s="103">
        <v>19.600000000000001</v>
      </c>
      <c r="Y53" s="103">
        <v>19.600000000000001</v>
      </c>
      <c r="Z53" s="103">
        <v>50</v>
      </c>
      <c r="AA53" s="103">
        <v>20</v>
      </c>
      <c r="AB53" s="103">
        <v>30</v>
      </c>
      <c r="AC53" s="103">
        <v>29</v>
      </c>
      <c r="AD53" s="103">
        <v>29.4</v>
      </c>
      <c r="AE53" s="103">
        <v>59</v>
      </c>
      <c r="AF53" s="103">
        <v>59</v>
      </c>
      <c r="AG53" s="108">
        <v>60</v>
      </c>
      <c r="AH53" s="21">
        <f t="shared" si="2"/>
        <v>60.3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28.5</v>
      </c>
      <c r="C54" s="123">
        <v>28.6</v>
      </c>
      <c r="D54" s="123">
        <v>29.6</v>
      </c>
      <c r="E54" s="123">
        <v>29.6</v>
      </c>
      <c r="F54" s="123">
        <v>4</v>
      </c>
      <c r="G54" s="123">
        <v>28</v>
      </c>
      <c r="H54" s="123">
        <v>28</v>
      </c>
      <c r="I54" s="123">
        <v>28</v>
      </c>
      <c r="J54" s="123">
        <v>30</v>
      </c>
      <c r="K54" s="123">
        <v>15</v>
      </c>
      <c r="L54" s="123">
        <v>11</v>
      </c>
      <c r="M54" s="122">
        <v>10.199999999999999</v>
      </c>
      <c r="N54" s="122">
        <v>15</v>
      </c>
      <c r="O54" s="122">
        <v>0</v>
      </c>
      <c r="P54" s="122">
        <v>0</v>
      </c>
      <c r="Q54" s="122">
        <v>0</v>
      </c>
      <c r="R54" s="122">
        <v>0</v>
      </c>
      <c r="S54" s="103">
        <v>8.4</v>
      </c>
      <c r="T54" s="103">
        <v>29.4</v>
      </c>
      <c r="U54" s="103">
        <v>29.4</v>
      </c>
      <c r="V54" s="103">
        <v>29.4</v>
      </c>
      <c r="W54" s="73">
        <v>9.9</v>
      </c>
      <c r="X54" s="73">
        <v>8.8000000000000007</v>
      </c>
      <c r="Y54" s="73">
        <v>8.8000000000000007</v>
      </c>
      <c r="Z54" s="73">
        <v>17.899999999999999</v>
      </c>
      <c r="AA54" s="73">
        <v>8.5</v>
      </c>
      <c r="AB54" s="73">
        <v>9</v>
      </c>
      <c r="AC54" s="73">
        <v>15</v>
      </c>
      <c r="AD54" s="73">
        <v>14.2</v>
      </c>
      <c r="AE54" s="73">
        <v>28</v>
      </c>
      <c r="AF54" s="73">
        <v>28</v>
      </c>
      <c r="AG54" s="106">
        <v>32</v>
      </c>
      <c r="AH54" s="21">
        <f t="shared" si="2"/>
        <v>30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10.4</v>
      </c>
      <c r="C55" s="120">
        <v>10.4</v>
      </c>
      <c r="D55" s="120">
        <v>10.8</v>
      </c>
      <c r="E55" s="120">
        <v>10.8</v>
      </c>
      <c r="F55" s="120">
        <v>2</v>
      </c>
      <c r="G55" s="120">
        <v>10.8</v>
      </c>
      <c r="H55" s="120">
        <v>10.8</v>
      </c>
      <c r="I55" s="120">
        <v>10.8</v>
      </c>
      <c r="J55" s="120">
        <v>10.8</v>
      </c>
      <c r="K55" s="120">
        <v>6</v>
      </c>
      <c r="L55" s="120">
        <v>4</v>
      </c>
      <c r="M55" s="119">
        <v>3.7</v>
      </c>
      <c r="N55" s="119">
        <v>5.5</v>
      </c>
      <c r="O55" s="122">
        <v>0</v>
      </c>
      <c r="P55" s="122">
        <v>0</v>
      </c>
      <c r="Q55" s="122">
        <v>0</v>
      </c>
      <c r="R55" s="122">
        <v>0</v>
      </c>
      <c r="S55" s="103">
        <v>3.2</v>
      </c>
      <c r="T55" s="103">
        <v>10.7</v>
      </c>
      <c r="U55" s="103">
        <v>10.7</v>
      </c>
      <c r="V55" s="103">
        <v>10.7</v>
      </c>
      <c r="W55" s="118">
        <v>3.6</v>
      </c>
      <c r="X55" s="118">
        <v>3.2</v>
      </c>
      <c r="Y55" s="118">
        <v>3.2</v>
      </c>
      <c r="Z55" s="118">
        <v>6.5</v>
      </c>
      <c r="AA55" s="118">
        <v>3.1</v>
      </c>
      <c r="AB55" s="118">
        <v>3.3</v>
      </c>
      <c r="AC55" s="118">
        <v>5.6</v>
      </c>
      <c r="AD55" s="118">
        <v>5.2</v>
      </c>
      <c r="AE55" s="118">
        <v>10.3</v>
      </c>
      <c r="AF55" s="118">
        <v>10</v>
      </c>
      <c r="AG55" s="117">
        <v>14</v>
      </c>
      <c r="AH55" s="21">
        <f t="shared" si="2"/>
        <v>10.8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99.2</v>
      </c>
      <c r="C56" s="99">
        <f>SUM(C53:C55)</f>
        <v>98.600000000000009</v>
      </c>
      <c r="D56" s="99">
        <f t="shared" ref="D56:AF56" si="11">SUM(D53:D55)</f>
        <v>100.2</v>
      </c>
      <c r="E56" s="99">
        <f t="shared" si="11"/>
        <v>100.2</v>
      </c>
      <c r="F56" s="99">
        <f t="shared" si="11"/>
        <v>6</v>
      </c>
      <c r="G56" s="99">
        <f t="shared" si="11"/>
        <v>98.399999999999991</v>
      </c>
      <c r="H56" s="99">
        <f t="shared" si="11"/>
        <v>98.399999999999991</v>
      </c>
      <c r="I56" s="99">
        <f t="shared" si="11"/>
        <v>98.399999999999991</v>
      </c>
      <c r="J56" s="99">
        <f t="shared" si="11"/>
        <v>82.8</v>
      </c>
      <c r="K56" s="99">
        <f t="shared" si="11"/>
        <v>51</v>
      </c>
      <c r="L56" s="99">
        <f t="shared" si="11"/>
        <v>28</v>
      </c>
      <c r="M56" s="99">
        <f t="shared" si="11"/>
        <v>38.799999999999997</v>
      </c>
      <c r="N56" s="99">
        <f t="shared" si="11"/>
        <v>38</v>
      </c>
      <c r="O56" s="99">
        <f t="shared" si="11"/>
        <v>0</v>
      </c>
      <c r="P56" s="99">
        <f t="shared" si="11"/>
        <v>0</v>
      </c>
      <c r="Q56" s="99">
        <f t="shared" si="11"/>
        <v>0</v>
      </c>
      <c r="R56" s="99">
        <f t="shared" si="11"/>
        <v>0</v>
      </c>
      <c r="S56" s="99">
        <f t="shared" si="11"/>
        <v>41</v>
      </c>
      <c r="T56" s="99">
        <f t="shared" si="11"/>
        <v>99.8</v>
      </c>
      <c r="U56" s="99">
        <f t="shared" si="11"/>
        <v>99.8</v>
      </c>
      <c r="V56" s="99">
        <f t="shared" si="11"/>
        <v>99.8</v>
      </c>
      <c r="W56" s="99">
        <f t="shared" si="11"/>
        <v>33.200000000000003</v>
      </c>
      <c r="X56" s="99">
        <f t="shared" si="11"/>
        <v>31.6</v>
      </c>
      <c r="Y56" s="99">
        <f t="shared" si="11"/>
        <v>31.6</v>
      </c>
      <c r="Z56" s="99">
        <f t="shared" si="11"/>
        <v>74.400000000000006</v>
      </c>
      <c r="AA56" s="99">
        <f t="shared" si="11"/>
        <v>31.6</v>
      </c>
      <c r="AB56" s="99">
        <f t="shared" si="11"/>
        <v>42.3</v>
      </c>
      <c r="AC56" s="99">
        <f t="shared" si="11"/>
        <v>49.6</v>
      </c>
      <c r="AD56" s="99">
        <f t="shared" si="11"/>
        <v>48.8</v>
      </c>
      <c r="AE56" s="99">
        <f t="shared" si="11"/>
        <v>97.3</v>
      </c>
      <c r="AF56" s="99">
        <f t="shared" si="11"/>
        <v>97</v>
      </c>
      <c r="AG56" s="98">
        <f>SUM(AG53:AG55)</f>
        <v>106</v>
      </c>
      <c r="AH56" s="21">
        <f t="shared" si="2"/>
        <v>100.2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25.8</v>
      </c>
      <c r="C57" s="103">
        <v>24.4</v>
      </c>
      <c r="D57" s="103">
        <v>64.2</v>
      </c>
      <c r="E57" s="103">
        <v>67.599999999999994</v>
      </c>
      <c r="F57" s="103">
        <v>69.8</v>
      </c>
      <c r="G57" s="103">
        <v>70</v>
      </c>
      <c r="H57" s="103">
        <v>72</v>
      </c>
      <c r="I57" s="103">
        <v>32</v>
      </c>
      <c r="J57" s="103">
        <v>32</v>
      </c>
      <c r="K57" s="103">
        <v>19</v>
      </c>
      <c r="L57" s="103">
        <v>25.9</v>
      </c>
      <c r="M57" s="103">
        <v>32.299999999999997</v>
      </c>
      <c r="N57" s="103">
        <v>69.599999999999994</v>
      </c>
      <c r="O57" s="103">
        <v>64.7</v>
      </c>
      <c r="P57" s="103">
        <v>58.45</v>
      </c>
      <c r="Q57" s="103">
        <v>57.3</v>
      </c>
      <c r="R57" s="103">
        <v>72.3</v>
      </c>
      <c r="S57" s="103">
        <v>80.34</v>
      </c>
      <c r="T57" s="103">
        <v>69</v>
      </c>
      <c r="U57" s="103">
        <v>75.900000000000006</v>
      </c>
      <c r="V57" s="103">
        <v>70</v>
      </c>
      <c r="W57" s="103">
        <v>71.099999999999994</v>
      </c>
      <c r="X57" s="103">
        <v>72.099999999999994</v>
      </c>
      <c r="Y57" s="103">
        <v>59.1</v>
      </c>
      <c r="Z57" s="103">
        <v>60.2</v>
      </c>
      <c r="AA57" s="103">
        <v>55.4</v>
      </c>
      <c r="AB57" s="103">
        <v>56</v>
      </c>
      <c r="AC57" s="103">
        <v>74</v>
      </c>
      <c r="AD57" s="103">
        <v>74</v>
      </c>
      <c r="AE57" s="103">
        <v>70</v>
      </c>
      <c r="AF57" s="103">
        <v>68</v>
      </c>
      <c r="AG57" s="108"/>
      <c r="AH57" s="21">
        <f t="shared" si="2"/>
        <v>80.34</v>
      </c>
      <c r="AI57" s="20">
        <f t="shared" si="3"/>
        <v>19</v>
      </c>
      <c r="AK57" s="42"/>
    </row>
    <row r="58" spans="1:37" x14ac:dyDescent="0.25">
      <c r="A58" s="107" t="s">
        <v>138</v>
      </c>
      <c r="B58" s="73">
        <f>77.6+60</f>
        <v>137.6</v>
      </c>
      <c r="C58" s="73">
        <f>88.9+70</f>
        <v>158.9</v>
      </c>
      <c r="D58" s="73">
        <f>88.6+68</f>
        <v>156.6</v>
      </c>
      <c r="E58" s="73">
        <v>68</v>
      </c>
      <c r="F58" s="73">
        <v>0</v>
      </c>
      <c r="G58" s="73">
        <v>155</v>
      </c>
      <c r="H58" s="73">
        <v>162</v>
      </c>
      <c r="I58" s="73">
        <v>158</v>
      </c>
      <c r="J58" s="73">
        <v>100</v>
      </c>
      <c r="K58" s="73">
        <v>108</v>
      </c>
      <c r="L58" s="73">
        <v>103</v>
      </c>
      <c r="M58" s="103">
        <v>105.8</v>
      </c>
      <c r="N58" s="103">
        <v>102.7</v>
      </c>
      <c r="O58" s="103">
        <v>101.1</v>
      </c>
      <c r="P58" s="103">
        <v>102.5</v>
      </c>
      <c r="Q58" s="103">
        <v>95.8</v>
      </c>
      <c r="R58" s="103">
        <v>91.3</v>
      </c>
      <c r="S58" s="103">
        <v>95</v>
      </c>
      <c r="T58" s="103">
        <v>86.2</v>
      </c>
      <c r="U58" s="103">
        <v>117</v>
      </c>
      <c r="V58" s="103">
        <v>122</v>
      </c>
      <c r="W58" s="103">
        <v>130</v>
      </c>
      <c r="X58" s="103">
        <v>137</v>
      </c>
      <c r="Y58" s="103">
        <v>137</v>
      </c>
      <c r="Z58" s="116">
        <v>140</v>
      </c>
      <c r="AA58" s="116">
        <v>120</v>
      </c>
      <c r="AB58" s="73">
        <v>104</v>
      </c>
      <c r="AC58" s="73">
        <v>100</v>
      </c>
      <c r="AD58" s="73">
        <v>106</v>
      </c>
      <c r="AE58" s="73">
        <v>97</v>
      </c>
      <c r="AF58" s="73">
        <v>99</v>
      </c>
      <c r="AG58" s="106"/>
      <c r="AH58" s="21">
        <f t="shared" si="2"/>
        <v>162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6.2</v>
      </c>
      <c r="C59" s="73">
        <v>10.4</v>
      </c>
      <c r="D59" s="73">
        <v>15.2</v>
      </c>
      <c r="E59" s="73">
        <v>143</v>
      </c>
      <c r="F59" s="73">
        <v>376</v>
      </c>
      <c r="G59" s="73">
        <v>7</v>
      </c>
      <c r="H59" s="103">
        <v>0</v>
      </c>
      <c r="I59" s="103">
        <v>15</v>
      </c>
      <c r="J59" s="103">
        <v>51</v>
      </c>
      <c r="K59" s="103">
        <v>49</v>
      </c>
      <c r="L59" s="103">
        <v>43.8</v>
      </c>
      <c r="M59" s="73">
        <v>37.4</v>
      </c>
      <c r="N59" s="73">
        <v>0</v>
      </c>
      <c r="O59" s="73">
        <v>30.1</v>
      </c>
      <c r="P59" s="73">
        <v>96.9</v>
      </c>
      <c r="Q59" s="73">
        <v>98.1</v>
      </c>
      <c r="R59" s="73">
        <v>107.5</v>
      </c>
      <c r="S59" s="73">
        <v>173</v>
      </c>
      <c r="T59" s="73">
        <v>145</v>
      </c>
      <c r="U59" s="73">
        <v>234</v>
      </c>
      <c r="V59" s="73">
        <v>198</v>
      </c>
      <c r="W59" s="73">
        <v>241</v>
      </c>
      <c r="X59" s="73">
        <v>266</v>
      </c>
      <c r="Y59" s="73">
        <v>255</v>
      </c>
      <c r="Z59" s="115">
        <v>230.8</v>
      </c>
      <c r="AA59" s="115">
        <v>58.1</v>
      </c>
      <c r="AB59" s="73">
        <v>41</v>
      </c>
      <c r="AC59" s="73">
        <v>190</v>
      </c>
      <c r="AD59" s="73">
        <v>200</v>
      </c>
      <c r="AE59" s="73">
        <v>0</v>
      </c>
      <c r="AF59" s="73">
        <v>4</v>
      </c>
      <c r="AG59" s="113"/>
      <c r="AH59" s="21">
        <f t="shared" si="2"/>
        <v>376</v>
      </c>
      <c r="AI59" s="20">
        <f t="shared" si="3"/>
        <v>0</v>
      </c>
      <c r="AK59" s="42"/>
    </row>
    <row r="60" spans="1:37" x14ac:dyDescent="0.25">
      <c r="A60" s="107" t="s">
        <v>139</v>
      </c>
      <c r="B60" s="73">
        <v>50.6</v>
      </c>
      <c r="C60" s="77">
        <v>49.6</v>
      </c>
      <c r="D60" s="77">
        <v>50.8</v>
      </c>
      <c r="E60" s="77">
        <v>54</v>
      </c>
      <c r="F60" s="77">
        <v>52</v>
      </c>
      <c r="G60" s="77">
        <v>47.9</v>
      </c>
      <c r="H60" s="77">
        <v>50</v>
      </c>
      <c r="I60" s="77">
        <v>53</v>
      </c>
      <c r="J60" s="77">
        <v>54</v>
      </c>
      <c r="K60" s="77">
        <v>49</v>
      </c>
      <c r="L60" s="77">
        <v>53.6</v>
      </c>
      <c r="M60" s="73">
        <v>54.1</v>
      </c>
      <c r="N60" s="73">
        <v>49.1</v>
      </c>
      <c r="O60" s="73">
        <v>16.8</v>
      </c>
      <c r="P60" s="73">
        <v>16.8</v>
      </c>
      <c r="Q60" s="73">
        <v>46.4</v>
      </c>
      <c r="R60" s="73">
        <v>39.9</v>
      </c>
      <c r="S60" s="73">
        <v>40</v>
      </c>
      <c r="T60" s="73">
        <v>39</v>
      </c>
      <c r="U60" s="73">
        <v>55.8</v>
      </c>
      <c r="V60" s="73">
        <v>55.8</v>
      </c>
      <c r="W60" s="73">
        <v>55.8</v>
      </c>
      <c r="X60" s="73">
        <v>47.6</v>
      </c>
      <c r="Y60" s="73">
        <v>47.6</v>
      </c>
      <c r="Z60" s="73">
        <v>47.8</v>
      </c>
      <c r="AA60" s="73">
        <v>41.3</v>
      </c>
      <c r="AB60" s="73">
        <v>19</v>
      </c>
      <c r="AC60" s="73">
        <v>45</v>
      </c>
      <c r="AD60" s="73">
        <v>45</v>
      </c>
      <c r="AE60" s="73">
        <v>43</v>
      </c>
      <c r="AF60" s="77">
        <v>51</v>
      </c>
      <c r="AG60" s="113"/>
      <c r="AH60" s="21">
        <f t="shared" si="2"/>
        <v>55.8</v>
      </c>
      <c r="AI60" s="20">
        <f t="shared" si="3"/>
        <v>16.8</v>
      </c>
      <c r="AK60" s="42"/>
    </row>
    <row r="61" spans="1:37" x14ac:dyDescent="0.25">
      <c r="A61" s="107" t="s">
        <v>154</v>
      </c>
      <c r="B61" s="103">
        <v>78.3</v>
      </c>
      <c r="C61" s="77">
        <v>81</v>
      </c>
      <c r="D61" s="77">
        <v>66</v>
      </c>
      <c r="E61" s="77">
        <v>68</v>
      </c>
      <c r="F61" s="77">
        <v>0</v>
      </c>
      <c r="G61" s="77">
        <v>60.3</v>
      </c>
      <c r="H61" s="77">
        <v>67</v>
      </c>
      <c r="I61" s="77">
        <v>59</v>
      </c>
      <c r="J61" s="77">
        <v>57</v>
      </c>
      <c r="K61" s="77">
        <v>55</v>
      </c>
      <c r="L61" s="77">
        <v>52.4</v>
      </c>
      <c r="M61" s="103">
        <v>56.3</v>
      </c>
      <c r="N61" s="103">
        <v>69.7</v>
      </c>
      <c r="O61" s="103">
        <v>47.7</v>
      </c>
      <c r="P61" s="103">
        <v>43.8</v>
      </c>
      <c r="Q61" s="103">
        <v>52.6</v>
      </c>
      <c r="R61" s="103">
        <v>52.5</v>
      </c>
      <c r="S61" s="103">
        <v>50.7</v>
      </c>
      <c r="T61" s="103">
        <v>63.8</v>
      </c>
      <c r="U61" s="103">
        <v>71.599999999999994</v>
      </c>
      <c r="V61" s="103">
        <v>0</v>
      </c>
      <c r="W61" s="103">
        <v>70</v>
      </c>
      <c r="X61" s="103">
        <v>70</v>
      </c>
      <c r="Y61" s="103">
        <v>75.900000000000006</v>
      </c>
      <c r="Z61" s="103">
        <v>77.2</v>
      </c>
      <c r="AA61" s="103">
        <v>66.7</v>
      </c>
      <c r="AB61" s="103">
        <v>81</v>
      </c>
      <c r="AC61" s="103">
        <v>90</v>
      </c>
      <c r="AD61" s="103">
        <v>86</v>
      </c>
      <c r="AE61" s="103">
        <v>80</v>
      </c>
      <c r="AF61" s="103">
        <v>75</v>
      </c>
      <c r="AG61" s="113"/>
      <c r="AH61" s="21">
        <f t="shared" si="2"/>
        <v>90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5</v>
      </c>
      <c r="C62" s="67">
        <v>5</v>
      </c>
      <c r="D62" s="67">
        <v>5</v>
      </c>
      <c r="E62" s="73">
        <v>5</v>
      </c>
      <c r="F62" s="73">
        <v>0</v>
      </c>
      <c r="G62" s="73">
        <v>0</v>
      </c>
      <c r="H62" s="73">
        <v>5</v>
      </c>
      <c r="I62" s="73">
        <v>5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67">
        <v>0</v>
      </c>
      <c r="AE62" s="67">
        <v>0</v>
      </c>
      <c r="AF62" s="67">
        <v>0</v>
      </c>
      <c r="AG62" s="113"/>
      <c r="AH62" s="21">
        <f t="shared" si="2"/>
        <v>5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103">
        <v>0</v>
      </c>
      <c r="K63" s="103">
        <v>0</v>
      </c>
      <c r="L63" s="103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3</v>
      </c>
      <c r="C66" s="70">
        <v>3</v>
      </c>
      <c r="D66" s="70">
        <v>3</v>
      </c>
      <c r="E66" s="70">
        <v>3</v>
      </c>
      <c r="F66" s="70">
        <v>3</v>
      </c>
      <c r="G66" s="70">
        <v>3</v>
      </c>
      <c r="H66" s="70">
        <v>3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0">
        <v>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102"/>
      <c r="AH66" s="21">
        <f t="shared" si="2"/>
        <v>3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306.5</v>
      </c>
      <c r="C68" s="99">
        <f>SUM(C57:C67)</f>
        <v>332.3</v>
      </c>
      <c r="D68" s="99">
        <f t="shared" ref="D68:AF68" si="13">SUM(D57:D67)</f>
        <v>360.8</v>
      </c>
      <c r="E68" s="99">
        <f t="shared" si="13"/>
        <v>408.6</v>
      </c>
      <c r="F68" s="99">
        <f t="shared" si="13"/>
        <v>500.8</v>
      </c>
      <c r="G68" s="99">
        <f t="shared" si="13"/>
        <v>343.2</v>
      </c>
      <c r="H68" s="99">
        <f t="shared" si="13"/>
        <v>359</v>
      </c>
      <c r="I68" s="99">
        <f t="shared" si="13"/>
        <v>322</v>
      </c>
      <c r="J68" s="99">
        <f t="shared" si="13"/>
        <v>294</v>
      </c>
      <c r="K68" s="99">
        <f t="shared" si="13"/>
        <v>280</v>
      </c>
      <c r="L68" s="99">
        <f t="shared" si="13"/>
        <v>278.7</v>
      </c>
      <c r="M68" s="99">
        <f t="shared" si="13"/>
        <v>285.89999999999998</v>
      </c>
      <c r="N68" s="99">
        <f t="shared" si="13"/>
        <v>291.10000000000002</v>
      </c>
      <c r="O68" s="99">
        <f t="shared" si="13"/>
        <v>260.40000000000003</v>
      </c>
      <c r="P68" s="99">
        <f t="shared" si="13"/>
        <v>318.45000000000005</v>
      </c>
      <c r="Q68" s="99">
        <f t="shared" si="13"/>
        <v>350.2</v>
      </c>
      <c r="R68" s="99">
        <f t="shared" si="13"/>
        <v>363.5</v>
      </c>
      <c r="S68" s="99">
        <f t="shared" si="13"/>
        <v>439.04</v>
      </c>
      <c r="T68" s="99">
        <f t="shared" si="13"/>
        <v>403</v>
      </c>
      <c r="U68" s="99">
        <f t="shared" si="13"/>
        <v>554.29999999999995</v>
      </c>
      <c r="V68" s="99">
        <f t="shared" si="13"/>
        <v>445.8</v>
      </c>
      <c r="W68" s="99">
        <f t="shared" si="13"/>
        <v>567.90000000000009</v>
      </c>
      <c r="X68" s="99">
        <f t="shared" si="13"/>
        <v>592.70000000000005</v>
      </c>
      <c r="Y68" s="99">
        <f t="shared" si="13"/>
        <v>574.6</v>
      </c>
      <c r="Z68" s="99">
        <f t="shared" si="13"/>
        <v>556</v>
      </c>
      <c r="AA68" s="99">
        <f t="shared" si="13"/>
        <v>341.5</v>
      </c>
      <c r="AB68" s="99">
        <f t="shared" si="13"/>
        <v>301</v>
      </c>
      <c r="AC68" s="99">
        <f t="shared" si="13"/>
        <v>499</v>
      </c>
      <c r="AD68" s="99">
        <f t="shared" si="13"/>
        <v>511</v>
      </c>
      <c r="AE68" s="99">
        <f t="shared" si="13"/>
        <v>290</v>
      </c>
      <c r="AF68" s="99">
        <f t="shared" si="13"/>
        <v>297</v>
      </c>
      <c r="AG68" s="98">
        <f>SUM(AG57:AG67)</f>
        <v>0</v>
      </c>
      <c r="AH68" s="21">
        <f t="shared" si="2"/>
        <v>592.70000000000005</v>
      </c>
      <c r="AI68" s="20">
        <f t="shared" si="3"/>
        <v>260.40000000000003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1062.44</v>
      </c>
      <c r="C73" s="110">
        <f>C68+C56+C52+C38+C72</f>
        <v>1031.3399999999999</v>
      </c>
      <c r="D73" s="110">
        <f t="shared" ref="D73:AG73" si="17">D68+D56+D52+D38+D72</f>
        <v>1027.24</v>
      </c>
      <c r="E73" s="110">
        <f t="shared" si="17"/>
        <v>992.14</v>
      </c>
      <c r="F73" s="110">
        <f t="shared" si="17"/>
        <v>995.14</v>
      </c>
      <c r="G73" s="110">
        <f t="shared" si="17"/>
        <v>1019.94</v>
      </c>
      <c r="H73" s="110">
        <f t="shared" si="17"/>
        <v>1057.74</v>
      </c>
      <c r="I73" s="110">
        <f t="shared" si="17"/>
        <v>1078.54</v>
      </c>
      <c r="J73" s="110">
        <f t="shared" si="17"/>
        <v>1141.3400000000001</v>
      </c>
      <c r="K73" s="110">
        <f t="shared" si="17"/>
        <v>1166.04</v>
      </c>
      <c r="L73" s="110">
        <f t="shared" si="17"/>
        <v>1185.2400000000002</v>
      </c>
      <c r="M73" s="110">
        <f t="shared" si="17"/>
        <v>1227.3400000000001</v>
      </c>
      <c r="N73" s="110">
        <f t="shared" si="17"/>
        <v>1162.0400000000002</v>
      </c>
      <c r="O73" s="110">
        <f t="shared" si="17"/>
        <v>1168.3400000000001</v>
      </c>
      <c r="P73" s="110">
        <f t="shared" si="17"/>
        <v>1141.2900000000002</v>
      </c>
      <c r="Q73" s="110">
        <f t="shared" si="17"/>
        <v>1116.54</v>
      </c>
      <c r="R73" s="110">
        <f t="shared" si="17"/>
        <v>1066.44</v>
      </c>
      <c r="S73" s="110">
        <f t="shared" si="17"/>
        <v>1103.68</v>
      </c>
      <c r="T73" s="110">
        <f t="shared" si="17"/>
        <v>1079.8399999999999</v>
      </c>
      <c r="U73" s="110">
        <f t="shared" si="17"/>
        <v>1269.6399999999999</v>
      </c>
      <c r="V73" s="110">
        <f t="shared" si="17"/>
        <v>1265.54</v>
      </c>
      <c r="W73" s="110">
        <f t="shared" si="17"/>
        <v>1320.64</v>
      </c>
      <c r="X73" s="110">
        <f t="shared" si="17"/>
        <v>1343.8400000000001</v>
      </c>
      <c r="Y73" s="110">
        <f t="shared" si="17"/>
        <v>1413.8400000000001</v>
      </c>
      <c r="Z73" s="110">
        <f t="shared" si="17"/>
        <v>1576.3400000000001</v>
      </c>
      <c r="AA73" s="110">
        <f t="shared" si="17"/>
        <v>1519.0400000000002</v>
      </c>
      <c r="AB73" s="110">
        <f t="shared" si="17"/>
        <v>1467.0400000000002</v>
      </c>
      <c r="AC73" s="110">
        <f t="shared" si="17"/>
        <v>1436.3400000000001</v>
      </c>
      <c r="AD73" s="110">
        <f t="shared" si="17"/>
        <v>1378.54</v>
      </c>
      <c r="AE73" s="110">
        <f t="shared" si="17"/>
        <v>1273.0400000000002</v>
      </c>
      <c r="AF73" s="110">
        <f t="shared" si="17"/>
        <v>1199.7400000000002</v>
      </c>
      <c r="AG73" s="110">
        <f t="shared" si="17"/>
        <v>2144.14</v>
      </c>
      <c r="AH73" s="21">
        <f t="shared" si="2"/>
        <v>1576.3400000000001</v>
      </c>
      <c r="AI73" s="20">
        <f t="shared" si="3"/>
        <v>992.14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>
        <v>70</v>
      </c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70</v>
      </c>
      <c r="AI74" s="20">
        <f t="shared" si="3"/>
        <v>70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1062.44</v>
      </c>
      <c r="C75" s="110">
        <f>C73+C74</f>
        <v>1031.3399999999999</v>
      </c>
      <c r="D75" s="110">
        <f t="shared" ref="D75:AF75" si="19">D72+D68+D56+D52+D38+D74</f>
        <v>1027.24</v>
      </c>
      <c r="E75" s="110">
        <f t="shared" si="19"/>
        <v>992.14</v>
      </c>
      <c r="F75" s="110">
        <f t="shared" si="19"/>
        <v>995.14</v>
      </c>
      <c r="G75" s="110">
        <f t="shared" si="19"/>
        <v>1019.94</v>
      </c>
      <c r="H75" s="110">
        <f t="shared" si="19"/>
        <v>1057.74</v>
      </c>
      <c r="I75" s="110">
        <f t="shared" si="19"/>
        <v>1078.54</v>
      </c>
      <c r="J75" s="110">
        <f t="shared" si="19"/>
        <v>1141.3400000000001</v>
      </c>
      <c r="K75" s="110">
        <f t="shared" si="19"/>
        <v>1166.04</v>
      </c>
      <c r="L75" s="110">
        <f t="shared" si="19"/>
        <v>1185.2400000000002</v>
      </c>
      <c r="M75" s="110">
        <f t="shared" si="19"/>
        <v>1227.3400000000001</v>
      </c>
      <c r="N75" s="110">
        <f t="shared" si="19"/>
        <v>1162.0400000000002</v>
      </c>
      <c r="O75" s="110">
        <f t="shared" si="19"/>
        <v>1168.3400000000001</v>
      </c>
      <c r="P75" s="110">
        <f t="shared" si="19"/>
        <v>1141.2900000000002</v>
      </c>
      <c r="Q75" s="110">
        <f t="shared" si="19"/>
        <v>1116.54</v>
      </c>
      <c r="R75" s="110">
        <f t="shared" si="19"/>
        <v>1066.44</v>
      </c>
      <c r="S75" s="110">
        <f t="shared" si="19"/>
        <v>1103.68</v>
      </c>
      <c r="T75" s="110">
        <f t="shared" si="19"/>
        <v>1079.8399999999999</v>
      </c>
      <c r="U75" s="110">
        <f t="shared" si="19"/>
        <v>1269.6399999999999</v>
      </c>
      <c r="V75" s="110">
        <f t="shared" si="19"/>
        <v>1335.54</v>
      </c>
      <c r="W75" s="110">
        <f t="shared" si="19"/>
        <v>1320.64</v>
      </c>
      <c r="X75" s="110">
        <f t="shared" si="19"/>
        <v>1343.8400000000001</v>
      </c>
      <c r="Y75" s="110">
        <f t="shared" si="19"/>
        <v>1413.8400000000001</v>
      </c>
      <c r="Z75" s="110">
        <f t="shared" si="19"/>
        <v>1576.3400000000001</v>
      </c>
      <c r="AA75" s="110">
        <f t="shared" si="19"/>
        <v>1519.0400000000002</v>
      </c>
      <c r="AB75" s="110">
        <f t="shared" si="19"/>
        <v>1467.0400000000002</v>
      </c>
      <c r="AC75" s="110">
        <f t="shared" si="19"/>
        <v>1436.3400000000001</v>
      </c>
      <c r="AD75" s="110">
        <f t="shared" si="19"/>
        <v>1378.54</v>
      </c>
      <c r="AE75" s="110">
        <f t="shared" si="19"/>
        <v>1273.0400000000002</v>
      </c>
      <c r="AF75" s="110">
        <f t="shared" si="19"/>
        <v>1199.7400000000002</v>
      </c>
      <c r="AG75" s="98">
        <f>AG72+AG68+AG56+AG52+AG38+AG74</f>
        <v>2144.14</v>
      </c>
      <c r="AH75" s="21">
        <f t="shared" si="2"/>
        <v>1576.3400000000001</v>
      </c>
      <c r="AI75" s="20">
        <f t="shared" si="3"/>
        <v>992.14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/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>
        <v>0</v>
      </c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2124.88</v>
      </c>
      <c r="C83" s="99">
        <f t="shared" ref="C83:AG83" si="35">SUM(C70:C82)</f>
        <v>2062.6799999999998</v>
      </c>
      <c r="D83" s="99">
        <f t="shared" si="35"/>
        <v>2054.48</v>
      </c>
      <c r="E83" s="99">
        <f t="shared" si="35"/>
        <v>1984.28</v>
      </c>
      <c r="F83" s="99">
        <f t="shared" si="35"/>
        <v>1990.28</v>
      </c>
      <c r="G83" s="99">
        <f t="shared" si="35"/>
        <v>2039.88</v>
      </c>
      <c r="H83" s="99">
        <f t="shared" si="35"/>
        <v>2115.48</v>
      </c>
      <c r="I83" s="99">
        <f t="shared" si="35"/>
        <v>2157.08</v>
      </c>
      <c r="J83" s="99">
        <f t="shared" si="35"/>
        <v>2282.6800000000003</v>
      </c>
      <c r="K83" s="99">
        <f t="shared" si="35"/>
        <v>2332.08</v>
      </c>
      <c r="L83" s="99">
        <f t="shared" si="35"/>
        <v>2370.4800000000005</v>
      </c>
      <c r="M83" s="99">
        <f t="shared" si="35"/>
        <v>2454.6800000000003</v>
      </c>
      <c r="N83" s="99">
        <f t="shared" si="35"/>
        <v>2324.0800000000004</v>
      </c>
      <c r="O83" s="99">
        <f t="shared" si="35"/>
        <v>2336.6800000000003</v>
      </c>
      <c r="P83" s="99">
        <f t="shared" si="35"/>
        <v>2282.5800000000004</v>
      </c>
      <c r="Q83" s="99">
        <f t="shared" si="35"/>
        <v>2233.08</v>
      </c>
      <c r="R83" s="99">
        <f t="shared" si="35"/>
        <v>2132.88</v>
      </c>
      <c r="S83" s="99">
        <f t="shared" si="35"/>
        <v>2207.36</v>
      </c>
      <c r="T83" s="99">
        <f t="shared" si="35"/>
        <v>2159.6799999999998</v>
      </c>
      <c r="U83" s="99">
        <f t="shared" si="35"/>
        <v>2539.2799999999997</v>
      </c>
      <c r="V83" s="99">
        <f t="shared" si="35"/>
        <v>2671.08</v>
      </c>
      <c r="W83" s="99">
        <f t="shared" si="35"/>
        <v>2641.28</v>
      </c>
      <c r="X83" s="99">
        <f t="shared" si="35"/>
        <v>2687.6800000000003</v>
      </c>
      <c r="Y83" s="99">
        <f t="shared" si="35"/>
        <v>2827.6800000000003</v>
      </c>
      <c r="Z83" s="99">
        <f t="shared" si="35"/>
        <v>3152.6800000000003</v>
      </c>
      <c r="AA83" s="99">
        <f t="shared" si="35"/>
        <v>3038.0800000000004</v>
      </c>
      <c r="AB83" s="99">
        <f t="shared" si="35"/>
        <v>2934.0800000000004</v>
      </c>
      <c r="AC83" s="99">
        <f t="shared" si="35"/>
        <v>2872.6800000000003</v>
      </c>
      <c r="AD83" s="99">
        <f t="shared" si="35"/>
        <v>2757.08</v>
      </c>
      <c r="AE83" s="99">
        <f t="shared" si="35"/>
        <v>2546.0800000000004</v>
      </c>
      <c r="AF83" s="99">
        <f t="shared" si="35"/>
        <v>2399.4800000000005</v>
      </c>
      <c r="AG83" s="98">
        <f t="shared" si="35"/>
        <v>4360.08</v>
      </c>
      <c r="AH83" s="21">
        <f t="shared" si="22"/>
        <v>3152.6800000000003</v>
      </c>
      <c r="AI83" s="20">
        <f t="shared" si="23"/>
        <v>1984.28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49.99</v>
      </c>
      <c r="C84" s="96">
        <v>49.98</v>
      </c>
      <c r="D84" s="96">
        <v>49.9</v>
      </c>
      <c r="E84" s="96">
        <v>49.966000000000001</v>
      </c>
      <c r="F84" s="96">
        <v>49.945</v>
      </c>
      <c r="G84" s="96">
        <v>49.79</v>
      </c>
      <c r="H84" s="96">
        <v>49.65</v>
      </c>
      <c r="I84" s="96">
        <v>49.9</v>
      </c>
      <c r="J84" s="96">
        <v>50.03</v>
      </c>
      <c r="K84" s="96">
        <v>50.02</v>
      </c>
      <c r="L84" s="96">
        <v>50</v>
      </c>
      <c r="M84" s="96">
        <v>50.037999999999997</v>
      </c>
      <c r="N84" s="96">
        <v>50.037999999999997</v>
      </c>
      <c r="O84" s="96">
        <v>49.97</v>
      </c>
      <c r="P84" s="96">
        <v>49.872</v>
      </c>
      <c r="Q84" s="96">
        <v>49.942999999999998</v>
      </c>
      <c r="R84" s="96">
        <v>49.911999999999999</v>
      </c>
      <c r="S84" s="96">
        <v>49.96</v>
      </c>
      <c r="T84" s="96">
        <v>49.96</v>
      </c>
      <c r="U84" s="96">
        <v>49.912999999999997</v>
      </c>
      <c r="V84" s="96">
        <v>49.935000000000002</v>
      </c>
      <c r="W84" s="96">
        <v>49.96</v>
      </c>
      <c r="X84" s="96">
        <v>49.932000000000002</v>
      </c>
      <c r="Y84" s="96">
        <v>49.854999999999997</v>
      </c>
      <c r="Z84" s="96">
        <v>50.026000000000003</v>
      </c>
      <c r="AA84" s="96">
        <v>49.941000000000003</v>
      </c>
      <c r="AB84" s="96">
        <v>49.97</v>
      </c>
      <c r="AC84" s="96">
        <v>49.98</v>
      </c>
      <c r="AD84" s="96">
        <v>50.05</v>
      </c>
      <c r="AE84" s="96">
        <v>49.98</v>
      </c>
      <c r="AF84" s="96">
        <v>49.9</v>
      </c>
      <c r="AG84" s="95"/>
      <c r="AH84" s="21">
        <f t="shared" si="22"/>
        <v>50.05</v>
      </c>
      <c r="AI84" s="20">
        <f t="shared" si="23"/>
        <v>49.65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131.30000000000001</v>
      </c>
      <c r="C85" s="73">
        <v>130.5</v>
      </c>
      <c r="D85" s="73">
        <v>131.1</v>
      </c>
      <c r="E85" s="73">
        <v>131.1</v>
      </c>
      <c r="F85" s="73">
        <v>125</v>
      </c>
      <c r="G85" s="73">
        <v>130</v>
      </c>
      <c r="H85" s="73">
        <v>130</v>
      </c>
      <c r="I85" s="73">
        <v>130</v>
      </c>
      <c r="J85" s="73">
        <v>130</v>
      </c>
      <c r="K85" s="73">
        <v>128</v>
      </c>
      <c r="L85" s="73">
        <v>128</v>
      </c>
      <c r="M85" s="73">
        <v>128</v>
      </c>
      <c r="N85" s="73">
        <v>128.5</v>
      </c>
      <c r="O85" s="73">
        <v>126</v>
      </c>
      <c r="P85" s="73">
        <v>127.8</v>
      </c>
      <c r="Q85" s="73">
        <v>128</v>
      </c>
      <c r="R85" s="73">
        <v>129.6</v>
      </c>
      <c r="S85" s="73">
        <v>128.6</v>
      </c>
      <c r="T85" s="73">
        <v>130.5</v>
      </c>
      <c r="U85" s="73">
        <v>126.8</v>
      </c>
      <c r="V85" s="73">
        <v>127.8</v>
      </c>
      <c r="W85" s="73">
        <v>127</v>
      </c>
      <c r="X85" s="73">
        <v>126.5</v>
      </c>
      <c r="Y85" s="73">
        <v>126.1</v>
      </c>
      <c r="Z85" s="94">
        <v>125.5</v>
      </c>
      <c r="AA85" s="94">
        <v>126.1</v>
      </c>
      <c r="AB85" s="73">
        <v>128</v>
      </c>
      <c r="AC85" s="73">
        <v>127</v>
      </c>
      <c r="AD85" s="73">
        <v>127</v>
      </c>
      <c r="AE85" s="73">
        <v>129</v>
      </c>
      <c r="AF85" s="73">
        <v>129</v>
      </c>
      <c r="AG85" s="89"/>
      <c r="AH85" s="21">
        <f t="shared" si="22"/>
        <v>131.30000000000001</v>
      </c>
      <c r="AI85" s="20">
        <f t="shared" si="23"/>
        <v>125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134.30000000000001</v>
      </c>
      <c r="C86" s="73">
        <v>133.80000000000001</v>
      </c>
      <c r="D86" s="73">
        <v>134.19999999999999</v>
      </c>
      <c r="E86" s="73">
        <v>134.19999999999999</v>
      </c>
      <c r="F86" s="73">
        <v>129</v>
      </c>
      <c r="G86" s="73">
        <v>132</v>
      </c>
      <c r="H86" s="73">
        <v>132</v>
      </c>
      <c r="I86" s="73">
        <v>132</v>
      </c>
      <c r="J86" s="73">
        <v>132</v>
      </c>
      <c r="K86" s="73">
        <v>131</v>
      </c>
      <c r="L86" s="73">
        <v>131</v>
      </c>
      <c r="M86" s="73">
        <v>130.4</v>
      </c>
      <c r="N86" s="73">
        <v>131.19999999999999</v>
      </c>
      <c r="O86" s="73">
        <v>129.1</v>
      </c>
      <c r="P86" s="73">
        <v>130.69999999999999</v>
      </c>
      <c r="Q86" s="73">
        <v>131.19999999999999</v>
      </c>
      <c r="R86" s="73">
        <v>132.5</v>
      </c>
      <c r="S86" s="73">
        <v>131.4</v>
      </c>
      <c r="T86" s="73">
        <v>132.80000000000001</v>
      </c>
      <c r="U86" s="73">
        <v>129.5</v>
      </c>
      <c r="V86" s="73">
        <v>130.1</v>
      </c>
      <c r="W86" s="73">
        <v>130.19999999999999</v>
      </c>
      <c r="X86" s="73">
        <v>129.19999999999999</v>
      </c>
      <c r="Y86" s="73">
        <v>128.80000000000001</v>
      </c>
      <c r="Z86" s="94">
        <v>128.5</v>
      </c>
      <c r="AA86" s="94">
        <v>129.1</v>
      </c>
      <c r="AB86" s="73">
        <v>132</v>
      </c>
      <c r="AC86" s="73">
        <v>130</v>
      </c>
      <c r="AD86" s="73">
        <v>131</v>
      </c>
      <c r="AE86" s="73">
        <v>132</v>
      </c>
      <c r="AF86" s="73">
        <v>132</v>
      </c>
      <c r="AG86" s="89"/>
      <c r="AH86" s="21">
        <f t="shared" si="22"/>
        <v>134.30000000000001</v>
      </c>
      <c r="AI86" s="20">
        <f t="shared" si="23"/>
        <v>128.5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131.6</v>
      </c>
      <c r="C87" s="73">
        <v>129.30000000000001</v>
      </c>
      <c r="D87" s="73">
        <v>129.80000000000001</v>
      </c>
      <c r="E87" s="73">
        <v>129.80000000000001</v>
      </c>
      <c r="F87" s="73">
        <v>129.80000000000001</v>
      </c>
      <c r="G87" s="73">
        <v>130</v>
      </c>
      <c r="H87" s="73">
        <v>129</v>
      </c>
      <c r="I87" s="73">
        <v>128</v>
      </c>
      <c r="J87" s="73">
        <v>131</v>
      </c>
      <c r="K87" s="73">
        <v>130</v>
      </c>
      <c r="L87" s="73">
        <v>130</v>
      </c>
      <c r="M87" s="73">
        <v>127.4</v>
      </c>
      <c r="N87" s="73">
        <v>126.8</v>
      </c>
      <c r="O87" s="73">
        <v>127.9</v>
      </c>
      <c r="P87" s="73">
        <v>127.3</v>
      </c>
      <c r="Q87" s="73">
        <v>128.1</v>
      </c>
      <c r="R87" s="73">
        <v>128.9</v>
      </c>
      <c r="S87" s="73">
        <v>128.6</v>
      </c>
      <c r="T87" s="73">
        <v>129.80000000000001</v>
      </c>
      <c r="U87" s="73">
        <v>128.4</v>
      </c>
      <c r="V87" s="73">
        <v>129</v>
      </c>
      <c r="W87" s="73">
        <v>129</v>
      </c>
      <c r="X87" s="73">
        <v>128.19999999999999</v>
      </c>
      <c r="Y87" s="73">
        <v>127.3</v>
      </c>
      <c r="Z87" s="94">
        <v>127.7</v>
      </c>
      <c r="AA87" s="94">
        <v>126.9</v>
      </c>
      <c r="AB87" s="73">
        <v>128</v>
      </c>
      <c r="AC87" s="73">
        <v>130</v>
      </c>
      <c r="AD87" s="73">
        <v>130</v>
      </c>
      <c r="AE87" s="73">
        <v>132</v>
      </c>
      <c r="AF87" s="73">
        <v>132</v>
      </c>
      <c r="AG87" s="89"/>
      <c r="AH87" s="21">
        <f t="shared" si="22"/>
        <v>132</v>
      </c>
      <c r="AI87" s="20">
        <f t="shared" si="23"/>
        <v>126.8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133.6</v>
      </c>
      <c r="C88" s="73">
        <v>131.1</v>
      </c>
      <c r="D88" s="73">
        <v>131.9</v>
      </c>
      <c r="E88" s="73">
        <v>131.9</v>
      </c>
      <c r="F88" s="73">
        <v>131.9</v>
      </c>
      <c r="G88" s="73">
        <v>132</v>
      </c>
      <c r="H88" s="73">
        <v>130</v>
      </c>
      <c r="I88" s="73">
        <v>128</v>
      </c>
      <c r="J88" s="73">
        <v>133</v>
      </c>
      <c r="K88" s="73">
        <v>132</v>
      </c>
      <c r="L88" s="73">
        <v>132</v>
      </c>
      <c r="M88" s="73">
        <v>128.69999999999999</v>
      </c>
      <c r="N88" s="73">
        <v>128.19999999999999</v>
      </c>
      <c r="O88" s="73">
        <v>128.38</v>
      </c>
      <c r="P88" s="73">
        <v>128.30000000000001</v>
      </c>
      <c r="Q88" s="73">
        <v>129.5</v>
      </c>
      <c r="R88" s="73">
        <v>130.69999999999999</v>
      </c>
      <c r="S88" s="73">
        <v>130.19999999999999</v>
      </c>
      <c r="T88" s="73">
        <v>131.19999999999999</v>
      </c>
      <c r="U88" s="73">
        <v>128.69999999999999</v>
      </c>
      <c r="V88" s="73">
        <v>128.80000000000001</v>
      </c>
      <c r="W88" s="73">
        <v>129</v>
      </c>
      <c r="X88" s="73">
        <v>128.30000000000001</v>
      </c>
      <c r="Y88" s="73">
        <v>123</v>
      </c>
      <c r="Z88" s="94">
        <v>123.3</v>
      </c>
      <c r="AA88" s="94">
        <v>126.5</v>
      </c>
      <c r="AB88" s="73">
        <v>130</v>
      </c>
      <c r="AC88" s="73">
        <v>132</v>
      </c>
      <c r="AD88" s="73">
        <v>133</v>
      </c>
      <c r="AE88" s="73">
        <v>133</v>
      </c>
      <c r="AF88" s="73">
        <v>133</v>
      </c>
      <c r="AG88" s="89"/>
      <c r="AH88" s="21">
        <f t="shared" si="22"/>
        <v>133.6</v>
      </c>
      <c r="AI88" s="20">
        <f t="shared" si="23"/>
        <v>123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136</v>
      </c>
      <c r="C89" s="66">
        <v>128.30000000000001</v>
      </c>
      <c r="D89" s="66">
        <v>133.5</v>
      </c>
      <c r="E89" s="66">
        <v>133.5</v>
      </c>
      <c r="F89" s="66">
        <v>133.5</v>
      </c>
      <c r="G89" s="66">
        <v>131</v>
      </c>
      <c r="H89" s="66">
        <v>129</v>
      </c>
      <c r="I89" s="66">
        <v>130</v>
      </c>
      <c r="J89" s="66">
        <v>132.80000000000001</v>
      </c>
      <c r="K89" s="66">
        <v>135</v>
      </c>
      <c r="L89" s="66">
        <v>135</v>
      </c>
      <c r="M89" s="66">
        <v>134.1</v>
      </c>
      <c r="N89" s="66">
        <v>135.19999999999999</v>
      </c>
      <c r="O89" s="66">
        <v>128.5</v>
      </c>
      <c r="P89" s="66">
        <v>134.19999999999999</v>
      </c>
      <c r="Q89" s="66">
        <v>135.19999999999999</v>
      </c>
      <c r="R89" s="66">
        <v>136.9</v>
      </c>
      <c r="S89" s="66">
        <v>129.4</v>
      </c>
      <c r="T89" s="66">
        <v>131.80000000000001</v>
      </c>
      <c r="U89" s="66">
        <v>137.4</v>
      </c>
      <c r="V89" s="66">
        <v>135.4</v>
      </c>
      <c r="W89" s="66">
        <v>134.30000000000001</v>
      </c>
      <c r="X89" s="66">
        <v>135.19999999999999</v>
      </c>
      <c r="Y89" s="66">
        <v>135.80000000000001</v>
      </c>
      <c r="Z89" s="94">
        <v>133.19999999999999</v>
      </c>
      <c r="AA89" s="94">
        <v>135.6</v>
      </c>
      <c r="AB89" s="66">
        <v>133.6</v>
      </c>
      <c r="AC89" s="66">
        <v>133</v>
      </c>
      <c r="AD89" s="66">
        <v>133</v>
      </c>
      <c r="AE89" s="66">
        <v>131</v>
      </c>
      <c r="AF89" s="66">
        <v>131</v>
      </c>
      <c r="AG89" s="91"/>
      <c r="AH89" s="21">
        <f t="shared" si="22"/>
        <v>137.4</v>
      </c>
      <c r="AI89" s="20">
        <f t="shared" si="23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133</v>
      </c>
      <c r="C90" s="73">
        <v>124.7</v>
      </c>
      <c r="D90" s="73">
        <v>134.19999999999999</v>
      </c>
      <c r="E90" s="73">
        <v>134.19999999999999</v>
      </c>
      <c r="F90" s="73">
        <v>134.19999999999999</v>
      </c>
      <c r="G90" s="73">
        <v>133</v>
      </c>
      <c r="H90" s="73">
        <v>133</v>
      </c>
      <c r="I90" s="73">
        <v>134</v>
      </c>
      <c r="J90" s="73">
        <v>133</v>
      </c>
      <c r="K90" s="73">
        <v>131</v>
      </c>
      <c r="L90" s="73">
        <v>131</v>
      </c>
      <c r="M90" s="73">
        <v>126.3</v>
      </c>
      <c r="N90" s="73">
        <v>131.19999999999999</v>
      </c>
      <c r="O90" s="73">
        <v>130.4</v>
      </c>
      <c r="P90" s="73">
        <v>133.69999999999999</v>
      </c>
      <c r="Q90" s="73">
        <v>135</v>
      </c>
      <c r="R90" s="73">
        <v>126.6</v>
      </c>
      <c r="S90" s="73">
        <v>132</v>
      </c>
      <c r="T90" s="73">
        <v>134.6</v>
      </c>
      <c r="U90" s="73">
        <v>126</v>
      </c>
      <c r="V90" s="73">
        <v>136.1</v>
      </c>
      <c r="W90" s="73">
        <v>136</v>
      </c>
      <c r="X90" s="73">
        <v>134.4</v>
      </c>
      <c r="Y90" s="73">
        <v>130.80000000000001</v>
      </c>
      <c r="Z90" s="94">
        <v>135.80000000000001</v>
      </c>
      <c r="AA90" s="94">
        <v>132.6</v>
      </c>
      <c r="AB90" s="73">
        <v>128</v>
      </c>
      <c r="AC90" s="73">
        <v>132</v>
      </c>
      <c r="AD90" s="73">
        <v>131</v>
      </c>
      <c r="AE90" s="73">
        <v>132</v>
      </c>
      <c r="AF90" s="73">
        <v>132</v>
      </c>
      <c r="AG90" s="89"/>
      <c r="AH90" s="21">
        <f t="shared" si="22"/>
        <v>136.1</v>
      </c>
      <c r="AI90" s="20">
        <f t="shared" si="23"/>
        <v>124.7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67.099999999999994</v>
      </c>
      <c r="C91" s="87">
        <v>67</v>
      </c>
      <c r="D91" s="87">
        <v>67.5</v>
      </c>
      <c r="E91" s="87">
        <v>67.5</v>
      </c>
      <c r="F91" s="87">
        <v>67.5</v>
      </c>
      <c r="G91" s="87">
        <v>67</v>
      </c>
      <c r="H91" s="87">
        <v>66</v>
      </c>
      <c r="I91" s="87">
        <v>66.8</v>
      </c>
      <c r="J91" s="87">
        <v>66.8</v>
      </c>
      <c r="K91" s="87">
        <v>65.900000000000006</v>
      </c>
      <c r="L91" s="87">
        <v>65.900000000000006</v>
      </c>
      <c r="M91" s="87">
        <v>65.900000000000006</v>
      </c>
      <c r="N91" s="87">
        <v>66.5</v>
      </c>
      <c r="O91" s="87">
        <v>65.400000000000006</v>
      </c>
      <c r="P91" s="87">
        <v>66</v>
      </c>
      <c r="Q91" s="87">
        <v>66.3</v>
      </c>
      <c r="R91" s="87">
        <v>66.900000000000006</v>
      </c>
      <c r="S91" s="87">
        <v>66.3</v>
      </c>
      <c r="T91" s="87">
        <v>66.900000000000006</v>
      </c>
      <c r="U91" s="87">
        <v>65.2</v>
      </c>
      <c r="V91" s="87">
        <v>65.599999999999994</v>
      </c>
      <c r="W91" s="87">
        <v>65.8</v>
      </c>
      <c r="X91" s="87">
        <v>65.400000000000006</v>
      </c>
      <c r="Y91" s="87">
        <v>65.2</v>
      </c>
      <c r="Z91" s="87">
        <v>65.099999999999994</v>
      </c>
      <c r="AA91" s="87">
        <v>65.5</v>
      </c>
      <c r="AB91" s="87">
        <v>66.7</v>
      </c>
      <c r="AC91" s="87">
        <v>66.3</v>
      </c>
      <c r="AD91" s="87">
        <v>66.2</v>
      </c>
      <c r="AE91" s="87">
        <v>66.599999999999994</v>
      </c>
      <c r="AF91" s="87">
        <v>66.599999999999994</v>
      </c>
      <c r="AG91" s="86"/>
      <c r="AH91" s="21">
        <f t="shared" si="22"/>
        <v>67.5</v>
      </c>
      <c r="AI91" s="20">
        <f t="shared" si="23"/>
        <v>65.099999999999994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6">SUM(B15,B18,B21:B22,B42,B44:B45,B47,B49,B94:B97,B103,B109,B115,B124,B126,B138,B145,B148:B149,B156,B158,B160,B164:B166,B168:B170,B175,B181:B182,B184:B186,B194,B199)</f>
        <v>166.94</v>
      </c>
      <c r="C93" s="82">
        <f t="shared" ref="C93:AF93" si="37">SUM(C15,C18,C21:C22,C42,C44:C45,C47,C49,C94:C97,C103,C109,C115,C124,C126,C138,C145,C148:C149,C156,C158,C160,C164:C166,C168:C170,C175,C181:C182,C184:C186,C194,C199)</f>
        <v>155.83999999999997</v>
      </c>
      <c r="D93" s="82">
        <f t="shared" si="37"/>
        <v>153.73999999999998</v>
      </c>
      <c r="E93" s="82">
        <f t="shared" si="37"/>
        <v>152.14000000000001</v>
      </c>
      <c r="F93" s="82">
        <f t="shared" si="37"/>
        <v>157.24</v>
      </c>
      <c r="G93" s="80">
        <f t="shared" si="37"/>
        <v>162.54000000000002</v>
      </c>
      <c r="H93" s="80">
        <f t="shared" si="37"/>
        <v>187.54</v>
      </c>
      <c r="I93" s="80">
        <f t="shared" si="37"/>
        <v>217.53999999999996</v>
      </c>
      <c r="J93" s="80">
        <f t="shared" si="37"/>
        <v>237.23999999999998</v>
      </c>
      <c r="K93" s="80">
        <f t="shared" si="37"/>
        <v>253.14</v>
      </c>
      <c r="L93" s="80">
        <f t="shared" si="37"/>
        <v>266.54000000000002</v>
      </c>
      <c r="M93" s="80">
        <f t="shared" si="37"/>
        <v>284.94000000000005</v>
      </c>
      <c r="N93" s="80">
        <f t="shared" si="37"/>
        <v>279.64</v>
      </c>
      <c r="O93" s="80">
        <f t="shared" si="37"/>
        <v>266.24000000000007</v>
      </c>
      <c r="P93" s="80">
        <f t="shared" si="37"/>
        <v>241.34</v>
      </c>
      <c r="Q93" s="80">
        <f t="shared" si="37"/>
        <v>224.04</v>
      </c>
      <c r="R93" s="80">
        <f t="shared" si="37"/>
        <v>214.54</v>
      </c>
      <c r="S93" s="80">
        <f t="shared" si="37"/>
        <v>254.54000000000002</v>
      </c>
      <c r="T93" s="80">
        <f t="shared" si="37"/>
        <v>215.23999999999998</v>
      </c>
      <c r="U93" s="80">
        <f t="shared" si="37"/>
        <v>300.04000000000002</v>
      </c>
      <c r="V93" s="80">
        <f t="shared" si="37"/>
        <v>287.84000000000003</v>
      </c>
      <c r="W93" s="80">
        <f t="shared" si="37"/>
        <v>284.44</v>
      </c>
      <c r="X93" s="80">
        <f t="shared" si="37"/>
        <v>310.94000000000005</v>
      </c>
      <c r="Y93" s="80">
        <f t="shared" si="37"/>
        <v>346.64000000000004</v>
      </c>
      <c r="Z93" s="80">
        <f t="shared" si="37"/>
        <v>383.94000000000005</v>
      </c>
      <c r="AA93" s="80">
        <f t="shared" si="37"/>
        <v>353.54</v>
      </c>
      <c r="AB93" s="80">
        <f t="shared" si="37"/>
        <v>313.14000000000004</v>
      </c>
      <c r="AC93" s="80">
        <f t="shared" si="37"/>
        <v>281.14</v>
      </c>
      <c r="AD93" s="80">
        <f t="shared" si="37"/>
        <v>274.14000000000004</v>
      </c>
      <c r="AE93" s="80">
        <f t="shared" si="37"/>
        <v>215.73999999999998</v>
      </c>
      <c r="AF93" s="80">
        <f t="shared" si="37"/>
        <v>176.14</v>
      </c>
      <c r="AG93" s="79"/>
      <c r="AH93" s="21">
        <f>MAX(C93:AF93)</f>
        <v>383.94000000000005</v>
      </c>
      <c r="AI93" s="20">
        <f>MIN(C93:AF93)</f>
        <v>152.14000000000001</v>
      </c>
    </row>
    <row r="94" spans="1:88" x14ac:dyDescent="0.25">
      <c r="A94" s="48" t="s">
        <v>122</v>
      </c>
      <c r="B94" s="75">
        <v>-10.7</v>
      </c>
      <c r="C94" s="77">
        <v>-19.8</v>
      </c>
      <c r="D94" s="77">
        <v>-19.399999999999999</v>
      </c>
      <c r="E94" s="77">
        <v>-42.6</v>
      </c>
      <c r="F94" s="77">
        <v>-41.4</v>
      </c>
      <c r="G94" s="76">
        <v>-23.6</v>
      </c>
      <c r="H94" s="76">
        <v>-25.4</v>
      </c>
      <c r="I94" s="76">
        <v>-21</v>
      </c>
      <c r="J94" s="76">
        <v>3.5</v>
      </c>
      <c r="K94" s="76">
        <v>20.8</v>
      </c>
      <c r="L94" s="76">
        <v>38.1</v>
      </c>
      <c r="M94" s="75">
        <v>37.4</v>
      </c>
      <c r="N94" s="76">
        <v>60.5</v>
      </c>
      <c r="O94" s="76">
        <v>39</v>
      </c>
      <c r="P94" s="76">
        <v>26.3</v>
      </c>
      <c r="Q94" s="76">
        <v>19.899999999999999</v>
      </c>
      <c r="R94" s="76">
        <v>12.9</v>
      </c>
      <c r="S94" s="76">
        <v>-1.1000000000000001</v>
      </c>
      <c r="T94" s="76">
        <v>-13.6</v>
      </c>
      <c r="U94" s="76">
        <v>39.4</v>
      </c>
      <c r="V94" s="76">
        <v>25</v>
      </c>
      <c r="W94" s="76">
        <v>21.1</v>
      </c>
      <c r="X94" s="76">
        <v>25.5</v>
      </c>
      <c r="Y94" s="76">
        <v>39.4</v>
      </c>
      <c r="Z94" s="76">
        <v>38.700000000000003</v>
      </c>
      <c r="AA94" s="76">
        <v>37.200000000000003</v>
      </c>
      <c r="AB94" s="75">
        <v>30</v>
      </c>
      <c r="AC94" s="75">
        <v>7</v>
      </c>
      <c r="AD94" s="75">
        <v>2</v>
      </c>
      <c r="AE94" s="75">
        <v>2.6</v>
      </c>
      <c r="AF94" s="75">
        <v>12</v>
      </c>
      <c r="AG94" s="3">
        <v>75</v>
      </c>
      <c r="AH94" s="21">
        <f t="shared" ref="AH94:AH100" si="38">IF(ABS(MAX(C94:AF94))&gt;ABS(MIN(C94:AF94)),MAX(C94:AF94),MIN(C94:AF94))</f>
        <v>60.5</v>
      </c>
      <c r="AI94" s="64">
        <f t="shared" ref="AI94:AI100" si="39">INDEX($C$9:$AF$9,1,MATCH(AH94,C94:AF94,0))</f>
        <v>0.375</v>
      </c>
    </row>
    <row r="95" spans="1:88" x14ac:dyDescent="0.25">
      <c r="A95" s="45" t="s">
        <v>121</v>
      </c>
      <c r="B95" s="73">
        <f>-11.7-22.5</f>
        <v>-34.200000000000003</v>
      </c>
      <c r="C95" s="67">
        <f>-13.3-23.8</f>
        <v>-37.1</v>
      </c>
      <c r="D95" s="67">
        <f>-13.6-24.6</f>
        <v>-38.200000000000003</v>
      </c>
      <c r="E95" s="67">
        <v>-32.799999999999997</v>
      </c>
      <c r="F95" s="67">
        <v>-48</v>
      </c>
      <c r="G95" s="67">
        <v>-38.799999999999997</v>
      </c>
      <c r="H95" s="67">
        <v>-23</v>
      </c>
      <c r="I95" s="67">
        <v>-9.4</v>
      </c>
      <c r="J95" s="67">
        <v>-8.4</v>
      </c>
      <c r="K95" s="67">
        <v>-5.7</v>
      </c>
      <c r="L95" s="67">
        <v>-25</v>
      </c>
      <c r="M95" s="67">
        <v>-30.4</v>
      </c>
      <c r="N95" s="67">
        <v>-38.4</v>
      </c>
      <c r="O95" s="67">
        <v>-24.2</v>
      </c>
      <c r="P95" s="67">
        <v>-22.7</v>
      </c>
      <c r="Q95" s="67">
        <v>-23.3</v>
      </c>
      <c r="R95" s="67">
        <v>-24.8</v>
      </c>
      <c r="S95" s="67">
        <f>7.9+11.6</f>
        <v>19.5</v>
      </c>
      <c r="T95" s="67">
        <f>-2.4-6.3</f>
        <v>-8.6999999999999993</v>
      </c>
      <c r="U95" s="67">
        <v>3.6</v>
      </c>
      <c r="V95" s="67">
        <v>4</v>
      </c>
      <c r="W95" s="67">
        <v>2.9</v>
      </c>
      <c r="X95" s="67">
        <v>14</v>
      </c>
      <c r="Y95" s="67">
        <v>21</v>
      </c>
      <c r="Z95" s="67">
        <v>40</v>
      </c>
      <c r="AA95" s="67">
        <v>35</v>
      </c>
      <c r="AB95" s="73">
        <v>-3</v>
      </c>
      <c r="AC95" s="73">
        <v>10</v>
      </c>
      <c r="AD95" s="73">
        <v>-4</v>
      </c>
      <c r="AE95" s="73">
        <v>-28</v>
      </c>
      <c r="AF95" s="73">
        <v>-45</v>
      </c>
      <c r="AG95" s="3">
        <v>240</v>
      </c>
      <c r="AH95" s="21">
        <f t="shared" si="38"/>
        <v>-48</v>
      </c>
      <c r="AI95" s="64">
        <f t="shared" si="39"/>
        <v>0.16666666666666699</v>
      </c>
    </row>
    <row r="96" spans="1:88" x14ac:dyDescent="0.25">
      <c r="A96" s="45" t="s">
        <v>120</v>
      </c>
      <c r="B96" s="73">
        <v>24.7</v>
      </c>
      <c r="C96" s="67">
        <v>18.100000000000001</v>
      </c>
      <c r="D96" s="67">
        <v>18.8</v>
      </c>
      <c r="E96" s="67">
        <v>23.7</v>
      </c>
      <c r="F96" s="67">
        <v>-5.3</v>
      </c>
      <c r="G96" s="67">
        <v>24</v>
      </c>
      <c r="H96" s="67">
        <v>26.4</v>
      </c>
      <c r="I96" s="67">
        <v>33</v>
      </c>
      <c r="J96" s="67">
        <v>29</v>
      </c>
      <c r="K96" s="67">
        <v>22.7</v>
      </c>
      <c r="L96" s="67">
        <v>11.5</v>
      </c>
      <c r="M96" s="67">
        <v>18.3</v>
      </c>
      <c r="N96" s="67">
        <v>2.8</v>
      </c>
      <c r="O96" s="67">
        <v>3.9</v>
      </c>
      <c r="P96" s="67">
        <v>2.8</v>
      </c>
      <c r="Q96" s="67">
        <v>0</v>
      </c>
      <c r="R96" s="67">
        <v>5.5</v>
      </c>
      <c r="S96" s="67">
        <v>15.9</v>
      </c>
      <c r="T96" s="67">
        <v>33.299999999999997</v>
      </c>
      <c r="U96" s="67">
        <v>25</v>
      </c>
      <c r="V96" s="67">
        <v>29.3</v>
      </c>
      <c r="W96" s="67">
        <v>19.7</v>
      </c>
      <c r="X96" s="67">
        <v>18.5</v>
      </c>
      <c r="Y96" s="67">
        <v>22.5</v>
      </c>
      <c r="Z96" s="67">
        <v>40.700000000000003</v>
      </c>
      <c r="AA96" s="67">
        <v>29.1</v>
      </c>
      <c r="AB96" s="73">
        <v>18</v>
      </c>
      <c r="AC96" s="73">
        <v>14</v>
      </c>
      <c r="AD96" s="73">
        <v>14</v>
      </c>
      <c r="AE96" s="73">
        <v>24</v>
      </c>
      <c r="AF96" s="73">
        <v>17</v>
      </c>
      <c r="AG96" s="3">
        <v>60</v>
      </c>
      <c r="AH96" s="21">
        <f t="shared" si="38"/>
        <v>40.700000000000003</v>
      </c>
      <c r="AI96" s="64">
        <f t="shared" si="39"/>
        <v>0.79166666666666663</v>
      </c>
    </row>
    <row r="97" spans="1:37" x14ac:dyDescent="0.25">
      <c r="A97" s="41" t="s">
        <v>119</v>
      </c>
      <c r="B97" s="69">
        <v>20</v>
      </c>
      <c r="C97" s="70">
        <v>25.9</v>
      </c>
      <c r="D97" s="70">
        <v>21.4</v>
      </c>
      <c r="E97" s="70">
        <v>32.9</v>
      </c>
      <c r="F97" s="70">
        <v>81</v>
      </c>
      <c r="G97" s="70">
        <v>30</v>
      </c>
      <c r="H97" s="70">
        <v>38.6</v>
      </c>
      <c r="I97" s="70">
        <v>44.2</v>
      </c>
      <c r="J97" s="70">
        <v>43</v>
      </c>
      <c r="K97" s="70">
        <v>46.7</v>
      </c>
      <c r="L97" s="70">
        <v>73.3</v>
      </c>
      <c r="M97" s="70">
        <v>86</v>
      </c>
      <c r="N97" s="70">
        <v>81.099999999999994</v>
      </c>
      <c r="O97" s="70">
        <v>74.400000000000006</v>
      </c>
      <c r="P97" s="70">
        <v>61.6</v>
      </c>
      <c r="Q97" s="70">
        <v>53.4</v>
      </c>
      <c r="R97" s="70">
        <v>48.1</v>
      </c>
      <c r="S97" s="70">
        <v>49.2</v>
      </c>
      <c r="T97" s="70">
        <v>32.9</v>
      </c>
      <c r="U97" s="70">
        <v>60.7</v>
      </c>
      <c r="V97" s="70">
        <v>58.7</v>
      </c>
      <c r="W97" s="70">
        <v>69.900000000000006</v>
      </c>
      <c r="X97" s="70">
        <v>82.1</v>
      </c>
      <c r="Y97" s="70">
        <v>86.2</v>
      </c>
      <c r="Z97" s="70">
        <v>89.4</v>
      </c>
      <c r="AA97" s="70">
        <v>77.099999999999994</v>
      </c>
      <c r="AB97" s="69">
        <v>93</v>
      </c>
      <c r="AC97" s="69">
        <v>75</v>
      </c>
      <c r="AD97" s="69">
        <v>87</v>
      </c>
      <c r="AE97" s="69">
        <v>42</v>
      </c>
      <c r="AF97" s="69">
        <v>17</v>
      </c>
      <c r="AG97" s="72">
        <v>120</v>
      </c>
      <c r="AH97" s="21">
        <f t="shared" si="38"/>
        <v>93</v>
      </c>
      <c r="AI97" s="64">
        <f t="shared" si="39"/>
        <v>0.83333333333333337</v>
      </c>
    </row>
    <row r="98" spans="1:37" x14ac:dyDescent="0.25">
      <c r="A98" s="41" t="s">
        <v>118</v>
      </c>
      <c r="B98" s="69">
        <v>22.8</v>
      </c>
      <c r="C98" s="70">
        <v>32.200000000000003</v>
      </c>
      <c r="D98" s="70">
        <v>27.5</v>
      </c>
      <c r="E98" s="70">
        <v>37</v>
      </c>
      <c r="F98" s="70">
        <v>93.8</v>
      </c>
      <c r="G98" s="70">
        <v>31.6</v>
      </c>
      <c r="H98" s="70">
        <v>37.799999999999997</v>
      </c>
      <c r="I98" s="70">
        <v>40.4</v>
      </c>
      <c r="J98" s="70">
        <v>30</v>
      </c>
      <c r="K98" s="70">
        <v>32.700000000000003</v>
      </c>
      <c r="L98" s="70">
        <v>17.3</v>
      </c>
      <c r="M98" s="70">
        <v>11.3</v>
      </c>
      <c r="N98" s="70">
        <v>-3.6</v>
      </c>
      <c r="O98" s="70">
        <v>27.8</v>
      </c>
      <c r="P98" s="70">
        <v>33.200000000000003</v>
      </c>
      <c r="Q98" s="70">
        <v>39</v>
      </c>
      <c r="R98" s="70">
        <v>34.799999999999997</v>
      </c>
      <c r="S98" s="70">
        <v>36.299999999999997</v>
      </c>
      <c r="T98" s="70">
        <v>25.1</v>
      </c>
      <c r="U98" s="70">
        <v>49.5</v>
      </c>
      <c r="V98" s="70">
        <v>49.4</v>
      </c>
      <c r="W98" s="70">
        <v>58.6</v>
      </c>
      <c r="X98" s="70">
        <v>69</v>
      </c>
      <c r="Y98" s="70">
        <v>66.400000000000006</v>
      </c>
      <c r="Z98" s="70">
        <v>79</v>
      </c>
      <c r="AA98" s="70">
        <v>86.1</v>
      </c>
      <c r="AB98" s="69">
        <v>61</v>
      </c>
      <c r="AC98" s="69">
        <v>83</v>
      </c>
      <c r="AD98" s="69">
        <v>72</v>
      </c>
      <c r="AE98" s="69">
        <v>30</v>
      </c>
      <c r="AF98" s="69">
        <v>15</v>
      </c>
      <c r="AG98" s="72"/>
      <c r="AH98" s="21">
        <f t="shared" si="38"/>
        <v>93.8</v>
      </c>
      <c r="AI98" s="64">
        <f t="shared" si="39"/>
        <v>0.16666666666666699</v>
      </c>
    </row>
    <row r="99" spans="1:37" x14ac:dyDescent="0.25">
      <c r="A99" s="41" t="s">
        <v>117</v>
      </c>
      <c r="B99" s="69">
        <v>75.900000000000006</v>
      </c>
      <c r="C99" s="70">
        <v>77.599999999999994</v>
      </c>
      <c r="D99" s="70">
        <v>61.7</v>
      </c>
      <c r="E99" s="70">
        <v>66.8</v>
      </c>
      <c r="F99" s="70">
        <v>66</v>
      </c>
      <c r="G99" s="70">
        <v>65</v>
      </c>
      <c r="H99" s="70">
        <v>69.400000000000006</v>
      </c>
      <c r="I99" s="70">
        <v>63.6</v>
      </c>
      <c r="J99" s="70">
        <v>53.4</v>
      </c>
      <c r="K99" s="70">
        <v>46.4</v>
      </c>
      <c r="L99" s="70">
        <v>38</v>
      </c>
      <c r="M99" s="70">
        <v>36.1</v>
      </c>
      <c r="N99" s="70">
        <v>14.8</v>
      </c>
      <c r="O99" s="70">
        <v>46.7</v>
      </c>
      <c r="P99" s="70">
        <v>48</v>
      </c>
      <c r="Q99" s="70">
        <v>42.1</v>
      </c>
      <c r="R99" s="70">
        <v>36.9</v>
      </c>
      <c r="S99" s="70">
        <v>54.8</v>
      </c>
      <c r="T99" s="70">
        <v>58.5</v>
      </c>
      <c r="U99" s="70">
        <v>18.5</v>
      </c>
      <c r="V99" s="70">
        <v>27.4</v>
      </c>
      <c r="W99" s="70">
        <v>31.9</v>
      </c>
      <c r="X99" s="70">
        <v>25.8</v>
      </c>
      <c r="Y99" s="70">
        <v>23</v>
      </c>
      <c r="Z99" s="70">
        <v>45</v>
      </c>
      <c r="AA99" s="70">
        <v>47.8</v>
      </c>
      <c r="AB99" s="69">
        <v>51</v>
      </c>
      <c r="AC99" s="69">
        <v>50</v>
      </c>
      <c r="AD99" s="69">
        <v>54</v>
      </c>
      <c r="AE99" s="69">
        <v>57</v>
      </c>
      <c r="AF99" s="69">
        <v>52</v>
      </c>
      <c r="AG99" s="65"/>
      <c r="AH99" s="21">
        <f t="shared" si="38"/>
        <v>77.599999999999994</v>
      </c>
      <c r="AI99" s="64">
        <f t="shared" si="39"/>
        <v>4.1666666666666664E-2</v>
      </c>
    </row>
    <row r="100" spans="1:37" ht="15.75" thickBot="1" x14ac:dyDescent="0.3">
      <c r="A100" s="68" t="s">
        <v>116</v>
      </c>
      <c r="B100" s="66">
        <v>6</v>
      </c>
      <c r="C100" s="67">
        <v>-15.6</v>
      </c>
      <c r="D100" s="67">
        <v>-14.9</v>
      </c>
      <c r="E100" s="67">
        <v>30.2</v>
      </c>
      <c r="F100" s="67">
        <v>80</v>
      </c>
      <c r="G100" s="67">
        <v>-14.9</v>
      </c>
      <c r="H100" s="67">
        <v>-14.9</v>
      </c>
      <c r="I100" s="67">
        <v>0</v>
      </c>
      <c r="J100" s="67">
        <v>39.799999999999997</v>
      </c>
      <c r="K100" s="67">
        <v>36.9</v>
      </c>
      <c r="L100" s="67">
        <v>39.1</v>
      </c>
      <c r="M100" s="67">
        <v>47.4</v>
      </c>
      <c r="N100" s="67">
        <v>52.6</v>
      </c>
      <c r="O100" s="67">
        <v>51.2</v>
      </c>
      <c r="P100" s="67">
        <v>53.1</v>
      </c>
      <c r="Q100" s="67">
        <v>52.5</v>
      </c>
      <c r="R100" s="67">
        <v>51.7</v>
      </c>
      <c r="S100" s="67">
        <v>52.3</v>
      </c>
      <c r="T100" s="67">
        <v>25.1</v>
      </c>
      <c r="U100" s="67">
        <v>50.3</v>
      </c>
      <c r="V100" s="67">
        <v>50</v>
      </c>
      <c r="W100" s="67">
        <v>45.1</v>
      </c>
      <c r="X100" s="67">
        <v>44</v>
      </c>
      <c r="Y100" s="67">
        <v>60</v>
      </c>
      <c r="Z100" s="67">
        <v>66</v>
      </c>
      <c r="AA100" s="67">
        <v>70</v>
      </c>
      <c r="AB100" s="66">
        <v>78</v>
      </c>
      <c r="AC100" s="66">
        <v>73</v>
      </c>
      <c r="AD100" s="66">
        <v>72</v>
      </c>
      <c r="AE100" s="66">
        <v>62</v>
      </c>
      <c r="AF100" s="66">
        <v>53</v>
      </c>
      <c r="AG100" s="65"/>
      <c r="AH100" s="21">
        <f t="shared" si="38"/>
        <v>80</v>
      </c>
      <c r="AI100" s="64">
        <f t="shared" si="39"/>
        <v>0.16666666666666699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0">AF102</f>
        <v>9.9</v>
      </c>
      <c r="C102" s="54">
        <v>9.9</v>
      </c>
      <c r="D102" s="58">
        <f t="shared" ref="D102:S107" si="41">C102</f>
        <v>9.9</v>
      </c>
      <c r="E102" s="58">
        <f t="shared" si="41"/>
        <v>9.9</v>
      </c>
      <c r="F102" s="58">
        <f t="shared" si="41"/>
        <v>9.9</v>
      </c>
      <c r="G102" s="58">
        <f t="shared" si="41"/>
        <v>9.9</v>
      </c>
      <c r="H102" s="58">
        <f t="shared" si="41"/>
        <v>9.9</v>
      </c>
      <c r="I102" s="58">
        <f t="shared" si="41"/>
        <v>9.9</v>
      </c>
      <c r="J102" s="58">
        <f t="shared" si="41"/>
        <v>9.9</v>
      </c>
      <c r="K102" s="58">
        <f t="shared" si="41"/>
        <v>9.9</v>
      </c>
      <c r="L102" s="58">
        <f t="shared" si="41"/>
        <v>9.9</v>
      </c>
      <c r="M102" s="58">
        <f t="shared" si="41"/>
        <v>9.9</v>
      </c>
      <c r="N102" s="58">
        <f t="shared" si="41"/>
        <v>9.9</v>
      </c>
      <c r="O102" s="58">
        <f t="shared" si="41"/>
        <v>9.9</v>
      </c>
      <c r="P102" s="58">
        <f t="shared" si="41"/>
        <v>9.9</v>
      </c>
      <c r="Q102" s="58">
        <f t="shared" si="41"/>
        <v>9.9</v>
      </c>
      <c r="R102" s="58">
        <f t="shared" si="41"/>
        <v>9.9</v>
      </c>
      <c r="S102" s="58">
        <f t="shared" si="41"/>
        <v>9.9</v>
      </c>
      <c r="T102" s="58">
        <f t="shared" ref="T102:AF107" si="42">S102</f>
        <v>9.9</v>
      </c>
      <c r="U102" s="58">
        <f t="shared" si="42"/>
        <v>9.9</v>
      </c>
      <c r="V102" s="58">
        <f t="shared" si="42"/>
        <v>9.9</v>
      </c>
      <c r="W102" s="58">
        <f t="shared" si="42"/>
        <v>9.9</v>
      </c>
      <c r="X102" s="58">
        <f t="shared" si="42"/>
        <v>9.9</v>
      </c>
      <c r="Y102" s="58">
        <f t="shared" si="42"/>
        <v>9.9</v>
      </c>
      <c r="Z102" s="58">
        <f t="shared" si="42"/>
        <v>9.9</v>
      </c>
      <c r="AA102" s="58">
        <f t="shared" si="42"/>
        <v>9.9</v>
      </c>
      <c r="AB102" s="58">
        <f t="shared" si="42"/>
        <v>9.9</v>
      </c>
      <c r="AC102" s="58">
        <f t="shared" si="42"/>
        <v>9.9</v>
      </c>
      <c r="AD102" s="58">
        <f t="shared" si="42"/>
        <v>9.9</v>
      </c>
      <c r="AE102" s="58">
        <f t="shared" si="42"/>
        <v>9.9</v>
      </c>
      <c r="AF102" s="58">
        <f t="shared" si="42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0"/>
        <v>9.6</v>
      </c>
      <c r="C103" s="55">
        <v>9.6</v>
      </c>
      <c r="D103" s="44">
        <f t="shared" si="41"/>
        <v>9.6</v>
      </c>
      <c r="E103" s="44">
        <f t="shared" si="41"/>
        <v>9.6</v>
      </c>
      <c r="F103" s="44">
        <f t="shared" si="41"/>
        <v>9.6</v>
      </c>
      <c r="G103" s="44">
        <f t="shared" si="41"/>
        <v>9.6</v>
      </c>
      <c r="H103" s="44">
        <f t="shared" si="41"/>
        <v>9.6</v>
      </c>
      <c r="I103" s="44">
        <f t="shared" si="41"/>
        <v>9.6</v>
      </c>
      <c r="J103" s="44">
        <f t="shared" si="41"/>
        <v>9.6</v>
      </c>
      <c r="K103" s="44">
        <f t="shared" si="41"/>
        <v>9.6</v>
      </c>
      <c r="L103" s="44">
        <f t="shared" si="41"/>
        <v>9.6</v>
      </c>
      <c r="M103" s="44">
        <f t="shared" si="41"/>
        <v>9.6</v>
      </c>
      <c r="N103" s="44">
        <f t="shared" si="41"/>
        <v>9.6</v>
      </c>
      <c r="O103" s="44">
        <f t="shared" si="41"/>
        <v>9.6</v>
      </c>
      <c r="P103" s="44">
        <f t="shared" si="41"/>
        <v>9.6</v>
      </c>
      <c r="Q103" s="44">
        <f t="shared" si="41"/>
        <v>9.6</v>
      </c>
      <c r="R103" s="44">
        <f t="shared" si="41"/>
        <v>9.6</v>
      </c>
      <c r="S103" s="44">
        <f t="shared" si="41"/>
        <v>9.6</v>
      </c>
      <c r="T103" s="44">
        <f t="shared" si="42"/>
        <v>9.6</v>
      </c>
      <c r="U103" s="44">
        <f t="shared" si="42"/>
        <v>9.6</v>
      </c>
      <c r="V103" s="44">
        <f t="shared" si="42"/>
        <v>9.6</v>
      </c>
      <c r="W103" s="44">
        <f t="shared" si="42"/>
        <v>9.6</v>
      </c>
      <c r="X103" s="44">
        <f t="shared" si="42"/>
        <v>9.6</v>
      </c>
      <c r="Y103" s="44">
        <f t="shared" si="42"/>
        <v>9.6</v>
      </c>
      <c r="Z103" s="44">
        <f t="shared" si="42"/>
        <v>9.6</v>
      </c>
      <c r="AA103" s="44">
        <f t="shared" si="42"/>
        <v>9.6</v>
      </c>
      <c r="AB103" s="44">
        <f t="shared" si="42"/>
        <v>9.6</v>
      </c>
      <c r="AC103" s="44">
        <f t="shared" si="42"/>
        <v>9.6</v>
      </c>
      <c r="AD103" s="44">
        <f t="shared" si="42"/>
        <v>9.6</v>
      </c>
      <c r="AE103" s="44">
        <f t="shared" si="42"/>
        <v>9.6</v>
      </c>
      <c r="AF103" s="44">
        <f t="shared" si="42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0"/>
        <v>9.98</v>
      </c>
      <c r="C104" s="55">
        <v>9.98</v>
      </c>
      <c r="D104" s="44">
        <f t="shared" si="41"/>
        <v>9.98</v>
      </c>
      <c r="E104" s="44">
        <f t="shared" si="41"/>
        <v>9.98</v>
      </c>
      <c r="F104" s="44">
        <f t="shared" si="41"/>
        <v>9.98</v>
      </c>
      <c r="G104" s="44">
        <f t="shared" si="41"/>
        <v>9.98</v>
      </c>
      <c r="H104" s="44">
        <f t="shared" si="41"/>
        <v>9.98</v>
      </c>
      <c r="I104" s="44">
        <f t="shared" si="41"/>
        <v>9.98</v>
      </c>
      <c r="J104" s="44">
        <f t="shared" si="41"/>
        <v>9.98</v>
      </c>
      <c r="K104" s="44">
        <f t="shared" si="41"/>
        <v>9.98</v>
      </c>
      <c r="L104" s="44">
        <f t="shared" si="41"/>
        <v>9.98</v>
      </c>
      <c r="M104" s="44">
        <f t="shared" si="41"/>
        <v>9.98</v>
      </c>
      <c r="N104" s="44">
        <f t="shared" si="41"/>
        <v>9.98</v>
      </c>
      <c r="O104" s="44">
        <f t="shared" si="41"/>
        <v>9.98</v>
      </c>
      <c r="P104" s="44">
        <f t="shared" si="41"/>
        <v>9.98</v>
      </c>
      <c r="Q104" s="44">
        <f t="shared" si="41"/>
        <v>9.98</v>
      </c>
      <c r="R104" s="44">
        <f t="shared" si="41"/>
        <v>9.98</v>
      </c>
      <c r="S104" s="44">
        <f t="shared" si="41"/>
        <v>9.98</v>
      </c>
      <c r="T104" s="44">
        <f t="shared" si="42"/>
        <v>9.98</v>
      </c>
      <c r="U104" s="44">
        <f t="shared" si="42"/>
        <v>9.98</v>
      </c>
      <c r="V104" s="44">
        <f t="shared" si="42"/>
        <v>9.98</v>
      </c>
      <c r="W104" s="44">
        <f t="shared" si="42"/>
        <v>9.98</v>
      </c>
      <c r="X104" s="44">
        <f t="shared" si="42"/>
        <v>9.98</v>
      </c>
      <c r="Y104" s="44">
        <f t="shared" si="42"/>
        <v>9.98</v>
      </c>
      <c r="Z104" s="44">
        <f t="shared" si="42"/>
        <v>9.98</v>
      </c>
      <c r="AA104" s="44">
        <f t="shared" si="42"/>
        <v>9.98</v>
      </c>
      <c r="AB104" s="44">
        <f t="shared" si="42"/>
        <v>9.98</v>
      </c>
      <c r="AC104" s="44">
        <f t="shared" si="42"/>
        <v>9.98</v>
      </c>
      <c r="AD104" s="44">
        <f t="shared" si="42"/>
        <v>9.98</v>
      </c>
      <c r="AE104" s="44">
        <f t="shared" si="42"/>
        <v>9.98</v>
      </c>
      <c r="AF104" s="44">
        <f t="shared" si="42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0"/>
        <v>9.1</v>
      </c>
      <c r="C105" s="55">
        <v>9.1</v>
      </c>
      <c r="D105" s="44">
        <f t="shared" si="41"/>
        <v>9.1</v>
      </c>
      <c r="E105" s="44">
        <f t="shared" si="41"/>
        <v>9.1</v>
      </c>
      <c r="F105" s="44">
        <f t="shared" si="41"/>
        <v>9.1</v>
      </c>
      <c r="G105" s="44">
        <f t="shared" si="41"/>
        <v>9.1</v>
      </c>
      <c r="H105" s="44">
        <f t="shared" si="41"/>
        <v>9.1</v>
      </c>
      <c r="I105" s="44">
        <f t="shared" si="41"/>
        <v>9.1</v>
      </c>
      <c r="J105" s="44">
        <f t="shared" si="41"/>
        <v>9.1</v>
      </c>
      <c r="K105" s="44">
        <f t="shared" si="41"/>
        <v>9.1</v>
      </c>
      <c r="L105" s="44">
        <f t="shared" si="41"/>
        <v>9.1</v>
      </c>
      <c r="M105" s="44">
        <f t="shared" si="41"/>
        <v>9.1</v>
      </c>
      <c r="N105" s="44">
        <f t="shared" si="41"/>
        <v>9.1</v>
      </c>
      <c r="O105" s="44">
        <f t="shared" si="41"/>
        <v>9.1</v>
      </c>
      <c r="P105" s="44">
        <f t="shared" si="41"/>
        <v>9.1</v>
      </c>
      <c r="Q105" s="44">
        <f t="shared" si="41"/>
        <v>9.1</v>
      </c>
      <c r="R105" s="44">
        <f t="shared" si="41"/>
        <v>9.1</v>
      </c>
      <c r="S105" s="44">
        <f t="shared" si="41"/>
        <v>9.1</v>
      </c>
      <c r="T105" s="44">
        <f t="shared" si="42"/>
        <v>9.1</v>
      </c>
      <c r="U105" s="44">
        <f t="shared" si="42"/>
        <v>9.1</v>
      </c>
      <c r="V105" s="44">
        <f t="shared" si="42"/>
        <v>9.1</v>
      </c>
      <c r="W105" s="44">
        <f t="shared" si="42"/>
        <v>9.1</v>
      </c>
      <c r="X105" s="44">
        <f t="shared" si="42"/>
        <v>9.1</v>
      </c>
      <c r="Y105" s="44">
        <f t="shared" si="42"/>
        <v>9.1</v>
      </c>
      <c r="Z105" s="44">
        <f t="shared" si="42"/>
        <v>9.1</v>
      </c>
      <c r="AA105" s="44">
        <f t="shared" si="42"/>
        <v>9.1</v>
      </c>
      <c r="AB105" s="44">
        <f t="shared" si="42"/>
        <v>9.1</v>
      </c>
      <c r="AC105" s="44">
        <f t="shared" si="42"/>
        <v>9.1</v>
      </c>
      <c r="AD105" s="44">
        <f t="shared" si="42"/>
        <v>9.1</v>
      </c>
      <c r="AE105" s="44">
        <f t="shared" si="42"/>
        <v>9.1</v>
      </c>
      <c r="AF105" s="44">
        <f t="shared" si="42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0"/>
        <v>9.18</v>
      </c>
      <c r="C106" s="55">
        <v>9.18</v>
      </c>
      <c r="D106" s="44">
        <f t="shared" si="41"/>
        <v>9.18</v>
      </c>
      <c r="E106" s="44">
        <f t="shared" si="41"/>
        <v>9.18</v>
      </c>
      <c r="F106" s="44">
        <f t="shared" si="41"/>
        <v>9.18</v>
      </c>
      <c r="G106" s="44">
        <f t="shared" si="41"/>
        <v>9.18</v>
      </c>
      <c r="H106" s="44">
        <f t="shared" si="41"/>
        <v>9.18</v>
      </c>
      <c r="I106" s="44">
        <f t="shared" si="41"/>
        <v>9.18</v>
      </c>
      <c r="J106" s="44">
        <f t="shared" si="41"/>
        <v>9.18</v>
      </c>
      <c r="K106" s="44">
        <f t="shared" si="41"/>
        <v>9.18</v>
      </c>
      <c r="L106" s="44">
        <f t="shared" si="41"/>
        <v>9.18</v>
      </c>
      <c r="M106" s="44">
        <f t="shared" si="41"/>
        <v>9.18</v>
      </c>
      <c r="N106" s="44">
        <f t="shared" si="41"/>
        <v>9.18</v>
      </c>
      <c r="O106" s="44">
        <f t="shared" si="41"/>
        <v>9.18</v>
      </c>
      <c r="P106" s="44">
        <f t="shared" si="41"/>
        <v>9.18</v>
      </c>
      <c r="Q106" s="44">
        <f t="shared" si="41"/>
        <v>9.18</v>
      </c>
      <c r="R106" s="44">
        <f t="shared" si="41"/>
        <v>9.18</v>
      </c>
      <c r="S106" s="44">
        <f t="shared" si="41"/>
        <v>9.18</v>
      </c>
      <c r="T106" s="44">
        <f t="shared" si="42"/>
        <v>9.18</v>
      </c>
      <c r="U106" s="44">
        <f t="shared" si="42"/>
        <v>9.18</v>
      </c>
      <c r="V106" s="44">
        <f t="shared" si="42"/>
        <v>9.18</v>
      </c>
      <c r="W106" s="44">
        <f t="shared" si="42"/>
        <v>9.18</v>
      </c>
      <c r="X106" s="44">
        <f t="shared" si="42"/>
        <v>9.18</v>
      </c>
      <c r="Y106" s="44">
        <f t="shared" si="42"/>
        <v>9.18</v>
      </c>
      <c r="Z106" s="44">
        <f t="shared" si="42"/>
        <v>9.18</v>
      </c>
      <c r="AA106" s="44">
        <f t="shared" si="42"/>
        <v>9.18</v>
      </c>
      <c r="AB106" s="44">
        <f t="shared" si="42"/>
        <v>9.18</v>
      </c>
      <c r="AC106" s="44">
        <f t="shared" si="42"/>
        <v>9.18</v>
      </c>
      <c r="AD106" s="44">
        <f t="shared" si="42"/>
        <v>9.18</v>
      </c>
      <c r="AE106" s="44">
        <f t="shared" si="42"/>
        <v>9.18</v>
      </c>
      <c r="AF106" s="44">
        <f t="shared" si="42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0"/>
        <v>7</v>
      </c>
      <c r="C107" s="55">
        <v>7</v>
      </c>
      <c r="D107" s="44">
        <f t="shared" si="41"/>
        <v>7</v>
      </c>
      <c r="E107" s="44">
        <f t="shared" si="41"/>
        <v>7</v>
      </c>
      <c r="F107" s="44">
        <f t="shared" si="41"/>
        <v>7</v>
      </c>
      <c r="G107" s="44">
        <f t="shared" si="41"/>
        <v>7</v>
      </c>
      <c r="H107" s="44">
        <f t="shared" si="41"/>
        <v>7</v>
      </c>
      <c r="I107" s="44">
        <f t="shared" si="41"/>
        <v>7</v>
      </c>
      <c r="J107" s="44">
        <f t="shared" si="41"/>
        <v>7</v>
      </c>
      <c r="K107" s="44">
        <f t="shared" si="41"/>
        <v>7</v>
      </c>
      <c r="L107" s="44">
        <f t="shared" si="41"/>
        <v>7</v>
      </c>
      <c r="M107" s="44">
        <f t="shared" si="41"/>
        <v>7</v>
      </c>
      <c r="N107" s="44">
        <f t="shared" si="41"/>
        <v>7</v>
      </c>
      <c r="O107" s="44">
        <f t="shared" si="41"/>
        <v>7</v>
      </c>
      <c r="P107" s="44">
        <f t="shared" si="41"/>
        <v>7</v>
      </c>
      <c r="Q107" s="44">
        <f t="shared" si="41"/>
        <v>7</v>
      </c>
      <c r="R107" s="44">
        <f t="shared" si="41"/>
        <v>7</v>
      </c>
      <c r="S107" s="44">
        <f t="shared" si="41"/>
        <v>7</v>
      </c>
      <c r="T107" s="44">
        <f t="shared" si="42"/>
        <v>7</v>
      </c>
      <c r="U107" s="44">
        <f t="shared" si="42"/>
        <v>7</v>
      </c>
      <c r="V107" s="44">
        <f t="shared" si="42"/>
        <v>7</v>
      </c>
      <c r="W107" s="44">
        <f t="shared" si="42"/>
        <v>7</v>
      </c>
      <c r="X107" s="44">
        <f t="shared" si="42"/>
        <v>7</v>
      </c>
      <c r="Y107" s="44">
        <f t="shared" si="42"/>
        <v>7</v>
      </c>
      <c r="Z107" s="44">
        <f t="shared" si="42"/>
        <v>7</v>
      </c>
      <c r="AA107" s="44">
        <f t="shared" si="42"/>
        <v>7</v>
      </c>
      <c r="AB107" s="44">
        <f t="shared" si="42"/>
        <v>7</v>
      </c>
      <c r="AC107" s="44">
        <f t="shared" si="42"/>
        <v>7</v>
      </c>
      <c r="AD107" s="44">
        <f t="shared" si="42"/>
        <v>7</v>
      </c>
      <c r="AE107" s="44">
        <f t="shared" si="42"/>
        <v>7</v>
      </c>
      <c r="AF107" s="44">
        <f t="shared" si="42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3">C109</f>
        <v>2.25</v>
      </c>
      <c r="E109" s="44">
        <f t="shared" si="43"/>
        <v>2.25</v>
      </c>
      <c r="F109" s="44">
        <f t="shared" si="43"/>
        <v>2.25</v>
      </c>
      <c r="G109" s="44">
        <f t="shared" si="43"/>
        <v>2.25</v>
      </c>
      <c r="H109" s="44">
        <f t="shared" si="43"/>
        <v>2.25</v>
      </c>
      <c r="I109" s="44">
        <f t="shared" si="43"/>
        <v>2.25</v>
      </c>
      <c r="J109" s="44">
        <f t="shared" si="43"/>
        <v>2.25</v>
      </c>
      <c r="K109" s="44">
        <f t="shared" si="43"/>
        <v>2.25</v>
      </c>
      <c r="L109" s="44">
        <f t="shared" si="43"/>
        <v>2.25</v>
      </c>
      <c r="M109" s="44">
        <f t="shared" si="43"/>
        <v>2.25</v>
      </c>
      <c r="N109" s="44">
        <f t="shared" si="43"/>
        <v>2.25</v>
      </c>
      <c r="O109" s="44">
        <f t="shared" si="43"/>
        <v>2.25</v>
      </c>
      <c r="P109" s="44">
        <f t="shared" si="43"/>
        <v>2.25</v>
      </c>
      <c r="Q109" s="44">
        <f t="shared" si="43"/>
        <v>2.25</v>
      </c>
      <c r="R109" s="44">
        <f t="shared" si="43"/>
        <v>2.25</v>
      </c>
      <c r="S109" s="44">
        <f t="shared" si="43"/>
        <v>2.25</v>
      </c>
      <c r="T109" s="44">
        <f t="shared" ref="T109:AF110" si="44">S109</f>
        <v>2.25</v>
      </c>
      <c r="U109" s="44">
        <f t="shared" si="44"/>
        <v>2.25</v>
      </c>
      <c r="V109" s="44">
        <f t="shared" si="44"/>
        <v>2.25</v>
      </c>
      <c r="W109" s="44">
        <f t="shared" si="44"/>
        <v>2.25</v>
      </c>
      <c r="X109" s="44">
        <f t="shared" si="44"/>
        <v>2.25</v>
      </c>
      <c r="Y109" s="44">
        <f t="shared" si="44"/>
        <v>2.25</v>
      </c>
      <c r="Z109" s="44">
        <f t="shared" si="44"/>
        <v>2.25</v>
      </c>
      <c r="AA109" s="44">
        <f t="shared" si="44"/>
        <v>2.25</v>
      </c>
      <c r="AB109" s="44">
        <f t="shared" si="44"/>
        <v>2.25</v>
      </c>
      <c r="AC109" s="44">
        <f t="shared" si="44"/>
        <v>2.25</v>
      </c>
      <c r="AD109" s="44">
        <f t="shared" si="44"/>
        <v>2.25</v>
      </c>
      <c r="AE109" s="44">
        <f t="shared" si="44"/>
        <v>2.25</v>
      </c>
      <c r="AF109" s="44">
        <f t="shared" si="44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3"/>
        <v>1.64</v>
      </c>
      <c r="E110" s="44">
        <f t="shared" si="43"/>
        <v>1.64</v>
      </c>
      <c r="F110" s="44">
        <f t="shared" si="43"/>
        <v>1.64</v>
      </c>
      <c r="G110" s="44">
        <f t="shared" si="43"/>
        <v>1.64</v>
      </c>
      <c r="H110" s="44">
        <f t="shared" si="43"/>
        <v>1.64</v>
      </c>
      <c r="I110" s="44">
        <f t="shared" si="43"/>
        <v>1.64</v>
      </c>
      <c r="J110" s="44">
        <f t="shared" si="43"/>
        <v>1.64</v>
      </c>
      <c r="K110" s="44">
        <f t="shared" si="43"/>
        <v>1.64</v>
      </c>
      <c r="L110" s="44">
        <f t="shared" si="43"/>
        <v>1.64</v>
      </c>
      <c r="M110" s="44">
        <f t="shared" si="43"/>
        <v>1.64</v>
      </c>
      <c r="N110" s="44">
        <f t="shared" si="43"/>
        <v>1.64</v>
      </c>
      <c r="O110" s="44">
        <f t="shared" si="43"/>
        <v>1.64</v>
      </c>
      <c r="P110" s="44">
        <f t="shared" si="43"/>
        <v>1.64</v>
      </c>
      <c r="Q110" s="44">
        <f t="shared" si="43"/>
        <v>1.64</v>
      </c>
      <c r="R110" s="44">
        <f t="shared" si="43"/>
        <v>1.64</v>
      </c>
      <c r="S110" s="44">
        <f t="shared" si="43"/>
        <v>1.64</v>
      </c>
      <c r="T110" s="44">
        <f t="shared" si="44"/>
        <v>1.64</v>
      </c>
      <c r="U110" s="44">
        <f t="shared" si="44"/>
        <v>1.64</v>
      </c>
      <c r="V110" s="44">
        <f t="shared" si="44"/>
        <v>1.64</v>
      </c>
      <c r="W110" s="44">
        <f t="shared" si="44"/>
        <v>1.64</v>
      </c>
      <c r="X110" s="44">
        <f t="shared" si="44"/>
        <v>1.64</v>
      </c>
      <c r="Y110" s="44">
        <f t="shared" si="44"/>
        <v>1.64</v>
      </c>
      <c r="Z110" s="44">
        <f t="shared" si="44"/>
        <v>1.64</v>
      </c>
      <c r="AA110" s="44">
        <f t="shared" si="44"/>
        <v>1.64</v>
      </c>
      <c r="AB110" s="44">
        <f t="shared" si="44"/>
        <v>1.64</v>
      </c>
      <c r="AC110" s="44">
        <f t="shared" si="44"/>
        <v>1.64</v>
      </c>
      <c r="AD110" s="44">
        <f t="shared" si="44"/>
        <v>1.64</v>
      </c>
      <c r="AE110" s="44">
        <f t="shared" si="44"/>
        <v>1.64</v>
      </c>
      <c r="AF110" s="44">
        <f t="shared" si="44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5">AF112</f>
        <v>1.62</v>
      </c>
      <c r="C112" s="55">
        <v>1.62</v>
      </c>
      <c r="D112" s="44">
        <f t="shared" ref="D112:S119" si="46">C112</f>
        <v>1.62</v>
      </c>
      <c r="E112" s="44">
        <f t="shared" si="46"/>
        <v>1.62</v>
      </c>
      <c r="F112" s="44">
        <f t="shared" si="46"/>
        <v>1.62</v>
      </c>
      <c r="G112" s="44">
        <f t="shared" si="46"/>
        <v>1.62</v>
      </c>
      <c r="H112" s="44">
        <f t="shared" si="46"/>
        <v>1.62</v>
      </c>
      <c r="I112" s="44">
        <f t="shared" si="46"/>
        <v>1.62</v>
      </c>
      <c r="J112" s="44">
        <f t="shared" si="46"/>
        <v>1.62</v>
      </c>
      <c r="K112" s="44">
        <f t="shared" si="46"/>
        <v>1.62</v>
      </c>
      <c r="L112" s="44">
        <f t="shared" si="46"/>
        <v>1.62</v>
      </c>
      <c r="M112" s="44">
        <f t="shared" si="46"/>
        <v>1.62</v>
      </c>
      <c r="N112" s="44">
        <f t="shared" si="46"/>
        <v>1.62</v>
      </c>
      <c r="O112" s="44">
        <f t="shared" si="46"/>
        <v>1.62</v>
      </c>
      <c r="P112" s="44">
        <f t="shared" si="46"/>
        <v>1.62</v>
      </c>
      <c r="Q112" s="44">
        <f t="shared" si="46"/>
        <v>1.62</v>
      </c>
      <c r="R112" s="44">
        <f t="shared" si="46"/>
        <v>1.62</v>
      </c>
      <c r="S112" s="44">
        <f t="shared" si="46"/>
        <v>1.62</v>
      </c>
      <c r="T112" s="44">
        <f t="shared" ref="T112:AF127" si="47">S112</f>
        <v>1.62</v>
      </c>
      <c r="U112" s="44">
        <f t="shared" si="47"/>
        <v>1.62</v>
      </c>
      <c r="V112" s="44">
        <f t="shared" si="47"/>
        <v>1.62</v>
      </c>
      <c r="W112" s="44">
        <f t="shared" si="47"/>
        <v>1.62</v>
      </c>
      <c r="X112" s="44">
        <f t="shared" si="47"/>
        <v>1.62</v>
      </c>
      <c r="Y112" s="44">
        <f t="shared" si="47"/>
        <v>1.62</v>
      </c>
      <c r="Z112" s="44">
        <f t="shared" si="47"/>
        <v>1.62</v>
      </c>
      <c r="AA112" s="44">
        <f t="shared" si="47"/>
        <v>1.62</v>
      </c>
      <c r="AB112" s="44">
        <f t="shared" si="47"/>
        <v>1.62</v>
      </c>
      <c r="AC112" s="44">
        <f t="shared" si="47"/>
        <v>1.62</v>
      </c>
      <c r="AD112" s="44">
        <f t="shared" si="47"/>
        <v>1.62</v>
      </c>
      <c r="AE112" s="44">
        <f t="shared" si="47"/>
        <v>1.62</v>
      </c>
      <c r="AF112" s="44">
        <f t="shared" si="47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5"/>
        <v>8.36</v>
      </c>
      <c r="C113" s="55">
        <v>8.36</v>
      </c>
      <c r="D113" s="44">
        <f t="shared" si="46"/>
        <v>8.36</v>
      </c>
      <c r="E113" s="44">
        <f t="shared" si="46"/>
        <v>8.36</v>
      </c>
      <c r="F113" s="44">
        <f t="shared" si="46"/>
        <v>8.36</v>
      </c>
      <c r="G113" s="44">
        <f t="shared" si="46"/>
        <v>8.36</v>
      </c>
      <c r="H113" s="44">
        <f t="shared" si="46"/>
        <v>8.36</v>
      </c>
      <c r="I113" s="44">
        <f t="shared" si="46"/>
        <v>8.36</v>
      </c>
      <c r="J113" s="44">
        <f t="shared" si="46"/>
        <v>8.36</v>
      </c>
      <c r="K113" s="44">
        <f t="shared" si="46"/>
        <v>8.36</v>
      </c>
      <c r="L113" s="44">
        <f t="shared" si="46"/>
        <v>8.36</v>
      </c>
      <c r="M113" s="44">
        <f t="shared" si="46"/>
        <v>8.36</v>
      </c>
      <c r="N113" s="44">
        <f t="shared" si="46"/>
        <v>8.36</v>
      </c>
      <c r="O113" s="44">
        <f t="shared" si="46"/>
        <v>8.36</v>
      </c>
      <c r="P113" s="44">
        <f t="shared" si="46"/>
        <v>8.36</v>
      </c>
      <c r="Q113" s="44">
        <f t="shared" si="46"/>
        <v>8.36</v>
      </c>
      <c r="R113" s="44">
        <f t="shared" si="46"/>
        <v>8.36</v>
      </c>
      <c r="S113" s="44">
        <f t="shared" si="46"/>
        <v>8.36</v>
      </c>
      <c r="T113" s="44">
        <f t="shared" si="47"/>
        <v>8.36</v>
      </c>
      <c r="U113" s="44">
        <f t="shared" si="47"/>
        <v>8.36</v>
      </c>
      <c r="V113" s="44">
        <f t="shared" si="47"/>
        <v>8.36</v>
      </c>
      <c r="W113" s="44">
        <f t="shared" si="47"/>
        <v>8.36</v>
      </c>
      <c r="X113" s="44">
        <f t="shared" si="47"/>
        <v>8.36</v>
      </c>
      <c r="Y113" s="44">
        <f t="shared" si="47"/>
        <v>8.36</v>
      </c>
      <c r="Z113" s="44">
        <f t="shared" si="47"/>
        <v>8.36</v>
      </c>
      <c r="AA113" s="44">
        <f t="shared" si="47"/>
        <v>8.36</v>
      </c>
      <c r="AB113" s="44">
        <f t="shared" si="47"/>
        <v>8.36</v>
      </c>
      <c r="AC113" s="44">
        <f t="shared" si="47"/>
        <v>8.36</v>
      </c>
      <c r="AD113" s="44">
        <f t="shared" si="47"/>
        <v>8.36</v>
      </c>
      <c r="AE113" s="44">
        <f t="shared" si="47"/>
        <v>8.36</v>
      </c>
      <c r="AF113" s="44">
        <f t="shared" si="47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5"/>
        <v>5.4</v>
      </c>
      <c r="C114" s="55">
        <v>8</v>
      </c>
      <c r="D114" s="44">
        <f t="shared" si="46"/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si="46"/>
        <v>5.4</v>
      </c>
      <c r="L114" s="44">
        <f t="shared" si="46"/>
        <v>5.4</v>
      </c>
      <c r="M114" s="44">
        <f t="shared" si="46"/>
        <v>5.4</v>
      </c>
      <c r="N114" s="44">
        <f t="shared" si="46"/>
        <v>5.4</v>
      </c>
      <c r="O114" s="44">
        <f t="shared" si="46"/>
        <v>5.4</v>
      </c>
      <c r="P114" s="44">
        <f t="shared" si="46"/>
        <v>5.4</v>
      </c>
      <c r="Q114" s="44">
        <f t="shared" si="46"/>
        <v>5.4</v>
      </c>
      <c r="R114" s="44">
        <f t="shared" si="46"/>
        <v>5.4</v>
      </c>
      <c r="S114" s="44">
        <f t="shared" si="46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5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si="46"/>
        <v>6.57</v>
      </c>
      <c r="K115" s="44">
        <f t="shared" si="46"/>
        <v>6.57</v>
      </c>
      <c r="L115" s="44">
        <f t="shared" si="46"/>
        <v>6.57</v>
      </c>
      <c r="M115" s="44">
        <f t="shared" si="46"/>
        <v>6.57</v>
      </c>
      <c r="N115" s="44">
        <f t="shared" si="46"/>
        <v>6.57</v>
      </c>
      <c r="O115" s="44">
        <f t="shared" si="46"/>
        <v>6.57</v>
      </c>
      <c r="P115" s="44">
        <f t="shared" si="46"/>
        <v>6.57</v>
      </c>
      <c r="Q115" s="44">
        <f t="shared" si="46"/>
        <v>6.57</v>
      </c>
      <c r="R115" s="44">
        <f t="shared" si="46"/>
        <v>6.57</v>
      </c>
      <c r="S115" s="44">
        <f t="shared" si="46"/>
        <v>6.57</v>
      </c>
      <c r="T115" s="44">
        <f t="shared" si="47"/>
        <v>6.57</v>
      </c>
      <c r="U115" s="44">
        <f t="shared" si="47"/>
        <v>6.57</v>
      </c>
      <c r="V115" s="44">
        <f t="shared" si="47"/>
        <v>6.57</v>
      </c>
      <c r="W115" s="44">
        <f t="shared" si="47"/>
        <v>6.57</v>
      </c>
      <c r="X115" s="44">
        <f t="shared" si="47"/>
        <v>6.57</v>
      </c>
      <c r="Y115" s="44">
        <f t="shared" si="47"/>
        <v>6.57</v>
      </c>
      <c r="Z115" s="44">
        <f t="shared" si="47"/>
        <v>6.57</v>
      </c>
      <c r="AA115" s="44">
        <f t="shared" si="47"/>
        <v>6.57</v>
      </c>
      <c r="AB115" s="44">
        <f t="shared" si="47"/>
        <v>6.57</v>
      </c>
      <c r="AC115" s="44">
        <f t="shared" si="47"/>
        <v>6.57</v>
      </c>
      <c r="AD115" s="44">
        <f t="shared" si="47"/>
        <v>6.57</v>
      </c>
      <c r="AE115" s="44">
        <f t="shared" si="47"/>
        <v>6.57</v>
      </c>
      <c r="AF115" s="44">
        <f t="shared" si="47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5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6"/>
        <v>3.43</v>
      </c>
      <c r="K116" s="44">
        <f t="shared" si="46"/>
        <v>3.43</v>
      </c>
      <c r="L116" s="44">
        <f t="shared" si="46"/>
        <v>3.43</v>
      </c>
      <c r="M116" s="44">
        <f t="shared" si="46"/>
        <v>3.43</v>
      </c>
      <c r="N116" s="44">
        <f t="shared" si="46"/>
        <v>3.43</v>
      </c>
      <c r="O116" s="44">
        <f t="shared" si="46"/>
        <v>3.43</v>
      </c>
      <c r="P116" s="44">
        <f t="shared" si="46"/>
        <v>3.43</v>
      </c>
      <c r="Q116" s="44">
        <f t="shared" si="46"/>
        <v>3.43</v>
      </c>
      <c r="R116" s="44">
        <f t="shared" si="46"/>
        <v>3.43</v>
      </c>
      <c r="S116" s="44">
        <f t="shared" si="46"/>
        <v>3.43</v>
      </c>
      <c r="T116" s="44">
        <f t="shared" si="47"/>
        <v>3.43</v>
      </c>
      <c r="U116" s="44">
        <f t="shared" si="47"/>
        <v>3.43</v>
      </c>
      <c r="V116" s="44">
        <f t="shared" si="47"/>
        <v>3.43</v>
      </c>
      <c r="W116" s="44">
        <f t="shared" si="47"/>
        <v>3.43</v>
      </c>
      <c r="X116" s="44">
        <f t="shared" si="47"/>
        <v>3.43</v>
      </c>
      <c r="Y116" s="44">
        <f t="shared" si="47"/>
        <v>3.43</v>
      </c>
      <c r="Z116" s="44">
        <f t="shared" si="47"/>
        <v>3.43</v>
      </c>
      <c r="AA116" s="44">
        <f t="shared" si="47"/>
        <v>3.43</v>
      </c>
      <c r="AB116" s="44">
        <f t="shared" si="47"/>
        <v>3.43</v>
      </c>
      <c r="AC116" s="44">
        <f t="shared" si="47"/>
        <v>3.43</v>
      </c>
      <c r="AD116" s="44">
        <f t="shared" si="47"/>
        <v>3.43</v>
      </c>
      <c r="AE116" s="44">
        <f t="shared" si="47"/>
        <v>3.43</v>
      </c>
      <c r="AF116" s="44">
        <f t="shared" si="47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5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6"/>
        <v>2.96</v>
      </c>
      <c r="K117" s="44">
        <f t="shared" si="46"/>
        <v>2.96</v>
      </c>
      <c r="L117" s="44">
        <f t="shared" si="46"/>
        <v>2.96</v>
      </c>
      <c r="M117" s="44">
        <f t="shared" si="46"/>
        <v>2.96</v>
      </c>
      <c r="N117" s="44">
        <f t="shared" si="46"/>
        <v>2.96</v>
      </c>
      <c r="O117" s="44">
        <f t="shared" si="46"/>
        <v>2.96</v>
      </c>
      <c r="P117" s="44">
        <f t="shared" si="46"/>
        <v>2.96</v>
      </c>
      <c r="Q117" s="44">
        <f t="shared" si="46"/>
        <v>2.96</v>
      </c>
      <c r="R117" s="44">
        <f t="shared" si="46"/>
        <v>2.96</v>
      </c>
      <c r="S117" s="44">
        <f t="shared" si="46"/>
        <v>2.96</v>
      </c>
      <c r="T117" s="44">
        <f t="shared" si="47"/>
        <v>2.96</v>
      </c>
      <c r="U117" s="44">
        <f t="shared" si="47"/>
        <v>2.96</v>
      </c>
      <c r="V117" s="44">
        <f t="shared" si="47"/>
        <v>2.96</v>
      </c>
      <c r="W117" s="44">
        <f t="shared" si="47"/>
        <v>2.96</v>
      </c>
      <c r="X117" s="44">
        <f t="shared" si="47"/>
        <v>2.96</v>
      </c>
      <c r="Y117" s="44">
        <f t="shared" si="47"/>
        <v>2.96</v>
      </c>
      <c r="Z117" s="44">
        <f t="shared" si="47"/>
        <v>2.96</v>
      </c>
      <c r="AA117" s="44">
        <f t="shared" si="47"/>
        <v>2.96</v>
      </c>
      <c r="AB117" s="44">
        <f t="shared" si="47"/>
        <v>2.96</v>
      </c>
      <c r="AC117" s="44">
        <f t="shared" si="47"/>
        <v>2.96</v>
      </c>
      <c r="AD117" s="44">
        <f t="shared" si="47"/>
        <v>2.96</v>
      </c>
      <c r="AE117" s="44">
        <f t="shared" si="47"/>
        <v>2.96</v>
      </c>
      <c r="AF117" s="44">
        <f t="shared" si="47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5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6"/>
        <v>8</v>
      </c>
      <c r="K118" s="44">
        <f t="shared" si="46"/>
        <v>8</v>
      </c>
      <c r="L118" s="44">
        <f t="shared" si="46"/>
        <v>8</v>
      </c>
      <c r="M118" s="44">
        <f t="shared" si="46"/>
        <v>8</v>
      </c>
      <c r="N118" s="44">
        <f t="shared" si="46"/>
        <v>8</v>
      </c>
      <c r="O118" s="44">
        <f t="shared" si="46"/>
        <v>8</v>
      </c>
      <c r="P118" s="44">
        <f t="shared" si="46"/>
        <v>8</v>
      </c>
      <c r="Q118" s="44">
        <f t="shared" si="46"/>
        <v>8</v>
      </c>
      <c r="R118" s="44">
        <f t="shared" si="46"/>
        <v>8</v>
      </c>
      <c r="S118" s="44">
        <f t="shared" si="46"/>
        <v>8</v>
      </c>
      <c r="T118" s="44">
        <f t="shared" si="47"/>
        <v>8</v>
      </c>
      <c r="U118" s="44">
        <f t="shared" si="47"/>
        <v>8</v>
      </c>
      <c r="V118" s="44">
        <f t="shared" si="47"/>
        <v>8</v>
      </c>
      <c r="W118" s="44">
        <f t="shared" si="47"/>
        <v>8</v>
      </c>
      <c r="X118" s="44">
        <f t="shared" si="47"/>
        <v>8</v>
      </c>
      <c r="Y118" s="44">
        <f t="shared" si="47"/>
        <v>8</v>
      </c>
      <c r="Z118" s="44">
        <f t="shared" si="47"/>
        <v>8</v>
      </c>
      <c r="AA118" s="44">
        <f t="shared" si="47"/>
        <v>8</v>
      </c>
      <c r="AB118" s="44">
        <f t="shared" si="47"/>
        <v>8</v>
      </c>
      <c r="AC118" s="44">
        <f t="shared" si="47"/>
        <v>8</v>
      </c>
      <c r="AD118" s="44">
        <f t="shared" si="47"/>
        <v>8</v>
      </c>
      <c r="AE118" s="44">
        <f t="shared" si="47"/>
        <v>8</v>
      </c>
      <c r="AF118" s="44">
        <f t="shared" si="47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5"/>
        <v>7</v>
      </c>
      <c r="C119" s="55">
        <v>7</v>
      </c>
      <c r="D119" s="44">
        <f>C119</f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6"/>
        <v>7</v>
      </c>
      <c r="K119" s="44">
        <f t="shared" si="46"/>
        <v>7</v>
      </c>
      <c r="L119" s="44">
        <f t="shared" si="46"/>
        <v>7</v>
      </c>
      <c r="M119" s="44">
        <f t="shared" si="46"/>
        <v>7</v>
      </c>
      <c r="N119" s="44">
        <f t="shared" si="46"/>
        <v>7</v>
      </c>
      <c r="O119" s="44">
        <f t="shared" si="46"/>
        <v>7</v>
      </c>
      <c r="P119" s="44">
        <f t="shared" si="46"/>
        <v>7</v>
      </c>
      <c r="Q119" s="44">
        <f t="shared" si="46"/>
        <v>7</v>
      </c>
      <c r="R119" s="44">
        <f t="shared" si="46"/>
        <v>7</v>
      </c>
      <c r="S119" s="44">
        <f t="shared" si="46"/>
        <v>7</v>
      </c>
      <c r="T119" s="44">
        <f t="shared" si="47"/>
        <v>7</v>
      </c>
      <c r="U119" s="44">
        <f t="shared" si="47"/>
        <v>7</v>
      </c>
      <c r="V119" s="44">
        <f t="shared" si="47"/>
        <v>7</v>
      </c>
      <c r="W119" s="44">
        <f t="shared" si="47"/>
        <v>7</v>
      </c>
      <c r="X119" s="44">
        <f t="shared" si="47"/>
        <v>7</v>
      </c>
      <c r="Y119" s="44">
        <f t="shared" si="47"/>
        <v>7</v>
      </c>
      <c r="Z119" s="44">
        <f t="shared" si="47"/>
        <v>7</v>
      </c>
      <c r="AA119" s="44">
        <f t="shared" si="47"/>
        <v>7</v>
      </c>
      <c r="AB119" s="44">
        <f t="shared" si="47"/>
        <v>7</v>
      </c>
      <c r="AC119" s="44">
        <f t="shared" si="47"/>
        <v>7</v>
      </c>
      <c r="AD119" s="44">
        <f t="shared" si="47"/>
        <v>7</v>
      </c>
      <c r="AE119" s="44">
        <f t="shared" si="47"/>
        <v>7</v>
      </c>
      <c r="AF119" s="44">
        <f t="shared" si="47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5"/>
        <v>3.47</v>
      </c>
      <c r="C120" s="55">
        <v>3.47</v>
      </c>
      <c r="D120" s="44">
        <f t="shared" ref="D120:S129" si="48">C120</f>
        <v>3.47</v>
      </c>
      <c r="E120" s="44">
        <f t="shared" si="48"/>
        <v>3.47</v>
      </c>
      <c r="F120" s="44">
        <f t="shared" si="48"/>
        <v>3.47</v>
      </c>
      <c r="G120" s="44">
        <f t="shared" si="48"/>
        <v>3.47</v>
      </c>
      <c r="H120" s="44">
        <f t="shared" si="48"/>
        <v>3.47</v>
      </c>
      <c r="I120" s="44">
        <f t="shared" si="48"/>
        <v>3.47</v>
      </c>
      <c r="J120" s="44">
        <f t="shared" si="48"/>
        <v>3.47</v>
      </c>
      <c r="K120" s="44">
        <f t="shared" si="48"/>
        <v>3.47</v>
      </c>
      <c r="L120" s="44">
        <f t="shared" si="48"/>
        <v>3.47</v>
      </c>
      <c r="M120" s="44">
        <f t="shared" si="48"/>
        <v>3.47</v>
      </c>
      <c r="N120" s="44">
        <f t="shared" si="48"/>
        <v>3.47</v>
      </c>
      <c r="O120" s="44">
        <f t="shared" si="48"/>
        <v>3.47</v>
      </c>
      <c r="P120" s="44">
        <f t="shared" si="48"/>
        <v>3.47</v>
      </c>
      <c r="Q120" s="44">
        <f t="shared" si="48"/>
        <v>3.47</v>
      </c>
      <c r="R120" s="44">
        <f t="shared" si="48"/>
        <v>3.47</v>
      </c>
      <c r="S120" s="44">
        <f t="shared" si="48"/>
        <v>3.47</v>
      </c>
      <c r="T120" s="44">
        <f t="shared" si="47"/>
        <v>3.47</v>
      </c>
      <c r="U120" s="44">
        <f t="shared" si="47"/>
        <v>3.47</v>
      </c>
      <c r="V120" s="44">
        <f t="shared" si="47"/>
        <v>3.47</v>
      </c>
      <c r="W120" s="44">
        <f t="shared" si="47"/>
        <v>3.47</v>
      </c>
      <c r="X120" s="44">
        <f t="shared" si="47"/>
        <v>3.47</v>
      </c>
      <c r="Y120" s="44">
        <f t="shared" si="47"/>
        <v>3.47</v>
      </c>
      <c r="Z120" s="44">
        <f t="shared" si="47"/>
        <v>3.47</v>
      </c>
      <c r="AA120" s="44">
        <f t="shared" si="47"/>
        <v>3.47</v>
      </c>
      <c r="AB120" s="44">
        <f t="shared" si="47"/>
        <v>3.47</v>
      </c>
      <c r="AC120" s="44">
        <f t="shared" si="47"/>
        <v>3.47</v>
      </c>
      <c r="AD120" s="44">
        <f t="shared" si="47"/>
        <v>3.47</v>
      </c>
      <c r="AE120" s="44">
        <f t="shared" si="47"/>
        <v>3.47</v>
      </c>
      <c r="AF120" s="44">
        <f t="shared" si="47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5"/>
        <v>2.1</v>
      </c>
      <c r="C121" s="55">
        <v>2.1</v>
      </c>
      <c r="D121" s="44">
        <f t="shared" si="48"/>
        <v>2.1</v>
      </c>
      <c r="E121" s="44">
        <f t="shared" si="48"/>
        <v>2.1</v>
      </c>
      <c r="F121" s="44">
        <f t="shared" si="48"/>
        <v>2.1</v>
      </c>
      <c r="G121" s="44">
        <f t="shared" si="48"/>
        <v>2.1</v>
      </c>
      <c r="H121" s="44">
        <f t="shared" si="48"/>
        <v>2.1</v>
      </c>
      <c r="I121" s="44">
        <f t="shared" si="48"/>
        <v>2.1</v>
      </c>
      <c r="J121" s="44">
        <f t="shared" si="48"/>
        <v>2.1</v>
      </c>
      <c r="K121" s="44">
        <f t="shared" si="48"/>
        <v>2.1</v>
      </c>
      <c r="L121" s="44">
        <f t="shared" si="48"/>
        <v>2.1</v>
      </c>
      <c r="M121" s="44">
        <f t="shared" si="48"/>
        <v>2.1</v>
      </c>
      <c r="N121" s="44">
        <f t="shared" si="48"/>
        <v>2.1</v>
      </c>
      <c r="O121" s="44">
        <f t="shared" si="48"/>
        <v>2.1</v>
      </c>
      <c r="P121" s="44">
        <f t="shared" si="48"/>
        <v>2.1</v>
      </c>
      <c r="Q121" s="44">
        <f t="shared" si="48"/>
        <v>2.1</v>
      </c>
      <c r="R121" s="44">
        <f t="shared" si="48"/>
        <v>2.1</v>
      </c>
      <c r="S121" s="44">
        <f t="shared" si="48"/>
        <v>2.1</v>
      </c>
      <c r="T121" s="44">
        <f t="shared" si="47"/>
        <v>2.1</v>
      </c>
      <c r="U121" s="44">
        <f t="shared" si="47"/>
        <v>2.1</v>
      </c>
      <c r="V121" s="44">
        <f t="shared" si="47"/>
        <v>2.1</v>
      </c>
      <c r="W121" s="44">
        <f t="shared" si="47"/>
        <v>2.1</v>
      </c>
      <c r="X121" s="44">
        <f t="shared" si="47"/>
        <v>2.1</v>
      </c>
      <c r="Y121" s="44">
        <f t="shared" si="47"/>
        <v>2.1</v>
      </c>
      <c r="Z121" s="44">
        <f t="shared" si="47"/>
        <v>2.1</v>
      </c>
      <c r="AA121" s="44">
        <f t="shared" si="47"/>
        <v>2.1</v>
      </c>
      <c r="AB121" s="44">
        <f t="shared" si="47"/>
        <v>2.1</v>
      </c>
      <c r="AC121" s="44">
        <f t="shared" si="47"/>
        <v>2.1</v>
      </c>
      <c r="AD121" s="44">
        <f t="shared" si="47"/>
        <v>2.1</v>
      </c>
      <c r="AE121" s="44">
        <f t="shared" si="47"/>
        <v>2.1</v>
      </c>
      <c r="AF121" s="44">
        <f t="shared" si="47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5"/>
        <v>9.3000000000000007</v>
      </c>
      <c r="C122" s="55">
        <v>9.3000000000000007</v>
      </c>
      <c r="D122" s="44">
        <f t="shared" si="48"/>
        <v>9.3000000000000007</v>
      </c>
      <c r="E122" s="44">
        <f t="shared" si="48"/>
        <v>9.3000000000000007</v>
      </c>
      <c r="F122" s="44">
        <f t="shared" si="48"/>
        <v>9.3000000000000007</v>
      </c>
      <c r="G122" s="44">
        <f t="shared" si="48"/>
        <v>9.3000000000000007</v>
      </c>
      <c r="H122" s="44">
        <f t="shared" si="48"/>
        <v>9.3000000000000007</v>
      </c>
      <c r="I122" s="44">
        <f t="shared" si="48"/>
        <v>9.3000000000000007</v>
      </c>
      <c r="J122" s="44">
        <f t="shared" si="48"/>
        <v>9.3000000000000007</v>
      </c>
      <c r="K122" s="44">
        <f t="shared" si="48"/>
        <v>9.3000000000000007</v>
      </c>
      <c r="L122" s="44">
        <f t="shared" si="48"/>
        <v>9.3000000000000007</v>
      </c>
      <c r="M122" s="44">
        <f t="shared" si="48"/>
        <v>9.3000000000000007</v>
      </c>
      <c r="N122" s="44">
        <f t="shared" si="48"/>
        <v>9.3000000000000007</v>
      </c>
      <c r="O122" s="44">
        <f t="shared" si="48"/>
        <v>9.3000000000000007</v>
      </c>
      <c r="P122" s="44">
        <f t="shared" si="48"/>
        <v>9.3000000000000007</v>
      </c>
      <c r="Q122" s="44">
        <f t="shared" si="48"/>
        <v>9.3000000000000007</v>
      </c>
      <c r="R122" s="44">
        <f t="shared" si="48"/>
        <v>9.3000000000000007</v>
      </c>
      <c r="S122" s="44">
        <f t="shared" si="48"/>
        <v>9.3000000000000007</v>
      </c>
      <c r="T122" s="44">
        <f t="shared" si="47"/>
        <v>9.3000000000000007</v>
      </c>
      <c r="U122" s="44">
        <f t="shared" si="47"/>
        <v>9.3000000000000007</v>
      </c>
      <c r="V122" s="44">
        <f t="shared" si="47"/>
        <v>9.3000000000000007</v>
      </c>
      <c r="W122" s="44">
        <f t="shared" si="47"/>
        <v>9.3000000000000007</v>
      </c>
      <c r="X122" s="44">
        <f t="shared" si="47"/>
        <v>9.3000000000000007</v>
      </c>
      <c r="Y122" s="44">
        <f t="shared" si="47"/>
        <v>9.3000000000000007</v>
      </c>
      <c r="Z122" s="44">
        <f t="shared" si="47"/>
        <v>9.3000000000000007</v>
      </c>
      <c r="AA122" s="44">
        <f t="shared" si="47"/>
        <v>9.3000000000000007</v>
      </c>
      <c r="AB122" s="44">
        <f t="shared" si="47"/>
        <v>9.3000000000000007</v>
      </c>
      <c r="AC122" s="44">
        <f t="shared" si="47"/>
        <v>9.3000000000000007</v>
      </c>
      <c r="AD122" s="44">
        <f t="shared" si="47"/>
        <v>9.3000000000000007</v>
      </c>
      <c r="AE122" s="44">
        <f t="shared" si="47"/>
        <v>9.3000000000000007</v>
      </c>
      <c r="AF122" s="44">
        <f t="shared" si="47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5"/>
        <v>0</v>
      </c>
      <c r="C123" s="55">
        <v>0</v>
      </c>
      <c r="D123" s="44">
        <f t="shared" si="48"/>
        <v>0</v>
      </c>
      <c r="E123" s="44">
        <f t="shared" si="48"/>
        <v>0</v>
      </c>
      <c r="F123" s="44">
        <f t="shared" si="48"/>
        <v>0</v>
      </c>
      <c r="G123" s="44">
        <f t="shared" si="48"/>
        <v>0</v>
      </c>
      <c r="H123" s="44">
        <f t="shared" si="48"/>
        <v>0</v>
      </c>
      <c r="I123" s="44">
        <f t="shared" si="48"/>
        <v>0</v>
      </c>
      <c r="J123" s="44">
        <f t="shared" si="48"/>
        <v>0</v>
      </c>
      <c r="K123" s="44">
        <f t="shared" si="48"/>
        <v>0</v>
      </c>
      <c r="L123" s="44">
        <f t="shared" si="48"/>
        <v>0</v>
      </c>
      <c r="M123" s="44">
        <f t="shared" si="48"/>
        <v>0</v>
      </c>
      <c r="N123" s="44">
        <f t="shared" si="48"/>
        <v>0</v>
      </c>
      <c r="O123" s="44">
        <f t="shared" si="48"/>
        <v>0</v>
      </c>
      <c r="P123" s="44">
        <f t="shared" si="48"/>
        <v>0</v>
      </c>
      <c r="Q123" s="44">
        <f t="shared" si="48"/>
        <v>0</v>
      </c>
      <c r="R123" s="44">
        <f t="shared" si="48"/>
        <v>0</v>
      </c>
      <c r="S123" s="44">
        <f t="shared" si="48"/>
        <v>0</v>
      </c>
      <c r="T123" s="44">
        <f t="shared" si="47"/>
        <v>0</v>
      </c>
      <c r="U123" s="44">
        <f t="shared" si="47"/>
        <v>0</v>
      </c>
      <c r="V123" s="44">
        <f t="shared" si="47"/>
        <v>0</v>
      </c>
      <c r="W123" s="44">
        <f t="shared" si="47"/>
        <v>0</v>
      </c>
      <c r="X123" s="44">
        <f t="shared" si="47"/>
        <v>0</v>
      </c>
      <c r="Y123" s="44">
        <f t="shared" si="47"/>
        <v>0</v>
      </c>
      <c r="Z123" s="44">
        <f t="shared" si="47"/>
        <v>0</v>
      </c>
      <c r="AA123" s="44">
        <f t="shared" si="47"/>
        <v>0</v>
      </c>
      <c r="AB123" s="44">
        <f t="shared" si="47"/>
        <v>0</v>
      </c>
      <c r="AC123" s="44">
        <f t="shared" si="47"/>
        <v>0</v>
      </c>
      <c r="AD123" s="44">
        <f t="shared" si="47"/>
        <v>0</v>
      </c>
      <c r="AE123" s="44">
        <f t="shared" si="47"/>
        <v>0</v>
      </c>
      <c r="AF123" s="44">
        <f t="shared" si="4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5"/>
        <v>0</v>
      </c>
      <c r="C124" s="55">
        <v>0</v>
      </c>
      <c r="D124" s="44">
        <f t="shared" si="48"/>
        <v>0</v>
      </c>
      <c r="E124" s="44">
        <f t="shared" si="48"/>
        <v>0</v>
      </c>
      <c r="F124" s="44">
        <f t="shared" si="48"/>
        <v>0</v>
      </c>
      <c r="G124" s="44">
        <f t="shared" si="48"/>
        <v>0</v>
      </c>
      <c r="H124" s="44">
        <f t="shared" si="48"/>
        <v>0</v>
      </c>
      <c r="I124" s="44">
        <f t="shared" si="48"/>
        <v>0</v>
      </c>
      <c r="J124" s="44">
        <f t="shared" si="48"/>
        <v>0</v>
      </c>
      <c r="K124" s="44">
        <f t="shared" si="48"/>
        <v>0</v>
      </c>
      <c r="L124" s="44">
        <f t="shared" si="48"/>
        <v>0</v>
      </c>
      <c r="M124" s="44">
        <f t="shared" si="48"/>
        <v>0</v>
      </c>
      <c r="N124" s="44">
        <f t="shared" si="48"/>
        <v>0</v>
      </c>
      <c r="O124" s="44">
        <f t="shared" si="48"/>
        <v>0</v>
      </c>
      <c r="P124" s="44">
        <f t="shared" si="48"/>
        <v>0</v>
      </c>
      <c r="Q124" s="44">
        <f t="shared" si="48"/>
        <v>0</v>
      </c>
      <c r="R124" s="44">
        <f t="shared" si="48"/>
        <v>0</v>
      </c>
      <c r="S124" s="44">
        <f t="shared" si="48"/>
        <v>0</v>
      </c>
      <c r="T124" s="44">
        <f t="shared" si="47"/>
        <v>0</v>
      </c>
      <c r="U124" s="44">
        <f t="shared" si="47"/>
        <v>0</v>
      </c>
      <c r="V124" s="44">
        <f t="shared" si="47"/>
        <v>0</v>
      </c>
      <c r="W124" s="44">
        <f t="shared" si="47"/>
        <v>0</v>
      </c>
      <c r="X124" s="44">
        <f t="shared" si="47"/>
        <v>0</v>
      </c>
      <c r="Y124" s="44">
        <f t="shared" si="47"/>
        <v>0</v>
      </c>
      <c r="Z124" s="44">
        <f t="shared" si="47"/>
        <v>0</v>
      </c>
      <c r="AA124" s="44">
        <f t="shared" si="47"/>
        <v>0</v>
      </c>
      <c r="AB124" s="44">
        <f t="shared" si="47"/>
        <v>0</v>
      </c>
      <c r="AC124" s="44">
        <f t="shared" si="47"/>
        <v>0</v>
      </c>
      <c r="AD124" s="44">
        <f t="shared" si="47"/>
        <v>0</v>
      </c>
      <c r="AE124" s="44">
        <f t="shared" si="47"/>
        <v>0</v>
      </c>
      <c r="AF124" s="44">
        <f t="shared" si="47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5"/>
        <v>5</v>
      </c>
      <c r="C125" s="55">
        <v>5</v>
      </c>
      <c r="D125" s="44">
        <f t="shared" si="48"/>
        <v>5</v>
      </c>
      <c r="E125" s="44">
        <f t="shared" si="48"/>
        <v>5</v>
      </c>
      <c r="F125" s="44">
        <f t="shared" si="48"/>
        <v>5</v>
      </c>
      <c r="G125" s="44">
        <f t="shared" si="48"/>
        <v>5</v>
      </c>
      <c r="H125" s="44">
        <f t="shared" si="48"/>
        <v>5</v>
      </c>
      <c r="I125" s="44">
        <f t="shared" si="48"/>
        <v>5</v>
      </c>
      <c r="J125" s="44">
        <f t="shared" si="48"/>
        <v>5</v>
      </c>
      <c r="K125" s="44">
        <f t="shared" si="48"/>
        <v>5</v>
      </c>
      <c r="L125" s="44">
        <f t="shared" si="48"/>
        <v>5</v>
      </c>
      <c r="M125" s="44">
        <f t="shared" si="48"/>
        <v>5</v>
      </c>
      <c r="N125" s="44">
        <f t="shared" si="48"/>
        <v>5</v>
      </c>
      <c r="O125" s="44">
        <f t="shared" si="48"/>
        <v>5</v>
      </c>
      <c r="P125" s="44">
        <f t="shared" si="48"/>
        <v>5</v>
      </c>
      <c r="Q125" s="44">
        <f t="shared" si="48"/>
        <v>5</v>
      </c>
      <c r="R125" s="44">
        <f t="shared" si="48"/>
        <v>5</v>
      </c>
      <c r="S125" s="44">
        <f t="shared" si="48"/>
        <v>5</v>
      </c>
      <c r="T125" s="44">
        <f t="shared" si="47"/>
        <v>5</v>
      </c>
      <c r="U125" s="44">
        <f t="shared" si="47"/>
        <v>5</v>
      </c>
      <c r="V125" s="44">
        <f t="shared" si="47"/>
        <v>5</v>
      </c>
      <c r="W125" s="44">
        <f t="shared" si="47"/>
        <v>5</v>
      </c>
      <c r="X125" s="44">
        <f t="shared" si="47"/>
        <v>5</v>
      </c>
      <c r="Y125" s="44">
        <f t="shared" si="47"/>
        <v>5</v>
      </c>
      <c r="Z125" s="44">
        <f t="shared" si="47"/>
        <v>5</v>
      </c>
      <c r="AA125" s="44">
        <f t="shared" si="47"/>
        <v>5</v>
      </c>
      <c r="AB125" s="44">
        <f t="shared" si="47"/>
        <v>5</v>
      </c>
      <c r="AC125" s="44">
        <f t="shared" si="47"/>
        <v>5</v>
      </c>
      <c r="AD125" s="44">
        <f t="shared" si="47"/>
        <v>5</v>
      </c>
      <c r="AE125" s="44">
        <f t="shared" si="47"/>
        <v>5</v>
      </c>
      <c r="AF125" s="44">
        <f t="shared" si="47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5"/>
        <v>1</v>
      </c>
      <c r="C126" s="55">
        <v>1</v>
      </c>
      <c r="D126" s="44">
        <f t="shared" si="48"/>
        <v>1</v>
      </c>
      <c r="E126" s="44">
        <f t="shared" si="48"/>
        <v>1</v>
      </c>
      <c r="F126" s="44">
        <f t="shared" si="48"/>
        <v>1</v>
      </c>
      <c r="G126" s="44">
        <f t="shared" si="48"/>
        <v>1</v>
      </c>
      <c r="H126" s="44">
        <f t="shared" si="48"/>
        <v>1</v>
      </c>
      <c r="I126" s="44">
        <f t="shared" si="48"/>
        <v>1</v>
      </c>
      <c r="J126" s="44">
        <f t="shared" si="48"/>
        <v>1</v>
      </c>
      <c r="K126" s="44">
        <f t="shared" si="48"/>
        <v>1</v>
      </c>
      <c r="L126" s="44">
        <f t="shared" si="48"/>
        <v>1</v>
      </c>
      <c r="M126" s="44">
        <f t="shared" si="48"/>
        <v>1</v>
      </c>
      <c r="N126" s="44">
        <f t="shared" si="48"/>
        <v>1</v>
      </c>
      <c r="O126" s="44">
        <f t="shared" si="48"/>
        <v>1</v>
      </c>
      <c r="P126" s="44">
        <f t="shared" si="48"/>
        <v>1</v>
      </c>
      <c r="Q126" s="44">
        <f t="shared" si="48"/>
        <v>1</v>
      </c>
      <c r="R126" s="44">
        <f t="shared" si="48"/>
        <v>1</v>
      </c>
      <c r="S126" s="44">
        <f t="shared" si="48"/>
        <v>1</v>
      </c>
      <c r="T126" s="44">
        <f t="shared" si="47"/>
        <v>1</v>
      </c>
      <c r="U126" s="44">
        <f t="shared" si="47"/>
        <v>1</v>
      </c>
      <c r="V126" s="44">
        <f t="shared" si="47"/>
        <v>1</v>
      </c>
      <c r="W126" s="44">
        <f t="shared" si="47"/>
        <v>1</v>
      </c>
      <c r="X126" s="44">
        <f t="shared" si="47"/>
        <v>1</v>
      </c>
      <c r="Y126" s="44">
        <f t="shared" si="47"/>
        <v>1</v>
      </c>
      <c r="Z126" s="44">
        <f t="shared" si="47"/>
        <v>1</v>
      </c>
      <c r="AA126" s="44">
        <f t="shared" si="47"/>
        <v>1</v>
      </c>
      <c r="AB126" s="44">
        <f t="shared" si="47"/>
        <v>1</v>
      </c>
      <c r="AC126" s="44">
        <f t="shared" si="47"/>
        <v>1</v>
      </c>
      <c r="AD126" s="44">
        <f t="shared" si="47"/>
        <v>1</v>
      </c>
      <c r="AE126" s="44">
        <f t="shared" si="47"/>
        <v>1</v>
      </c>
      <c r="AF126" s="44">
        <f t="shared" si="47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5"/>
        <v>1.58</v>
      </c>
      <c r="C127" s="55">
        <v>1.58</v>
      </c>
      <c r="D127" s="44">
        <f t="shared" si="48"/>
        <v>1.58</v>
      </c>
      <c r="E127" s="44">
        <f t="shared" si="48"/>
        <v>1.58</v>
      </c>
      <c r="F127" s="44">
        <f t="shared" si="48"/>
        <v>1.58</v>
      </c>
      <c r="G127" s="44">
        <f t="shared" si="48"/>
        <v>1.58</v>
      </c>
      <c r="H127" s="44">
        <f t="shared" si="48"/>
        <v>1.58</v>
      </c>
      <c r="I127" s="44">
        <f t="shared" si="48"/>
        <v>1.58</v>
      </c>
      <c r="J127" s="44">
        <f t="shared" si="48"/>
        <v>1.58</v>
      </c>
      <c r="K127" s="44">
        <f t="shared" si="48"/>
        <v>1.58</v>
      </c>
      <c r="L127" s="44">
        <f t="shared" si="48"/>
        <v>1.58</v>
      </c>
      <c r="M127" s="44">
        <f t="shared" si="48"/>
        <v>1.58</v>
      </c>
      <c r="N127" s="44">
        <f t="shared" si="48"/>
        <v>1.58</v>
      </c>
      <c r="O127" s="44">
        <f t="shared" si="48"/>
        <v>1.58</v>
      </c>
      <c r="P127" s="44">
        <f t="shared" si="48"/>
        <v>1.58</v>
      </c>
      <c r="Q127" s="44">
        <f t="shared" si="48"/>
        <v>1.58</v>
      </c>
      <c r="R127" s="44">
        <f t="shared" si="48"/>
        <v>1.58</v>
      </c>
      <c r="S127" s="44">
        <f t="shared" si="48"/>
        <v>1.58</v>
      </c>
      <c r="T127" s="44">
        <f t="shared" si="47"/>
        <v>1.58</v>
      </c>
      <c r="U127" s="44">
        <f t="shared" si="47"/>
        <v>1.58</v>
      </c>
      <c r="V127" s="44">
        <f t="shared" si="47"/>
        <v>1.58</v>
      </c>
      <c r="W127" s="44">
        <f t="shared" si="47"/>
        <v>1.58</v>
      </c>
      <c r="X127" s="44">
        <f t="shared" si="47"/>
        <v>1.58</v>
      </c>
      <c r="Y127" s="44">
        <f t="shared" si="47"/>
        <v>1.58</v>
      </c>
      <c r="Z127" s="44">
        <f t="shared" si="47"/>
        <v>1.58</v>
      </c>
      <c r="AA127" s="44">
        <f t="shared" si="47"/>
        <v>1.58</v>
      </c>
      <c r="AB127" s="44">
        <f t="shared" si="47"/>
        <v>1.58</v>
      </c>
      <c r="AC127" s="44">
        <f t="shared" si="47"/>
        <v>1.58</v>
      </c>
      <c r="AD127" s="44">
        <f t="shared" si="47"/>
        <v>1.58</v>
      </c>
      <c r="AE127" s="44">
        <f t="shared" si="47"/>
        <v>1.58</v>
      </c>
      <c r="AF127" s="44">
        <f t="shared" si="47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5"/>
        <v>1.46</v>
      </c>
      <c r="C128" s="55">
        <v>1.46</v>
      </c>
      <c r="D128" s="44">
        <f t="shared" si="48"/>
        <v>1.46</v>
      </c>
      <c r="E128" s="44">
        <f t="shared" si="48"/>
        <v>1.46</v>
      </c>
      <c r="F128" s="44">
        <f t="shared" si="48"/>
        <v>1.46</v>
      </c>
      <c r="G128" s="44">
        <f t="shared" si="48"/>
        <v>1.46</v>
      </c>
      <c r="H128" s="44">
        <f t="shared" si="48"/>
        <v>1.46</v>
      </c>
      <c r="I128" s="44">
        <f t="shared" si="48"/>
        <v>1.46</v>
      </c>
      <c r="J128" s="44">
        <f t="shared" si="48"/>
        <v>1.46</v>
      </c>
      <c r="K128" s="44">
        <f t="shared" si="48"/>
        <v>1.46</v>
      </c>
      <c r="L128" s="44">
        <f t="shared" si="48"/>
        <v>1.46</v>
      </c>
      <c r="M128" s="44">
        <f t="shared" si="48"/>
        <v>1.46</v>
      </c>
      <c r="N128" s="44">
        <f t="shared" si="48"/>
        <v>1.46</v>
      </c>
      <c r="O128" s="44">
        <f t="shared" si="48"/>
        <v>1.46</v>
      </c>
      <c r="P128" s="44">
        <f t="shared" si="48"/>
        <v>1.46</v>
      </c>
      <c r="Q128" s="44">
        <f t="shared" si="48"/>
        <v>1.46</v>
      </c>
      <c r="R128" s="44">
        <f t="shared" si="48"/>
        <v>1.46</v>
      </c>
      <c r="S128" s="44">
        <f t="shared" si="48"/>
        <v>1.46</v>
      </c>
      <c r="T128" s="44">
        <f t="shared" ref="T128:AF129" si="49">S128</f>
        <v>1.46</v>
      </c>
      <c r="U128" s="44">
        <f t="shared" si="49"/>
        <v>1.46</v>
      </c>
      <c r="V128" s="44">
        <f t="shared" si="49"/>
        <v>1.46</v>
      </c>
      <c r="W128" s="44">
        <f t="shared" si="49"/>
        <v>1.46</v>
      </c>
      <c r="X128" s="44">
        <f t="shared" si="49"/>
        <v>1.46</v>
      </c>
      <c r="Y128" s="44">
        <f t="shared" si="49"/>
        <v>1.46</v>
      </c>
      <c r="Z128" s="44">
        <f t="shared" si="49"/>
        <v>1.46</v>
      </c>
      <c r="AA128" s="44">
        <f t="shared" si="49"/>
        <v>1.46</v>
      </c>
      <c r="AB128" s="44">
        <f t="shared" si="49"/>
        <v>1.46</v>
      </c>
      <c r="AC128" s="44">
        <f t="shared" si="49"/>
        <v>1.46</v>
      </c>
      <c r="AD128" s="44">
        <f t="shared" si="49"/>
        <v>1.46</v>
      </c>
      <c r="AE128" s="44">
        <f t="shared" si="49"/>
        <v>1.46</v>
      </c>
      <c r="AF128" s="44">
        <f t="shared" si="49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5"/>
        <v>1.48</v>
      </c>
      <c r="C129" s="55">
        <v>1.48</v>
      </c>
      <c r="D129" s="44">
        <f t="shared" si="48"/>
        <v>1.48</v>
      </c>
      <c r="E129" s="44">
        <f t="shared" si="48"/>
        <v>1.48</v>
      </c>
      <c r="F129" s="44">
        <f t="shared" si="48"/>
        <v>1.48</v>
      </c>
      <c r="G129" s="44">
        <f t="shared" si="48"/>
        <v>1.48</v>
      </c>
      <c r="H129" s="44">
        <f t="shared" si="48"/>
        <v>1.48</v>
      </c>
      <c r="I129" s="44">
        <f t="shared" si="48"/>
        <v>1.48</v>
      </c>
      <c r="J129" s="44">
        <f t="shared" si="48"/>
        <v>1.48</v>
      </c>
      <c r="K129" s="44">
        <f t="shared" si="48"/>
        <v>1.48</v>
      </c>
      <c r="L129" s="44">
        <f t="shared" si="48"/>
        <v>1.48</v>
      </c>
      <c r="M129" s="44">
        <f t="shared" si="48"/>
        <v>1.48</v>
      </c>
      <c r="N129" s="44">
        <f t="shared" si="48"/>
        <v>1.48</v>
      </c>
      <c r="O129" s="44">
        <f t="shared" si="48"/>
        <v>1.48</v>
      </c>
      <c r="P129" s="44">
        <f t="shared" si="48"/>
        <v>1.48</v>
      </c>
      <c r="Q129" s="44">
        <f t="shared" si="48"/>
        <v>1.48</v>
      </c>
      <c r="R129" s="44">
        <f t="shared" si="48"/>
        <v>1.48</v>
      </c>
      <c r="S129" s="44">
        <f t="shared" si="48"/>
        <v>1.48</v>
      </c>
      <c r="T129" s="44">
        <f t="shared" si="49"/>
        <v>1.48</v>
      </c>
      <c r="U129" s="44">
        <f t="shared" si="49"/>
        <v>1.48</v>
      </c>
      <c r="V129" s="44">
        <f t="shared" si="49"/>
        <v>1.48</v>
      </c>
      <c r="W129" s="44">
        <f t="shared" si="49"/>
        <v>1.48</v>
      </c>
      <c r="X129" s="44">
        <f t="shared" si="49"/>
        <v>1.48</v>
      </c>
      <c r="Y129" s="44">
        <f t="shared" si="49"/>
        <v>1.48</v>
      </c>
      <c r="Z129" s="44">
        <f t="shared" si="49"/>
        <v>1.48</v>
      </c>
      <c r="AA129" s="44">
        <f t="shared" si="49"/>
        <v>1.48</v>
      </c>
      <c r="AB129" s="44">
        <f t="shared" si="49"/>
        <v>1.48</v>
      </c>
      <c r="AC129" s="44">
        <f t="shared" si="49"/>
        <v>1.48</v>
      </c>
      <c r="AD129" s="44">
        <f t="shared" si="49"/>
        <v>1.48</v>
      </c>
      <c r="AE129" s="44">
        <f t="shared" si="49"/>
        <v>1.48</v>
      </c>
      <c r="AF129" s="44">
        <f t="shared" si="49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0">AF131</f>
        <v>2.2000000000000002</v>
      </c>
      <c r="C131" s="55">
        <v>2.2000000000000002</v>
      </c>
      <c r="D131" s="44">
        <f t="shared" ref="D131:S138" si="51">C131</f>
        <v>2.2000000000000002</v>
      </c>
      <c r="E131" s="44">
        <f t="shared" si="51"/>
        <v>2.2000000000000002</v>
      </c>
      <c r="F131" s="44">
        <f t="shared" si="51"/>
        <v>2.2000000000000002</v>
      </c>
      <c r="G131" s="44">
        <f t="shared" si="51"/>
        <v>2.2000000000000002</v>
      </c>
      <c r="H131" s="44">
        <f t="shared" si="51"/>
        <v>2.2000000000000002</v>
      </c>
      <c r="I131" s="44">
        <f t="shared" si="51"/>
        <v>2.2000000000000002</v>
      </c>
      <c r="J131" s="44">
        <f t="shared" si="51"/>
        <v>2.2000000000000002</v>
      </c>
      <c r="K131" s="44">
        <f t="shared" si="51"/>
        <v>2.2000000000000002</v>
      </c>
      <c r="L131" s="44">
        <f t="shared" si="51"/>
        <v>2.2000000000000002</v>
      </c>
      <c r="M131" s="44">
        <f t="shared" si="51"/>
        <v>2.2000000000000002</v>
      </c>
      <c r="N131" s="44">
        <f t="shared" si="51"/>
        <v>2.2000000000000002</v>
      </c>
      <c r="O131" s="44">
        <f t="shared" si="51"/>
        <v>2.2000000000000002</v>
      </c>
      <c r="P131" s="44">
        <f t="shared" si="51"/>
        <v>2.2000000000000002</v>
      </c>
      <c r="Q131" s="44">
        <f t="shared" si="51"/>
        <v>2.2000000000000002</v>
      </c>
      <c r="R131" s="44">
        <f t="shared" si="51"/>
        <v>2.2000000000000002</v>
      </c>
      <c r="S131" s="44">
        <f t="shared" si="51"/>
        <v>2.2000000000000002</v>
      </c>
      <c r="T131" s="44">
        <f t="shared" ref="T131:AF138" si="52">S131</f>
        <v>2.2000000000000002</v>
      </c>
      <c r="U131" s="44">
        <f t="shared" si="52"/>
        <v>2.2000000000000002</v>
      </c>
      <c r="V131" s="44">
        <f t="shared" si="52"/>
        <v>2.2000000000000002</v>
      </c>
      <c r="W131" s="44">
        <f t="shared" si="52"/>
        <v>2.2000000000000002</v>
      </c>
      <c r="X131" s="44">
        <f t="shared" si="52"/>
        <v>2.2000000000000002</v>
      </c>
      <c r="Y131" s="44">
        <f t="shared" si="52"/>
        <v>2.2000000000000002</v>
      </c>
      <c r="Z131" s="44">
        <f t="shared" si="52"/>
        <v>2.2000000000000002</v>
      </c>
      <c r="AA131" s="44">
        <f t="shared" si="52"/>
        <v>2.2000000000000002</v>
      </c>
      <c r="AB131" s="44">
        <f t="shared" si="52"/>
        <v>2.2000000000000002</v>
      </c>
      <c r="AC131" s="44">
        <f t="shared" si="52"/>
        <v>2.2000000000000002</v>
      </c>
      <c r="AD131" s="44">
        <f t="shared" si="52"/>
        <v>2.2000000000000002</v>
      </c>
      <c r="AE131" s="44">
        <f t="shared" si="52"/>
        <v>2.2000000000000002</v>
      </c>
      <c r="AF131" s="44">
        <f t="shared" si="52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0"/>
        <v>2</v>
      </c>
      <c r="C132" s="55">
        <v>2</v>
      </c>
      <c r="D132" s="44">
        <f t="shared" si="51"/>
        <v>2</v>
      </c>
      <c r="E132" s="44">
        <f t="shared" si="51"/>
        <v>2</v>
      </c>
      <c r="F132" s="44">
        <f t="shared" si="51"/>
        <v>2</v>
      </c>
      <c r="G132" s="44">
        <f t="shared" si="51"/>
        <v>2</v>
      </c>
      <c r="H132" s="44">
        <f t="shared" si="51"/>
        <v>2</v>
      </c>
      <c r="I132" s="44">
        <f t="shared" si="51"/>
        <v>2</v>
      </c>
      <c r="J132" s="44">
        <f t="shared" si="51"/>
        <v>2</v>
      </c>
      <c r="K132" s="44">
        <f t="shared" si="51"/>
        <v>2</v>
      </c>
      <c r="L132" s="44">
        <f t="shared" si="51"/>
        <v>2</v>
      </c>
      <c r="M132" s="44">
        <f t="shared" si="51"/>
        <v>2</v>
      </c>
      <c r="N132" s="44">
        <f t="shared" si="51"/>
        <v>2</v>
      </c>
      <c r="O132" s="44">
        <f t="shared" si="51"/>
        <v>2</v>
      </c>
      <c r="P132" s="44">
        <f t="shared" si="51"/>
        <v>2</v>
      </c>
      <c r="Q132" s="44">
        <f t="shared" si="51"/>
        <v>2</v>
      </c>
      <c r="R132" s="44">
        <f t="shared" si="51"/>
        <v>2</v>
      </c>
      <c r="S132" s="44">
        <f t="shared" si="51"/>
        <v>2</v>
      </c>
      <c r="T132" s="44">
        <f t="shared" si="52"/>
        <v>2</v>
      </c>
      <c r="U132" s="44">
        <f t="shared" si="52"/>
        <v>2</v>
      </c>
      <c r="V132" s="44">
        <f t="shared" si="52"/>
        <v>2</v>
      </c>
      <c r="W132" s="44">
        <f t="shared" si="52"/>
        <v>2</v>
      </c>
      <c r="X132" s="44">
        <f t="shared" si="52"/>
        <v>2</v>
      </c>
      <c r="Y132" s="44">
        <f t="shared" si="52"/>
        <v>2</v>
      </c>
      <c r="Z132" s="44">
        <f t="shared" si="52"/>
        <v>2</v>
      </c>
      <c r="AA132" s="44">
        <f t="shared" si="52"/>
        <v>2</v>
      </c>
      <c r="AB132" s="44">
        <f t="shared" si="52"/>
        <v>2</v>
      </c>
      <c r="AC132" s="44">
        <f t="shared" si="52"/>
        <v>2</v>
      </c>
      <c r="AD132" s="44">
        <f t="shared" si="52"/>
        <v>2</v>
      </c>
      <c r="AE132" s="44">
        <f t="shared" si="52"/>
        <v>2</v>
      </c>
      <c r="AF132" s="44">
        <f t="shared" si="52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0"/>
        <v>1.25</v>
      </c>
      <c r="C133" s="55">
        <v>1.25</v>
      </c>
      <c r="D133" s="44">
        <f t="shared" si="51"/>
        <v>1.25</v>
      </c>
      <c r="E133" s="44">
        <f t="shared" si="51"/>
        <v>1.25</v>
      </c>
      <c r="F133" s="44">
        <f t="shared" si="51"/>
        <v>1.25</v>
      </c>
      <c r="G133" s="44">
        <f t="shared" si="51"/>
        <v>1.25</v>
      </c>
      <c r="H133" s="44">
        <f t="shared" si="51"/>
        <v>1.25</v>
      </c>
      <c r="I133" s="44">
        <f t="shared" si="51"/>
        <v>1.25</v>
      </c>
      <c r="J133" s="44">
        <f t="shared" si="51"/>
        <v>1.25</v>
      </c>
      <c r="K133" s="44">
        <f t="shared" si="51"/>
        <v>1.25</v>
      </c>
      <c r="L133" s="44">
        <f t="shared" si="51"/>
        <v>1.25</v>
      </c>
      <c r="M133" s="44">
        <f t="shared" si="51"/>
        <v>1.25</v>
      </c>
      <c r="N133" s="44">
        <f t="shared" si="51"/>
        <v>1.25</v>
      </c>
      <c r="O133" s="44">
        <f t="shared" si="51"/>
        <v>1.25</v>
      </c>
      <c r="P133" s="44">
        <f t="shared" si="51"/>
        <v>1.25</v>
      </c>
      <c r="Q133" s="44">
        <f t="shared" si="51"/>
        <v>1.25</v>
      </c>
      <c r="R133" s="44">
        <f t="shared" si="51"/>
        <v>1.25</v>
      </c>
      <c r="S133" s="44">
        <f t="shared" si="51"/>
        <v>1.25</v>
      </c>
      <c r="T133" s="44">
        <f t="shared" si="52"/>
        <v>1.25</v>
      </c>
      <c r="U133" s="44">
        <f t="shared" si="52"/>
        <v>1.25</v>
      </c>
      <c r="V133" s="44">
        <f t="shared" si="52"/>
        <v>1.25</v>
      </c>
      <c r="W133" s="44">
        <f t="shared" si="52"/>
        <v>1.25</v>
      </c>
      <c r="X133" s="44">
        <f t="shared" si="52"/>
        <v>1.25</v>
      </c>
      <c r="Y133" s="44">
        <f t="shared" si="52"/>
        <v>1.25</v>
      </c>
      <c r="Z133" s="44">
        <f t="shared" si="52"/>
        <v>1.25</v>
      </c>
      <c r="AA133" s="44">
        <f t="shared" si="52"/>
        <v>1.25</v>
      </c>
      <c r="AB133" s="44">
        <f t="shared" si="52"/>
        <v>1.25</v>
      </c>
      <c r="AC133" s="44">
        <f t="shared" si="52"/>
        <v>1.25</v>
      </c>
      <c r="AD133" s="44">
        <f t="shared" si="52"/>
        <v>1.25</v>
      </c>
      <c r="AE133" s="44">
        <f t="shared" si="52"/>
        <v>1.25</v>
      </c>
      <c r="AF133" s="44">
        <f t="shared" si="52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0"/>
        <v>1.1499999999999999</v>
      </c>
      <c r="C134" s="55">
        <v>1.1499999999999999</v>
      </c>
      <c r="D134" s="44">
        <f t="shared" si="51"/>
        <v>1.1499999999999999</v>
      </c>
      <c r="E134" s="44">
        <f t="shared" si="51"/>
        <v>1.1499999999999999</v>
      </c>
      <c r="F134" s="44">
        <f t="shared" si="51"/>
        <v>1.1499999999999999</v>
      </c>
      <c r="G134" s="44">
        <f t="shared" si="51"/>
        <v>1.1499999999999999</v>
      </c>
      <c r="H134" s="44">
        <f t="shared" si="51"/>
        <v>1.1499999999999999</v>
      </c>
      <c r="I134" s="44">
        <f t="shared" si="51"/>
        <v>1.1499999999999999</v>
      </c>
      <c r="J134" s="44">
        <f t="shared" si="51"/>
        <v>1.1499999999999999</v>
      </c>
      <c r="K134" s="44">
        <f t="shared" si="51"/>
        <v>1.1499999999999999</v>
      </c>
      <c r="L134" s="44">
        <f t="shared" si="51"/>
        <v>1.1499999999999999</v>
      </c>
      <c r="M134" s="44">
        <f t="shared" si="51"/>
        <v>1.1499999999999999</v>
      </c>
      <c r="N134" s="44">
        <f t="shared" si="51"/>
        <v>1.1499999999999999</v>
      </c>
      <c r="O134" s="44">
        <f t="shared" si="51"/>
        <v>1.1499999999999999</v>
      </c>
      <c r="P134" s="44">
        <f t="shared" si="51"/>
        <v>1.1499999999999999</v>
      </c>
      <c r="Q134" s="44">
        <f t="shared" si="51"/>
        <v>1.1499999999999999</v>
      </c>
      <c r="R134" s="44">
        <f t="shared" si="51"/>
        <v>1.1499999999999999</v>
      </c>
      <c r="S134" s="44">
        <f t="shared" si="51"/>
        <v>1.1499999999999999</v>
      </c>
      <c r="T134" s="44">
        <f t="shared" si="52"/>
        <v>1.1499999999999999</v>
      </c>
      <c r="U134" s="44">
        <f t="shared" si="52"/>
        <v>1.1499999999999999</v>
      </c>
      <c r="V134" s="44">
        <f t="shared" si="52"/>
        <v>1.1499999999999999</v>
      </c>
      <c r="W134" s="44">
        <f t="shared" si="52"/>
        <v>1.1499999999999999</v>
      </c>
      <c r="X134" s="44">
        <f t="shared" si="52"/>
        <v>1.1499999999999999</v>
      </c>
      <c r="Y134" s="44">
        <f t="shared" si="52"/>
        <v>1.1499999999999999</v>
      </c>
      <c r="Z134" s="44">
        <f t="shared" si="52"/>
        <v>1.1499999999999999</v>
      </c>
      <c r="AA134" s="44">
        <f t="shared" si="52"/>
        <v>1.1499999999999999</v>
      </c>
      <c r="AB134" s="44">
        <f t="shared" si="52"/>
        <v>1.1499999999999999</v>
      </c>
      <c r="AC134" s="44">
        <f t="shared" si="52"/>
        <v>1.1499999999999999</v>
      </c>
      <c r="AD134" s="44">
        <f t="shared" si="52"/>
        <v>1.1499999999999999</v>
      </c>
      <c r="AE134" s="44">
        <f t="shared" si="52"/>
        <v>1.1499999999999999</v>
      </c>
      <c r="AF134" s="44">
        <f t="shared" si="52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0"/>
        <v>2.133</v>
      </c>
      <c r="C135" s="55">
        <v>2.133</v>
      </c>
      <c r="D135" s="44">
        <f t="shared" si="51"/>
        <v>2.133</v>
      </c>
      <c r="E135" s="44">
        <f t="shared" si="51"/>
        <v>2.133</v>
      </c>
      <c r="F135" s="44">
        <f t="shared" si="51"/>
        <v>2.133</v>
      </c>
      <c r="G135" s="44">
        <f t="shared" si="51"/>
        <v>2.133</v>
      </c>
      <c r="H135" s="44">
        <f t="shared" si="51"/>
        <v>2.133</v>
      </c>
      <c r="I135" s="44">
        <f t="shared" si="51"/>
        <v>2.133</v>
      </c>
      <c r="J135" s="44">
        <f t="shared" si="51"/>
        <v>2.133</v>
      </c>
      <c r="K135" s="44">
        <f t="shared" si="51"/>
        <v>2.133</v>
      </c>
      <c r="L135" s="44">
        <f t="shared" si="51"/>
        <v>2.133</v>
      </c>
      <c r="M135" s="44">
        <f t="shared" si="51"/>
        <v>2.133</v>
      </c>
      <c r="N135" s="44">
        <f t="shared" si="51"/>
        <v>2.133</v>
      </c>
      <c r="O135" s="44">
        <f t="shared" si="51"/>
        <v>2.133</v>
      </c>
      <c r="P135" s="44">
        <f t="shared" si="51"/>
        <v>2.133</v>
      </c>
      <c r="Q135" s="44">
        <f t="shared" si="51"/>
        <v>2.133</v>
      </c>
      <c r="R135" s="44">
        <f t="shared" si="51"/>
        <v>2.133</v>
      </c>
      <c r="S135" s="44">
        <f t="shared" si="51"/>
        <v>2.133</v>
      </c>
      <c r="T135" s="44">
        <f t="shared" si="52"/>
        <v>2.133</v>
      </c>
      <c r="U135" s="44">
        <f t="shared" si="52"/>
        <v>2.133</v>
      </c>
      <c r="V135" s="44">
        <f t="shared" si="52"/>
        <v>2.133</v>
      </c>
      <c r="W135" s="44">
        <f t="shared" si="52"/>
        <v>2.133</v>
      </c>
      <c r="X135" s="44">
        <f t="shared" si="52"/>
        <v>2.133</v>
      </c>
      <c r="Y135" s="44">
        <f t="shared" si="52"/>
        <v>2.133</v>
      </c>
      <c r="Z135" s="44">
        <f t="shared" si="52"/>
        <v>2.133</v>
      </c>
      <c r="AA135" s="44">
        <f t="shared" si="52"/>
        <v>2.133</v>
      </c>
      <c r="AB135" s="44">
        <f t="shared" si="52"/>
        <v>2.133</v>
      </c>
      <c r="AC135" s="44">
        <f t="shared" si="52"/>
        <v>2.133</v>
      </c>
      <c r="AD135" s="44">
        <f t="shared" si="52"/>
        <v>2.133</v>
      </c>
      <c r="AE135" s="44">
        <f t="shared" si="52"/>
        <v>2.133</v>
      </c>
      <c r="AF135" s="44">
        <f t="shared" si="52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0"/>
        <v>2.09</v>
      </c>
      <c r="C136" s="55">
        <v>2.09</v>
      </c>
      <c r="D136" s="44">
        <f t="shared" si="51"/>
        <v>2.09</v>
      </c>
      <c r="E136" s="44">
        <f t="shared" si="51"/>
        <v>2.09</v>
      </c>
      <c r="F136" s="44">
        <f t="shared" si="51"/>
        <v>2.09</v>
      </c>
      <c r="G136" s="44">
        <f t="shared" si="51"/>
        <v>2.09</v>
      </c>
      <c r="H136" s="44">
        <f t="shared" si="51"/>
        <v>2.09</v>
      </c>
      <c r="I136" s="44">
        <f t="shared" si="51"/>
        <v>2.09</v>
      </c>
      <c r="J136" s="44">
        <f t="shared" si="51"/>
        <v>2.09</v>
      </c>
      <c r="K136" s="44">
        <f t="shared" si="51"/>
        <v>2.09</v>
      </c>
      <c r="L136" s="44">
        <f t="shared" si="51"/>
        <v>2.09</v>
      </c>
      <c r="M136" s="44">
        <f t="shared" si="51"/>
        <v>2.09</v>
      </c>
      <c r="N136" s="44">
        <f t="shared" si="51"/>
        <v>2.09</v>
      </c>
      <c r="O136" s="44">
        <f t="shared" si="51"/>
        <v>2.09</v>
      </c>
      <c r="P136" s="44">
        <f t="shared" si="51"/>
        <v>2.09</v>
      </c>
      <c r="Q136" s="44">
        <f t="shared" si="51"/>
        <v>2.09</v>
      </c>
      <c r="R136" s="44">
        <f t="shared" si="51"/>
        <v>2.09</v>
      </c>
      <c r="S136" s="44">
        <f t="shared" si="51"/>
        <v>2.09</v>
      </c>
      <c r="T136" s="44">
        <f t="shared" si="52"/>
        <v>2.09</v>
      </c>
      <c r="U136" s="44">
        <f t="shared" si="52"/>
        <v>2.09</v>
      </c>
      <c r="V136" s="44">
        <f t="shared" si="52"/>
        <v>2.09</v>
      </c>
      <c r="W136" s="44">
        <f t="shared" si="52"/>
        <v>2.09</v>
      </c>
      <c r="X136" s="44">
        <f t="shared" si="52"/>
        <v>2.09</v>
      </c>
      <c r="Y136" s="44">
        <f t="shared" si="52"/>
        <v>2.09</v>
      </c>
      <c r="Z136" s="44">
        <f t="shared" si="52"/>
        <v>2.09</v>
      </c>
      <c r="AA136" s="44">
        <f t="shared" si="52"/>
        <v>2.09</v>
      </c>
      <c r="AB136" s="44">
        <f t="shared" si="52"/>
        <v>2.09</v>
      </c>
      <c r="AC136" s="44">
        <f t="shared" si="52"/>
        <v>2.09</v>
      </c>
      <c r="AD136" s="44">
        <f t="shared" si="52"/>
        <v>2.09</v>
      </c>
      <c r="AE136" s="44">
        <f t="shared" si="52"/>
        <v>2.09</v>
      </c>
      <c r="AF136" s="44">
        <f t="shared" si="52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0"/>
        <v>1.1399999999999999</v>
      </c>
      <c r="C137" s="55">
        <v>1.1399999999999999</v>
      </c>
      <c r="D137" s="44">
        <f t="shared" si="51"/>
        <v>1.1399999999999999</v>
      </c>
      <c r="E137" s="44">
        <f t="shared" si="51"/>
        <v>1.1399999999999999</v>
      </c>
      <c r="F137" s="44">
        <f t="shared" si="51"/>
        <v>1.1399999999999999</v>
      </c>
      <c r="G137" s="44">
        <f t="shared" si="51"/>
        <v>1.1399999999999999</v>
      </c>
      <c r="H137" s="44">
        <f t="shared" si="51"/>
        <v>1.1399999999999999</v>
      </c>
      <c r="I137" s="44">
        <f t="shared" si="51"/>
        <v>1.1399999999999999</v>
      </c>
      <c r="J137" s="44">
        <f t="shared" si="51"/>
        <v>1.1399999999999999</v>
      </c>
      <c r="K137" s="44">
        <f t="shared" si="51"/>
        <v>1.1399999999999999</v>
      </c>
      <c r="L137" s="44">
        <f t="shared" si="51"/>
        <v>1.1399999999999999</v>
      </c>
      <c r="M137" s="44">
        <f t="shared" si="51"/>
        <v>1.1399999999999999</v>
      </c>
      <c r="N137" s="44">
        <f t="shared" si="51"/>
        <v>1.1399999999999999</v>
      </c>
      <c r="O137" s="44">
        <f t="shared" si="51"/>
        <v>1.1399999999999999</v>
      </c>
      <c r="P137" s="44">
        <f t="shared" si="51"/>
        <v>1.1399999999999999</v>
      </c>
      <c r="Q137" s="44">
        <f t="shared" si="51"/>
        <v>1.1399999999999999</v>
      </c>
      <c r="R137" s="44">
        <f t="shared" si="51"/>
        <v>1.1399999999999999</v>
      </c>
      <c r="S137" s="44">
        <f t="shared" si="51"/>
        <v>1.1399999999999999</v>
      </c>
      <c r="T137" s="44">
        <f t="shared" si="52"/>
        <v>1.1399999999999999</v>
      </c>
      <c r="U137" s="44">
        <f t="shared" si="52"/>
        <v>1.1399999999999999</v>
      </c>
      <c r="V137" s="44">
        <f t="shared" si="52"/>
        <v>1.1399999999999999</v>
      </c>
      <c r="W137" s="44">
        <f t="shared" si="52"/>
        <v>1.1399999999999999</v>
      </c>
      <c r="X137" s="44">
        <f t="shared" si="52"/>
        <v>1.1399999999999999</v>
      </c>
      <c r="Y137" s="44">
        <f t="shared" si="52"/>
        <v>1.1399999999999999</v>
      </c>
      <c r="Z137" s="44">
        <f t="shared" si="52"/>
        <v>1.1399999999999999</v>
      </c>
      <c r="AA137" s="44">
        <f t="shared" si="52"/>
        <v>1.1399999999999999</v>
      </c>
      <c r="AB137" s="44">
        <f t="shared" si="52"/>
        <v>1.1399999999999999</v>
      </c>
      <c r="AC137" s="44">
        <f t="shared" si="52"/>
        <v>1.1399999999999999</v>
      </c>
      <c r="AD137" s="44">
        <f t="shared" si="52"/>
        <v>1.1399999999999999</v>
      </c>
      <c r="AE137" s="44">
        <f t="shared" si="52"/>
        <v>1.1399999999999999</v>
      </c>
      <c r="AF137" s="44">
        <f t="shared" si="5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0"/>
        <v>0.82</v>
      </c>
      <c r="C138" s="55">
        <v>0.82</v>
      </c>
      <c r="D138" s="44">
        <f t="shared" si="51"/>
        <v>0.82</v>
      </c>
      <c r="E138" s="44">
        <f t="shared" si="51"/>
        <v>0.82</v>
      </c>
      <c r="F138" s="44">
        <f t="shared" si="51"/>
        <v>0.82</v>
      </c>
      <c r="G138" s="44">
        <f t="shared" si="51"/>
        <v>0.82</v>
      </c>
      <c r="H138" s="44">
        <f t="shared" si="51"/>
        <v>0.82</v>
      </c>
      <c r="I138" s="44">
        <f t="shared" si="51"/>
        <v>0.82</v>
      </c>
      <c r="J138" s="44">
        <f t="shared" si="51"/>
        <v>0.82</v>
      </c>
      <c r="K138" s="44">
        <f t="shared" si="51"/>
        <v>0.82</v>
      </c>
      <c r="L138" s="44">
        <f t="shared" si="51"/>
        <v>0.82</v>
      </c>
      <c r="M138" s="44">
        <f t="shared" si="51"/>
        <v>0.82</v>
      </c>
      <c r="N138" s="44">
        <f t="shared" si="51"/>
        <v>0.82</v>
      </c>
      <c r="O138" s="44">
        <f t="shared" si="51"/>
        <v>0.82</v>
      </c>
      <c r="P138" s="44">
        <f t="shared" si="51"/>
        <v>0.82</v>
      </c>
      <c r="Q138" s="44">
        <f t="shared" si="51"/>
        <v>0.82</v>
      </c>
      <c r="R138" s="44">
        <f t="shared" si="51"/>
        <v>0.82</v>
      </c>
      <c r="S138" s="44">
        <f t="shared" si="51"/>
        <v>0.82</v>
      </c>
      <c r="T138" s="44">
        <f t="shared" si="52"/>
        <v>0.82</v>
      </c>
      <c r="U138" s="44">
        <f t="shared" si="52"/>
        <v>0.82</v>
      </c>
      <c r="V138" s="44">
        <f t="shared" si="52"/>
        <v>0.82</v>
      </c>
      <c r="W138" s="44">
        <f t="shared" si="52"/>
        <v>0.82</v>
      </c>
      <c r="X138" s="44">
        <f t="shared" si="52"/>
        <v>0.82</v>
      </c>
      <c r="Y138" s="44">
        <f t="shared" si="52"/>
        <v>0.82</v>
      </c>
      <c r="Z138" s="44">
        <f t="shared" si="52"/>
        <v>0.82</v>
      </c>
      <c r="AA138" s="44">
        <f t="shared" si="52"/>
        <v>0.82</v>
      </c>
      <c r="AB138" s="44">
        <f t="shared" si="52"/>
        <v>0.82</v>
      </c>
      <c r="AC138" s="44">
        <f t="shared" si="52"/>
        <v>0.82</v>
      </c>
      <c r="AD138" s="44">
        <f t="shared" si="52"/>
        <v>0.82</v>
      </c>
      <c r="AE138" s="44">
        <f t="shared" si="52"/>
        <v>0.82</v>
      </c>
      <c r="AF138" s="44">
        <f t="shared" si="52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3">AF140</f>
        <v>2</v>
      </c>
      <c r="C140" s="55">
        <v>2</v>
      </c>
      <c r="D140" s="44">
        <f t="shared" ref="D140:S146" si="54">C140</f>
        <v>2</v>
      </c>
      <c r="E140" s="44">
        <f t="shared" si="54"/>
        <v>2</v>
      </c>
      <c r="F140" s="44">
        <f t="shared" si="54"/>
        <v>2</v>
      </c>
      <c r="G140" s="44">
        <f t="shared" si="54"/>
        <v>2</v>
      </c>
      <c r="H140" s="44">
        <f t="shared" si="54"/>
        <v>2</v>
      </c>
      <c r="I140" s="44">
        <f t="shared" si="54"/>
        <v>2</v>
      </c>
      <c r="J140" s="44">
        <f t="shared" si="54"/>
        <v>2</v>
      </c>
      <c r="K140" s="44">
        <f t="shared" si="54"/>
        <v>2</v>
      </c>
      <c r="L140" s="44">
        <f t="shared" si="54"/>
        <v>2</v>
      </c>
      <c r="M140" s="44">
        <f t="shared" si="54"/>
        <v>2</v>
      </c>
      <c r="N140" s="44">
        <f t="shared" si="54"/>
        <v>2</v>
      </c>
      <c r="O140" s="44">
        <f t="shared" si="54"/>
        <v>2</v>
      </c>
      <c r="P140" s="44">
        <f t="shared" si="54"/>
        <v>2</v>
      </c>
      <c r="Q140" s="44">
        <f t="shared" si="54"/>
        <v>2</v>
      </c>
      <c r="R140" s="44">
        <f t="shared" si="54"/>
        <v>2</v>
      </c>
      <c r="S140" s="44">
        <f t="shared" si="54"/>
        <v>2</v>
      </c>
      <c r="T140" s="44">
        <f t="shared" ref="T140:AF146" si="55">S140</f>
        <v>2</v>
      </c>
      <c r="U140" s="44">
        <f t="shared" si="55"/>
        <v>2</v>
      </c>
      <c r="V140" s="44">
        <f t="shared" si="55"/>
        <v>2</v>
      </c>
      <c r="W140" s="44">
        <f t="shared" si="55"/>
        <v>2</v>
      </c>
      <c r="X140" s="44">
        <f t="shared" si="55"/>
        <v>2</v>
      </c>
      <c r="Y140" s="44">
        <f t="shared" si="55"/>
        <v>2</v>
      </c>
      <c r="Z140" s="44">
        <f t="shared" si="55"/>
        <v>2</v>
      </c>
      <c r="AA140" s="44">
        <f t="shared" si="55"/>
        <v>2</v>
      </c>
      <c r="AB140" s="44">
        <f t="shared" si="55"/>
        <v>2</v>
      </c>
      <c r="AC140" s="44">
        <f t="shared" si="55"/>
        <v>2</v>
      </c>
      <c r="AD140" s="44">
        <f t="shared" si="55"/>
        <v>2</v>
      </c>
      <c r="AE140" s="44">
        <f t="shared" si="55"/>
        <v>2</v>
      </c>
      <c r="AF140" s="44">
        <f t="shared" si="5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3"/>
        <v>5.61</v>
      </c>
      <c r="C141" s="55">
        <v>5.61</v>
      </c>
      <c r="D141" s="44">
        <f t="shared" si="54"/>
        <v>5.61</v>
      </c>
      <c r="E141" s="44">
        <f t="shared" si="54"/>
        <v>5.61</v>
      </c>
      <c r="F141" s="44">
        <f t="shared" si="54"/>
        <v>5.61</v>
      </c>
      <c r="G141" s="44">
        <f t="shared" si="54"/>
        <v>5.61</v>
      </c>
      <c r="H141" s="44">
        <f t="shared" si="54"/>
        <v>5.61</v>
      </c>
      <c r="I141" s="44">
        <f t="shared" si="54"/>
        <v>5.61</v>
      </c>
      <c r="J141" s="44">
        <f t="shared" si="54"/>
        <v>5.61</v>
      </c>
      <c r="K141" s="44">
        <f t="shared" si="54"/>
        <v>5.61</v>
      </c>
      <c r="L141" s="44">
        <f t="shared" si="54"/>
        <v>5.61</v>
      </c>
      <c r="M141" s="44">
        <f t="shared" si="54"/>
        <v>5.61</v>
      </c>
      <c r="N141" s="44">
        <f t="shared" si="54"/>
        <v>5.61</v>
      </c>
      <c r="O141" s="44">
        <f t="shared" si="54"/>
        <v>5.61</v>
      </c>
      <c r="P141" s="44">
        <f t="shared" si="54"/>
        <v>5.61</v>
      </c>
      <c r="Q141" s="44">
        <f t="shared" si="54"/>
        <v>5.61</v>
      </c>
      <c r="R141" s="44">
        <f t="shared" si="54"/>
        <v>5.61</v>
      </c>
      <c r="S141" s="44">
        <f t="shared" si="54"/>
        <v>5.61</v>
      </c>
      <c r="T141" s="44">
        <f t="shared" si="55"/>
        <v>5.61</v>
      </c>
      <c r="U141" s="44">
        <f t="shared" si="55"/>
        <v>5.61</v>
      </c>
      <c r="V141" s="44">
        <f t="shared" si="55"/>
        <v>5.61</v>
      </c>
      <c r="W141" s="44">
        <f t="shared" si="55"/>
        <v>5.61</v>
      </c>
      <c r="X141" s="44">
        <f t="shared" si="55"/>
        <v>5.61</v>
      </c>
      <c r="Y141" s="44">
        <f t="shared" si="55"/>
        <v>5.61</v>
      </c>
      <c r="Z141" s="44">
        <f t="shared" si="55"/>
        <v>5.61</v>
      </c>
      <c r="AA141" s="44">
        <f t="shared" si="55"/>
        <v>5.61</v>
      </c>
      <c r="AB141" s="44">
        <f t="shared" si="55"/>
        <v>5.61</v>
      </c>
      <c r="AC141" s="44">
        <f t="shared" si="55"/>
        <v>5.61</v>
      </c>
      <c r="AD141" s="44">
        <f t="shared" si="55"/>
        <v>5.61</v>
      </c>
      <c r="AE141" s="44">
        <f t="shared" si="55"/>
        <v>5.61</v>
      </c>
      <c r="AF141" s="44">
        <f t="shared" si="55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3"/>
        <v>1.25</v>
      </c>
      <c r="C142" s="55">
        <v>1.25</v>
      </c>
      <c r="D142" s="44">
        <f t="shared" si="54"/>
        <v>1.25</v>
      </c>
      <c r="E142" s="44">
        <f t="shared" si="54"/>
        <v>1.25</v>
      </c>
      <c r="F142" s="44">
        <f t="shared" si="54"/>
        <v>1.25</v>
      </c>
      <c r="G142" s="44">
        <f t="shared" si="54"/>
        <v>1.25</v>
      </c>
      <c r="H142" s="44">
        <f t="shared" si="54"/>
        <v>1.25</v>
      </c>
      <c r="I142" s="44">
        <f t="shared" si="54"/>
        <v>1.25</v>
      </c>
      <c r="J142" s="44">
        <f t="shared" si="54"/>
        <v>1.25</v>
      </c>
      <c r="K142" s="44">
        <f t="shared" si="54"/>
        <v>1.25</v>
      </c>
      <c r="L142" s="44">
        <f t="shared" si="54"/>
        <v>1.25</v>
      </c>
      <c r="M142" s="44">
        <f t="shared" si="54"/>
        <v>1.25</v>
      </c>
      <c r="N142" s="44">
        <f t="shared" si="54"/>
        <v>1.25</v>
      </c>
      <c r="O142" s="44">
        <f t="shared" si="54"/>
        <v>1.25</v>
      </c>
      <c r="P142" s="44">
        <f t="shared" si="54"/>
        <v>1.25</v>
      </c>
      <c r="Q142" s="44">
        <f t="shared" si="54"/>
        <v>1.25</v>
      </c>
      <c r="R142" s="44">
        <f t="shared" si="54"/>
        <v>1.25</v>
      </c>
      <c r="S142" s="44">
        <f t="shared" si="54"/>
        <v>1.25</v>
      </c>
      <c r="T142" s="44">
        <f t="shared" si="55"/>
        <v>1.25</v>
      </c>
      <c r="U142" s="44">
        <f t="shared" si="55"/>
        <v>1.25</v>
      </c>
      <c r="V142" s="44">
        <f t="shared" si="55"/>
        <v>1.25</v>
      </c>
      <c r="W142" s="44">
        <f t="shared" si="55"/>
        <v>1.25</v>
      </c>
      <c r="X142" s="44">
        <f t="shared" si="55"/>
        <v>1.25</v>
      </c>
      <c r="Y142" s="44">
        <f t="shared" si="55"/>
        <v>1.25</v>
      </c>
      <c r="Z142" s="44">
        <f t="shared" si="55"/>
        <v>1.25</v>
      </c>
      <c r="AA142" s="44">
        <f t="shared" si="55"/>
        <v>1.25</v>
      </c>
      <c r="AB142" s="44">
        <f t="shared" si="55"/>
        <v>1.25</v>
      </c>
      <c r="AC142" s="44">
        <f t="shared" si="55"/>
        <v>1.25</v>
      </c>
      <c r="AD142" s="44">
        <f t="shared" si="55"/>
        <v>1.25</v>
      </c>
      <c r="AE142" s="44">
        <f t="shared" si="55"/>
        <v>1.25</v>
      </c>
      <c r="AF142" s="44">
        <f t="shared" si="55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3"/>
        <v>1.25</v>
      </c>
      <c r="C143" s="55">
        <v>1.25</v>
      </c>
      <c r="D143" s="44">
        <f t="shared" si="54"/>
        <v>1.25</v>
      </c>
      <c r="E143" s="44">
        <f t="shared" si="54"/>
        <v>1.25</v>
      </c>
      <c r="F143" s="44">
        <f t="shared" si="54"/>
        <v>1.25</v>
      </c>
      <c r="G143" s="44">
        <f t="shared" si="54"/>
        <v>1.25</v>
      </c>
      <c r="H143" s="44">
        <f t="shared" si="54"/>
        <v>1.25</v>
      </c>
      <c r="I143" s="44">
        <f t="shared" si="54"/>
        <v>1.25</v>
      </c>
      <c r="J143" s="44">
        <f t="shared" si="54"/>
        <v>1.25</v>
      </c>
      <c r="K143" s="44">
        <f t="shared" si="54"/>
        <v>1.25</v>
      </c>
      <c r="L143" s="44">
        <f t="shared" si="54"/>
        <v>1.25</v>
      </c>
      <c r="M143" s="44">
        <f t="shared" si="54"/>
        <v>1.25</v>
      </c>
      <c r="N143" s="44">
        <f t="shared" si="54"/>
        <v>1.25</v>
      </c>
      <c r="O143" s="44">
        <f t="shared" si="54"/>
        <v>1.25</v>
      </c>
      <c r="P143" s="44">
        <f t="shared" si="54"/>
        <v>1.25</v>
      </c>
      <c r="Q143" s="44">
        <f t="shared" si="54"/>
        <v>1.25</v>
      </c>
      <c r="R143" s="44">
        <f t="shared" si="54"/>
        <v>1.25</v>
      </c>
      <c r="S143" s="44">
        <f t="shared" si="54"/>
        <v>1.25</v>
      </c>
      <c r="T143" s="44">
        <f t="shared" si="55"/>
        <v>1.25</v>
      </c>
      <c r="U143" s="44">
        <f t="shared" si="55"/>
        <v>1.25</v>
      </c>
      <c r="V143" s="44">
        <f t="shared" si="55"/>
        <v>1.25</v>
      </c>
      <c r="W143" s="44">
        <f t="shared" si="55"/>
        <v>1.25</v>
      </c>
      <c r="X143" s="44">
        <f t="shared" si="55"/>
        <v>1.25</v>
      </c>
      <c r="Y143" s="44">
        <f t="shared" si="55"/>
        <v>1.25</v>
      </c>
      <c r="Z143" s="44">
        <f t="shared" si="55"/>
        <v>1.25</v>
      </c>
      <c r="AA143" s="44">
        <f t="shared" si="55"/>
        <v>1.25</v>
      </c>
      <c r="AB143" s="44">
        <f t="shared" si="55"/>
        <v>1.25</v>
      </c>
      <c r="AC143" s="44">
        <f t="shared" si="55"/>
        <v>1.25</v>
      </c>
      <c r="AD143" s="44">
        <f t="shared" si="55"/>
        <v>1.25</v>
      </c>
      <c r="AE143" s="44">
        <f t="shared" si="55"/>
        <v>1.25</v>
      </c>
      <c r="AF143" s="44">
        <f t="shared" si="55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3"/>
        <v>1.46</v>
      </c>
      <c r="C144" s="55">
        <v>1.46</v>
      </c>
      <c r="D144" s="44">
        <f t="shared" si="54"/>
        <v>1.46</v>
      </c>
      <c r="E144" s="44">
        <f t="shared" si="54"/>
        <v>1.46</v>
      </c>
      <c r="F144" s="44">
        <f t="shared" si="54"/>
        <v>1.46</v>
      </c>
      <c r="G144" s="44">
        <f t="shared" si="54"/>
        <v>1.46</v>
      </c>
      <c r="H144" s="44">
        <f t="shared" si="54"/>
        <v>1.46</v>
      </c>
      <c r="I144" s="44">
        <f t="shared" si="54"/>
        <v>1.46</v>
      </c>
      <c r="J144" s="44">
        <f t="shared" si="54"/>
        <v>1.46</v>
      </c>
      <c r="K144" s="44">
        <f t="shared" si="54"/>
        <v>1.46</v>
      </c>
      <c r="L144" s="44">
        <f t="shared" si="54"/>
        <v>1.46</v>
      </c>
      <c r="M144" s="44">
        <f t="shared" si="54"/>
        <v>1.46</v>
      </c>
      <c r="N144" s="44">
        <f t="shared" si="54"/>
        <v>1.46</v>
      </c>
      <c r="O144" s="44">
        <f t="shared" si="54"/>
        <v>1.46</v>
      </c>
      <c r="P144" s="44">
        <f t="shared" si="54"/>
        <v>1.46</v>
      </c>
      <c r="Q144" s="44">
        <f t="shared" si="54"/>
        <v>1.46</v>
      </c>
      <c r="R144" s="44">
        <f t="shared" si="54"/>
        <v>1.46</v>
      </c>
      <c r="S144" s="44">
        <f t="shared" si="54"/>
        <v>1.46</v>
      </c>
      <c r="T144" s="44">
        <f t="shared" si="55"/>
        <v>1.46</v>
      </c>
      <c r="U144" s="44">
        <f t="shared" si="55"/>
        <v>1.46</v>
      </c>
      <c r="V144" s="44">
        <f t="shared" si="55"/>
        <v>1.46</v>
      </c>
      <c r="W144" s="44">
        <f t="shared" si="55"/>
        <v>1.46</v>
      </c>
      <c r="X144" s="44">
        <f t="shared" si="55"/>
        <v>1.46</v>
      </c>
      <c r="Y144" s="44">
        <f t="shared" si="55"/>
        <v>1.46</v>
      </c>
      <c r="Z144" s="44">
        <f t="shared" si="55"/>
        <v>1.46</v>
      </c>
      <c r="AA144" s="44">
        <f t="shared" si="55"/>
        <v>1.46</v>
      </c>
      <c r="AB144" s="44">
        <f t="shared" si="55"/>
        <v>1.46</v>
      </c>
      <c r="AC144" s="44">
        <f t="shared" si="55"/>
        <v>1.46</v>
      </c>
      <c r="AD144" s="44">
        <f t="shared" si="55"/>
        <v>1.46</v>
      </c>
      <c r="AE144" s="44">
        <f t="shared" si="55"/>
        <v>1.46</v>
      </c>
      <c r="AF144" s="44">
        <f t="shared" si="55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3"/>
        <v>3</v>
      </c>
      <c r="C145" s="55">
        <v>3</v>
      </c>
      <c r="D145" s="44">
        <f t="shared" si="54"/>
        <v>3</v>
      </c>
      <c r="E145" s="44">
        <f t="shared" si="54"/>
        <v>3</v>
      </c>
      <c r="F145" s="44">
        <f t="shared" si="54"/>
        <v>3</v>
      </c>
      <c r="G145" s="44">
        <f t="shared" si="54"/>
        <v>3</v>
      </c>
      <c r="H145" s="44">
        <f t="shared" si="54"/>
        <v>3</v>
      </c>
      <c r="I145" s="44">
        <f t="shared" si="54"/>
        <v>3</v>
      </c>
      <c r="J145" s="44">
        <f t="shared" si="54"/>
        <v>3</v>
      </c>
      <c r="K145" s="44">
        <f t="shared" si="54"/>
        <v>3</v>
      </c>
      <c r="L145" s="44">
        <f t="shared" si="54"/>
        <v>3</v>
      </c>
      <c r="M145" s="44">
        <f t="shared" si="54"/>
        <v>3</v>
      </c>
      <c r="N145" s="44">
        <f t="shared" si="54"/>
        <v>3</v>
      </c>
      <c r="O145" s="44">
        <f t="shared" si="54"/>
        <v>3</v>
      </c>
      <c r="P145" s="44">
        <f t="shared" si="54"/>
        <v>3</v>
      </c>
      <c r="Q145" s="44">
        <f t="shared" si="54"/>
        <v>3</v>
      </c>
      <c r="R145" s="44">
        <f t="shared" si="54"/>
        <v>3</v>
      </c>
      <c r="S145" s="44">
        <f t="shared" si="54"/>
        <v>3</v>
      </c>
      <c r="T145" s="44">
        <f t="shared" si="55"/>
        <v>3</v>
      </c>
      <c r="U145" s="44">
        <f t="shared" si="55"/>
        <v>3</v>
      </c>
      <c r="V145" s="44">
        <f t="shared" si="55"/>
        <v>3</v>
      </c>
      <c r="W145" s="44">
        <f t="shared" si="55"/>
        <v>3</v>
      </c>
      <c r="X145" s="44">
        <f t="shared" si="55"/>
        <v>3</v>
      </c>
      <c r="Y145" s="44">
        <f t="shared" si="55"/>
        <v>3</v>
      </c>
      <c r="Z145" s="44">
        <f t="shared" si="55"/>
        <v>3</v>
      </c>
      <c r="AA145" s="44">
        <f t="shared" si="55"/>
        <v>3</v>
      </c>
      <c r="AB145" s="44">
        <f t="shared" si="55"/>
        <v>3</v>
      </c>
      <c r="AC145" s="44">
        <f t="shared" si="55"/>
        <v>3</v>
      </c>
      <c r="AD145" s="44">
        <f t="shared" si="55"/>
        <v>3</v>
      </c>
      <c r="AE145" s="44">
        <f t="shared" si="55"/>
        <v>3</v>
      </c>
      <c r="AF145" s="44">
        <f t="shared" si="55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3"/>
        <v>3.3</v>
      </c>
      <c r="C146" s="55">
        <v>3.3</v>
      </c>
      <c r="D146" s="44">
        <f t="shared" si="54"/>
        <v>3.3</v>
      </c>
      <c r="E146" s="44">
        <f t="shared" si="54"/>
        <v>3.3</v>
      </c>
      <c r="F146" s="44">
        <f t="shared" si="54"/>
        <v>3.3</v>
      </c>
      <c r="G146" s="44">
        <f t="shared" si="54"/>
        <v>3.3</v>
      </c>
      <c r="H146" s="44">
        <f t="shared" si="54"/>
        <v>3.3</v>
      </c>
      <c r="I146" s="44">
        <f t="shared" si="54"/>
        <v>3.3</v>
      </c>
      <c r="J146" s="44">
        <f t="shared" si="54"/>
        <v>3.3</v>
      </c>
      <c r="K146" s="44">
        <f t="shared" si="54"/>
        <v>3.3</v>
      </c>
      <c r="L146" s="44">
        <f t="shared" si="54"/>
        <v>3.3</v>
      </c>
      <c r="M146" s="44">
        <f t="shared" si="54"/>
        <v>3.3</v>
      </c>
      <c r="N146" s="44">
        <f t="shared" si="54"/>
        <v>3.3</v>
      </c>
      <c r="O146" s="44">
        <f t="shared" si="54"/>
        <v>3.3</v>
      </c>
      <c r="P146" s="44">
        <f t="shared" si="54"/>
        <v>3.3</v>
      </c>
      <c r="Q146" s="44">
        <f t="shared" si="54"/>
        <v>3.3</v>
      </c>
      <c r="R146" s="44">
        <f t="shared" si="54"/>
        <v>3.3</v>
      </c>
      <c r="S146" s="44">
        <f t="shared" si="54"/>
        <v>3.3</v>
      </c>
      <c r="T146" s="44">
        <f t="shared" si="55"/>
        <v>3.3</v>
      </c>
      <c r="U146" s="44">
        <f t="shared" si="55"/>
        <v>3.3</v>
      </c>
      <c r="V146" s="44">
        <f t="shared" si="55"/>
        <v>3.3</v>
      </c>
      <c r="W146" s="44">
        <f t="shared" si="55"/>
        <v>3.3</v>
      </c>
      <c r="X146" s="44">
        <f t="shared" si="55"/>
        <v>3.3</v>
      </c>
      <c r="Y146" s="44">
        <f t="shared" si="55"/>
        <v>3.3</v>
      </c>
      <c r="Z146" s="44">
        <f t="shared" si="55"/>
        <v>3.3</v>
      </c>
      <c r="AA146" s="44">
        <f t="shared" si="55"/>
        <v>3.3</v>
      </c>
      <c r="AB146" s="44">
        <f t="shared" si="55"/>
        <v>3.3</v>
      </c>
      <c r="AC146" s="44">
        <f t="shared" si="55"/>
        <v>3.3</v>
      </c>
      <c r="AD146" s="44">
        <f t="shared" si="55"/>
        <v>3.3</v>
      </c>
      <c r="AE146" s="44">
        <f t="shared" si="55"/>
        <v>3.3</v>
      </c>
      <c r="AF146" s="44">
        <f t="shared" si="55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6">C148</f>
        <v>1.76</v>
      </c>
      <c r="E148" s="44">
        <f t="shared" si="56"/>
        <v>1.76</v>
      </c>
      <c r="F148" s="44">
        <f t="shared" si="56"/>
        <v>1.76</v>
      </c>
      <c r="G148" s="44">
        <f t="shared" si="56"/>
        <v>1.76</v>
      </c>
      <c r="H148" s="44">
        <f t="shared" si="56"/>
        <v>1.76</v>
      </c>
      <c r="I148" s="44">
        <f t="shared" si="56"/>
        <v>1.76</v>
      </c>
      <c r="J148" s="44">
        <f t="shared" si="56"/>
        <v>1.76</v>
      </c>
      <c r="K148" s="44">
        <f t="shared" si="56"/>
        <v>1.76</v>
      </c>
      <c r="L148" s="44">
        <f t="shared" si="56"/>
        <v>1.76</v>
      </c>
      <c r="M148" s="44">
        <f t="shared" si="56"/>
        <v>1.76</v>
      </c>
      <c r="N148" s="44">
        <f t="shared" si="56"/>
        <v>1.76</v>
      </c>
      <c r="O148" s="44">
        <f t="shared" si="56"/>
        <v>1.76</v>
      </c>
      <c r="P148" s="44">
        <f t="shared" si="56"/>
        <v>1.76</v>
      </c>
      <c r="Q148" s="44">
        <f t="shared" si="56"/>
        <v>1.76</v>
      </c>
      <c r="R148" s="44">
        <f t="shared" si="56"/>
        <v>1.76</v>
      </c>
      <c r="S148" s="44">
        <f t="shared" si="56"/>
        <v>1.76</v>
      </c>
      <c r="T148" s="44">
        <f t="shared" ref="T148:AF149" si="57">S148</f>
        <v>1.76</v>
      </c>
      <c r="U148" s="44">
        <f t="shared" si="57"/>
        <v>1.76</v>
      </c>
      <c r="V148" s="44">
        <f t="shared" si="57"/>
        <v>1.76</v>
      </c>
      <c r="W148" s="44">
        <f t="shared" si="57"/>
        <v>1.76</v>
      </c>
      <c r="X148" s="44">
        <f t="shared" si="57"/>
        <v>1.76</v>
      </c>
      <c r="Y148" s="44">
        <f t="shared" si="57"/>
        <v>1.76</v>
      </c>
      <c r="Z148" s="44">
        <f t="shared" si="57"/>
        <v>1.76</v>
      </c>
      <c r="AA148" s="44">
        <f t="shared" si="57"/>
        <v>1.76</v>
      </c>
      <c r="AB148" s="44">
        <f t="shared" si="57"/>
        <v>1.76</v>
      </c>
      <c r="AC148" s="44">
        <f t="shared" si="57"/>
        <v>1.76</v>
      </c>
      <c r="AD148" s="44">
        <f t="shared" si="57"/>
        <v>1.76</v>
      </c>
      <c r="AE148" s="44">
        <f t="shared" si="57"/>
        <v>1.76</v>
      </c>
      <c r="AF148" s="44">
        <f t="shared" si="57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6"/>
        <v>0</v>
      </c>
      <c r="E149" s="44">
        <f t="shared" si="56"/>
        <v>0</v>
      </c>
      <c r="F149" s="44">
        <f t="shared" si="56"/>
        <v>0</v>
      </c>
      <c r="G149" s="44">
        <f t="shared" si="56"/>
        <v>0</v>
      </c>
      <c r="H149" s="44">
        <f t="shared" si="56"/>
        <v>0</v>
      </c>
      <c r="I149" s="44">
        <f t="shared" si="56"/>
        <v>0</v>
      </c>
      <c r="J149" s="44">
        <f t="shared" si="56"/>
        <v>0</v>
      </c>
      <c r="K149" s="44">
        <f t="shared" si="56"/>
        <v>0</v>
      </c>
      <c r="L149" s="44">
        <f t="shared" si="56"/>
        <v>0</v>
      </c>
      <c r="M149" s="44">
        <f t="shared" si="56"/>
        <v>0</v>
      </c>
      <c r="N149" s="44">
        <f t="shared" si="56"/>
        <v>0</v>
      </c>
      <c r="O149" s="44">
        <f t="shared" si="56"/>
        <v>0</v>
      </c>
      <c r="P149" s="44">
        <f t="shared" si="56"/>
        <v>0</v>
      </c>
      <c r="Q149" s="44">
        <f t="shared" si="56"/>
        <v>0</v>
      </c>
      <c r="R149" s="44">
        <f t="shared" si="56"/>
        <v>0</v>
      </c>
      <c r="S149" s="44">
        <f t="shared" si="56"/>
        <v>0</v>
      </c>
      <c r="T149" s="44">
        <f t="shared" si="57"/>
        <v>0</v>
      </c>
      <c r="U149" s="44">
        <f t="shared" si="57"/>
        <v>0</v>
      </c>
      <c r="V149" s="44">
        <f t="shared" si="57"/>
        <v>0</v>
      </c>
      <c r="W149" s="44">
        <f t="shared" si="57"/>
        <v>0</v>
      </c>
      <c r="X149" s="44">
        <f t="shared" si="57"/>
        <v>0</v>
      </c>
      <c r="Y149" s="44">
        <f t="shared" si="57"/>
        <v>0</v>
      </c>
      <c r="Z149" s="44">
        <f t="shared" si="57"/>
        <v>0</v>
      </c>
      <c r="AA149" s="44">
        <f t="shared" si="57"/>
        <v>0</v>
      </c>
      <c r="AB149" s="44">
        <f t="shared" si="57"/>
        <v>0</v>
      </c>
      <c r="AC149" s="44">
        <f t="shared" si="57"/>
        <v>0</v>
      </c>
      <c r="AD149" s="44">
        <f t="shared" si="57"/>
        <v>0</v>
      </c>
      <c r="AE149" s="44">
        <f t="shared" si="57"/>
        <v>0</v>
      </c>
      <c r="AF149" s="44">
        <f t="shared" si="57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8">C151</f>
        <v>0.1</v>
      </c>
      <c r="E151" s="44">
        <f t="shared" si="58"/>
        <v>0.1</v>
      </c>
      <c r="F151" s="44">
        <f t="shared" si="58"/>
        <v>0.1</v>
      </c>
      <c r="G151" s="44">
        <f t="shared" si="58"/>
        <v>0.1</v>
      </c>
      <c r="H151" s="44">
        <f t="shared" si="58"/>
        <v>0.1</v>
      </c>
      <c r="I151" s="44">
        <f t="shared" si="58"/>
        <v>0.1</v>
      </c>
      <c r="J151" s="44">
        <f t="shared" si="58"/>
        <v>0.1</v>
      </c>
      <c r="K151" s="44">
        <f t="shared" si="58"/>
        <v>0.1</v>
      </c>
      <c r="L151" s="44">
        <f t="shared" si="58"/>
        <v>0.1</v>
      </c>
      <c r="M151" s="44">
        <f t="shared" si="58"/>
        <v>0.1</v>
      </c>
      <c r="N151" s="44">
        <f t="shared" si="58"/>
        <v>0.1</v>
      </c>
      <c r="O151" s="44">
        <f t="shared" si="58"/>
        <v>0.1</v>
      </c>
      <c r="P151" s="44">
        <f t="shared" si="58"/>
        <v>0.1</v>
      </c>
      <c r="Q151" s="44">
        <f t="shared" si="58"/>
        <v>0.1</v>
      </c>
      <c r="R151" s="44">
        <f t="shared" si="58"/>
        <v>0.1</v>
      </c>
      <c r="S151" s="44">
        <f t="shared" si="58"/>
        <v>0.1</v>
      </c>
      <c r="T151" s="44">
        <f t="shared" ref="T151:AF154" si="59">S151</f>
        <v>0.1</v>
      </c>
      <c r="U151" s="44">
        <f t="shared" si="59"/>
        <v>0.1</v>
      </c>
      <c r="V151" s="44">
        <f t="shared" si="59"/>
        <v>0.1</v>
      </c>
      <c r="W151" s="44">
        <f t="shared" si="59"/>
        <v>0.1</v>
      </c>
      <c r="X151" s="44">
        <f t="shared" si="59"/>
        <v>0.1</v>
      </c>
      <c r="Y151" s="44">
        <f t="shared" si="59"/>
        <v>0.1</v>
      </c>
      <c r="Z151" s="44">
        <f t="shared" si="59"/>
        <v>0.1</v>
      </c>
      <c r="AA151" s="44">
        <f t="shared" si="59"/>
        <v>0.1</v>
      </c>
      <c r="AB151" s="44">
        <f t="shared" si="59"/>
        <v>0.1</v>
      </c>
      <c r="AC151" s="44">
        <f t="shared" si="59"/>
        <v>0.1</v>
      </c>
      <c r="AD151" s="44">
        <f t="shared" si="59"/>
        <v>0.1</v>
      </c>
      <c r="AE151" s="44">
        <f t="shared" si="59"/>
        <v>0.1</v>
      </c>
      <c r="AF151" s="44">
        <f t="shared" si="59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8"/>
        <v>2.0499999999999998</v>
      </c>
      <c r="E152" s="44">
        <f t="shared" si="58"/>
        <v>2.0499999999999998</v>
      </c>
      <c r="F152" s="44">
        <f t="shared" si="58"/>
        <v>2.0499999999999998</v>
      </c>
      <c r="G152" s="44">
        <f t="shared" si="58"/>
        <v>2.0499999999999998</v>
      </c>
      <c r="H152" s="44">
        <f t="shared" si="58"/>
        <v>2.0499999999999998</v>
      </c>
      <c r="I152" s="44">
        <f t="shared" si="58"/>
        <v>2.0499999999999998</v>
      </c>
      <c r="J152" s="44">
        <f t="shared" si="58"/>
        <v>2.0499999999999998</v>
      </c>
      <c r="K152" s="44">
        <f t="shared" si="58"/>
        <v>2.0499999999999998</v>
      </c>
      <c r="L152" s="44">
        <f t="shared" si="58"/>
        <v>2.0499999999999998</v>
      </c>
      <c r="M152" s="44">
        <f t="shared" si="58"/>
        <v>2.0499999999999998</v>
      </c>
      <c r="N152" s="44">
        <f t="shared" si="58"/>
        <v>2.0499999999999998</v>
      </c>
      <c r="O152" s="44">
        <f t="shared" si="58"/>
        <v>2.0499999999999998</v>
      </c>
      <c r="P152" s="44">
        <f t="shared" si="58"/>
        <v>2.0499999999999998</v>
      </c>
      <c r="Q152" s="44">
        <f t="shared" si="58"/>
        <v>2.0499999999999998</v>
      </c>
      <c r="R152" s="44">
        <f t="shared" si="58"/>
        <v>2.0499999999999998</v>
      </c>
      <c r="S152" s="44">
        <f t="shared" si="58"/>
        <v>2.0499999999999998</v>
      </c>
      <c r="T152" s="44">
        <f t="shared" si="59"/>
        <v>2.0499999999999998</v>
      </c>
      <c r="U152" s="44">
        <f t="shared" si="59"/>
        <v>2.0499999999999998</v>
      </c>
      <c r="V152" s="44">
        <f t="shared" si="59"/>
        <v>2.0499999999999998</v>
      </c>
      <c r="W152" s="44">
        <f t="shared" si="59"/>
        <v>2.0499999999999998</v>
      </c>
      <c r="X152" s="44">
        <f t="shared" si="59"/>
        <v>2.0499999999999998</v>
      </c>
      <c r="Y152" s="44">
        <f t="shared" si="59"/>
        <v>2.0499999999999998</v>
      </c>
      <c r="Z152" s="44">
        <f t="shared" si="59"/>
        <v>2.0499999999999998</v>
      </c>
      <c r="AA152" s="44">
        <f t="shared" si="59"/>
        <v>2.0499999999999998</v>
      </c>
      <c r="AB152" s="44">
        <f t="shared" si="59"/>
        <v>2.0499999999999998</v>
      </c>
      <c r="AC152" s="44">
        <f t="shared" si="59"/>
        <v>2.0499999999999998</v>
      </c>
      <c r="AD152" s="44">
        <f t="shared" si="59"/>
        <v>2.0499999999999998</v>
      </c>
      <c r="AE152" s="44">
        <f t="shared" si="59"/>
        <v>2.0499999999999998</v>
      </c>
      <c r="AF152" s="44">
        <f t="shared" si="59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8"/>
        <v>2.7</v>
      </c>
      <c r="E153" s="44">
        <f t="shared" si="58"/>
        <v>2.7</v>
      </c>
      <c r="F153" s="44">
        <f t="shared" si="58"/>
        <v>2.7</v>
      </c>
      <c r="G153" s="44">
        <f t="shared" si="58"/>
        <v>2.7</v>
      </c>
      <c r="H153" s="44">
        <f t="shared" si="58"/>
        <v>2.7</v>
      </c>
      <c r="I153" s="44">
        <f t="shared" si="58"/>
        <v>2.7</v>
      </c>
      <c r="J153" s="44">
        <f t="shared" si="58"/>
        <v>2.7</v>
      </c>
      <c r="K153" s="44">
        <f t="shared" si="58"/>
        <v>2.7</v>
      </c>
      <c r="L153" s="44">
        <f t="shared" si="58"/>
        <v>2.7</v>
      </c>
      <c r="M153" s="44">
        <f t="shared" si="58"/>
        <v>2.7</v>
      </c>
      <c r="N153" s="44">
        <f t="shared" si="58"/>
        <v>2.7</v>
      </c>
      <c r="O153" s="44">
        <f t="shared" si="58"/>
        <v>2.7</v>
      </c>
      <c r="P153" s="44">
        <f t="shared" si="58"/>
        <v>2.7</v>
      </c>
      <c r="Q153" s="44">
        <f t="shared" si="58"/>
        <v>2.7</v>
      </c>
      <c r="R153" s="44">
        <f t="shared" si="58"/>
        <v>2.7</v>
      </c>
      <c r="S153" s="44">
        <f t="shared" si="58"/>
        <v>2.7</v>
      </c>
      <c r="T153" s="44">
        <f t="shared" si="59"/>
        <v>2.7</v>
      </c>
      <c r="U153" s="44">
        <f t="shared" si="59"/>
        <v>2.7</v>
      </c>
      <c r="V153" s="44">
        <f t="shared" si="59"/>
        <v>2.7</v>
      </c>
      <c r="W153" s="44">
        <f t="shared" si="59"/>
        <v>2.7</v>
      </c>
      <c r="X153" s="44">
        <f t="shared" si="59"/>
        <v>2.7</v>
      </c>
      <c r="Y153" s="44">
        <f t="shared" si="59"/>
        <v>2.7</v>
      </c>
      <c r="Z153" s="44">
        <f t="shared" si="59"/>
        <v>2.7</v>
      </c>
      <c r="AA153" s="44">
        <f t="shared" si="59"/>
        <v>2.7</v>
      </c>
      <c r="AB153" s="44">
        <f t="shared" si="59"/>
        <v>2.7</v>
      </c>
      <c r="AC153" s="44">
        <f t="shared" si="59"/>
        <v>2.7</v>
      </c>
      <c r="AD153" s="44">
        <f t="shared" si="59"/>
        <v>2.7</v>
      </c>
      <c r="AE153" s="44">
        <f t="shared" si="59"/>
        <v>2.7</v>
      </c>
      <c r="AF153" s="44">
        <f t="shared" si="59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8"/>
        <v>2.15</v>
      </c>
      <c r="E154" s="44">
        <f t="shared" si="58"/>
        <v>2.15</v>
      </c>
      <c r="F154" s="44">
        <f t="shared" si="58"/>
        <v>2.15</v>
      </c>
      <c r="G154" s="44">
        <f t="shared" si="58"/>
        <v>2.15</v>
      </c>
      <c r="H154" s="44">
        <f t="shared" si="58"/>
        <v>2.15</v>
      </c>
      <c r="I154" s="44">
        <f t="shared" si="58"/>
        <v>2.15</v>
      </c>
      <c r="J154" s="44">
        <f t="shared" si="58"/>
        <v>2.15</v>
      </c>
      <c r="K154" s="44">
        <f t="shared" si="58"/>
        <v>2.15</v>
      </c>
      <c r="L154" s="44">
        <f t="shared" si="58"/>
        <v>2.15</v>
      </c>
      <c r="M154" s="44">
        <f t="shared" si="58"/>
        <v>2.15</v>
      </c>
      <c r="N154" s="44">
        <f t="shared" si="58"/>
        <v>2.15</v>
      </c>
      <c r="O154" s="44">
        <f t="shared" si="58"/>
        <v>2.15</v>
      </c>
      <c r="P154" s="44">
        <f t="shared" si="58"/>
        <v>2.15</v>
      </c>
      <c r="Q154" s="44">
        <f t="shared" si="58"/>
        <v>2.15</v>
      </c>
      <c r="R154" s="44">
        <f t="shared" si="58"/>
        <v>2.15</v>
      </c>
      <c r="S154" s="44">
        <f t="shared" si="58"/>
        <v>2.15</v>
      </c>
      <c r="T154" s="44">
        <f t="shared" si="59"/>
        <v>2.15</v>
      </c>
      <c r="U154" s="44">
        <f t="shared" si="59"/>
        <v>2.15</v>
      </c>
      <c r="V154" s="44">
        <f t="shared" si="59"/>
        <v>2.15</v>
      </c>
      <c r="W154" s="44">
        <f t="shared" si="59"/>
        <v>2.15</v>
      </c>
      <c r="X154" s="44">
        <f t="shared" si="59"/>
        <v>2.15</v>
      </c>
      <c r="Y154" s="44">
        <f t="shared" si="59"/>
        <v>2.15</v>
      </c>
      <c r="Z154" s="44">
        <f t="shared" si="59"/>
        <v>2.15</v>
      </c>
      <c r="AA154" s="44">
        <f t="shared" si="59"/>
        <v>2.15</v>
      </c>
      <c r="AB154" s="44">
        <f t="shared" si="59"/>
        <v>2.15</v>
      </c>
      <c r="AC154" s="44">
        <f t="shared" si="59"/>
        <v>2.15</v>
      </c>
      <c r="AD154" s="44">
        <f t="shared" si="59"/>
        <v>2.15</v>
      </c>
      <c r="AE154" s="44">
        <f t="shared" si="59"/>
        <v>2.15</v>
      </c>
      <c r="AF154" s="44">
        <f t="shared" si="59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0">AF156</f>
        <v>0.9</v>
      </c>
      <c r="C156" s="55">
        <v>0.9</v>
      </c>
      <c r="D156" s="44">
        <f t="shared" ref="D156:S168" si="61">C156</f>
        <v>0.9</v>
      </c>
      <c r="E156" s="44">
        <f t="shared" si="61"/>
        <v>0.9</v>
      </c>
      <c r="F156" s="44">
        <f t="shared" si="61"/>
        <v>0.9</v>
      </c>
      <c r="G156" s="44">
        <f t="shared" si="61"/>
        <v>0.9</v>
      </c>
      <c r="H156" s="44">
        <f t="shared" si="61"/>
        <v>0.9</v>
      </c>
      <c r="I156" s="44">
        <f t="shared" si="61"/>
        <v>0.9</v>
      </c>
      <c r="J156" s="44">
        <f t="shared" si="61"/>
        <v>0.9</v>
      </c>
      <c r="K156" s="44">
        <f t="shared" si="61"/>
        <v>0.9</v>
      </c>
      <c r="L156" s="44">
        <f t="shared" si="61"/>
        <v>0.9</v>
      </c>
      <c r="M156" s="44">
        <f t="shared" si="61"/>
        <v>0.9</v>
      </c>
      <c r="N156" s="44">
        <f t="shared" si="61"/>
        <v>0.9</v>
      </c>
      <c r="O156" s="44">
        <f t="shared" si="61"/>
        <v>0.9</v>
      </c>
      <c r="P156" s="44">
        <f t="shared" si="61"/>
        <v>0.9</v>
      </c>
      <c r="Q156" s="44">
        <f t="shared" si="61"/>
        <v>0.9</v>
      </c>
      <c r="R156" s="44">
        <f t="shared" si="61"/>
        <v>0.9</v>
      </c>
      <c r="S156" s="44">
        <f t="shared" si="61"/>
        <v>0.9</v>
      </c>
      <c r="T156" s="44">
        <f t="shared" ref="S156:AF168" si="62">S156</f>
        <v>0.9</v>
      </c>
      <c r="U156" s="44">
        <f t="shared" si="62"/>
        <v>0.9</v>
      </c>
      <c r="V156" s="44">
        <f t="shared" si="62"/>
        <v>0.9</v>
      </c>
      <c r="W156" s="44">
        <f t="shared" si="62"/>
        <v>0.9</v>
      </c>
      <c r="X156" s="44">
        <f t="shared" si="62"/>
        <v>0.9</v>
      </c>
      <c r="Y156" s="44">
        <f t="shared" si="62"/>
        <v>0.9</v>
      </c>
      <c r="Z156" s="44">
        <f t="shared" si="62"/>
        <v>0.9</v>
      </c>
      <c r="AA156" s="44">
        <f t="shared" si="62"/>
        <v>0.9</v>
      </c>
      <c r="AB156" s="44">
        <f t="shared" si="62"/>
        <v>0.9</v>
      </c>
      <c r="AC156" s="44">
        <f t="shared" si="62"/>
        <v>0.9</v>
      </c>
      <c r="AD156" s="44">
        <f t="shared" si="62"/>
        <v>0.9</v>
      </c>
      <c r="AE156" s="44">
        <f t="shared" si="62"/>
        <v>0.9</v>
      </c>
      <c r="AF156" s="44">
        <f t="shared" si="62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0"/>
        <v>1.08</v>
      </c>
      <c r="C157" s="55">
        <v>1.08</v>
      </c>
      <c r="D157" s="44">
        <f t="shared" si="61"/>
        <v>1.08</v>
      </c>
      <c r="E157" s="44">
        <f t="shared" si="61"/>
        <v>1.08</v>
      </c>
      <c r="F157" s="44">
        <f t="shared" si="61"/>
        <v>1.08</v>
      </c>
      <c r="G157" s="44">
        <f t="shared" si="61"/>
        <v>1.08</v>
      </c>
      <c r="H157" s="44">
        <f t="shared" si="61"/>
        <v>1.08</v>
      </c>
      <c r="I157" s="44">
        <f t="shared" si="61"/>
        <v>1.08</v>
      </c>
      <c r="J157" s="44">
        <f t="shared" si="61"/>
        <v>1.08</v>
      </c>
      <c r="K157" s="44">
        <f t="shared" si="61"/>
        <v>1.08</v>
      </c>
      <c r="L157" s="44">
        <f t="shared" si="61"/>
        <v>1.08</v>
      </c>
      <c r="M157" s="44">
        <f t="shared" si="61"/>
        <v>1.08</v>
      </c>
      <c r="N157" s="44">
        <f t="shared" si="61"/>
        <v>1.08</v>
      </c>
      <c r="O157" s="44">
        <f t="shared" si="61"/>
        <v>1.08</v>
      </c>
      <c r="P157" s="44">
        <f t="shared" si="61"/>
        <v>1.08</v>
      </c>
      <c r="Q157" s="44">
        <f t="shared" si="61"/>
        <v>1.08</v>
      </c>
      <c r="R157" s="44">
        <f t="shared" si="61"/>
        <v>1.08</v>
      </c>
      <c r="S157" s="44">
        <f t="shared" si="61"/>
        <v>1.08</v>
      </c>
      <c r="T157" s="44">
        <f t="shared" si="62"/>
        <v>1.08</v>
      </c>
      <c r="U157" s="44">
        <f t="shared" si="62"/>
        <v>1.08</v>
      </c>
      <c r="V157" s="44">
        <f t="shared" si="62"/>
        <v>1.08</v>
      </c>
      <c r="W157" s="44">
        <f t="shared" si="62"/>
        <v>1.08</v>
      </c>
      <c r="X157" s="44">
        <f t="shared" si="62"/>
        <v>1.08</v>
      </c>
      <c r="Y157" s="44">
        <f t="shared" si="62"/>
        <v>1.08</v>
      </c>
      <c r="Z157" s="44">
        <f t="shared" si="62"/>
        <v>1.08</v>
      </c>
      <c r="AA157" s="44">
        <f t="shared" si="62"/>
        <v>1.08</v>
      </c>
      <c r="AB157" s="44">
        <f t="shared" si="62"/>
        <v>1.08</v>
      </c>
      <c r="AC157" s="44">
        <f t="shared" si="62"/>
        <v>1.08</v>
      </c>
      <c r="AD157" s="44">
        <f t="shared" si="62"/>
        <v>1.08</v>
      </c>
      <c r="AE157" s="44">
        <f t="shared" si="62"/>
        <v>1.08</v>
      </c>
      <c r="AF157" s="44">
        <f t="shared" si="62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0"/>
        <v>2.37</v>
      </c>
      <c r="C158" s="55">
        <v>2.37</v>
      </c>
      <c r="D158" s="44">
        <f t="shared" si="61"/>
        <v>2.37</v>
      </c>
      <c r="E158" s="44">
        <f t="shared" si="61"/>
        <v>2.37</v>
      </c>
      <c r="F158" s="44">
        <f t="shared" si="61"/>
        <v>2.37</v>
      </c>
      <c r="G158" s="44">
        <f t="shared" si="61"/>
        <v>2.37</v>
      </c>
      <c r="H158" s="44">
        <f t="shared" si="61"/>
        <v>2.37</v>
      </c>
      <c r="I158" s="44">
        <f t="shared" si="61"/>
        <v>2.37</v>
      </c>
      <c r="J158" s="44">
        <f t="shared" si="61"/>
        <v>2.37</v>
      </c>
      <c r="K158" s="44">
        <f t="shared" si="61"/>
        <v>2.37</v>
      </c>
      <c r="L158" s="44">
        <f t="shared" si="61"/>
        <v>2.37</v>
      </c>
      <c r="M158" s="44">
        <f t="shared" si="61"/>
        <v>2.37</v>
      </c>
      <c r="N158" s="44">
        <f t="shared" si="61"/>
        <v>2.37</v>
      </c>
      <c r="O158" s="44">
        <f t="shared" si="61"/>
        <v>2.37</v>
      </c>
      <c r="P158" s="44">
        <f t="shared" si="61"/>
        <v>2.37</v>
      </c>
      <c r="Q158" s="44">
        <f t="shared" si="61"/>
        <v>2.37</v>
      </c>
      <c r="R158" s="44">
        <f t="shared" si="61"/>
        <v>2.37</v>
      </c>
      <c r="S158" s="44">
        <f t="shared" si="61"/>
        <v>2.37</v>
      </c>
      <c r="T158" s="44">
        <f t="shared" si="62"/>
        <v>2.37</v>
      </c>
      <c r="U158" s="44">
        <f t="shared" si="62"/>
        <v>2.37</v>
      </c>
      <c r="V158" s="44">
        <f t="shared" si="62"/>
        <v>2.37</v>
      </c>
      <c r="W158" s="44">
        <f t="shared" si="62"/>
        <v>2.37</v>
      </c>
      <c r="X158" s="44">
        <f t="shared" si="62"/>
        <v>2.37</v>
      </c>
      <c r="Y158" s="44">
        <f t="shared" si="62"/>
        <v>2.37</v>
      </c>
      <c r="Z158" s="44">
        <f t="shared" si="62"/>
        <v>2.37</v>
      </c>
      <c r="AA158" s="44">
        <f t="shared" si="62"/>
        <v>2.37</v>
      </c>
      <c r="AB158" s="44">
        <f t="shared" si="62"/>
        <v>2.37</v>
      </c>
      <c r="AC158" s="44">
        <f t="shared" si="62"/>
        <v>2.37</v>
      </c>
      <c r="AD158" s="44">
        <f t="shared" si="62"/>
        <v>2.37</v>
      </c>
      <c r="AE158" s="44">
        <f t="shared" si="62"/>
        <v>2.37</v>
      </c>
      <c r="AF158" s="44">
        <f t="shared" si="62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0"/>
        <v>1.81</v>
      </c>
      <c r="C159" s="55">
        <v>1.81</v>
      </c>
      <c r="D159" s="44">
        <f t="shared" si="61"/>
        <v>1.81</v>
      </c>
      <c r="E159" s="44">
        <f t="shared" si="61"/>
        <v>1.81</v>
      </c>
      <c r="F159" s="44">
        <f t="shared" si="61"/>
        <v>1.81</v>
      </c>
      <c r="G159" s="44">
        <f t="shared" si="61"/>
        <v>1.81</v>
      </c>
      <c r="H159" s="44">
        <f t="shared" si="61"/>
        <v>1.81</v>
      </c>
      <c r="I159" s="44">
        <f t="shared" si="61"/>
        <v>1.81</v>
      </c>
      <c r="J159" s="44">
        <f t="shared" si="61"/>
        <v>1.81</v>
      </c>
      <c r="K159" s="44">
        <f t="shared" si="61"/>
        <v>1.81</v>
      </c>
      <c r="L159" s="44">
        <f t="shared" si="61"/>
        <v>1.81</v>
      </c>
      <c r="M159" s="44">
        <f t="shared" si="61"/>
        <v>1.81</v>
      </c>
      <c r="N159" s="44">
        <f t="shared" si="61"/>
        <v>1.81</v>
      </c>
      <c r="O159" s="44">
        <f t="shared" si="61"/>
        <v>1.81</v>
      </c>
      <c r="P159" s="44">
        <f t="shared" si="61"/>
        <v>1.81</v>
      </c>
      <c r="Q159" s="44">
        <f t="shared" si="61"/>
        <v>1.81</v>
      </c>
      <c r="R159" s="44">
        <f t="shared" si="61"/>
        <v>1.81</v>
      </c>
      <c r="S159" s="44">
        <f t="shared" si="61"/>
        <v>1.81</v>
      </c>
      <c r="T159" s="44">
        <f t="shared" si="62"/>
        <v>1.81</v>
      </c>
      <c r="U159" s="44">
        <f t="shared" si="62"/>
        <v>1.81</v>
      </c>
      <c r="V159" s="44">
        <f t="shared" si="62"/>
        <v>1.81</v>
      </c>
      <c r="W159" s="44">
        <f t="shared" si="62"/>
        <v>1.81</v>
      </c>
      <c r="X159" s="44">
        <f t="shared" si="62"/>
        <v>1.81</v>
      </c>
      <c r="Y159" s="44">
        <f t="shared" si="62"/>
        <v>1.81</v>
      </c>
      <c r="Z159" s="44">
        <f t="shared" si="62"/>
        <v>1.81</v>
      </c>
      <c r="AA159" s="44">
        <f t="shared" si="62"/>
        <v>1.81</v>
      </c>
      <c r="AB159" s="44">
        <f t="shared" si="62"/>
        <v>1.81</v>
      </c>
      <c r="AC159" s="44">
        <f t="shared" si="62"/>
        <v>1.81</v>
      </c>
      <c r="AD159" s="44">
        <f t="shared" si="62"/>
        <v>1.81</v>
      </c>
      <c r="AE159" s="44">
        <f t="shared" si="62"/>
        <v>1.81</v>
      </c>
      <c r="AF159" s="44">
        <f t="shared" si="6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0"/>
        <v>1.0900000000000001</v>
      </c>
      <c r="C160" s="55">
        <v>1.0900000000000001</v>
      </c>
      <c r="D160" s="44">
        <f t="shared" si="61"/>
        <v>1.0900000000000001</v>
      </c>
      <c r="E160" s="44">
        <f t="shared" si="61"/>
        <v>1.0900000000000001</v>
      </c>
      <c r="F160" s="44">
        <f t="shared" si="61"/>
        <v>1.0900000000000001</v>
      </c>
      <c r="G160" s="44">
        <f t="shared" si="61"/>
        <v>1.0900000000000001</v>
      </c>
      <c r="H160" s="44">
        <f t="shared" si="61"/>
        <v>1.0900000000000001</v>
      </c>
      <c r="I160" s="44">
        <f t="shared" si="61"/>
        <v>1.0900000000000001</v>
      </c>
      <c r="J160" s="44">
        <f t="shared" si="61"/>
        <v>1.0900000000000001</v>
      </c>
      <c r="K160" s="44">
        <f t="shared" si="61"/>
        <v>1.0900000000000001</v>
      </c>
      <c r="L160" s="44">
        <f t="shared" si="61"/>
        <v>1.0900000000000001</v>
      </c>
      <c r="M160" s="44">
        <f t="shared" si="61"/>
        <v>1.0900000000000001</v>
      </c>
      <c r="N160" s="44">
        <f t="shared" si="61"/>
        <v>1.0900000000000001</v>
      </c>
      <c r="O160" s="44">
        <f t="shared" si="61"/>
        <v>1.0900000000000001</v>
      </c>
      <c r="P160" s="44">
        <f t="shared" si="61"/>
        <v>1.0900000000000001</v>
      </c>
      <c r="Q160" s="44">
        <f t="shared" si="61"/>
        <v>1.0900000000000001</v>
      </c>
      <c r="R160" s="44">
        <f t="shared" si="61"/>
        <v>1.0900000000000001</v>
      </c>
      <c r="S160" s="44">
        <f t="shared" si="61"/>
        <v>1.0900000000000001</v>
      </c>
      <c r="T160" s="44">
        <f t="shared" si="62"/>
        <v>1.0900000000000001</v>
      </c>
      <c r="U160" s="44">
        <f t="shared" si="62"/>
        <v>1.0900000000000001</v>
      </c>
      <c r="V160" s="44">
        <f t="shared" si="62"/>
        <v>1.0900000000000001</v>
      </c>
      <c r="W160" s="44">
        <f t="shared" si="62"/>
        <v>1.0900000000000001</v>
      </c>
      <c r="X160" s="44">
        <f t="shared" si="62"/>
        <v>1.0900000000000001</v>
      </c>
      <c r="Y160" s="44">
        <f t="shared" si="62"/>
        <v>1.0900000000000001</v>
      </c>
      <c r="Z160" s="44">
        <f t="shared" si="62"/>
        <v>1.0900000000000001</v>
      </c>
      <c r="AA160" s="44">
        <f t="shared" si="62"/>
        <v>1.0900000000000001</v>
      </c>
      <c r="AB160" s="44">
        <f t="shared" si="62"/>
        <v>1.0900000000000001</v>
      </c>
      <c r="AC160" s="44">
        <f t="shared" si="62"/>
        <v>1.0900000000000001</v>
      </c>
      <c r="AD160" s="44">
        <f t="shared" si="62"/>
        <v>1.0900000000000001</v>
      </c>
      <c r="AE160" s="44">
        <f t="shared" si="62"/>
        <v>1.0900000000000001</v>
      </c>
      <c r="AF160" s="44">
        <f t="shared" si="62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0"/>
        <v>1.58</v>
      </c>
      <c r="C161" s="55">
        <v>1.58</v>
      </c>
      <c r="D161" s="44">
        <f t="shared" si="61"/>
        <v>1.58</v>
      </c>
      <c r="E161" s="44">
        <f t="shared" si="61"/>
        <v>1.58</v>
      </c>
      <c r="F161" s="44">
        <f t="shared" si="61"/>
        <v>1.58</v>
      </c>
      <c r="G161" s="44">
        <f t="shared" si="61"/>
        <v>1.58</v>
      </c>
      <c r="H161" s="44">
        <f t="shared" si="61"/>
        <v>1.58</v>
      </c>
      <c r="I161" s="44">
        <f t="shared" si="61"/>
        <v>1.58</v>
      </c>
      <c r="J161" s="44">
        <f t="shared" si="61"/>
        <v>1.58</v>
      </c>
      <c r="K161" s="44">
        <f t="shared" si="61"/>
        <v>1.58</v>
      </c>
      <c r="L161" s="44">
        <f t="shared" si="61"/>
        <v>1.58</v>
      </c>
      <c r="M161" s="44">
        <f t="shared" si="61"/>
        <v>1.58</v>
      </c>
      <c r="N161" s="44">
        <f t="shared" si="61"/>
        <v>1.58</v>
      </c>
      <c r="O161" s="44">
        <f t="shared" si="61"/>
        <v>1.58</v>
      </c>
      <c r="P161" s="44">
        <f t="shared" si="61"/>
        <v>1.58</v>
      </c>
      <c r="Q161" s="44">
        <f t="shared" si="61"/>
        <v>1.58</v>
      </c>
      <c r="R161" s="44">
        <f t="shared" si="61"/>
        <v>1.58</v>
      </c>
      <c r="S161" s="44">
        <f t="shared" si="61"/>
        <v>1.58</v>
      </c>
      <c r="T161" s="44">
        <f t="shared" si="62"/>
        <v>1.58</v>
      </c>
      <c r="U161" s="44">
        <f t="shared" si="62"/>
        <v>1.58</v>
      </c>
      <c r="V161" s="44">
        <f t="shared" si="62"/>
        <v>1.58</v>
      </c>
      <c r="W161" s="44">
        <f t="shared" si="62"/>
        <v>1.58</v>
      </c>
      <c r="X161" s="44">
        <f t="shared" si="62"/>
        <v>1.58</v>
      </c>
      <c r="Y161" s="44">
        <f t="shared" si="62"/>
        <v>1.58</v>
      </c>
      <c r="Z161" s="44">
        <f t="shared" si="62"/>
        <v>1.58</v>
      </c>
      <c r="AA161" s="44">
        <f t="shared" si="62"/>
        <v>1.58</v>
      </c>
      <c r="AB161" s="44">
        <f t="shared" si="62"/>
        <v>1.58</v>
      </c>
      <c r="AC161" s="44">
        <f t="shared" si="62"/>
        <v>1.58</v>
      </c>
      <c r="AD161" s="44">
        <f t="shared" si="62"/>
        <v>1.58</v>
      </c>
      <c r="AE161" s="44">
        <f t="shared" si="62"/>
        <v>1.58</v>
      </c>
      <c r="AF161" s="44">
        <f t="shared" si="62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0"/>
        <v>2</v>
      </c>
      <c r="C162" s="55">
        <v>2</v>
      </c>
      <c r="D162" s="44">
        <f t="shared" si="61"/>
        <v>2</v>
      </c>
      <c r="E162" s="44">
        <f t="shared" si="61"/>
        <v>2</v>
      </c>
      <c r="F162" s="44">
        <f t="shared" si="61"/>
        <v>2</v>
      </c>
      <c r="G162" s="44">
        <f t="shared" si="61"/>
        <v>2</v>
      </c>
      <c r="H162" s="44">
        <f t="shared" si="61"/>
        <v>2</v>
      </c>
      <c r="I162" s="44">
        <f t="shared" si="61"/>
        <v>2</v>
      </c>
      <c r="J162" s="44">
        <f t="shared" si="61"/>
        <v>2</v>
      </c>
      <c r="K162" s="44">
        <f t="shared" si="61"/>
        <v>2</v>
      </c>
      <c r="L162" s="44">
        <f t="shared" si="61"/>
        <v>2</v>
      </c>
      <c r="M162" s="44">
        <f t="shared" si="61"/>
        <v>2</v>
      </c>
      <c r="N162" s="44">
        <f t="shared" si="61"/>
        <v>2</v>
      </c>
      <c r="O162" s="44">
        <f t="shared" si="61"/>
        <v>2</v>
      </c>
      <c r="P162" s="44">
        <f t="shared" si="61"/>
        <v>2</v>
      </c>
      <c r="Q162" s="44">
        <f t="shared" si="61"/>
        <v>2</v>
      </c>
      <c r="R162" s="44">
        <f t="shared" si="61"/>
        <v>2</v>
      </c>
      <c r="S162" s="44">
        <f t="shared" si="61"/>
        <v>2</v>
      </c>
      <c r="T162" s="44">
        <f t="shared" si="62"/>
        <v>2</v>
      </c>
      <c r="U162" s="44">
        <f t="shared" si="62"/>
        <v>2</v>
      </c>
      <c r="V162" s="44">
        <f t="shared" si="62"/>
        <v>2</v>
      </c>
      <c r="W162" s="44">
        <f t="shared" si="62"/>
        <v>2</v>
      </c>
      <c r="X162" s="44">
        <f t="shared" si="62"/>
        <v>2</v>
      </c>
      <c r="Y162" s="44">
        <f t="shared" si="62"/>
        <v>2</v>
      </c>
      <c r="Z162" s="44">
        <f t="shared" si="62"/>
        <v>2</v>
      </c>
      <c r="AA162" s="44">
        <f t="shared" si="62"/>
        <v>2</v>
      </c>
      <c r="AB162" s="44">
        <f t="shared" si="62"/>
        <v>2</v>
      </c>
      <c r="AC162" s="44">
        <f t="shared" si="62"/>
        <v>2</v>
      </c>
      <c r="AD162" s="44">
        <f t="shared" si="62"/>
        <v>2</v>
      </c>
      <c r="AE162" s="44">
        <f t="shared" si="62"/>
        <v>2</v>
      </c>
      <c r="AF162" s="44">
        <f t="shared" si="62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0"/>
        <v>0.47</v>
      </c>
      <c r="C163" s="55">
        <v>0.47</v>
      </c>
      <c r="D163" s="44">
        <f t="shared" si="61"/>
        <v>0.47</v>
      </c>
      <c r="E163" s="44">
        <f t="shared" si="61"/>
        <v>0.47</v>
      </c>
      <c r="F163" s="44">
        <f t="shared" si="61"/>
        <v>0.47</v>
      </c>
      <c r="G163" s="44">
        <f t="shared" si="61"/>
        <v>0.47</v>
      </c>
      <c r="H163" s="44">
        <f t="shared" si="61"/>
        <v>0.47</v>
      </c>
      <c r="I163" s="44">
        <f t="shared" si="61"/>
        <v>0.47</v>
      </c>
      <c r="J163" s="44">
        <f t="shared" si="61"/>
        <v>0.47</v>
      </c>
      <c r="K163" s="44">
        <f t="shared" si="61"/>
        <v>0.47</v>
      </c>
      <c r="L163" s="44">
        <f t="shared" si="61"/>
        <v>0.47</v>
      </c>
      <c r="M163" s="44">
        <f t="shared" si="61"/>
        <v>0.47</v>
      </c>
      <c r="N163" s="44">
        <f t="shared" si="61"/>
        <v>0.47</v>
      </c>
      <c r="O163" s="44">
        <f t="shared" si="61"/>
        <v>0.47</v>
      </c>
      <c r="P163" s="44">
        <f t="shared" si="61"/>
        <v>0.47</v>
      </c>
      <c r="Q163" s="44">
        <f t="shared" si="61"/>
        <v>0.47</v>
      </c>
      <c r="R163" s="44">
        <f t="shared" si="61"/>
        <v>0.47</v>
      </c>
      <c r="S163" s="44">
        <f t="shared" si="61"/>
        <v>0.47</v>
      </c>
      <c r="T163" s="44">
        <f t="shared" si="62"/>
        <v>0.47</v>
      </c>
      <c r="U163" s="44">
        <f t="shared" si="62"/>
        <v>0.47</v>
      </c>
      <c r="V163" s="44">
        <f t="shared" si="62"/>
        <v>0.47</v>
      </c>
      <c r="W163" s="44">
        <f t="shared" si="62"/>
        <v>0.47</v>
      </c>
      <c r="X163" s="44">
        <f t="shared" si="62"/>
        <v>0.47</v>
      </c>
      <c r="Y163" s="44">
        <f t="shared" si="62"/>
        <v>0.47</v>
      </c>
      <c r="Z163" s="44">
        <f t="shared" si="62"/>
        <v>0.47</v>
      </c>
      <c r="AA163" s="44">
        <f t="shared" si="62"/>
        <v>0.47</v>
      </c>
      <c r="AB163" s="44">
        <f t="shared" si="62"/>
        <v>0.47</v>
      </c>
      <c r="AC163" s="44">
        <f t="shared" si="62"/>
        <v>0.47</v>
      </c>
      <c r="AD163" s="44">
        <f t="shared" si="62"/>
        <v>0.47</v>
      </c>
      <c r="AE163" s="44">
        <f t="shared" si="62"/>
        <v>0.47</v>
      </c>
      <c r="AF163" s="44">
        <f t="shared" si="62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0"/>
        <v>0</v>
      </c>
      <c r="C164" s="55">
        <v>0</v>
      </c>
      <c r="D164" s="44">
        <f t="shared" si="61"/>
        <v>0</v>
      </c>
      <c r="E164" s="44">
        <f t="shared" si="61"/>
        <v>0</v>
      </c>
      <c r="F164" s="44">
        <f t="shared" si="61"/>
        <v>0</v>
      </c>
      <c r="G164" s="44">
        <f t="shared" si="61"/>
        <v>0</v>
      </c>
      <c r="H164" s="44">
        <f t="shared" si="61"/>
        <v>0</v>
      </c>
      <c r="I164" s="44">
        <f t="shared" si="61"/>
        <v>0</v>
      </c>
      <c r="J164" s="44">
        <f t="shared" si="61"/>
        <v>0</v>
      </c>
      <c r="K164" s="44">
        <f t="shared" si="61"/>
        <v>0</v>
      </c>
      <c r="L164" s="44">
        <f t="shared" si="61"/>
        <v>0</v>
      </c>
      <c r="M164" s="44">
        <f t="shared" si="61"/>
        <v>0</v>
      </c>
      <c r="N164" s="44">
        <f t="shared" si="61"/>
        <v>0</v>
      </c>
      <c r="O164" s="44">
        <f t="shared" si="61"/>
        <v>0</v>
      </c>
      <c r="P164" s="44">
        <f t="shared" si="61"/>
        <v>0</v>
      </c>
      <c r="Q164" s="44">
        <f t="shared" si="61"/>
        <v>0</v>
      </c>
      <c r="R164" s="44">
        <f t="shared" si="61"/>
        <v>0</v>
      </c>
      <c r="S164" s="44">
        <f t="shared" si="61"/>
        <v>0</v>
      </c>
      <c r="T164" s="44">
        <f t="shared" si="62"/>
        <v>0</v>
      </c>
      <c r="U164" s="44">
        <f t="shared" si="62"/>
        <v>0</v>
      </c>
      <c r="V164" s="44">
        <f t="shared" si="62"/>
        <v>0</v>
      </c>
      <c r="W164" s="44">
        <f t="shared" si="62"/>
        <v>0</v>
      </c>
      <c r="X164" s="44">
        <f t="shared" si="62"/>
        <v>0</v>
      </c>
      <c r="Y164" s="44">
        <f t="shared" si="62"/>
        <v>0</v>
      </c>
      <c r="Z164" s="44">
        <f t="shared" si="62"/>
        <v>0</v>
      </c>
      <c r="AA164" s="44">
        <f t="shared" si="62"/>
        <v>0</v>
      </c>
      <c r="AB164" s="44">
        <f t="shared" si="62"/>
        <v>0</v>
      </c>
      <c r="AC164" s="44">
        <f t="shared" si="62"/>
        <v>0</v>
      </c>
      <c r="AD164" s="44">
        <f t="shared" si="62"/>
        <v>0</v>
      </c>
      <c r="AE164" s="44">
        <f t="shared" si="62"/>
        <v>0</v>
      </c>
      <c r="AF164" s="44">
        <f t="shared" si="62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0"/>
        <v>0</v>
      </c>
      <c r="C165" s="55">
        <v>0</v>
      </c>
      <c r="D165" s="44">
        <f t="shared" si="61"/>
        <v>0</v>
      </c>
      <c r="E165" s="44">
        <f t="shared" si="61"/>
        <v>0</v>
      </c>
      <c r="F165" s="44">
        <f t="shared" si="61"/>
        <v>0</v>
      </c>
      <c r="G165" s="44">
        <f t="shared" si="61"/>
        <v>0</v>
      </c>
      <c r="H165" s="44">
        <f t="shared" si="61"/>
        <v>0</v>
      </c>
      <c r="I165" s="44">
        <f t="shared" si="61"/>
        <v>0</v>
      </c>
      <c r="J165" s="44">
        <f t="shared" si="61"/>
        <v>0</v>
      </c>
      <c r="K165" s="44">
        <f t="shared" si="61"/>
        <v>0</v>
      </c>
      <c r="L165" s="44">
        <f t="shared" si="61"/>
        <v>0</v>
      </c>
      <c r="M165" s="44">
        <f t="shared" si="61"/>
        <v>0</v>
      </c>
      <c r="N165" s="44">
        <f t="shared" si="61"/>
        <v>0</v>
      </c>
      <c r="O165" s="44">
        <f t="shared" si="61"/>
        <v>0</v>
      </c>
      <c r="P165" s="44">
        <f t="shared" si="61"/>
        <v>0</v>
      </c>
      <c r="Q165" s="44">
        <f t="shared" si="61"/>
        <v>0</v>
      </c>
      <c r="R165" s="44">
        <f t="shared" si="61"/>
        <v>0</v>
      </c>
      <c r="S165" s="44">
        <f t="shared" si="62"/>
        <v>0</v>
      </c>
      <c r="T165" s="44">
        <f t="shared" si="62"/>
        <v>0</v>
      </c>
      <c r="U165" s="44">
        <f t="shared" si="62"/>
        <v>0</v>
      </c>
      <c r="V165" s="44">
        <f t="shared" si="62"/>
        <v>0</v>
      </c>
      <c r="W165" s="44">
        <f t="shared" si="62"/>
        <v>0</v>
      </c>
      <c r="X165" s="44">
        <f t="shared" si="62"/>
        <v>0</v>
      </c>
      <c r="Y165" s="44">
        <f t="shared" si="62"/>
        <v>0</v>
      </c>
      <c r="Z165" s="44">
        <f t="shared" si="62"/>
        <v>0</v>
      </c>
      <c r="AA165" s="44">
        <f t="shared" si="62"/>
        <v>0</v>
      </c>
      <c r="AB165" s="44">
        <f t="shared" si="62"/>
        <v>0</v>
      </c>
      <c r="AC165" s="44">
        <f t="shared" si="62"/>
        <v>0</v>
      </c>
      <c r="AD165" s="44">
        <f t="shared" si="62"/>
        <v>0</v>
      </c>
      <c r="AE165" s="44">
        <f t="shared" si="62"/>
        <v>0</v>
      </c>
      <c r="AF165" s="44">
        <f t="shared" si="62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0"/>
        <v>0.8</v>
      </c>
      <c r="C166" s="55">
        <v>0.8</v>
      </c>
      <c r="D166" s="44">
        <f t="shared" si="61"/>
        <v>0.8</v>
      </c>
      <c r="E166" s="44">
        <f t="shared" si="61"/>
        <v>0.8</v>
      </c>
      <c r="F166" s="44">
        <f t="shared" si="61"/>
        <v>0.8</v>
      </c>
      <c r="G166" s="44">
        <f t="shared" si="61"/>
        <v>0.8</v>
      </c>
      <c r="H166" s="44">
        <f t="shared" si="61"/>
        <v>0.8</v>
      </c>
      <c r="I166" s="44">
        <f t="shared" si="61"/>
        <v>0.8</v>
      </c>
      <c r="J166" s="44">
        <f t="shared" si="61"/>
        <v>0.8</v>
      </c>
      <c r="K166" s="44">
        <f t="shared" si="61"/>
        <v>0.8</v>
      </c>
      <c r="L166" s="44">
        <f t="shared" si="61"/>
        <v>0.8</v>
      </c>
      <c r="M166" s="44">
        <f t="shared" si="61"/>
        <v>0.8</v>
      </c>
      <c r="N166" s="44">
        <f t="shared" si="61"/>
        <v>0.8</v>
      </c>
      <c r="O166" s="44">
        <f t="shared" si="61"/>
        <v>0.8</v>
      </c>
      <c r="P166" s="44">
        <f t="shared" si="61"/>
        <v>0.8</v>
      </c>
      <c r="Q166" s="44">
        <f t="shared" si="61"/>
        <v>0.8</v>
      </c>
      <c r="R166" s="44">
        <f t="shared" si="61"/>
        <v>0.8</v>
      </c>
      <c r="S166" s="44">
        <f t="shared" si="62"/>
        <v>0.8</v>
      </c>
      <c r="T166" s="44">
        <f t="shared" si="62"/>
        <v>0.8</v>
      </c>
      <c r="U166" s="44">
        <f t="shared" si="62"/>
        <v>0.8</v>
      </c>
      <c r="V166" s="44">
        <f t="shared" si="62"/>
        <v>0.8</v>
      </c>
      <c r="W166" s="44">
        <f t="shared" si="62"/>
        <v>0.8</v>
      </c>
      <c r="X166" s="44">
        <f t="shared" si="62"/>
        <v>0.8</v>
      </c>
      <c r="Y166" s="44">
        <f t="shared" si="62"/>
        <v>0.8</v>
      </c>
      <c r="Z166" s="44">
        <f t="shared" si="62"/>
        <v>0.8</v>
      </c>
      <c r="AA166" s="44">
        <f t="shared" si="62"/>
        <v>0.8</v>
      </c>
      <c r="AB166" s="44">
        <f t="shared" si="62"/>
        <v>0.8</v>
      </c>
      <c r="AC166" s="44">
        <f t="shared" si="62"/>
        <v>0.8</v>
      </c>
      <c r="AD166" s="44">
        <f t="shared" si="62"/>
        <v>0.8</v>
      </c>
      <c r="AE166" s="44">
        <f t="shared" si="62"/>
        <v>0.8</v>
      </c>
      <c r="AF166" s="44">
        <f t="shared" si="62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0"/>
        <v>1.5</v>
      </c>
      <c r="C167" s="55">
        <v>1.5</v>
      </c>
      <c r="D167" s="44">
        <f t="shared" si="61"/>
        <v>1.5</v>
      </c>
      <c r="E167" s="44">
        <f t="shared" si="61"/>
        <v>1.5</v>
      </c>
      <c r="F167" s="44">
        <f t="shared" si="61"/>
        <v>1.5</v>
      </c>
      <c r="G167" s="44">
        <f t="shared" si="61"/>
        <v>1.5</v>
      </c>
      <c r="H167" s="44">
        <f t="shared" si="61"/>
        <v>1.5</v>
      </c>
      <c r="I167" s="44">
        <f t="shared" si="61"/>
        <v>1.5</v>
      </c>
      <c r="J167" s="44">
        <f t="shared" si="61"/>
        <v>1.5</v>
      </c>
      <c r="K167" s="44">
        <f t="shared" si="61"/>
        <v>1.5</v>
      </c>
      <c r="L167" s="44">
        <f t="shared" si="61"/>
        <v>1.5</v>
      </c>
      <c r="M167" s="44">
        <f t="shared" si="61"/>
        <v>1.5</v>
      </c>
      <c r="N167" s="44">
        <f t="shared" si="61"/>
        <v>1.5</v>
      </c>
      <c r="O167" s="44">
        <f t="shared" si="61"/>
        <v>1.5</v>
      </c>
      <c r="P167" s="44">
        <f t="shared" si="61"/>
        <v>1.5</v>
      </c>
      <c r="Q167" s="44">
        <f t="shared" si="61"/>
        <v>1.5</v>
      </c>
      <c r="R167" s="44">
        <f t="shared" si="61"/>
        <v>1.5</v>
      </c>
      <c r="S167" s="44">
        <f t="shared" si="62"/>
        <v>1.5</v>
      </c>
      <c r="T167" s="44">
        <f t="shared" si="62"/>
        <v>1.5</v>
      </c>
      <c r="U167" s="44">
        <f t="shared" si="62"/>
        <v>1.5</v>
      </c>
      <c r="V167" s="44">
        <f t="shared" si="62"/>
        <v>1.5</v>
      </c>
      <c r="W167" s="44">
        <f t="shared" si="62"/>
        <v>1.5</v>
      </c>
      <c r="X167" s="44">
        <f t="shared" si="62"/>
        <v>1.5</v>
      </c>
      <c r="Y167" s="44">
        <f t="shared" si="62"/>
        <v>1.5</v>
      </c>
      <c r="Z167" s="44">
        <f t="shared" si="62"/>
        <v>1.5</v>
      </c>
      <c r="AA167" s="44">
        <f t="shared" si="62"/>
        <v>1.5</v>
      </c>
      <c r="AB167" s="44">
        <f t="shared" si="62"/>
        <v>1.5</v>
      </c>
      <c r="AC167" s="44">
        <f t="shared" si="62"/>
        <v>1.5</v>
      </c>
      <c r="AD167" s="44">
        <f t="shared" si="62"/>
        <v>1.5</v>
      </c>
      <c r="AE167" s="44">
        <f t="shared" si="62"/>
        <v>1.5</v>
      </c>
      <c r="AF167" s="44">
        <f t="shared" si="62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0"/>
        <v>1</v>
      </c>
      <c r="C168" s="55">
        <v>1</v>
      </c>
      <c r="D168" s="44">
        <f t="shared" si="61"/>
        <v>1</v>
      </c>
      <c r="E168" s="44">
        <f t="shared" si="61"/>
        <v>1</v>
      </c>
      <c r="F168" s="44">
        <f t="shared" si="61"/>
        <v>1</v>
      </c>
      <c r="G168" s="44">
        <f t="shared" si="61"/>
        <v>1</v>
      </c>
      <c r="H168" s="44">
        <f t="shared" si="61"/>
        <v>1</v>
      </c>
      <c r="I168" s="44">
        <f t="shared" si="61"/>
        <v>1</v>
      </c>
      <c r="J168" s="44">
        <f t="shared" si="61"/>
        <v>1</v>
      </c>
      <c r="K168" s="44">
        <f t="shared" si="61"/>
        <v>1</v>
      </c>
      <c r="L168" s="44">
        <f t="shared" si="61"/>
        <v>1</v>
      </c>
      <c r="M168" s="44">
        <f t="shared" si="61"/>
        <v>1</v>
      </c>
      <c r="N168" s="44">
        <f t="shared" si="61"/>
        <v>1</v>
      </c>
      <c r="O168" s="44">
        <f t="shared" si="61"/>
        <v>1</v>
      </c>
      <c r="P168" s="44">
        <f t="shared" si="61"/>
        <v>1</v>
      </c>
      <c r="Q168" s="44">
        <f t="shared" si="61"/>
        <v>1</v>
      </c>
      <c r="R168" s="44">
        <f t="shared" si="61"/>
        <v>1</v>
      </c>
      <c r="S168" s="44">
        <f t="shared" si="62"/>
        <v>1</v>
      </c>
      <c r="T168" s="44">
        <f t="shared" si="62"/>
        <v>1</v>
      </c>
      <c r="U168" s="44">
        <f t="shared" si="62"/>
        <v>1</v>
      </c>
      <c r="V168" s="44">
        <f t="shared" si="62"/>
        <v>1</v>
      </c>
      <c r="W168" s="44">
        <f t="shared" si="62"/>
        <v>1</v>
      </c>
      <c r="X168" s="44">
        <f t="shared" si="62"/>
        <v>1</v>
      </c>
      <c r="Y168" s="44">
        <f t="shared" si="62"/>
        <v>1</v>
      </c>
      <c r="Z168" s="44">
        <f t="shared" si="62"/>
        <v>1</v>
      </c>
      <c r="AA168" s="44">
        <f t="shared" si="62"/>
        <v>1</v>
      </c>
      <c r="AB168" s="44">
        <f t="shared" si="62"/>
        <v>1</v>
      </c>
      <c r="AC168" s="44">
        <f t="shared" si="62"/>
        <v>1</v>
      </c>
      <c r="AD168" s="44">
        <f t="shared" si="62"/>
        <v>1</v>
      </c>
      <c r="AE168" s="44">
        <f t="shared" si="62"/>
        <v>1</v>
      </c>
      <c r="AF168" s="44">
        <f t="shared" si="62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3">AF170</f>
        <v>1</v>
      </c>
      <c r="C170" s="55">
        <v>1</v>
      </c>
      <c r="D170" s="44">
        <f t="shared" ref="D170:S177" si="64">C170</f>
        <v>1</v>
      </c>
      <c r="E170" s="44">
        <f t="shared" si="64"/>
        <v>1</v>
      </c>
      <c r="F170" s="44">
        <f t="shared" si="64"/>
        <v>1</v>
      </c>
      <c r="G170" s="44">
        <f t="shared" si="64"/>
        <v>1</v>
      </c>
      <c r="H170" s="44">
        <f t="shared" si="64"/>
        <v>1</v>
      </c>
      <c r="I170" s="44">
        <f t="shared" si="64"/>
        <v>1</v>
      </c>
      <c r="J170" s="44">
        <f t="shared" si="64"/>
        <v>1</v>
      </c>
      <c r="K170" s="44">
        <f t="shared" si="64"/>
        <v>1</v>
      </c>
      <c r="L170" s="44">
        <f t="shared" si="64"/>
        <v>1</v>
      </c>
      <c r="M170" s="44">
        <f t="shared" si="64"/>
        <v>1</v>
      </c>
      <c r="N170" s="44">
        <f t="shared" si="64"/>
        <v>1</v>
      </c>
      <c r="O170" s="44">
        <f t="shared" si="64"/>
        <v>1</v>
      </c>
      <c r="P170" s="44">
        <f t="shared" si="64"/>
        <v>1</v>
      </c>
      <c r="Q170" s="44">
        <f t="shared" si="64"/>
        <v>1</v>
      </c>
      <c r="R170" s="44">
        <f t="shared" si="64"/>
        <v>1</v>
      </c>
      <c r="S170" s="44">
        <f t="shared" si="64"/>
        <v>1</v>
      </c>
      <c r="T170" s="44">
        <f t="shared" ref="S170:AF177" si="65">S170</f>
        <v>1</v>
      </c>
      <c r="U170" s="44">
        <f t="shared" si="65"/>
        <v>1</v>
      </c>
      <c r="V170" s="44">
        <f t="shared" si="65"/>
        <v>1</v>
      </c>
      <c r="W170" s="44">
        <f t="shared" si="65"/>
        <v>1</v>
      </c>
      <c r="X170" s="44">
        <f t="shared" si="65"/>
        <v>1</v>
      </c>
      <c r="Y170" s="44">
        <f t="shared" si="65"/>
        <v>1</v>
      </c>
      <c r="Z170" s="44">
        <f t="shared" si="65"/>
        <v>1</v>
      </c>
      <c r="AA170" s="44">
        <f t="shared" si="65"/>
        <v>1</v>
      </c>
      <c r="AB170" s="44">
        <f t="shared" si="65"/>
        <v>1</v>
      </c>
      <c r="AC170" s="44">
        <f t="shared" si="65"/>
        <v>1</v>
      </c>
      <c r="AD170" s="44">
        <f t="shared" si="65"/>
        <v>1</v>
      </c>
      <c r="AE170" s="44">
        <f t="shared" si="65"/>
        <v>1</v>
      </c>
      <c r="AF170" s="44">
        <f t="shared" si="65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3"/>
        <v>0.42</v>
      </c>
      <c r="C171" s="55">
        <v>0.42</v>
      </c>
      <c r="D171" s="44">
        <f t="shared" si="64"/>
        <v>0.42</v>
      </c>
      <c r="E171" s="44">
        <f t="shared" si="64"/>
        <v>0.42</v>
      </c>
      <c r="F171" s="44">
        <f t="shared" si="64"/>
        <v>0.42</v>
      </c>
      <c r="G171" s="44">
        <f t="shared" si="64"/>
        <v>0.42</v>
      </c>
      <c r="H171" s="44">
        <f t="shared" si="64"/>
        <v>0.42</v>
      </c>
      <c r="I171" s="44">
        <f t="shared" si="64"/>
        <v>0.42</v>
      </c>
      <c r="J171" s="44">
        <f t="shared" si="64"/>
        <v>0.42</v>
      </c>
      <c r="K171" s="44">
        <f t="shared" si="64"/>
        <v>0.42</v>
      </c>
      <c r="L171" s="44">
        <f t="shared" si="64"/>
        <v>0.42</v>
      </c>
      <c r="M171" s="44">
        <f t="shared" si="64"/>
        <v>0.42</v>
      </c>
      <c r="N171" s="44">
        <f t="shared" si="64"/>
        <v>0.42</v>
      </c>
      <c r="O171" s="44">
        <f t="shared" si="64"/>
        <v>0.42</v>
      </c>
      <c r="P171" s="44">
        <f t="shared" si="64"/>
        <v>0.42</v>
      </c>
      <c r="Q171" s="44">
        <f t="shared" si="64"/>
        <v>0.42</v>
      </c>
      <c r="R171" s="44">
        <f t="shared" si="64"/>
        <v>0.42</v>
      </c>
      <c r="S171" s="44">
        <f t="shared" si="65"/>
        <v>0.42</v>
      </c>
      <c r="T171" s="44">
        <f t="shared" si="65"/>
        <v>0.42</v>
      </c>
      <c r="U171" s="44">
        <f t="shared" si="65"/>
        <v>0.42</v>
      </c>
      <c r="V171" s="44">
        <f t="shared" si="65"/>
        <v>0.42</v>
      </c>
      <c r="W171" s="44">
        <f t="shared" si="65"/>
        <v>0.42</v>
      </c>
      <c r="X171" s="44">
        <f t="shared" si="65"/>
        <v>0.42</v>
      </c>
      <c r="Y171" s="44">
        <f t="shared" si="65"/>
        <v>0.42</v>
      </c>
      <c r="Z171" s="44">
        <f t="shared" si="65"/>
        <v>0.42</v>
      </c>
      <c r="AA171" s="44">
        <f t="shared" si="65"/>
        <v>0.42</v>
      </c>
      <c r="AB171" s="44">
        <f t="shared" si="65"/>
        <v>0.42</v>
      </c>
      <c r="AC171" s="44">
        <f t="shared" si="65"/>
        <v>0.42</v>
      </c>
      <c r="AD171" s="44">
        <f t="shared" si="65"/>
        <v>0.42</v>
      </c>
      <c r="AE171" s="44">
        <f t="shared" si="65"/>
        <v>0.42</v>
      </c>
      <c r="AF171" s="44">
        <f t="shared" si="65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3"/>
        <v>0.46</v>
      </c>
      <c r="C172" s="55">
        <v>0.46</v>
      </c>
      <c r="D172" s="44">
        <f t="shared" si="64"/>
        <v>0.46</v>
      </c>
      <c r="E172" s="44">
        <f t="shared" si="64"/>
        <v>0.46</v>
      </c>
      <c r="F172" s="44">
        <f t="shared" si="64"/>
        <v>0.46</v>
      </c>
      <c r="G172" s="44">
        <f t="shared" si="64"/>
        <v>0.46</v>
      </c>
      <c r="H172" s="44">
        <f t="shared" si="64"/>
        <v>0.46</v>
      </c>
      <c r="I172" s="44">
        <f t="shared" si="64"/>
        <v>0.46</v>
      </c>
      <c r="J172" s="44">
        <f t="shared" si="64"/>
        <v>0.46</v>
      </c>
      <c r="K172" s="44">
        <f t="shared" si="64"/>
        <v>0.46</v>
      </c>
      <c r="L172" s="44">
        <f t="shared" si="64"/>
        <v>0.46</v>
      </c>
      <c r="M172" s="44">
        <f t="shared" si="64"/>
        <v>0.46</v>
      </c>
      <c r="N172" s="44">
        <f t="shared" si="64"/>
        <v>0.46</v>
      </c>
      <c r="O172" s="44">
        <f t="shared" si="64"/>
        <v>0.46</v>
      </c>
      <c r="P172" s="44">
        <f t="shared" si="64"/>
        <v>0.46</v>
      </c>
      <c r="Q172" s="44">
        <f t="shared" si="64"/>
        <v>0.46</v>
      </c>
      <c r="R172" s="44">
        <f t="shared" si="64"/>
        <v>0.46</v>
      </c>
      <c r="S172" s="44">
        <f t="shared" si="65"/>
        <v>0.46</v>
      </c>
      <c r="T172" s="44">
        <f t="shared" si="65"/>
        <v>0.46</v>
      </c>
      <c r="U172" s="44">
        <f t="shared" si="65"/>
        <v>0.46</v>
      </c>
      <c r="V172" s="44">
        <f t="shared" si="65"/>
        <v>0.46</v>
      </c>
      <c r="W172" s="44">
        <f t="shared" si="65"/>
        <v>0.46</v>
      </c>
      <c r="X172" s="44">
        <f t="shared" si="65"/>
        <v>0.46</v>
      </c>
      <c r="Y172" s="44">
        <f t="shared" si="65"/>
        <v>0.46</v>
      </c>
      <c r="Z172" s="44">
        <f t="shared" si="65"/>
        <v>0.46</v>
      </c>
      <c r="AA172" s="44">
        <f t="shared" si="65"/>
        <v>0.46</v>
      </c>
      <c r="AB172" s="44">
        <f t="shared" si="65"/>
        <v>0.46</v>
      </c>
      <c r="AC172" s="44">
        <f t="shared" si="65"/>
        <v>0.46</v>
      </c>
      <c r="AD172" s="44">
        <f t="shared" si="65"/>
        <v>0.46</v>
      </c>
      <c r="AE172" s="44">
        <f t="shared" si="65"/>
        <v>0.46</v>
      </c>
      <c r="AF172" s="44">
        <f t="shared" si="6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3"/>
        <v>0.85</v>
      </c>
      <c r="C173" s="55">
        <v>0.85</v>
      </c>
      <c r="D173" s="44">
        <f t="shared" si="64"/>
        <v>0.85</v>
      </c>
      <c r="E173" s="44">
        <f t="shared" si="64"/>
        <v>0.85</v>
      </c>
      <c r="F173" s="44">
        <f t="shared" si="64"/>
        <v>0.85</v>
      </c>
      <c r="G173" s="44">
        <f t="shared" si="64"/>
        <v>0.85</v>
      </c>
      <c r="H173" s="44">
        <f t="shared" si="64"/>
        <v>0.85</v>
      </c>
      <c r="I173" s="44">
        <f t="shared" si="64"/>
        <v>0.85</v>
      </c>
      <c r="J173" s="44">
        <f t="shared" si="64"/>
        <v>0.85</v>
      </c>
      <c r="K173" s="44">
        <f t="shared" si="64"/>
        <v>0.85</v>
      </c>
      <c r="L173" s="44">
        <f t="shared" si="64"/>
        <v>0.85</v>
      </c>
      <c r="M173" s="44">
        <f t="shared" si="64"/>
        <v>0.85</v>
      </c>
      <c r="N173" s="44">
        <f t="shared" si="64"/>
        <v>0.85</v>
      </c>
      <c r="O173" s="44">
        <f t="shared" si="64"/>
        <v>0.85</v>
      </c>
      <c r="P173" s="44">
        <f t="shared" si="64"/>
        <v>0.85</v>
      </c>
      <c r="Q173" s="44">
        <f t="shared" si="64"/>
        <v>0.85</v>
      </c>
      <c r="R173" s="44">
        <f t="shared" si="64"/>
        <v>0.85</v>
      </c>
      <c r="S173" s="44">
        <f t="shared" si="65"/>
        <v>0.85</v>
      </c>
      <c r="T173" s="44">
        <f t="shared" si="65"/>
        <v>0.85</v>
      </c>
      <c r="U173" s="44">
        <f t="shared" si="65"/>
        <v>0.85</v>
      </c>
      <c r="V173" s="44">
        <f t="shared" si="65"/>
        <v>0.85</v>
      </c>
      <c r="W173" s="44">
        <f t="shared" si="65"/>
        <v>0.85</v>
      </c>
      <c r="X173" s="44">
        <f t="shared" si="65"/>
        <v>0.85</v>
      </c>
      <c r="Y173" s="44">
        <f t="shared" si="65"/>
        <v>0.85</v>
      </c>
      <c r="Z173" s="44">
        <f t="shared" si="65"/>
        <v>0.85</v>
      </c>
      <c r="AA173" s="44">
        <f t="shared" si="65"/>
        <v>0.85</v>
      </c>
      <c r="AB173" s="44">
        <f t="shared" si="65"/>
        <v>0.85</v>
      </c>
      <c r="AC173" s="44">
        <f t="shared" si="65"/>
        <v>0.85</v>
      </c>
      <c r="AD173" s="44">
        <f t="shared" si="65"/>
        <v>0.85</v>
      </c>
      <c r="AE173" s="44">
        <f t="shared" si="65"/>
        <v>0.85</v>
      </c>
      <c r="AF173" s="44">
        <f t="shared" si="65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3"/>
        <v>0.9</v>
      </c>
      <c r="C174" s="55">
        <v>0.9</v>
      </c>
      <c r="D174" s="44">
        <f t="shared" si="64"/>
        <v>0.9</v>
      </c>
      <c r="E174" s="44">
        <f t="shared" si="64"/>
        <v>0.9</v>
      </c>
      <c r="F174" s="44">
        <f t="shared" si="64"/>
        <v>0.9</v>
      </c>
      <c r="G174" s="44">
        <f t="shared" si="64"/>
        <v>0.9</v>
      </c>
      <c r="H174" s="44">
        <f t="shared" si="64"/>
        <v>0.9</v>
      </c>
      <c r="I174" s="44">
        <f t="shared" si="64"/>
        <v>0.9</v>
      </c>
      <c r="J174" s="44">
        <f t="shared" si="64"/>
        <v>0.9</v>
      </c>
      <c r="K174" s="44">
        <f t="shared" si="64"/>
        <v>0.9</v>
      </c>
      <c r="L174" s="44">
        <f t="shared" si="64"/>
        <v>0.9</v>
      </c>
      <c r="M174" s="44">
        <f t="shared" si="64"/>
        <v>0.9</v>
      </c>
      <c r="N174" s="44">
        <f t="shared" si="64"/>
        <v>0.9</v>
      </c>
      <c r="O174" s="44">
        <f t="shared" si="64"/>
        <v>0.9</v>
      </c>
      <c r="P174" s="44">
        <f t="shared" si="64"/>
        <v>0.9</v>
      </c>
      <c r="Q174" s="44">
        <f t="shared" si="64"/>
        <v>0.9</v>
      </c>
      <c r="R174" s="44">
        <f t="shared" si="64"/>
        <v>0.9</v>
      </c>
      <c r="S174" s="44">
        <f t="shared" si="65"/>
        <v>0.9</v>
      </c>
      <c r="T174" s="44">
        <f t="shared" si="65"/>
        <v>0.9</v>
      </c>
      <c r="U174" s="44">
        <f t="shared" si="65"/>
        <v>0.9</v>
      </c>
      <c r="V174" s="44">
        <f t="shared" si="65"/>
        <v>0.9</v>
      </c>
      <c r="W174" s="44">
        <f t="shared" si="65"/>
        <v>0.9</v>
      </c>
      <c r="X174" s="44">
        <f t="shared" si="65"/>
        <v>0.9</v>
      </c>
      <c r="Y174" s="44">
        <f t="shared" si="65"/>
        <v>0.9</v>
      </c>
      <c r="Z174" s="44">
        <f t="shared" si="65"/>
        <v>0.9</v>
      </c>
      <c r="AA174" s="44">
        <f t="shared" si="65"/>
        <v>0.9</v>
      </c>
      <c r="AB174" s="44">
        <f t="shared" si="65"/>
        <v>0.9</v>
      </c>
      <c r="AC174" s="44">
        <f t="shared" si="65"/>
        <v>0.9</v>
      </c>
      <c r="AD174" s="44">
        <f t="shared" si="65"/>
        <v>0.9</v>
      </c>
      <c r="AE174" s="44">
        <f t="shared" si="65"/>
        <v>0.9</v>
      </c>
      <c r="AF174" s="44">
        <f t="shared" si="65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3"/>
        <v>0.44</v>
      </c>
      <c r="C175" s="55">
        <v>0.44</v>
      </c>
      <c r="D175" s="44">
        <f t="shared" si="64"/>
        <v>0.44</v>
      </c>
      <c r="E175" s="44">
        <f t="shared" si="64"/>
        <v>0.44</v>
      </c>
      <c r="F175" s="44">
        <f t="shared" si="64"/>
        <v>0.44</v>
      </c>
      <c r="G175" s="44">
        <f t="shared" si="64"/>
        <v>0.44</v>
      </c>
      <c r="H175" s="44">
        <f t="shared" si="64"/>
        <v>0.44</v>
      </c>
      <c r="I175" s="44">
        <f t="shared" si="64"/>
        <v>0.44</v>
      </c>
      <c r="J175" s="44">
        <f t="shared" si="64"/>
        <v>0.44</v>
      </c>
      <c r="K175" s="44">
        <f t="shared" si="64"/>
        <v>0.44</v>
      </c>
      <c r="L175" s="44">
        <f t="shared" si="64"/>
        <v>0.44</v>
      </c>
      <c r="M175" s="44">
        <f t="shared" si="64"/>
        <v>0.44</v>
      </c>
      <c r="N175" s="44">
        <f t="shared" si="64"/>
        <v>0.44</v>
      </c>
      <c r="O175" s="44">
        <f t="shared" si="64"/>
        <v>0.44</v>
      </c>
      <c r="P175" s="44">
        <f t="shared" si="64"/>
        <v>0.44</v>
      </c>
      <c r="Q175" s="44">
        <f t="shared" si="64"/>
        <v>0.44</v>
      </c>
      <c r="R175" s="44">
        <f t="shared" si="64"/>
        <v>0.44</v>
      </c>
      <c r="S175" s="44">
        <f t="shared" si="65"/>
        <v>0.44</v>
      </c>
      <c r="T175" s="44">
        <f t="shared" si="65"/>
        <v>0.44</v>
      </c>
      <c r="U175" s="44">
        <f t="shared" si="65"/>
        <v>0.44</v>
      </c>
      <c r="V175" s="44">
        <f t="shared" si="65"/>
        <v>0.44</v>
      </c>
      <c r="W175" s="44">
        <f t="shared" si="65"/>
        <v>0.44</v>
      </c>
      <c r="X175" s="44">
        <f t="shared" si="65"/>
        <v>0.44</v>
      </c>
      <c r="Y175" s="44">
        <f t="shared" si="65"/>
        <v>0.44</v>
      </c>
      <c r="Z175" s="44">
        <f t="shared" si="65"/>
        <v>0.44</v>
      </c>
      <c r="AA175" s="44">
        <f t="shared" si="65"/>
        <v>0.44</v>
      </c>
      <c r="AB175" s="44">
        <f t="shared" si="65"/>
        <v>0.44</v>
      </c>
      <c r="AC175" s="44">
        <f t="shared" si="65"/>
        <v>0.44</v>
      </c>
      <c r="AD175" s="44">
        <f t="shared" si="65"/>
        <v>0.44</v>
      </c>
      <c r="AE175" s="44">
        <f t="shared" si="65"/>
        <v>0.44</v>
      </c>
      <c r="AF175" s="44">
        <f t="shared" si="65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3"/>
        <v>2.1</v>
      </c>
      <c r="C176" s="55">
        <v>2.1</v>
      </c>
      <c r="D176" s="44">
        <f t="shared" si="64"/>
        <v>2.1</v>
      </c>
      <c r="E176" s="44">
        <f t="shared" si="64"/>
        <v>2.1</v>
      </c>
      <c r="F176" s="44">
        <f t="shared" si="64"/>
        <v>2.1</v>
      </c>
      <c r="G176" s="44">
        <f t="shared" si="64"/>
        <v>2.1</v>
      </c>
      <c r="H176" s="44">
        <f t="shared" si="64"/>
        <v>2.1</v>
      </c>
      <c r="I176" s="44">
        <f t="shared" si="64"/>
        <v>2.1</v>
      </c>
      <c r="J176" s="44">
        <f t="shared" si="64"/>
        <v>2.1</v>
      </c>
      <c r="K176" s="44">
        <f t="shared" si="64"/>
        <v>2.1</v>
      </c>
      <c r="L176" s="44">
        <f t="shared" si="64"/>
        <v>2.1</v>
      </c>
      <c r="M176" s="44">
        <f t="shared" si="64"/>
        <v>2.1</v>
      </c>
      <c r="N176" s="44">
        <f t="shared" si="64"/>
        <v>2.1</v>
      </c>
      <c r="O176" s="44">
        <f t="shared" si="64"/>
        <v>2.1</v>
      </c>
      <c r="P176" s="44">
        <f t="shared" si="64"/>
        <v>2.1</v>
      </c>
      <c r="Q176" s="44">
        <f t="shared" si="64"/>
        <v>2.1</v>
      </c>
      <c r="R176" s="44">
        <f t="shared" si="64"/>
        <v>2.1</v>
      </c>
      <c r="S176" s="44">
        <f t="shared" si="65"/>
        <v>2.1</v>
      </c>
      <c r="T176" s="44">
        <f t="shared" si="65"/>
        <v>2.1</v>
      </c>
      <c r="U176" s="44">
        <f t="shared" si="65"/>
        <v>2.1</v>
      </c>
      <c r="V176" s="44">
        <f t="shared" si="65"/>
        <v>2.1</v>
      </c>
      <c r="W176" s="44">
        <f t="shared" si="65"/>
        <v>2.1</v>
      </c>
      <c r="X176" s="44">
        <f t="shared" si="65"/>
        <v>2.1</v>
      </c>
      <c r="Y176" s="44">
        <f t="shared" si="65"/>
        <v>2.1</v>
      </c>
      <c r="Z176" s="44">
        <f t="shared" si="65"/>
        <v>2.1</v>
      </c>
      <c r="AA176" s="44">
        <f t="shared" si="65"/>
        <v>2.1</v>
      </c>
      <c r="AB176" s="44">
        <f t="shared" si="65"/>
        <v>2.1</v>
      </c>
      <c r="AC176" s="44">
        <f t="shared" si="65"/>
        <v>2.1</v>
      </c>
      <c r="AD176" s="44">
        <f t="shared" si="65"/>
        <v>2.1</v>
      </c>
      <c r="AE176" s="44">
        <f t="shared" si="65"/>
        <v>2.1</v>
      </c>
      <c r="AF176" s="44">
        <f t="shared" si="65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3"/>
        <v>0.9</v>
      </c>
      <c r="C177" s="55">
        <v>0.9</v>
      </c>
      <c r="D177" s="44">
        <f t="shared" si="64"/>
        <v>0.9</v>
      </c>
      <c r="E177" s="44">
        <f t="shared" si="64"/>
        <v>0.9</v>
      </c>
      <c r="F177" s="44">
        <f t="shared" si="64"/>
        <v>0.9</v>
      </c>
      <c r="G177" s="44">
        <f t="shared" si="64"/>
        <v>0.9</v>
      </c>
      <c r="H177" s="44">
        <f t="shared" si="64"/>
        <v>0.9</v>
      </c>
      <c r="I177" s="44">
        <f t="shared" si="64"/>
        <v>0.9</v>
      </c>
      <c r="J177" s="44">
        <f t="shared" si="64"/>
        <v>0.9</v>
      </c>
      <c r="K177" s="44">
        <f t="shared" si="64"/>
        <v>0.9</v>
      </c>
      <c r="L177" s="44">
        <f t="shared" si="64"/>
        <v>0.9</v>
      </c>
      <c r="M177" s="44">
        <f t="shared" si="64"/>
        <v>0.9</v>
      </c>
      <c r="N177" s="44">
        <f t="shared" si="64"/>
        <v>0.9</v>
      </c>
      <c r="O177" s="44">
        <f t="shared" si="64"/>
        <v>0.9</v>
      </c>
      <c r="P177" s="44">
        <f t="shared" si="64"/>
        <v>0.9</v>
      </c>
      <c r="Q177" s="44">
        <f t="shared" si="64"/>
        <v>0.9</v>
      </c>
      <c r="R177" s="44">
        <f t="shared" si="64"/>
        <v>0.9</v>
      </c>
      <c r="S177" s="44">
        <f t="shared" si="65"/>
        <v>0.9</v>
      </c>
      <c r="T177" s="44">
        <f t="shared" si="65"/>
        <v>0.9</v>
      </c>
      <c r="U177" s="44">
        <f t="shared" si="65"/>
        <v>0.9</v>
      </c>
      <c r="V177" s="44">
        <f t="shared" si="65"/>
        <v>0.9</v>
      </c>
      <c r="W177" s="44">
        <f t="shared" si="65"/>
        <v>0.9</v>
      </c>
      <c r="X177" s="44">
        <f t="shared" si="65"/>
        <v>0.9</v>
      </c>
      <c r="Y177" s="44">
        <f t="shared" si="65"/>
        <v>0.9</v>
      </c>
      <c r="Z177" s="44">
        <f t="shared" si="65"/>
        <v>0.9</v>
      </c>
      <c r="AA177" s="44">
        <f t="shared" si="65"/>
        <v>0.9</v>
      </c>
      <c r="AB177" s="44">
        <f t="shared" si="65"/>
        <v>0.9</v>
      </c>
      <c r="AC177" s="44">
        <f t="shared" si="65"/>
        <v>0.9</v>
      </c>
      <c r="AD177" s="44">
        <f t="shared" si="65"/>
        <v>0.9</v>
      </c>
      <c r="AE177" s="44">
        <f t="shared" si="65"/>
        <v>0.9</v>
      </c>
      <c r="AF177" s="44">
        <f t="shared" si="65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6">AF179</f>
        <v>0.57999999999999996</v>
      </c>
      <c r="C179" s="55">
        <v>0.57999999999999996</v>
      </c>
      <c r="D179" s="44">
        <f t="shared" ref="D179:S191" si="67">C179</f>
        <v>0.57999999999999996</v>
      </c>
      <c r="E179" s="44">
        <f t="shared" si="67"/>
        <v>0.57999999999999996</v>
      </c>
      <c r="F179" s="44">
        <f t="shared" si="67"/>
        <v>0.57999999999999996</v>
      </c>
      <c r="G179" s="44">
        <f t="shared" si="67"/>
        <v>0.57999999999999996</v>
      </c>
      <c r="H179" s="44">
        <f t="shared" si="67"/>
        <v>0.57999999999999996</v>
      </c>
      <c r="I179" s="44">
        <f t="shared" si="67"/>
        <v>0.57999999999999996</v>
      </c>
      <c r="J179" s="44">
        <f t="shared" si="67"/>
        <v>0.57999999999999996</v>
      </c>
      <c r="K179" s="44">
        <f t="shared" si="67"/>
        <v>0.57999999999999996</v>
      </c>
      <c r="L179" s="44">
        <f t="shared" si="67"/>
        <v>0.57999999999999996</v>
      </c>
      <c r="M179" s="44">
        <f t="shared" si="67"/>
        <v>0.57999999999999996</v>
      </c>
      <c r="N179" s="44">
        <f t="shared" si="67"/>
        <v>0.57999999999999996</v>
      </c>
      <c r="O179" s="44">
        <f t="shared" si="67"/>
        <v>0.57999999999999996</v>
      </c>
      <c r="P179" s="44">
        <f t="shared" si="67"/>
        <v>0.57999999999999996</v>
      </c>
      <c r="Q179" s="44">
        <f t="shared" si="67"/>
        <v>0.57999999999999996</v>
      </c>
      <c r="R179" s="44">
        <f t="shared" si="67"/>
        <v>0.57999999999999996</v>
      </c>
      <c r="S179" s="44">
        <f t="shared" si="67"/>
        <v>0.57999999999999996</v>
      </c>
      <c r="T179" s="44">
        <f t="shared" ref="S179:AF191" si="68">S179</f>
        <v>0.57999999999999996</v>
      </c>
      <c r="U179" s="44">
        <f t="shared" si="68"/>
        <v>0.57999999999999996</v>
      </c>
      <c r="V179" s="44">
        <f t="shared" si="68"/>
        <v>0.57999999999999996</v>
      </c>
      <c r="W179" s="44">
        <f t="shared" si="68"/>
        <v>0.57999999999999996</v>
      </c>
      <c r="X179" s="44">
        <f t="shared" si="68"/>
        <v>0.57999999999999996</v>
      </c>
      <c r="Y179" s="44">
        <f t="shared" si="68"/>
        <v>0.57999999999999996</v>
      </c>
      <c r="Z179" s="44">
        <f t="shared" si="68"/>
        <v>0.57999999999999996</v>
      </c>
      <c r="AA179" s="44">
        <f t="shared" si="68"/>
        <v>0.57999999999999996</v>
      </c>
      <c r="AB179" s="44">
        <f t="shared" si="68"/>
        <v>0.57999999999999996</v>
      </c>
      <c r="AC179" s="44">
        <f t="shared" si="68"/>
        <v>0.57999999999999996</v>
      </c>
      <c r="AD179" s="44">
        <f t="shared" si="68"/>
        <v>0.57999999999999996</v>
      </c>
      <c r="AE179" s="44">
        <f t="shared" si="68"/>
        <v>0.57999999999999996</v>
      </c>
      <c r="AF179" s="44">
        <f t="shared" si="68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6"/>
        <v>0.8</v>
      </c>
      <c r="C180" s="55">
        <v>0.8</v>
      </c>
      <c r="D180" s="44">
        <f t="shared" si="67"/>
        <v>0.8</v>
      </c>
      <c r="E180" s="44">
        <f t="shared" si="67"/>
        <v>0.8</v>
      </c>
      <c r="F180" s="44">
        <f t="shared" si="67"/>
        <v>0.8</v>
      </c>
      <c r="G180" s="44">
        <f t="shared" si="67"/>
        <v>0.8</v>
      </c>
      <c r="H180" s="44">
        <f t="shared" si="67"/>
        <v>0.8</v>
      </c>
      <c r="I180" s="44">
        <f t="shared" si="67"/>
        <v>0.8</v>
      </c>
      <c r="J180" s="44">
        <f t="shared" si="67"/>
        <v>0.8</v>
      </c>
      <c r="K180" s="44">
        <f t="shared" si="67"/>
        <v>0.8</v>
      </c>
      <c r="L180" s="44">
        <f t="shared" si="67"/>
        <v>0.8</v>
      </c>
      <c r="M180" s="44">
        <f t="shared" si="67"/>
        <v>0.8</v>
      </c>
      <c r="N180" s="44">
        <f t="shared" si="67"/>
        <v>0.8</v>
      </c>
      <c r="O180" s="44">
        <f t="shared" si="67"/>
        <v>0.8</v>
      </c>
      <c r="P180" s="44">
        <f t="shared" si="67"/>
        <v>0.8</v>
      </c>
      <c r="Q180" s="44">
        <f t="shared" si="67"/>
        <v>0.8</v>
      </c>
      <c r="R180" s="44">
        <f t="shared" si="67"/>
        <v>0.8</v>
      </c>
      <c r="S180" s="44">
        <f t="shared" si="67"/>
        <v>0.8</v>
      </c>
      <c r="T180" s="44">
        <f t="shared" si="68"/>
        <v>0.8</v>
      </c>
      <c r="U180" s="44">
        <f t="shared" si="68"/>
        <v>0.8</v>
      </c>
      <c r="V180" s="44">
        <f t="shared" si="68"/>
        <v>0.8</v>
      </c>
      <c r="W180" s="44">
        <f t="shared" si="68"/>
        <v>0.8</v>
      </c>
      <c r="X180" s="44">
        <f t="shared" si="68"/>
        <v>0.8</v>
      </c>
      <c r="Y180" s="44">
        <f t="shared" si="68"/>
        <v>0.8</v>
      </c>
      <c r="Z180" s="44">
        <f t="shared" si="68"/>
        <v>0.8</v>
      </c>
      <c r="AA180" s="44">
        <f t="shared" si="68"/>
        <v>0.8</v>
      </c>
      <c r="AB180" s="44">
        <f t="shared" si="68"/>
        <v>0.8</v>
      </c>
      <c r="AC180" s="44">
        <f t="shared" si="68"/>
        <v>0.8</v>
      </c>
      <c r="AD180" s="44">
        <f t="shared" si="68"/>
        <v>0.8</v>
      </c>
      <c r="AE180" s="44">
        <f t="shared" si="68"/>
        <v>0.8</v>
      </c>
      <c r="AF180" s="44">
        <f t="shared" si="68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6"/>
        <v>0</v>
      </c>
      <c r="C181" s="55">
        <v>0</v>
      </c>
      <c r="D181" s="44">
        <f t="shared" si="67"/>
        <v>0</v>
      </c>
      <c r="E181" s="44">
        <f t="shared" si="67"/>
        <v>0</v>
      </c>
      <c r="F181" s="44">
        <f t="shared" si="67"/>
        <v>0</v>
      </c>
      <c r="G181" s="44">
        <f t="shared" si="67"/>
        <v>0</v>
      </c>
      <c r="H181" s="44">
        <f t="shared" si="67"/>
        <v>0</v>
      </c>
      <c r="I181" s="44">
        <f t="shared" si="67"/>
        <v>0</v>
      </c>
      <c r="J181" s="44">
        <f t="shared" si="67"/>
        <v>0</v>
      </c>
      <c r="K181" s="44">
        <f t="shared" si="67"/>
        <v>0</v>
      </c>
      <c r="L181" s="44">
        <f t="shared" si="67"/>
        <v>0</v>
      </c>
      <c r="M181" s="44">
        <f t="shared" si="67"/>
        <v>0</v>
      </c>
      <c r="N181" s="44">
        <f t="shared" si="67"/>
        <v>0</v>
      </c>
      <c r="O181" s="44">
        <f t="shared" si="67"/>
        <v>0</v>
      </c>
      <c r="P181" s="44">
        <f t="shared" si="67"/>
        <v>0</v>
      </c>
      <c r="Q181" s="44">
        <f t="shared" si="67"/>
        <v>0</v>
      </c>
      <c r="R181" s="44">
        <f t="shared" si="67"/>
        <v>0</v>
      </c>
      <c r="S181" s="44">
        <f t="shared" si="67"/>
        <v>0</v>
      </c>
      <c r="T181" s="44">
        <f t="shared" si="68"/>
        <v>0</v>
      </c>
      <c r="U181" s="44">
        <f t="shared" si="68"/>
        <v>0</v>
      </c>
      <c r="V181" s="44">
        <f t="shared" si="68"/>
        <v>0</v>
      </c>
      <c r="W181" s="44">
        <f t="shared" si="68"/>
        <v>0</v>
      </c>
      <c r="X181" s="44">
        <f t="shared" si="68"/>
        <v>0</v>
      </c>
      <c r="Y181" s="44">
        <f t="shared" si="68"/>
        <v>0</v>
      </c>
      <c r="Z181" s="44">
        <f t="shared" si="68"/>
        <v>0</v>
      </c>
      <c r="AA181" s="44">
        <f t="shared" si="68"/>
        <v>0</v>
      </c>
      <c r="AB181" s="44">
        <f t="shared" si="68"/>
        <v>0</v>
      </c>
      <c r="AC181" s="44">
        <f t="shared" si="68"/>
        <v>0</v>
      </c>
      <c r="AD181" s="44">
        <f t="shared" si="68"/>
        <v>0</v>
      </c>
      <c r="AE181" s="44">
        <f t="shared" si="68"/>
        <v>0</v>
      </c>
      <c r="AF181" s="44">
        <f t="shared" si="68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6"/>
        <v>0.6</v>
      </c>
      <c r="C182" s="55">
        <v>0.6</v>
      </c>
      <c r="D182" s="44">
        <f t="shared" si="67"/>
        <v>0.6</v>
      </c>
      <c r="E182" s="44">
        <f t="shared" si="67"/>
        <v>0.6</v>
      </c>
      <c r="F182" s="44">
        <f t="shared" si="67"/>
        <v>0.6</v>
      </c>
      <c r="G182" s="44">
        <f t="shared" si="67"/>
        <v>0.6</v>
      </c>
      <c r="H182" s="44">
        <f t="shared" si="67"/>
        <v>0.6</v>
      </c>
      <c r="I182" s="44">
        <f t="shared" si="67"/>
        <v>0.6</v>
      </c>
      <c r="J182" s="44">
        <f t="shared" si="67"/>
        <v>0.6</v>
      </c>
      <c r="K182" s="44">
        <f t="shared" si="67"/>
        <v>0.6</v>
      </c>
      <c r="L182" s="44">
        <f t="shared" si="67"/>
        <v>0.6</v>
      </c>
      <c r="M182" s="44">
        <f t="shared" si="67"/>
        <v>0.6</v>
      </c>
      <c r="N182" s="44">
        <f t="shared" si="67"/>
        <v>0.6</v>
      </c>
      <c r="O182" s="44">
        <f t="shared" si="67"/>
        <v>0.6</v>
      </c>
      <c r="P182" s="44">
        <f t="shared" si="67"/>
        <v>0.6</v>
      </c>
      <c r="Q182" s="44">
        <f t="shared" si="67"/>
        <v>0.6</v>
      </c>
      <c r="R182" s="44">
        <f t="shared" si="67"/>
        <v>0.6</v>
      </c>
      <c r="S182" s="44">
        <f t="shared" si="67"/>
        <v>0.6</v>
      </c>
      <c r="T182" s="44">
        <f t="shared" si="68"/>
        <v>0.6</v>
      </c>
      <c r="U182" s="44">
        <f t="shared" si="68"/>
        <v>0.6</v>
      </c>
      <c r="V182" s="44">
        <f t="shared" si="68"/>
        <v>0.6</v>
      </c>
      <c r="W182" s="44">
        <f t="shared" si="68"/>
        <v>0.6</v>
      </c>
      <c r="X182" s="44">
        <f t="shared" si="68"/>
        <v>0.6</v>
      </c>
      <c r="Y182" s="44">
        <f t="shared" si="68"/>
        <v>0.6</v>
      </c>
      <c r="Z182" s="44">
        <f t="shared" si="68"/>
        <v>0.6</v>
      </c>
      <c r="AA182" s="44">
        <f t="shared" si="68"/>
        <v>0.6</v>
      </c>
      <c r="AB182" s="44">
        <f t="shared" si="68"/>
        <v>0.6</v>
      </c>
      <c r="AC182" s="44">
        <f t="shared" si="68"/>
        <v>0.6</v>
      </c>
      <c r="AD182" s="44">
        <f t="shared" si="68"/>
        <v>0.6</v>
      </c>
      <c r="AE182" s="44">
        <f t="shared" si="68"/>
        <v>0.6</v>
      </c>
      <c r="AF182" s="44">
        <f t="shared" si="68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6"/>
        <v>0.6</v>
      </c>
      <c r="C183" s="55">
        <v>0.6</v>
      </c>
      <c r="D183" s="44">
        <f t="shared" si="67"/>
        <v>0.6</v>
      </c>
      <c r="E183" s="44">
        <f t="shared" si="67"/>
        <v>0.6</v>
      </c>
      <c r="F183" s="44">
        <f t="shared" si="67"/>
        <v>0.6</v>
      </c>
      <c r="G183" s="44">
        <f t="shared" si="67"/>
        <v>0.6</v>
      </c>
      <c r="H183" s="44">
        <f t="shared" si="67"/>
        <v>0.6</v>
      </c>
      <c r="I183" s="44">
        <f t="shared" si="67"/>
        <v>0.6</v>
      </c>
      <c r="J183" s="44">
        <f t="shared" si="67"/>
        <v>0.6</v>
      </c>
      <c r="K183" s="44">
        <f t="shared" si="67"/>
        <v>0.6</v>
      </c>
      <c r="L183" s="44">
        <f t="shared" si="67"/>
        <v>0.6</v>
      </c>
      <c r="M183" s="44">
        <f t="shared" si="67"/>
        <v>0.6</v>
      </c>
      <c r="N183" s="44">
        <f t="shared" si="67"/>
        <v>0.6</v>
      </c>
      <c r="O183" s="44">
        <f t="shared" si="67"/>
        <v>0.6</v>
      </c>
      <c r="P183" s="44">
        <f t="shared" si="67"/>
        <v>0.6</v>
      </c>
      <c r="Q183" s="44">
        <f t="shared" si="67"/>
        <v>0.6</v>
      </c>
      <c r="R183" s="44">
        <f t="shared" si="67"/>
        <v>0.6</v>
      </c>
      <c r="S183" s="44">
        <f t="shared" si="67"/>
        <v>0.6</v>
      </c>
      <c r="T183" s="44">
        <f t="shared" si="68"/>
        <v>0.6</v>
      </c>
      <c r="U183" s="44">
        <f t="shared" si="68"/>
        <v>0.6</v>
      </c>
      <c r="V183" s="44">
        <f t="shared" si="68"/>
        <v>0.6</v>
      </c>
      <c r="W183" s="44">
        <f t="shared" si="68"/>
        <v>0.6</v>
      </c>
      <c r="X183" s="44">
        <f t="shared" si="68"/>
        <v>0.6</v>
      </c>
      <c r="Y183" s="44">
        <f t="shared" si="68"/>
        <v>0.6</v>
      </c>
      <c r="Z183" s="44">
        <f t="shared" si="68"/>
        <v>0.6</v>
      </c>
      <c r="AA183" s="44">
        <f t="shared" si="68"/>
        <v>0.6</v>
      </c>
      <c r="AB183" s="44">
        <f t="shared" si="68"/>
        <v>0.6</v>
      </c>
      <c r="AC183" s="44">
        <f t="shared" si="68"/>
        <v>0.6</v>
      </c>
      <c r="AD183" s="44">
        <f t="shared" si="68"/>
        <v>0.6</v>
      </c>
      <c r="AE183" s="44">
        <f t="shared" si="68"/>
        <v>0.6</v>
      </c>
      <c r="AF183" s="44">
        <f t="shared" si="68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6"/>
        <v>0.35</v>
      </c>
      <c r="C184" s="55">
        <v>0.35</v>
      </c>
      <c r="D184" s="44">
        <f t="shared" si="67"/>
        <v>0.35</v>
      </c>
      <c r="E184" s="44">
        <f t="shared" si="67"/>
        <v>0.35</v>
      </c>
      <c r="F184" s="44">
        <f t="shared" si="67"/>
        <v>0.35</v>
      </c>
      <c r="G184" s="44">
        <f t="shared" si="67"/>
        <v>0.35</v>
      </c>
      <c r="H184" s="44">
        <f t="shared" si="67"/>
        <v>0.35</v>
      </c>
      <c r="I184" s="44">
        <f t="shared" si="67"/>
        <v>0.35</v>
      </c>
      <c r="J184" s="44">
        <f t="shared" si="67"/>
        <v>0.35</v>
      </c>
      <c r="K184" s="44">
        <f t="shared" si="67"/>
        <v>0.35</v>
      </c>
      <c r="L184" s="44">
        <f t="shared" si="67"/>
        <v>0.35</v>
      </c>
      <c r="M184" s="44">
        <f t="shared" si="67"/>
        <v>0.35</v>
      </c>
      <c r="N184" s="44">
        <f t="shared" si="67"/>
        <v>0.35</v>
      </c>
      <c r="O184" s="44">
        <f t="shared" si="67"/>
        <v>0.35</v>
      </c>
      <c r="P184" s="44">
        <f t="shared" si="67"/>
        <v>0.35</v>
      </c>
      <c r="Q184" s="44">
        <f t="shared" si="67"/>
        <v>0.35</v>
      </c>
      <c r="R184" s="44">
        <f t="shared" si="67"/>
        <v>0.35</v>
      </c>
      <c r="S184" s="44">
        <f t="shared" si="67"/>
        <v>0.35</v>
      </c>
      <c r="T184" s="44">
        <f t="shared" si="68"/>
        <v>0.35</v>
      </c>
      <c r="U184" s="44">
        <f t="shared" si="68"/>
        <v>0.35</v>
      </c>
      <c r="V184" s="44">
        <f t="shared" si="68"/>
        <v>0.35</v>
      </c>
      <c r="W184" s="44">
        <f t="shared" si="68"/>
        <v>0.35</v>
      </c>
      <c r="X184" s="44">
        <f t="shared" si="68"/>
        <v>0.35</v>
      </c>
      <c r="Y184" s="44">
        <f t="shared" si="68"/>
        <v>0.35</v>
      </c>
      <c r="Z184" s="44">
        <f t="shared" si="68"/>
        <v>0.35</v>
      </c>
      <c r="AA184" s="44">
        <f t="shared" si="68"/>
        <v>0.35</v>
      </c>
      <c r="AB184" s="44">
        <f t="shared" si="68"/>
        <v>0.35</v>
      </c>
      <c r="AC184" s="44">
        <f t="shared" si="68"/>
        <v>0.35</v>
      </c>
      <c r="AD184" s="44">
        <f t="shared" si="68"/>
        <v>0.35</v>
      </c>
      <c r="AE184" s="44">
        <f t="shared" si="68"/>
        <v>0.35</v>
      </c>
      <c r="AF184" s="44">
        <f t="shared" si="68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6"/>
        <v>0.28999999999999998</v>
      </c>
      <c r="C185" s="55">
        <v>0.28999999999999998</v>
      </c>
      <c r="D185" s="44">
        <f t="shared" si="67"/>
        <v>0.28999999999999998</v>
      </c>
      <c r="E185" s="44">
        <f t="shared" si="67"/>
        <v>0.28999999999999998</v>
      </c>
      <c r="F185" s="44">
        <f t="shared" si="67"/>
        <v>0.28999999999999998</v>
      </c>
      <c r="G185" s="44">
        <f t="shared" si="67"/>
        <v>0.28999999999999998</v>
      </c>
      <c r="H185" s="44">
        <f t="shared" si="67"/>
        <v>0.28999999999999998</v>
      </c>
      <c r="I185" s="44">
        <f t="shared" si="67"/>
        <v>0.28999999999999998</v>
      </c>
      <c r="J185" s="44">
        <f t="shared" si="67"/>
        <v>0.28999999999999998</v>
      </c>
      <c r="K185" s="44">
        <f t="shared" si="67"/>
        <v>0.28999999999999998</v>
      </c>
      <c r="L185" s="44">
        <f t="shared" si="67"/>
        <v>0.28999999999999998</v>
      </c>
      <c r="M185" s="44">
        <f t="shared" si="67"/>
        <v>0.28999999999999998</v>
      </c>
      <c r="N185" s="44">
        <f t="shared" si="67"/>
        <v>0.28999999999999998</v>
      </c>
      <c r="O185" s="44">
        <f t="shared" si="67"/>
        <v>0.28999999999999998</v>
      </c>
      <c r="P185" s="44">
        <f t="shared" si="67"/>
        <v>0.28999999999999998</v>
      </c>
      <c r="Q185" s="44">
        <f t="shared" si="67"/>
        <v>0.28999999999999998</v>
      </c>
      <c r="R185" s="44">
        <f t="shared" si="67"/>
        <v>0.28999999999999998</v>
      </c>
      <c r="S185" s="44">
        <f t="shared" si="67"/>
        <v>0.28999999999999998</v>
      </c>
      <c r="T185" s="44">
        <f t="shared" si="68"/>
        <v>0.28999999999999998</v>
      </c>
      <c r="U185" s="44">
        <f t="shared" si="68"/>
        <v>0.28999999999999998</v>
      </c>
      <c r="V185" s="44">
        <f t="shared" si="68"/>
        <v>0.28999999999999998</v>
      </c>
      <c r="W185" s="44">
        <f t="shared" si="68"/>
        <v>0.28999999999999998</v>
      </c>
      <c r="X185" s="44">
        <f t="shared" si="68"/>
        <v>0.28999999999999998</v>
      </c>
      <c r="Y185" s="44">
        <f t="shared" si="68"/>
        <v>0.28999999999999998</v>
      </c>
      <c r="Z185" s="44">
        <f t="shared" si="68"/>
        <v>0.28999999999999998</v>
      </c>
      <c r="AA185" s="44">
        <f t="shared" si="68"/>
        <v>0.28999999999999998</v>
      </c>
      <c r="AB185" s="44">
        <f t="shared" si="68"/>
        <v>0.28999999999999998</v>
      </c>
      <c r="AC185" s="44">
        <f t="shared" si="68"/>
        <v>0.28999999999999998</v>
      </c>
      <c r="AD185" s="44">
        <f t="shared" si="68"/>
        <v>0.28999999999999998</v>
      </c>
      <c r="AE185" s="44">
        <f t="shared" si="68"/>
        <v>0.28999999999999998</v>
      </c>
      <c r="AF185" s="44">
        <f t="shared" si="6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6"/>
        <v>0.06</v>
      </c>
      <c r="C186" s="55">
        <v>0.06</v>
      </c>
      <c r="D186" s="44">
        <f t="shared" si="67"/>
        <v>0.06</v>
      </c>
      <c r="E186" s="44">
        <f t="shared" si="67"/>
        <v>0.06</v>
      </c>
      <c r="F186" s="44">
        <f t="shared" si="67"/>
        <v>0.06</v>
      </c>
      <c r="G186" s="44">
        <f t="shared" si="67"/>
        <v>0.06</v>
      </c>
      <c r="H186" s="44">
        <f t="shared" si="67"/>
        <v>0.06</v>
      </c>
      <c r="I186" s="44">
        <f t="shared" si="67"/>
        <v>0.06</v>
      </c>
      <c r="J186" s="44">
        <f t="shared" si="67"/>
        <v>0.06</v>
      </c>
      <c r="K186" s="44">
        <f t="shared" si="67"/>
        <v>0.06</v>
      </c>
      <c r="L186" s="44">
        <f t="shared" si="67"/>
        <v>0.06</v>
      </c>
      <c r="M186" s="44">
        <f t="shared" si="67"/>
        <v>0.06</v>
      </c>
      <c r="N186" s="44">
        <f t="shared" si="67"/>
        <v>0.06</v>
      </c>
      <c r="O186" s="44">
        <f t="shared" si="67"/>
        <v>0.06</v>
      </c>
      <c r="P186" s="44">
        <f t="shared" si="67"/>
        <v>0.06</v>
      </c>
      <c r="Q186" s="44">
        <f t="shared" si="67"/>
        <v>0.06</v>
      </c>
      <c r="R186" s="44">
        <f t="shared" si="67"/>
        <v>0.06</v>
      </c>
      <c r="S186" s="44">
        <f t="shared" si="67"/>
        <v>0.06</v>
      </c>
      <c r="T186" s="44">
        <f t="shared" si="68"/>
        <v>0.06</v>
      </c>
      <c r="U186" s="44">
        <f t="shared" si="68"/>
        <v>0.06</v>
      </c>
      <c r="V186" s="44">
        <f t="shared" si="68"/>
        <v>0.06</v>
      </c>
      <c r="W186" s="44">
        <f t="shared" si="68"/>
        <v>0.06</v>
      </c>
      <c r="X186" s="44">
        <f t="shared" si="68"/>
        <v>0.06</v>
      </c>
      <c r="Y186" s="44">
        <f t="shared" si="68"/>
        <v>0.06</v>
      </c>
      <c r="Z186" s="44">
        <f t="shared" si="68"/>
        <v>0.06</v>
      </c>
      <c r="AA186" s="44">
        <f t="shared" si="68"/>
        <v>0.06</v>
      </c>
      <c r="AB186" s="44">
        <f t="shared" si="68"/>
        <v>0.06</v>
      </c>
      <c r="AC186" s="44">
        <f t="shared" si="68"/>
        <v>0.06</v>
      </c>
      <c r="AD186" s="44">
        <f t="shared" si="68"/>
        <v>0.06</v>
      </c>
      <c r="AE186" s="44">
        <f t="shared" si="68"/>
        <v>0.06</v>
      </c>
      <c r="AF186" s="44">
        <f t="shared" si="68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6"/>
        <v>0.11</v>
      </c>
      <c r="C187" s="55">
        <v>0.11</v>
      </c>
      <c r="D187" s="44">
        <f t="shared" si="67"/>
        <v>0.11</v>
      </c>
      <c r="E187" s="44">
        <f t="shared" si="67"/>
        <v>0.11</v>
      </c>
      <c r="F187" s="44">
        <f t="shared" si="67"/>
        <v>0.11</v>
      </c>
      <c r="G187" s="44">
        <f t="shared" si="67"/>
        <v>0.11</v>
      </c>
      <c r="H187" s="44">
        <f t="shared" si="67"/>
        <v>0.11</v>
      </c>
      <c r="I187" s="44">
        <f t="shared" si="67"/>
        <v>0.11</v>
      </c>
      <c r="J187" s="44">
        <f t="shared" si="67"/>
        <v>0.11</v>
      </c>
      <c r="K187" s="44">
        <f t="shared" si="67"/>
        <v>0.11</v>
      </c>
      <c r="L187" s="44">
        <f t="shared" si="67"/>
        <v>0.11</v>
      </c>
      <c r="M187" s="44">
        <f t="shared" si="67"/>
        <v>0.11</v>
      </c>
      <c r="N187" s="44">
        <f t="shared" si="67"/>
        <v>0.11</v>
      </c>
      <c r="O187" s="44">
        <f t="shared" si="67"/>
        <v>0.11</v>
      </c>
      <c r="P187" s="44">
        <f t="shared" si="67"/>
        <v>0.11</v>
      </c>
      <c r="Q187" s="44">
        <f t="shared" si="67"/>
        <v>0.11</v>
      </c>
      <c r="R187" s="44">
        <f t="shared" si="67"/>
        <v>0.11</v>
      </c>
      <c r="S187" s="44">
        <f t="shared" si="67"/>
        <v>0.11</v>
      </c>
      <c r="T187" s="44">
        <f t="shared" si="68"/>
        <v>0.11</v>
      </c>
      <c r="U187" s="44">
        <f t="shared" si="68"/>
        <v>0.11</v>
      </c>
      <c r="V187" s="44">
        <f t="shared" si="68"/>
        <v>0.11</v>
      </c>
      <c r="W187" s="44">
        <f t="shared" si="68"/>
        <v>0.11</v>
      </c>
      <c r="X187" s="44">
        <f t="shared" si="68"/>
        <v>0.11</v>
      </c>
      <c r="Y187" s="44">
        <f t="shared" si="68"/>
        <v>0.11</v>
      </c>
      <c r="Z187" s="44">
        <f t="shared" si="68"/>
        <v>0.11</v>
      </c>
      <c r="AA187" s="44">
        <f t="shared" si="68"/>
        <v>0.11</v>
      </c>
      <c r="AB187" s="44">
        <f t="shared" si="68"/>
        <v>0.11</v>
      </c>
      <c r="AC187" s="44">
        <f t="shared" si="68"/>
        <v>0.11</v>
      </c>
      <c r="AD187" s="44">
        <f t="shared" si="68"/>
        <v>0.11</v>
      </c>
      <c r="AE187" s="44">
        <f t="shared" si="68"/>
        <v>0.11</v>
      </c>
      <c r="AF187" s="44">
        <f t="shared" si="68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6"/>
        <v>0.1</v>
      </c>
      <c r="C188" s="55">
        <v>0.1</v>
      </c>
      <c r="D188" s="44">
        <f t="shared" si="67"/>
        <v>0.1</v>
      </c>
      <c r="E188" s="44">
        <f t="shared" si="67"/>
        <v>0.1</v>
      </c>
      <c r="F188" s="44">
        <f t="shared" si="67"/>
        <v>0.1</v>
      </c>
      <c r="G188" s="44">
        <f t="shared" si="67"/>
        <v>0.1</v>
      </c>
      <c r="H188" s="44">
        <f t="shared" si="67"/>
        <v>0.1</v>
      </c>
      <c r="I188" s="44">
        <f t="shared" si="67"/>
        <v>0.1</v>
      </c>
      <c r="J188" s="44">
        <f t="shared" si="67"/>
        <v>0.1</v>
      </c>
      <c r="K188" s="44">
        <f t="shared" si="67"/>
        <v>0.1</v>
      </c>
      <c r="L188" s="44">
        <f t="shared" si="67"/>
        <v>0.1</v>
      </c>
      <c r="M188" s="44">
        <f t="shared" si="67"/>
        <v>0.1</v>
      </c>
      <c r="N188" s="44">
        <f t="shared" si="67"/>
        <v>0.1</v>
      </c>
      <c r="O188" s="44">
        <f t="shared" si="67"/>
        <v>0.1</v>
      </c>
      <c r="P188" s="44">
        <f t="shared" si="67"/>
        <v>0.1</v>
      </c>
      <c r="Q188" s="44">
        <f t="shared" si="67"/>
        <v>0.1</v>
      </c>
      <c r="R188" s="44">
        <f t="shared" si="67"/>
        <v>0.1</v>
      </c>
      <c r="S188" s="44">
        <f t="shared" si="68"/>
        <v>0.1</v>
      </c>
      <c r="T188" s="44">
        <f t="shared" si="68"/>
        <v>0.1</v>
      </c>
      <c r="U188" s="44">
        <f t="shared" si="68"/>
        <v>0.1</v>
      </c>
      <c r="V188" s="44">
        <f t="shared" si="68"/>
        <v>0.1</v>
      </c>
      <c r="W188" s="44">
        <f t="shared" si="68"/>
        <v>0.1</v>
      </c>
      <c r="X188" s="44">
        <f t="shared" si="68"/>
        <v>0.1</v>
      </c>
      <c r="Y188" s="44">
        <f t="shared" si="68"/>
        <v>0.1</v>
      </c>
      <c r="Z188" s="44">
        <f t="shared" si="68"/>
        <v>0.1</v>
      </c>
      <c r="AA188" s="44">
        <f t="shared" si="68"/>
        <v>0.1</v>
      </c>
      <c r="AB188" s="44">
        <f t="shared" si="68"/>
        <v>0.1</v>
      </c>
      <c r="AC188" s="44">
        <f t="shared" si="68"/>
        <v>0.1</v>
      </c>
      <c r="AD188" s="44">
        <f t="shared" si="68"/>
        <v>0.1</v>
      </c>
      <c r="AE188" s="44">
        <f t="shared" si="68"/>
        <v>0.1</v>
      </c>
      <c r="AF188" s="44">
        <f t="shared" si="68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6"/>
        <v>0.09</v>
      </c>
      <c r="C189" s="55">
        <v>0.09</v>
      </c>
      <c r="D189" s="44">
        <f t="shared" si="67"/>
        <v>0.09</v>
      </c>
      <c r="E189" s="44">
        <f t="shared" si="67"/>
        <v>0.09</v>
      </c>
      <c r="F189" s="44">
        <f t="shared" si="67"/>
        <v>0.09</v>
      </c>
      <c r="G189" s="44">
        <f t="shared" si="67"/>
        <v>0.09</v>
      </c>
      <c r="H189" s="44">
        <f t="shared" si="67"/>
        <v>0.09</v>
      </c>
      <c r="I189" s="44">
        <f t="shared" si="67"/>
        <v>0.09</v>
      </c>
      <c r="J189" s="44">
        <f t="shared" si="67"/>
        <v>0.09</v>
      </c>
      <c r="K189" s="44">
        <f t="shared" si="67"/>
        <v>0.09</v>
      </c>
      <c r="L189" s="44">
        <f t="shared" si="67"/>
        <v>0.09</v>
      </c>
      <c r="M189" s="44">
        <f t="shared" si="67"/>
        <v>0.09</v>
      </c>
      <c r="N189" s="44">
        <f t="shared" si="67"/>
        <v>0.09</v>
      </c>
      <c r="O189" s="44">
        <f t="shared" si="67"/>
        <v>0.09</v>
      </c>
      <c r="P189" s="44">
        <f t="shared" si="67"/>
        <v>0.09</v>
      </c>
      <c r="Q189" s="44">
        <f t="shared" si="67"/>
        <v>0.09</v>
      </c>
      <c r="R189" s="44">
        <f t="shared" si="67"/>
        <v>0.09</v>
      </c>
      <c r="S189" s="44">
        <f t="shared" si="68"/>
        <v>0.09</v>
      </c>
      <c r="T189" s="44">
        <f t="shared" si="68"/>
        <v>0.09</v>
      </c>
      <c r="U189" s="44">
        <f t="shared" si="68"/>
        <v>0.09</v>
      </c>
      <c r="V189" s="44">
        <f t="shared" si="68"/>
        <v>0.09</v>
      </c>
      <c r="W189" s="44">
        <f t="shared" si="68"/>
        <v>0.09</v>
      </c>
      <c r="X189" s="44">
        <f t="shared" si="68"/>
        <v>0.09</v>
      </c>
      <c r="Y189" s="44">
        <f t="shared" si="68"/>
        <v>0.09</v>
      </c>
      <c r="Z189" s="44">
        <f t="shared" si="68"/>
        <v>0.09</v>
      </c>
      <c r="AA189" s="44">
        <f t="shared" si="68"/>
        <v>0.09</v>
      </c>
      <c r="AB189" s="44">
        <f t="shared" si="68"/>
        <v>0.09</v>
      </c>
      <c r="AC189" s="44">
        <f t="shared" si="68"/>
        <v>0.09</v>
      </c>
      <c r="AD189" s="44">
        <f t="shared" si="68"/>
        <v>0.09</v>
      </c>
      <c r="AE189" s="44">
        <f t="shared" si="68"/>
        <v>0.09</v>
      </c>
      <c r="AF189" s="44">
        <f t="shared" si="68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6"/>
        <v>0.04</v>
      </c>
      <c r="C190" s="54">
        <v>0.04</v>
      </c>
      <c r="D190" s="44">
        <f t="shared" si="67"/>
        <v>0.04</v>
      </c>
      <c r="E190" s="44">
        <f t="shared" si="67"/>
        <v>0.04</v>
      </c>
      <c r="F190" s="44">
        <f t="shared" si="67"/>
        <v>0.04</v>
      </c>
      <c r="G190" s="44">
        <f t="shared" si="67"/>
        <v>0.04</v>
      </c>
      <c r="H190" s="44">
        <f t="shared" si="67"/>
        <v>0.04</v>
      </c>
      <c r="I190" s="44">
        <f t="shared" si="67"/>
        <v>0.04</v>
      </c>
      <c r="J190" s="44">
        <f t="shared" si="67"/>
        <v>0.04</v>
      </c>
      <c r="K190" s="44">
        <f t="shared" si="67"/>
        <v>0.04</v>
      </c>
      <c r="L190" s="44">
        <f t="shared" si="67"/>
        <v>0.04</v>
      </c>
      <c r="M190" s="44">
        <f t="shared" si="67"/>
        <v>0.04</v>
      </c>
      <c r="N190" s="44">
        <f t="shared" si="67"/>
        <v>0.04</v>
      </c>
      <c r="O190" s="44">
        <f t="shared" si="67"/>
        <v>0.04</v>
      </c>
      <c r="P190" s="44">
        <f t="shared" si="67"/>
        <v>0.04</v>
      </c>
      <c r="Q190" s="44">
        <f t="shared" si="67"/>
        <v>0.04</v>
      </c>
      <c r="R190" s="44">
        <f t="shared" si="67"/>
        <v>0.04</v>
      </c>
      <c r="S190" s="44">
        <f t="shared" si="68"/>
        <v>0.04</v>
      </c>
      <c r="T190" s="44">
        <f t="shared" si="68"/>
        <v>0.04</v>
      </c>
      <c r="U190" s="44">
        <f t="shared" si="68"/>
        <v>0.04</v>
      </c>
      <c r="V190" s="44">
        <f t="shared" si="68"/>
        <v>0.04</v>
      </c>
      <c r="W190" s="44">
        <f t="shared" si="68"/>
        <v>0.04</v>
      </c>
      <c r="X190" s="44">
        <f t="shared" si="68"/>
        <v>0.04</v>
      </c>
      <c r="Y190" s="44">
        <f t="shared" si="68"/>
        <v>0.04</v>
      </c>
      <c r="Z190" s="44">
        <f t="shared" si="68"/>
        <v>0.04</v>
      </c>
      <c r="AA190" s="44">
        <f t="shared" si="68"/>
        <v>0.04</v>
      </c>
      <c r="AB190" s="44">
        <f t="shared" si="68"/>
        <v>0.04</v>
      </c>
      <c r="AC190" s="44">
        <f t="shared" si="68"/>
        <v>0.04</v>
      </c>
      <c r="AD190" s="44">
        <f t="shared" si="68"/>
        <v>0.04</v>
      </c>
      <c r="AE190" s="44">
        <f t="shared" si="68"/>
        <v>0.04</v>
      </c>
      <c r="AF190" s="44">
        <f t="shared" si="68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6"/>
        <v>2.3E-2</v>
      </c>
      <c r="C191" s="54">
        <v>2.3E-2</v>
      </c>
      <c r="D191" s="44">
        <f>C191</f>
        <v>2.3E-2</v>
      </c>
      <c r="E191" s="44">
        <f t="shared" si="67"/>
        <v>2.3E-2</v>
      </c>
      <c r="F191" s="44">
        <f t="shared" si="67"/>
        <v>2.3E-2</v>
      </c>
      <c r="G191" s="44">
        <f t="shared" si="67"/>
        <v>2.3E-2</v>
      </c>
      <c r="H191" s="44">
        <f t="shared" si="67"/>
        <v>2.3E-2</v>
      </c>
      <c r="I191" s="44">
        <f t="shared" si="67"/>
        <v>2.3E-2</v>
      </c>
      <c r="J191" s="44">
        <f t="shared" si="67"/>
        <v>2.3E-2</v>
      </c>
      <c r="K191" s="44">
        <f t="shared" si="67"/>
        <v>2.3E-2</v>
      </c>
      <c r="L191" s="44">
        <f t="shared" si="67"/>
        <v>2.3E-2</v>
      </c>
      <c r="M191" s="44">
        <f t="shared" si="67"/>
        <v>2.3E-2</v>
      </c>
      <c r="N191" s="44">
        <f t="shared" si="67"/>
        <v>2.3E-2</v>
      </c>
      <c r="O191" s="44">
        <f t="shared" si="67"/>
        <v>2.3E-2</v>
      </c>
      <c r="P191" s="44">
        <f t="shared" si="67"/>
        <v>2.3E-2</v>
      </c>
      <c r="Q191" s="44">
        <f t="shared" si="67"/>
        <v>2.3E-2</v>
      </c>
      <c r="R191" s="44">
        <f t="shared" si="67"/>
        <v>2.3E-2</v>
      </c>
      <c r="S191" s="44">
        <f t="shared" si="68"/>
        <v>2.3E-2</v>
      </c>
      <c r="T191" s="44">
        <f t="shared" si="68"/>
        <v>2.3E-2</v>
      </c>
      <c r="U191" s="44">
        <f t="shared" si="68"/>
        <v>2.3E-2</v>
      </c>
      <c r="V191" s="44">
        <f t="shared" si="68"/>
        <v>2.3E-2</v>
      </c>
      <c r="W191" s="44">
        <f t="shared" si="68"/>
        <v>2.3E-2</v>
      </c>
      <c r="X191" s="44">
        <f t="shared" si="68"/>
        <v>2.3E-2</v>
      </c>
      <c r="Y191" s="44">
        <f t="shared" si="68"/>
        <v>2.3E-2</v>
      </c>
      <c r="Z191" s="44">
        <f t="shared" si="68"/>
        <v>2.3E-2</v>
      </c>
      <c r="AA191" s="44">
        <f t="shared" si="68"/>
        <v>2.3E-2</v>
      </c>
      <c r="AB191" s="44">
        <f t="shared" si="68"/>
        <v>2.3E-2</v>
      </c>
      <c r="AC191" s="44">
        <f t="shared" si="68"/>
        <v>2.3E-2</v>
      </c>
      <c r="AD191" s="44">
        <f t="shared" si="68"/>
        <v>2.3E-2</v>
      </c>
      <c r="AE191" s="44">
        <f t="shared" si="68"/>
        <v>2.3E-2</v>
      </c>
      <c r="AF191" s="44">
        <f t="shared" si="68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9">SUM(C102:C191)</f>
        <v>194.70600000000002</v>
      </c>
      <c r="D192" s="51">
        <f t="shared" si="69"/>
        <v>194.70600000000002</v>
      </c>
      <c r="E192" s="51">
        <f t="shared" si="69"/>
        <v>194.70600000000002</v>
      </c>
      <c r="F192" s="51">
        <f t="shared" si="69"/>
        <v>194.70600000000002</v>
      </c>
      <c r="G192" s="51">
        <f t="shared" si="69"/>
        <v>194.70600000000002</v>
      </c>
      <c r="H192" s="51">
        <f t="shared" si="69"/>
        <v>194.70600000000002</v>
      </c>
      <c r="I192" s="51">
        <f t="shared" si="69"/>
        <v>194.70600000000002</v>
      </c>
      <c r="J192" s="51">
        <f t="shared" si="69"/>
        <v>192.10600000000005</v>
      </c>
      <c r="K192" s="51">
        <f t="shared" si="69"/>
        <v>192.10600000000005</v>
      </c>
      <c r="L192" s="51">
        <f t="shared" si="69"/>
        <v>192.10600000000005</v>
      </c>
      <c r="M192" s="51">
        <f t="shared" si="69"/>
        <v>192.10600000000005</v>
      </c>
      <c r="N192" s="51">
        <f t="shared" si="69"/>
        <v>192.10600000000005</v>
      </c>
      <c r="O192" s="51">
        <f t="shared" si="69"/>
        <v>192.10600000000005</v>
      </c>
      <c r="P192" s="51">
        <f t="shared" si="69"/>
        <v>192.10600000000005</v>
      </c>
      <c r="Q192" s="51">
        <f t="shared" si="69"/>
        <v>192.10600000000005</v>
      </c>
      <c r="R192" s="51">
        <f t="shared" si="69"/>
        <v>192.10600000000005</v>
      </c>
      <c r="S192" s="51">
        <f t="shared" si="69"/>
        <v>192.10600000000005</v>
      </c>
      <c r="T192" s="51">
        <f t="shared" si="69"/>
        <v>192.10600000000005</v>
      </c>
      <c r="U192" s="51">
        <f t="shared" si="69"/>
        <v>192.10600000000005</v>
      </c>
      <c r="V192" s="51">
        <f t="shared" si="69"/>
        <v>192.10600000000005</v>
      </c>
      <c r="W192" s="51">
        <f t="shared" si="69"/>
        <v>192.10600000000005</v>
      </c>
      <c r="X192" s="51">
        <f t="shared" si="69"/>
        <v>192.10600000000005</v>
      </c>
      <c r="Y192" s="51">
        <f t="shared" si="69"/>
        <v>192.10600000000005</v>
      </c>
      <c r="Z192" s="51">
        <f t="shared" si="69"/>
        <v>192.10600000000005</v>
      </c>
      <c r="AA192" s="51">
        <f t="shared" si="69"/>
        <v>192.10600000000005</v>
      </c>
      <c r="AB192" s="51">
        <f t="shared" si="69"/>
        <v>192.10600000000005</v>
      </c>
      <c r="AC192" s="51">
        <f t="shared" si="69"/>
        <v>192.10600000000005</v>
      </c>
      <c r="AD192" s="51">
        <f t="shared" si="69"/>
        <v>192.10600000000005</v>
      </c>
      <c r="AE192" s="51">
        <f t="shared" si="69"/>
        <v>192.10600000000005</v>
      </c>
      <c r="AF192" s="51">
        <f t="shared" si="69"/>
        <v>192.10600000000005</v>
      </c>
      <c r="AG192" s="50">
        <f t="shared" si="69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0">AF194</f>
        <v>0.3</v>
      </c>
      <c r="C194" s="47">
        <v>0.3</v>
      </c>
      <c r="D194" s="47">
        <f t="shared" ref="D194:S199" si="71">C194</f>
        <v>0.3</v>
      </c>
      <c r="E194" s="47">
        <f t="shared" si="71"/>
        <v>0.3</v>
      </c>
      <c r="F194" s="47">
        <f t="shared" si="71"/>
        <v>0.3</v>
      </c>
      <c r="G194" s="47">
        <f t="shared" si="71"/>
        <v>0.3</v>
      </c>
      <c r="H194" s="47">
        <f t="shared" si="71"/>
        <v>0.3</v>
      </c>
      <c r="I194" s="47">
        <f t="shared" si="71"/>
        <v>0.3</v>
      </c>
      <c r="J194" s="47">
        <f t="shared" si="71"/>
        <v>0.3</v>
      </c>
      <c r="K194" s="47">
        <f t="shared" si="71"/>
        <v>0.3</v>
      </c>
      <c r="L194" s="47">
        <f t="shared" si="71"/>
        <v>0.3</v>
      </c>
      <c r="M194" s="47">
        <f t="shared" si="71"/>
        <v>0.3</v>
      </c>
      <c r="N194" s="47">
        <f t="shared" si="71"/>
        <v>0.3</v>
      </c>
      <c r="O194" s="47">
        <f t="shared" si="71"/>
        <v>0.3</v>
      </c>
      <c r="P194" s="47">
        <f t="shared" si="71"/>
        <v>0.3</v>
      </c>
      <c r="Q194" s="47">
        <f t="shared" si="71"/>
        <v>0.3</v>
      </c>
      <c r="R194" s="47">
        <f t="shared" si="71"/>
        <v>0.3</v>
      </c>
      <c r="S194" s="47">
        <f t="shared" si="71"/>
        <v>0.3</v>
      </c>
      <c r="T194" s="47">
        <f t="shared" ref="T194:AF199" si="72">S194</f>
        <v>0.3</v>
      </c>
      <c r="U194" s="47">
        <f t="shared" si="72"/>
        <v>0.3</v>
      </c>
      <c r="V194" s="47">
        <f t="shared" si="72"/>
        <v>0.3</v>
      </c>
      <c r="W194" s="47">
        <f t="shared" si="72"/>
        <v>0.3</v>
      </c>
      <c r="X194" s="47">
        <f t="shared" si="72"/>
        <v>0.3</v>
      </c>
      <c r="Y194" s="47">
        <f t="shared" si="72"/>
        <v>0.3</v>
      </c>
      <c r="Z194" s="47">
        <f t="shared" si="72"/>
        <v>0.3</v>
      </c>
      <c r="AA194" s="47">
        <f t="shared" si="72"/>
        <v>0.3</v>
      </c>
      <c r="AB194" s="47">
        <f t="shared" si="72"/>
        <v>0.3</v>
      </c>
      <c r="AC194" s="47">
        <f t="shared" si="72"/>
        <v>0.3</v>
      </c>
      <c r="AD194" s="47">
        <f t="shared" si="72"/>
        <v>0.3</v>
      </c>
      <c r="AE194" s="47">
        <f t="shared" si="72"/>
        <v>0.3</v>
      </c>
      <c r="AF194" s="47">
        <f t="shared" si="72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0"/>
        <v>0.4</v>
      </c>
      <c r="C195" s="44">
        <v>0.4</v>
      </c>
      <c r="D195" s="44">
        <f t="shared" si="71"/>
        <v>0.4</v>
      </c>
      <c r="E195" s="44">
        <f t="shared" si="71"/>
        <v>0.4</v>
      </c>
      <c r="F195" s="44">
        <f t="shared" si="71"/>
        <v>0.4</v>
      </c>
      <c r="G195" s="44">
        <f t="shared" si="71"/>
        <v>0.4</v>
      </c>
      <c r="H195" s="44">
        <f t="shared" si="71"/>
        <v>0.4</v>
      </c>
      <c r="I195" s="44">
        <f t="shared" si="71"/>
        <v>0.4</v>
      </c>
      <c r="J195" s="44">
        <f t="shared" si="71"/>
        <v>0.4</v>
      </c>
      <c r="K195" s="44">
        <f t="shared" si="71"/>
        <v>0.4</v>
      </c>
      <c r="L195" s="44">
        <f t="shared" si="71"/>
        <v>0.4</v>
      </c>
      <c r="M195" s="44">
        <f t="shared" si="71"/>
        <v>0.4</v>
      </c>
      <c r="N195" s="44">
        <f t="shared" si="71"/>
        <v>0.4</v>
      </c>
      <c r="O195" s="44">
        <f t="shared" si="71"/>
        <v>0.4</v>
      </c>
      <c r="P195" s="44">
        <f t="shared" si="71"/>
        <v>0.4</v>
      </c>
      <c r="Q195" s="44">
        <f t="shared" si="71"/>
        <v>0.4</v>
      </c>
      <c r="R195" s="44">
        <f t="shared" si="71"/>
        <v>0.4</v>
      </c>
      <c r="S195" s="44">
        <f t="shared" si="71"/>
        <v>0.4</v>
      </c>
      <c r="T195" s="44">
        <f t="shared" si="72"/>
        <v>0.4</v>
      </c>
      <c r="U195" s="44">
        <f t="shared" si="72"/>
        <v>0.4</v>
      </c>
      <c r="V195" s="44">
        <f t="shared" si="72"/>
        <v>0.4</v>
      </c>
      <c r="W195" s="44">
        <f>V195</f>
        <v>0.4</v>
      </c>
      <c r="X195" s="44">
        <f>W195</f>
        <v>0.4</v>
      </c>
      <c r="Y195" s="44">
        <f t="shared" si="72"/>
        <v>0.4</v>
      </c>
      <c r="Z195" s="44">
        <f t="shared" si="72"/>
        <v>0.4</v>
      </c>
      <c r="AA195" s="44">
        <f t="shared" si="72"/>
        <v>0.4</v>
      </c>
      <c r="AB195" s="44">
        <f t="shared" si="72"/>
        <v>0.4</v>
      </c>
      <c r="AC195" s="44">
        <f t="shared" si="72"/>
        <v>0.4</v>
      </c>
      <c r="AD195" s="44">
        <f t="shared" si="72"/>
        <v>0.4</v>
      </c>
      <c r="AE195" s="44">
        <f t="shared" si="72"/>
        <v>0.4</v>
      </c>
      <c r="AF195" s="44">
        <f t="shared" si="72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0"/>
        <v>1.5</v>
      </c>
      <c r="C196" s="44">
        <v>1.5</v>
      </c>
      <c r="D196" s="44">
        <f t="shared" si="71"/>
        <v>1.5</v>
      </c>
      <c r="E196" s="44">
        <f t="shared" si="71"/>
        <v>1.5</v>
      </c>
      <c r="F196" s="44">
        <f t="shared" si="71"/>
        <v>1.5</v>
      </c>
      <c r="G196" s="44">
        <f t="shared" si="71"/>
        <v>1.5</v>
      </c>
      <c r="H196" s="44">
        <f t="shared" si="71"/>
        <v>1.5</v>
      </c>
      <c r="I196" s="44">
        <f t="shared" si="71"/>
        <v>1.5</v>
      </c>
      <c r="J196" s="44">
        <f t="shared" si="71"/>
        <v>1.5</v>
      </c>
      <c r="K196" s="44">
        <f t="shared" si="71"/>
        <v>1.5</v>
      </c>
      <c r="L196" s="44">
        <f t="shared" si="71"/>
        <v>1.5</v>
      </c>
      <c r="M196" s="44">
        <f t="shared" si="71"/>
        <v>1.5</v>
      </c>
      <c r="N196" s="44">
        <f t="shared" si="71"/>
        <v>1.5</v>
      </c>
      <c r="O196" s="44">
        <f t="shared" si="71"/>
        <v>1.5</v>
      </c>
      <c r="P196" s="44">
        <f t="shared" si="71"/>
        <v>1.5</v>
      </c>
      <c r="Q196" s="44">
        <f t="shared" si="71"/>
        <v>1.5</v>
      </c>
      <c r="R196" s="44">
        <f t="shared" si="71"/>
        <v>1.5</v>
      </c>
      <c r="S196" s="44">
        <f t="shared" si="71"/>
        <v>1.5</v>
      </c>
      <c r="T196" s="44">
        <f t="shared" si="72"/>
        <v>1.5</v>
      </c>
      <c r="U196" s="44">
        <f t="shared" si="72"/>
        <v>1.5</v>
      </c>
      <c r="V196" s="44">
        <f t="shared" si="72"/>
        <v>1.5</v>
      </c>
      <c r="W196" s="44">
        <f t="shared" si="72"/>
        <v>1.5</v>
      </c>
      <c r="X196" s="44">
        <f t="shared" si="72"/>
        <v>1.5</v>
      </c>
      <c r="Y196" s="44">
        <f t="shared" si="72"/>
        <v>1.5</v>
      </c>
      <c r="Z196" s="44">
        <f t="shared" si="72"/>
        <v>1.5</v>
      </c>
      <c r="AA196" s="44">
        <f t="shared" si="72"/>
        <v>1.5</v>
      </c>
      <c r="AB196" s="44">
        <f t="shared" si="72"/>
        <v>1.5</v>
      </c>
      <c r="AC196" s="44">
        <f t="shared" si="72"/>
        <v>1.5</v>
      </c>
      <c r="AD196" s="44">
        <f t="shared" si="72"/>
        <v>1.5</v>
      </c>
      <c r="AE196" s="44">
        <f t="shared" si="72"/>
        <v>1.5</v>
      </c>
      <c r="AF196" s="44">
        <f t="shared" si="72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0"/>
        <v>0.3</v>
      </c>
      <c r="C197" s="44">
        <v>0.3</v>
      </c>
      <c r="D197" s="44">
        <f t="shared" si="71"/>
        <v>0.3</v>
      </c>
      <c r="E197" s="44">
        <f t="shared" si="71"/>
        <v>0.3</v>
      </c>
      <c r="F197" s="44">
        <f t="shared" si="71"/>
        <v>0.3</v>
      </c>
      <c r="G197" s="44">
        <f t="shared" si="71"/>
        <v>0.3</v>
      </c>
      <c r="H197" s="44">
        <f t="shared" si="71"/>
        <v>0.3</v>
      </c>
      <c r="I197" s="44">
        <f t="shared" si="71"/>
        <v>0.3</v>
      </c>
      <c r="J197" s="44">
        <f t="shared" si="71"/>
        <v>0.3</v>
      </c>
      <c r="K197" s="44">
        <f t="shared" si="71"/>
        <v>0.3</v>
      </c>
      <c r="L197" s="44">
        <f t="shared" si="71"/>
        <v>0.3</v>
      </c>
      <c r="M197" s="44">
        <f t="shared" si="71"/>
        <v>0.3</v>
      </c>
      <c r="N197" s="44">
        <f t="shared" si="71"/>
        <v>0.3</v>
      </c>
      <c r="O197" s="44">
        <f t="shared" si="71"/>
        <v>0.3</v>
      </c>
      <c r="P197" s="44">
        <f t="shared" si="71"/>
        <v>0.3</v>
      </c>
      <c r="Q197" s="44">
        <f t="shared" si="71"/>
        <v>0.3</v>
      </c>
      <c r="R197" s="44">
        <f t="shared" si="71"/>
        <v>0.3</v>
      </c>
      <c r="S197" s="44">
        <f t="shared" si="71"/>
        <v>0.3</v>
      </c>
      <c r="T197" s="44">
        <f t="shared" si="72"/>
        <v>0.3</v>
      </c>
      <c r="U197" s="44">
        <f t="shared" si="72"/>
        <v>0.3</v>
      </c>
      <c r="V197" s="44">
        <f t="shared" si="72"/>
        <v>0.3</v>
      </c>
      <c r="W197" s="44">
        <f t="shared" si="72"/>
        <v>0.3</v>
      </c>
      <c r="X197" s="44">
        <f t="shared" si="72"/>
        <v>0.3</v>
      </c>
      <c r="Y197" s="44">
        <f t="shared" si="72"/>
        <v>0.3</v>
      </c>
      <c r="Z197" s="44">
        <f t="shared" si="72"/>
        <v>0.3</v>
      </c>
      <c r="AA197" s="44">
        <f t="shared" si="72"/>
        <v>0.3</v>
      </c>
      <c r="AB197" s="44">
        <f t="shared" si="72"/>
        <v>0.3</v>
      </c>
      <c r="AC197" s="44">
        <f t="shared" si="72"/>
        <v>0.3</v>
      </c>
      <c r="AD197" s="44">
        <f t="shared" si="72"/>
        <v>0.3</v>
      </c>
      <c r="AE197" s="44">
        <f t="shared" si="72"/>
        <v>0.3</v>
      </c>
      <c r="AF197" s="44">
        <f t="shared" si="72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0"/>
        <v>0.4</v>
      </c>
      <c r="C198" s="44">
        <v>0.4</v>
      </c>
      <c r="D198" s="44">
        <f t="shared" si="71"/>
        <v>0.4</v>
      </c>
      <c r="E198" s="44">
        <f t="shared" si="71"/>
        <v>0.4</v>
      </c>
      <c r="F198" s="44">
        <f t="shared" si="71"/>
        <v>0.4</v>
      </c>
      <c r="G198" s="44">
        <f t="shared" si="71"/>
        <v>0.4</v>
      </c>
      <c r="H198" s="44">
        <f t="shared" si="71"/>
        <v>0.4</v>
      </c>
      <c r="I198" s="44">
        <f t="shared" si="71"/>
        <v>0.4</v>
      </c>
      <c r="J198" s="44">
        <f t="shared" si="71"/>
        <v>0.4</v>
      </c>
      <c r="K198" s="44">
        <f t="shared" si="71"/>
        <v>0.4</v>
      </c>
      <c r="L198" s="44">
        <f t="shared" si="71"/>
        <v>0.4</v>
      </c>
      <c r="M198" s="44">
        <f t="shared" si="71"/>
        <v>0.4</v>
      </c>
      <c r="N198" s="44">
        <f t="shared" si="71"/>
        <v>0.4</v>
      </c>
      <c r="O198" s="44">
        <f t="shared" si="71"/>
        <v>0.4</v>
      </c>
      <c r="P198" s="44">
        <f t="shared" si="71"/>
        <v>0.4</v>
      </c>
      <c r="Q198" s="44">
        <f t="shared" si="71"/>
        <v>0.4</v>
      </c>
      <c r="R198" s="44">
        <f t="shared" si="71"/>
        <v>0.4</v>
      </c>
      <c r="S198" s="44">
        <f t="shared" si="71"/>
        <v>0.4</v>
      </c>
      <c r="T198" s="44">
        <f t="shared" si="72"/>
        <v>0.4</v>
      </c>
      <c r="U198" s="44">
        <f t="shared" si="72"/>
        <v>0.4</v>
      </c>
      <c r="V198" s="44">
        <f t="shared" si="72"/>
        <v>0.4</v>
      </c>
      <c r="W198" s="44">
        <f t="shared" si="72"/>
        <v>0.4</v>
      </c>
      <c r="X198" s="44">
        <f t="shared" si="72"/>
        <v>0.4</v>
      </c>
      <c r="Y198" s="44">
        <f t="shared" si="72"/>
        <v>0.4</v>
      </c>
      <c r="Z198" s="44">
        <f t="shared" si="72"/>
        <v>0.4</v>
      </c>
      <c r="AA198" s="44">
        <f t="shared" si="72"/>
        <v>0.4</v>
      </c>
      <c r="AB198" s="44">
        <f t="shared" si="72"/>
        <v>0.4</v>
      </c>
      <c r="AC198" s="44">
        <f t="shared" si="72"/>
        <v>0.4</v>
      </c>
      <c r="AD198" s="44">
        <f t="shared" si="72"/>
        <v>0.4</v>
      </c>
      <c r="AE198" s="44">
        <f t="shared" si="72"/>
        <v>0.4</v>
      </c>
      <c r="AF198" s="44">
        <f t="shared" si="72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0"/>
        <v>0.64</v>
      </c>
      <c r="C199" s="40">
        <v>0.64</v>
      </c>
      <c r="D199" s="40">
        <f t="shared" si="71"/>
        <v>0.64</v>
      </c>
      <c r="E199" s="40">
        <f t="shared" si="71"/>
        <v>0.64</v>
      </c>
      <c r="F199" s="40">
        <f t="shared" si="71"/>
        <v>0.64</v>
      </c>
      <c r="G199" s="40">
        <f t="shared" si="71"/>
        <v>0.64</v>
      </c>
      <c r="H199" s="40">
        <f t="shared" si="71"/>
        <v>0.64</v>
      </c>
      <c r="I199" s="40">
        <f t="shared" si="71"/>
        <v>0.64</v>
      </c>
      <c r="J199" s="40">
        <f t="shared" si="71"/>
        <v>0.64</v>
      </c>
      <c r="K199" s="40">
        <f t="shared" si="71"/>
        <v>0.64</v>
      </c>
      <c r="L199" s="40">
        <f t="shared" si="71"/>
        <v>0.64</v>
      </c>
      <c r="M199" s="40">
        <f t="shared" si="71"/>
        <v>0.64</v>
      </c>
      <c r="N199" s="40">
        <f t="shared" si="71"/>
        <v>0.64</v>
      </c>
      <c r="O199" s="40">
        <f t="shared" si="71"/>
        <v>0.64</v>
      </c>
      <c r="P199" s="40">
        <f t="shared" si="71"/>
        <v>0.64</v>
      </c>
      <c r="Q199" s="40">
        <f t="shared" si="71"/>
        <v>0.64</v>
      </c>
      <c r="R199" s="40">
        <f t="shared" si="71"/>
        <v>0.64</v>
      </c>
      <c r="S199" s="40">
        <f t="shared" si="71"/>
        <v>0.64</v>
      </c>
      <c r="T199" s="40">
        <f t="shared" si="72"/>
        <v>0.64</v>
      </c>
      <c r="U199" s="40">
        <f t="shared" si="72"/>
        <v>0.64</v>
      </c>
      <c r="V199" s="40">
        <f t="shared" si="72"/>
        <v>0.64</v>
      </c>
      <c r="W199" s="40">
        <f t="shared" si="72"/>
        <v>0.64</v>
      </c>
      <c r="X199" s="40">
        <f t="shared" si="72"/>
        <v>0.64</v>
      </c>
      <c r="Y199" s="40">
        <f t="shared" si="72"/>
        <v>0.64</v>
      </c>
      <c r="Z199" s="40">
        <f t="shared" si="72"/>
        <v>0.64</v>
      </c>
      <c r="AA199" s="40">
        <f t="shared" si="72"/>
        <v>0.64</v>
      </c>
      <c r="AB199" s="40">
        <f t="shared" si="72"/>
        <v>0.64</v>
      </c>
      <c r="AC199" s="40">
        <f t="shared" si="72"/>
        <v>0.64</v>
      </c>
      <c r="AD199" s="40">
        <f t="shared" si="72"/>
        <v>0.64</v>
      </c>
      <c r="AE199" s="40">
        <f t="shared" si="72"/>
        <v>0.64</v>
      </c>
      <c r="AF199" s="40">
        <f t="shared" si="7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3">SUM(D194:D199)</f>
        <v>3.54</v>
      </c>
      <c r="E200" s="37">
        <f t="shared" si="73"/>
        <v>3.54</v>
      </c>
      <c r="F200" s="37">
        <f t="shared" si="73"/>
        <v>3.54</v>
      </c>
      <c r="G200" s="37">
        <f t="shared" si="73"/>
        <v>3.54</v>
      </c>
      <c r="H200" s="37">
        <f t="shared" si="73"/>
        <v>3.54</v>
      </c>
      <c r="I200" s="37">
        <f t="shared" si="73"/>
        <v>3.54</v>
      </c>
      <c r="J200" s="37">
        <f t="shared" si="73"/>
        <v>3.54</v>
      </c>
      <c r="K200" s="37">
        <f t="shared" si="73"/>
        <v>3.54</v>
      </c>
      <c r="L200" s="37">
        <f t="shared" si="73"/>
        <v>3.54</v>
      </c>
      <c r="M200" s="37">
        <f>SUM(M194:M199)</f>
        <v>3.54</v>
      </c>
      <c r="N200" s="37">
        <f t="shared" ref="N200:S200" si="74">SUM(N194:N199)</f>
        <v>3.54</v>
      </c>
      <c r="O200" s="37">
        <f t="shared" si="74"/>
        <v>3.54</v>
      </c>
      <c r="P200" s="37">
        <f t="shared" si="74"/>
        <v>3.54</v>
      </c>
      <c r="Q200" s="37">
        <f t="shared" si="74"/>
        <v>3.54</v>
      </c>
      <c r="R200" s="37">
        <f t="shared" si="74"/>
        <v>3.54</v>
      </c>
      <c r="S200" s="37">
        <f t="shared" si="74"/>
        <v>3.54</v>
      </c>
      <c r="T200" s="37">
        <f>SUM(T194:T199)</f>
        <v>3.54</v>
      </c>
      <c r="U200" s="37">
        <f t="shared" ref="U200:AG200" si="75">SUM(U194:U199)</f>
        <v>3.54</v>
      </c>
      <c r="V200" s="37">
        <f t="shared" si="75"/>
        <v>3.54</v>
      </c>
      <c r="W200" s="37">
        <f t="shared" si="75"/>
        <v>3.54</v>
      </c>
      <c r="X200" s="37">
        <f t="shared" si="75"/>
        <v>3.54</v>
      </c>
      <c r="Y200" s="37">
        <f t="shared" si="75"/>
        <v>3.54</v>
      </c>
      <c r="Z200" s="37">
        <f t="shared" si="75"/>
        <v>3.54</v>
      </c>
      <c r="AA200" s="37">
        <f t="shared" si="75"/>
        <v>3.54</v>
      </c>
      <c r="AB200" s="37">
        <f t="shared" si="75"/>
        <v>3.54</v>
      </c>
      <c r="AC200" s="37">
        <f t="shared" si="75"/>
        <v>3.54</v>
      </c>
      <c r="AD200" s="37">
        <f t="shared" si="75"/>
        <v>3.54</v>
      </c>
      <c r="AE200" s="37">
        <f t="shared" si="75"/>
        <v>3.54</v>
      </c>
      <c r="AF200" s="37">
        <f t="shared" si="75"/>
        <v>3.54</v>
      </c>
      <c r="AG200" s="36">
        <f t="shared" si="75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1227.3400000000001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3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2078/12/3)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2078/12/3)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6">B75</f>
        <v>1062.44</v>
      </c>
      <c r="U214" s="9">
        <f t="shared" si="76"/>
        <v>1031.3399999999999</v>
      </c>
      <c r="V214" s="9">
        <f t="shared" si="76"/>
        <v>1027.24</v>
      </c>
      <c r="W214" s="9">
        <f t="shared" si="76"/>
        <v>992.14</v>
      </c>
      <c r="X214" s="9">
        <f t="shared" si="76"/>
        <v>995.14</v>
      </c>
      <c r="Y214" s="9">
        <f t="shared" si="76"/>
        <v>1019.94</v>
      </c>
      <c r="Z214" s="9">
        <f t="shared" si="76"/>
        <v>1057.74</v>
      </c>
      <c r="AA214" s="9">
        <f t="shared" si="76"/>
        <v>1078.54</v>
      </c>
      <c r="AB214" s="9">
        <f t="shared" si="76"/>
        <v>1141.3400000000001</v>
      </c>
      <c r="AC214" s="9">
        <f t="shared" si="76"/>
        <v>1166.04</v>
      </c>
      <c r="AD214" s="9">
        <f t="shared" si="76"/>
        <v>1185.2400000000002</v>
      </c>
      <c r="AE214" s="9">
        <f t="shared" si="76"/>
        <v>1227.3400000000001</v>
      </c>
      <c r="AF214" s="9">
        <f t="shared" si="76"/>
        <v>1162.0400000000002</v>
      </c>
      <c r="AG214" s="9">
        <f t="shared" si="76"/>
        <v>1168.3400000000001</v>
      </c>
      <c r="AH214" s="9">
        <f t="shared" si="76"/>
        <v>1141.2900000000002</v>
      </c>
      <c r="AI214" s="9">
        <f t="shared" si="76"/>
        <v>1116.54</v>
      </c>
      <c r="AJ214" s="9">
        <f t="shared" si="76"/>
        <v>1066.44</v>
      </c>
      <c r="AK214" s="9">
        <f t="shared" si="76"/>
        <v>1103.68</v>
      </c>
      <c r="AL214" s="9">
        <f t="shared" si="76"/>
        <v>1079.8399999999999</v>
      </c>
      <c r="AM214" s="9">
        <f t="shared" si="76"/>
        <v>1269.6399999999999</v>
      </c>
      <c r="AN214" s="9">
        <f t="shared" si="76"/>
        <v>1335.54</v>
      </c>
      <c r="AO214" s="9">
        <f t="shared" si="76"/>
        <v>1320.64</v>
      </c>
      <c r="AP214" s="9">
        <f t="shared" si="76"/>
        <v>1343.8400000000001</v>
      </c>
      <c r="AQ214" s="9">
        <f t="shared" si="76"/>
        <v>1413.8400000000001</v>
      </c>
      <c r="AR214" s="9">
        <f t="shared" si="76"/>
        <v>1576.3400000000001</v>
      </c>
      <c r="AS214" s="9">
        <f t="shared" si="76"/>
        <v>1519.0400000000002</v>
      </c>
      <c r="AT214" s="9">
        <f t="shared" si="76"/>
        <v>1467.0400000000002</v>
      </c>
      <c r="AU214" s="9">
        <f t="shared" si="76"/>
        <v>1436.3400000000001</v>
      </c>
      <c r="AV214" s="9">
        <f t="shared" si="76"/>
        <v>1378.54</v>
      </c>
      <c r="AW214" s="9">
        <f t="shared" si="76"/>
        <v>1273.0400000000002</v>
      </c>
      <c r="AX214" s="9">
        <f t="shared" si="76"/>
        <v>1199.7400000000002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7">C199</f>
        <v>0.64</v>
      </c>
      <c r="C235" s="4">
        <f t="shared" si="77"/>
        <v>0.64</v>
      </c>
      <c r="D235" s="4">
        <f t="shared" si="77"/>
        <v>0.64</v>
      </c>
      <c r="E235" s="4">
        <f t="shared" si="77"/>
        <v>0.64</v>
      </c>
      <c r="F235" s="4">
        <f t="shared" si="77"/>
        <v>0.64</v>
      </c>
      <c r="G235" s="4">
        <f t="shared" si="77"/>
        <v>0.64</v>
      </c>
      <c r="H235" s="4">
        <f t="shared" si="77"/>
        <v>0.64</v>
      </c>
      <c r="I235" s="4">
        <f t="shared" si="77"/>
        <v>0.64</v>
      </c>
      <c r="J235" s="4">
        <f t="shared" si="77"/>
        <v>0.64</v>
      </c>
      <c r="K235" s="4">
        <f t="shared" si="77"/>
        <v>0.64</v>
      </c>
      <c r="L235" s="4">
        <f t="shared" si="77"/>
        <v>0.64</v>
      </c>
      <c r="M235" s="4">
        <f t="shared" si="77"/>
        <v>0.64</v>
      </c>
      <c r="N235" s="4">
        <f t="shared" si="77"/>
        <v>0.64</v>
      </c>
      <c r="O235" s="4">
        <f t="shared" si="77"/>
        <v>0.64</v>
      </c>
      <c r="P235" s="4">
        <f t="shared" si="77"/>
        <v>0.64</v>
      </c>
      <c r="Q235" s="4">
        <f t="shared" si="77"/>
        <v>0.64</v>
      </c>
      <c r="R235" s="4">
        <f t="shared" si="77"/>
        <v>0.64</v>
      </c>
      <c r="S235" s="4">
        <f t="shared" si="77"/>
        <v>0.64</v>
      </c>
      <c r="T235" s="4">
        <f t="shared" si="77"/>
        <v>0.64</v>
      </c>
      <c r="U235" s="4">
        <f t="shared" si="77"/>
        <v>0.64</v>
      </c>
      <c r="V235" s="4">
        <f t="shared" si="77"/>
        <v>0.64</v>
      </c>
      <c r="W235" s="4">
        <f t="shared" si="77"/>
        <v>0.64</v>
      </c>
      <c r="X235" s="4">
        <f t="shared" si="77"/>
        <v>0.64</v>
      </c>
      <c r="Y235" s="4">
        <f t="shared" si="77"/>
        <v>0.64</v>
      </c>
      <c r="Z235" s="4">
        <f t="shared" si="77"/>
        <v>0.64</v>
      </c>
      <c r="AA235" s="4">
        <f t="shared" si="77"/>
        <v>0.64</v>
      </c>
      <c r="AB235" s="4">
        <f t="shared" si="77"/>
        <v>0.64</v>
      </c>
      <c r="AC235" s="4">
        <f t="shared" si="77"/>
        <v>0.64</v>
      </c>
      <c r="AD235" s="4">
        <f t="shared" si="77"/>
        <v>0.64</v>
      </c>
      <c r="AE235" s="4">
        <f t="shared" si="77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8">IF(C203&lt;100,"",C203-520)</f>
        <v/>
      </c>
      <c r="D236" s="3" t="str">
        <f t="shared" si="78"/>
        <v/>
      </c>
      <c r="E236" s="3" t="str">
        <f t="shared" si="78"/>
        <v/>
      </c>
      <c r="F236" s="3" t="str">
        <f t="shared" si="78"/>
        <v/>
      </c>
      <c r="G236" s="3" t="str">
        <f t="shared" si="78"/>
        <v/>
      </c>
      <c r="H236" s="3" t="str">
        <f t="shared" si="78"/>
        <v/>
      </c>
      <c r="I236" s="3" t="str">
        <f t="shared" si="78"/>
        <v/>
      </c>
      <c r="J236" s="3" t="str">
        <f t="shared" si="78"/>
        <v/>
      </c>
      <c r="K236" s="3" t="str">
        <f t="shared" si="78"/>
        <v/>
      </c>
      <c r="L236" s="3" t="str">
        <f t="shared" si="78"/>
        <v/>
      </c>
      <c r="M236" s="3" t="str">
        <f t="shared" si="78"/>
        <v/>
      </c>
      <c r="N236" s="3" t="str">
        <f t="shared" si="78"/>
        <v/>
      </c>
      <c r="O236" s="3" t="str">
        <f t="shared" si="78"/>
        <v/>
      </c>
      <c r="P236" s="3" t="str">
        <f t="shared" si="78"/>
        <v/>
      </c>
      <c r="Q236" s="3" t="str">
        <f t="shared" si="78"/>
        <v/>
      </c>
      <c r="R236" s="3" t="str">
        <f t="shared" si="78"/>
        <v/>
      </c>
      <c r="S236" s="3" t="str">
        <f t="shared" si="78"/>
        <v/>
      </c>
      <c r="T236" s="3" t="str">
        <f t="shared" si="78"/>
        <v/>
      </c>
      <c r="U236" s="3" t="str">
        <f t="shared" si="78"/>
        <v/>
      </c>
      <c r="V236" s="3" t="str">
        <f t="shared" si="78"/>
        <v/>
      </c>
      <c r="W236" s="3" t="str">
        <f t="shared" si="78"/>
        <v/>
      </c>
      <c r="X236" s="3" t="str">
        <f t="shared" si="78"/>
        <v/>
      </c>
      <c r="Y236" s="3" t="str">
        <f t="shared" si="78"/>
        <v/>
      </c>
      <c r="Z236" s="3" t="str">
        <f t="shared" si="78"/>
        <v/>
      </c>
      <c r="AA236" s="3" t="str">
        <f t="shared" si="78"/>
        <v/>
      </c>
      <c r="AB236" s="3" t="str">
        <f t="shared" si="78"/>
        <v/>
      </c>
      <c r="AC236" s="3" t="str">
        <f t="shared" si="78"/>
        <v/>
      </c>
      <c r="AD236" s="3" t="str">
        <f t="shared" si="78"/>
        <v/>
      </c>
      <c r="AE236" s="3" t="str">
        <f t="shared" si="78"/>
        <v/>
      </c>
      <c r="AF236" s="3" t="str">
        <f t="shared" si="78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9">IF(B204&lt;100,"",B204-620)</f>
        <v/>
      </c>
      <c r="C237" s="3" t="str">
        <f t="shared" si="79"/>
        <v/>
      </c>
      <c r="D237" s="3" t="str">
        <f t="shared" si="79"/>
        <v/>
      </c>
      <c r="E237" s="3" t="str">
        <f t="shared" si="79"/>
        <v/>
      </c>
      <c r="F237" s="3" t="str">
        <f t="shared" si="79"/>
        <v/>
      </c>
      <c r="G237" s="3" t="str">
        <f t="shared" si="79"/>
        <v/>
      </c>
      <c r="H237" s="3" t="str">
        <f t="shared" si="79"/>
        <v/>
      </c>
      <c r="I237" s="3" t="str">
        <f t="shared" si="79"/>
        <v/>
      </c>
      <c r="J237" s="3" t="str">
        <f t="shared" si="79"/>
        <v/>
      </c>
      <c r="K237" s="3" t="str">
        <f t="shared" si="79"/>
        <v/>
      </c>
      <c r="L237" s="3" t="str">
        <f t="shared" si="79"/>
        <v/>
      </c>
      <c r="M237" s="3" t="str">
        <f t="shared" si="79"/>
        <v/>
      </c>
      <c r="N237" s="3" t="str">
        <f t="shared" si="79"/>
        <v/>
      </c>
      <c r="O237" s="3" t="str">
        <f t="shared" si="79"/>
        <v/>
      </c>
      <c r="P237" s="3" t="str">
        <f t="shared" si="79"/>
        <v/>
      </c>
      <c r="Q237" s="3" t="str">
        <f t="shared" si="79"/>
        <v/>
      </c>
      <c r="R237" s="3" t="str">
        <f t="shared" si="79"/>
        <v/>
      </c>
      <c r="S237" s="3" t="str">
        <f t="shared" si="79"/>
        <v/>
      </c>
      <c r="T237" s="3" t="str">
        <f t="shared" si="79"/>
        <v/>
      </c>
      <c r="U237" s="3" t="str">
        <f t="shared" si="79"/>
        <v/>
      </c>
      <c r="V237" s="3" t="str">
        <f t="shared" si="79"/>
        <v/>
      </c>
      <c r="W237" s="3" t="str">
        <f t="shared" si="79"/>
        <v/>
      </c>
      <c r="X237" s="3" t="str">
        <f t="shared" si="79"/>
        <v/>
      </c>
      <c r="Y237" s="3" t="str">
        <f t="shared" si="79"/>
        <v/>
      </c>
      <c r="Z237" s="3" t="str">
        <f t="shared" si="79"/>
        <v/>
      </c>
      <c r="AA237" s="3" t="str">
        <f t="shared" si="79"/>
        <v/>
      </c>
      <c r="AB237" s="3" t="str">
        <f t="shared" si="79"/>
        <v/>
      </c>
      <c r="AC237" s="3" t="str">
        <f t="shared" si="79"/>
        <v/>
      </c>
      <c r="AD237" s="3" t="str">
        <f t="shared" si="79"/>
        <v/>
      </c>
      <c r="AE237" s="3" t="str">
        <f t="shared" si="79"/>
        <v/>
      </c>
      <c r="AF237" s="3" t="str">
        <f t="shared" si="79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0">IF(B205&lt;100,"",B205-330)</f>
        <v/>
      </c>
      <c r="C238" s="3" t="str">
        <f t="shared" si="80"/>
        <v/>
      </c>
      <c r="D238" s="3" t="str">
        <f t="shared" si="80"/>
        <v/>
      </c>
      <c r="E238" s="3" t="str">
        <f t="shared" si="80"/>
        <v/>
      </c>
      <c r="F238" s="3" t="str">
        <f t="shared" si="80"/>
        <v/>
      </c>
      <c r="G238" s="3" t="str">
        <f t="shared" si="80"/>
        <v/>
      </c>
      <c r="H238" s="3" t="str">
        <f t="shared" si="80"/>
        <v/>
      </c>
      <c r="I238" s="3" t="str">
        <f t="shared" si="80"/>
        <v/>
      </c>
      <c r="J238" s="3" t="str">
        <f t="shared" si="80"/>
        <v/>
      </c>
      <c r="K238" s="3" t="str">
        <f t="shared" si="80"/>
        <v/>
      </c>
      <c r="L238" s="3" t="str">
        <f t="shared" si="80"/>
        <v/>
      </c>
      <c r="M238" s="3" t="str">
        <f t="shared" si="80"/>
        <v/>
      </c>
      <c r="N238" s="3" t="str">
        <f t="shared" si="80"/>
        <v/>
      </c>
      <c r="O238" s="3" t="str">
        <f t="shared" si="80"/>
        <v/>
      </c>
      <c r="P238" s="3" t="str">
        <f t="shared" si="80"/>
        <v/>
      </c>
      <c r="Q238" s="3" t="str">
        <f t="shared" si="80"/>
        <v/>
      </c>
      <c r="R238" s="3" t="str">
        <f t="shared" si="80"/>
        <v/>
      </c>
      <c r="S238" s="3" t="str">
        <f t="shared" si="80"/>
        <v/>
      </c>
      <c r="T238" s="3" t="str">
        <f t="shared" si="80"/>
        <v/>
      </c>
      <c r="U238" s="3" t="str">
        <f t="shared" si="80"/>
        <v/>
      </c>
      <c r="V238" s="3" t="str">
        <f t="shared" si="80"/>
        <v/>
      </c>
      <c r="W238" s="3" t="str">
        <f t="shared" si="80"/>
        <v/>
      </c>
      <c r="X238" s="3" t="str">
        <f t="shared" si="80"/>
        <v/>
      </c>
      <c r="Y238" s="3" t="str">
        <f t="shared" si="80"/>
        <v/>
      </c>
      <c r="Z238" s="3" t="str">
        <f t="shared" si="80"/>
        <v/>
      </c>
      <c r="AA238" s="3" t="str">
        <f t="shared" si="80"/>
        <v/>
      </c>
      <c r="AB238" s="3" t="str">
        <f t="shared" si="80"/>
        <v/>
      </c>
      <c r="AC238" s="3" t="str">
        <f t="shared" si="80"/>
        <v/>
      </c>
      <c r="AD238" s="3" t="str">
        <f t="shared" si="80"/>
        <v/>
      </c>
      <c r="AE238" s="3" t="str">
        <f t="shared" si="80"/>
        <v/>
      </c>
      <c r="AF238" s="3" t="str">
        <f t="shared" si="80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1">IF(C206&lt;100,"",C206-1500)</f>
        <v/>
      </c>
      <c r="D239" s="3" t="str">
        <f t="shared" si="81"/>
        <v/>
      </c>
      <c r="E239" s="3" t="str">
        <f t="shared" si="81"/>
        <v/>
      </c>
      <c r="F239" s="3" t="str">
        <f t="shared" si="81"/>
        <v/>
      </c>
      <c r="G239" s="3" t="str">
        <f t="shared" si="81"/>
        <v/>
      </c>
      <c r="H239" s="3" t="str">
        <f t="shared" si="81"/>
        <v/>
      </c>
      <c r="I239" s="3" t="str">
        <f t="shared" si="81"/>
        <v/>
      </c>
      <c r="J239" s="3" t="str">
        <f t="shared" si="81"/>
        <v/>
      </c>
      <c r="K239" s="3" t="str">
        <f t="shared" si="81"/>
        <v/>
      </c>
      <c r="L239" s="3" t="str">
        <f t="shared" si="81"/>
        <v/>
      </c>
      <c r="M239" s="3" t="str">
        <f t="shared" si="81"/>
        <v/>
      </c>
      <c r="N239" s="3" t="str">
        <f t="shared" si="81"/>
        <v/>
      </c>
      <c r="O239" s="3" t="str">
        <f t="shared" si="81"/>
        <v/>
      </c>
      <c r="P239" s="3" t="str">
        <f t="shared" si="81"/>
        <v/>
      </c>
      <c r="Q239" s="3" t="str">
        <f t="shared" si="81"/>
        <v/>
      </c>
      <c r="R239" s="3" t="str">
        <f t="shared" si="81"/>
        <v/>
      </c>
      <c r="S239" s="3" t="str">
        <f t="shared" si="81"/>
        <v/>
      </c>
      <c r="T239" s="3" t="str">
        <f t="shared" si="81"/>
        <v/>
      </c>
      <c r="U239" s="3" t="str">
        <f t="shared" si="81"/>
        <v/>
      </c>
      <c r="V239" s="3" t="str">
        <f t="shared" si="81"/>
        <v/>
      </c>
      <c r="W239" s="3" t="str">
        <f t="shared" si="81"/>
        <v/>
      </c>
      <c r="X239" s="3" t="str">
        <f t="shared" si="81"/>
        <v/>
      </c>
      <c r="Y239" s="3" t="str">
        <f t="shared" si="81"/>
        <v/>
      </c>
      <c r="Z239" s="3" t="str">
        <f t="shared" si="81"/>
        <v/>
      </c>
      <c r="AA239" s="3" t="str">
        <f t="shared" si="81"/>
        <v/>
      </c>
      <c r="AB239" s="3" t="str">
        <f t="shared" si="81"/>
        <v/>
      </c>
      <c r="AC239" s="3" t="str">
        <f t="shared" si="81"/>
        <v/>
      </c>
      <c r="AD239" s="3" t="str">
        <f t="shared" si="81"/>
        <v/>
      </c>
      <c r="AE239" s="3" t="str">
        <f t="shared" si="81"/>
        <v/>
      </c>
      <c r="AF239" s="3" t="str">
        <f t="shared" si="81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C57:L59 C60:R61 M58:R59 AB81:AF81 C81:R81 D194:AF200 B194:B200 B9:AF10 B192:AF192 AF57:AF61 AG73 AB94:AF100 U213:AF213 S58:S61 M37:Y37 C56:AF56 C82:AF83 C68:AF80 Z85:AA91 M39:Y42 M11:AE11 M53:AF55 Z12:Z37 AA12:AF36 Z40:AF43 AB84:AF91">
    <cfRule type="expression" dxfId="8210" priority="317">
      <formula>B$9&gt;=20/24</formula>
    </cfRule>
    <cfRule type="expression" dxfId="8209" priority="318">
      <formula>AND(B$9&gt;=14/24,B$9&lt;20/24)</formula>
    </cfRule>
    <cfRule type="expression" dxfId="8208" priority="319">
      <formula>AND(B$9&gt;=8/24,B$9&lt;14/24)</formula>
    </cfRule>
    <cfRule type="expression" dxfId="8207" priority="320">
      <formula>B$9&lt;8/24</formula>
    </cfRule>
  </conditionalFormatting>
  <conditionalFormatting sqref="AL4:AL6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8206" priority="312">
      <formula>M$9&gt;=20/24</formula>
    </cfRule>
    <cfRule type="expression" dxfId="8205" priority="313">
      <formula>AND(M$9&gt;=14/24,M$9&lt;20/24)</formula>
    </cfRule>
    <cfRule type="expression" dxfId="8204" priority="314">
      <formula>AND(M$9&gt;=8/24,M$9&lt;14/24)</formula>
    </cfRule>
    <cfRule type="expression" dxfId="8203" priority="315">
      <formula>M$9&lt;8/24</formula>
    </cfRule>
  </conditionalFormatting>
  <conditionalFormatting sqref="M43:Y43">
    <cfRule type="expression" dxfId="8202" priority="308">
      <formula>M$9&gt;=20/24</formula>
    </cfRule>
    <cfRule type="expression" dxfId="8201" priority="309">
      <formula>AND(M$9&gt;=14/24,M$9&lt;20/24)</formula>
    </cfRule>
    <cfRule type="expression" dxfId="8200" priority="310">
      <formula>AND(M$9&gt;=8/24,M$9&lt;14/24)</formula>
    </cfRule>
    <cfRule type="expression" dxfId="8199" priority="311">
      <formula>M$9&lt;8/24</formula>
    </cfRule>
  </conditionalFormatting>
  <conditionalFormatting sqref="Z39:AF39">
    <cfRule type="expression" dxfId="8198" priority="300">
      <formula>Z$9&gt;=20/24</formula>
    </cfRule>
    <cfRule type="expression" dxfId="8197" priority="301">
      <formula>AND(Z$9&gt;=14/24,Z$9&lt;20/24)</formula>
    </cfRule>
    <cfRule type="expression" dxfId="8196" priority="302">
      <formula>AND(Z$9&gt;=8/24,Z$9&lt;14/24)</formula>
    </cfRule>
    <cfRule type="expression" dxfId="8195" priority="303">
      <formula>Z$9&lt;8/24</formula>
    </cfRule>
  </conditionalFormatting>
  <conditionalFormatting sqref="Z57:AE57">
    <cfRule type="expression" dxfId="8194" priority="296">
      <formula>Z$9&gt;=20/24</formula>
    </cfRule>
    <cfRule type="expression" dxfId="8193" priority="297">
      <formula>AND(Z$9&gt;=14/24,Z$9&lt;20/24)</formula>
    </cfRule>
    <cfRule type="expression" dxfId="8192" priority="298">
      <formula>AND(Z$9&gt;=8/24,Z$9&lt;14/24)</formula>
    </cfRule>
    <cfRule type="expression" dxfId="8191" priority="299">
      <formula>Z$9&lt;8/24</formula>
    </cfRule>
  </conditionalFormatting>
  <conditionalFormatting sqref="S81:AA81">
    <cfRule type="expression" dxfId="8190" priority="292">
      <formula>S$9&gt;=20/24</formula>
    </cfRule>
    <cfRule type="expression" dxfId="8189" priority="293">
      <formula>AND(S$9&gt;=14/24,S$9&lt;20/24)</formula>
    </cfRule>
    <cfRule type="expression" dxfId="8188" priority="294">
      <formula>AND(S$9&gt;=8/24,S$9&lt;14/24)</formula>
    </cfRule>
    <cfRule type="expression" dxfId="8187" priority="295">
      <formula>S$9&lt;8/24</formula>
    </cfRule>
  </conditionalFormatting>
  <conditionalFormatting sqref="Z84:AA84">
    <cfRule type="expression" dxfId="8186" priority="288">
      <formula>Z$9&gt;=20/24</formula>
    </cfRule>
    <cfRule type="expression" dxfId="8185" priority="289">
      <formula>AND(Z$9&gt;=14/24,Z$9&lt;20/24)</formula>
    </cfRule>
    <cfRule type="expression" dxfId="8184" priority="290">
      <formula>AND(Z$9&gt;=8/24,Z$9&lt;14/24)</formula>
    </cfRule>
    <cfRule type="expression" dxfId="8183" priority="291">
      <formula>Z$9&lt;8/24</formula>
    </cfRule>
  </conditionalFormatting>
  <conditionalFormatting sqref="AA37:AF37">
    <cfRule type="expression" dxfId="8182" priority="268">
      <formula>AA$9&gt;=20/24</formula>
    </cfRule>
    <cfRule type="expression" dxfId="8181" priority="269">
      <formula>AND(AA$9&gt;=14/24,AA$9&lt;20/24)</formula>
    </cfRule>
    <cfRule type="expression" dxfId="8180" priority="270">
      <formula>AND(AA$9&gt;=8/24,AA$9&lt;14/24)</formula>
    </cfRule>
    <cfRule type="expression" dxfId="8179" priority="271">
      <formula>AA$9&lt;8/24</formula>
    </cfRule>
  </conditionalFormatting>
  <conditionalFormatting sqref="Z45:AF48">
    <cfRule type="expression" dxfId="8178" priority="260">
      <formula>Z$9&gt;=20/24</formula>
    </cfRule>
    <cfRule type="expression" dxfId="8177" priority="261">
      <formula>AND(Z$9&gt;=14/24,Z$9&lt;20/24)</formula>
    </cfRule>
    <cfRule type="expression" dxfId="8176" priority="262">
      <formula>AND(Z$9&gt;=8/24,Z$9&lt;14/24)</formula>
    </cfRule>
    <cfRule type="expression" dxfId="8175" priority="263">
      <formula>Z$9&lt;8/24</formula>
    </cfRule>
  </conditionalFormatting>
  <conditionalFormatting sqref="Z49:AF49">
    <cfRule type="expression" dxfId="8174" priority="256">
      <formula>Z$9&gt;=20/24</formula>
    </cfRule>
    <cfRule type="expression" dxfId="8173" priority="257">
      <formula>AND(Z$9&gt;=14/24,Z$9&lt;20/24)</formula>
    </cfRule>
    <cfRule type="expression" dxfId="8172" priority="258">
      <formula>AND(Z$9&gt;=8/24,Z$9&lt;14/24)</formula>
    </cfRule>
    <cfRule type="expression" dxfId="8171" priority="259">
      <formula>Z$9&lt;8/24</formula>
    </cfRule>
  </conditionalFormatting>
  <conditionalFormatting sqref="Z50:AF50">
    <cfRule type="expression" dxfId="8170" priority="252">
      <formula>Z$9&gt;=20/24</formula>
    </cfRule>
    <cfRule type="expression" dxfId="8169" priority="253">
      <formula>AND(Z$9&gt;=14/24,Z$9&lt;20/24)</formula>
    </cfRule>
    <cfRule type="expression" dxfId="8168" priority="254">
      <formula>AND(Z$9&gt;=8/24,Z$9&lt;14/24)</formula>
    </cfRule>
    <cfRule type="expression" dxfId="8167" priority="255">
      <formula>Z$9&lt;8/24</formula>
    </cfRule>
  </conditionalFormatting>
  <conditionalFormatting sqref="Z60:AE61 Z62:AF67">
    <cfRule type="expression" dxfId="8166" priority="248">
      <formula>Z$9&gt;=20/24</formula>
    </cfRule>
    <cfRule type="expression" dxfId="8165" priority="249">
      <formula>AND(Z$9&gt;=14/24,Z$9&lt;20/24)</formula>
    </cfRule>
    <cfRule type="expression" dxfId="8164" priority="250">
      <formula>AND(Z$9&gt;=8/24,Z$9&lt;14/24)</formula>
    </cfRule>
    <cfRule type="expression" dxfId="8163" priority="251">
      <formula>Z$9&lt;8/24</formula>
    </cfRule>
  </conditionalFormatting>
  <conditionalFormatting sqref="E62:J62 J63 K62:S63">
    <cfRule type="expression" dxfId="8162" priority="244">
      <formula>E$9&gt;=20/24</formula>
    </cfRule>
    <cfRule type="expression" dxfId="8161" priority="245">
      <formula>AND(E$9&gt;=14/24,E$9&lt;20/24)</formula>
    </cfRule>
    <cfRule type="expression" dxfId="8160" priority="246">
      <formula>AND(E$9&gt;=8/24,E$9&lt;14/24)</formula>
    </cfRule>
    <cfRule type="expression" dxfId="8159" priority="247">
      <formula>E$9&lt;8/24</formula>
    </cfRule>
  </conditionalFormatting>
  <conditionalFormatting sqref="X94:AA97">
    <cfRule type="expression" dxfId="8158" priority="240">
      <formula>X$9&gt;=20/24</formula>
    </cfRule>
    <cfRule type="expression" dxfId="8157" priority="241">
      <formula>AND(X$9&gt;=14/24,X$9&lt;20/24)</formula>
    </cfRule>
    <cfRule type="expression" dxfId="8156" priority="242">
      <formula>AND(X$9&gt;=8/24,X$9&lt;14/24)</formula>
    </cfRule>
    <cfRule type="expression" dxfId="8155" priority="243">
      <formula>X$9&lt;8/24</formula>
    </cfRule>
  </conditionalFormatting>
  <conditionalFormatting sqref="AG51 E44:F44 C43:F43 G43:R44 C39:R42 C38:AF38 M37:Y37 E11:AF11 S39:Y44 C51:AF56 Z12:AF37 Z39:AF50">
    <cfRule type="expression" dxfId="8154" priority="239">
      <formula>C11&gt;$AG11</formula>
    </cfRule>
  </conditionalFormatting>
  <conditionalFormatting sqref="A101:A157 A84:A97 A11:A14 A16:A32 A45:A72 A80:A82 A74:A78 A35:A43 A170:A200">
    <cfRule type="expression" dxfId="8153" priority="238">
      <formula>$AH11=0</formula>
    </cfRule>
  </conditionalFormatting>
  <conditionalFormatting sqref="X98:AA98">
    <cfRule type="expression" dxfId="8152" priority="234">
      <formula>X$9&gt;=20/24</formula>
    </cfRule>
    <cfRule type="expression" dxfId="8151" priority="235">
      <formula>AND(X$9&gt;=14/24,X$9&lt;20/24)</formula>
    </cfRule>
    <cfRule type="expression" dxfId="8150" priority="236">
      <formula>AND(X$9&gt;=8/24,X$9&lt;14/24)</formula>
    </cfRule>
    <cfRule type="expression" dxfId="8149" priority="237">
      <formula>X$9&lt;8/24</formula>
    </cfRule>
  </conditionalFormatting>
  <conditionalFormatting sqref="A98">
    <cfRule type="expression" dxfId="8148" priority="233">
      <formula>$AH98=0</formula>
    </cfRule>
  </conditionalFormatting>
  <conditionalFormatting sqref="AL32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8147" priority="207">
      <formula>$AH34=0</formula>
    </cfRule>
  </conditionalFormatting>
  <conditionalFormatting sqref="A83">
    <cfRule type="expression" dxfId="8146" priority="206">
      <formula>$AH83=0</formula>
    </cfRule>
  </conditionalFormatting>
  <conditionalFormatting sqref="A15">
    <cfRule type="expression" dxfId="8145" priority="196">
      <formula>$AH15=0</formula>
    </cfRule>
  </conditionalFormatting>
  <conditionalFormatting sqref="A164:A169">
    <cfRule type="expression" dxfId="8144" priority="195">
      <formula>$AH164=0</formula>
    </cfRule>
  </conditionalFormatting>
  <conditionalFormatting sqref="A158:A163">
    <cfRule type="expression" dxfId="8143" priority="194">
      <formula>$AH158=0</formula>
    </cfRule>
  </conditionalFormatting>
  <conditionalFormatting sqref="Z44:AF44">
    <cfRule type="expression" dxfId="8142" priority="190">
      <formula>Z$9&gt;=20/24</formula>
    </cfRule>
    <cfRule type="expression" dxfId="8141" priority="191">
      <formula>AND(Z$9&gt;=14/24,Z$9&lt;20/24)</formula>
    </cfRule>
    <cfRule type="expression" dxfId="8140" priority="192">
      <formula>AND(Z$9&gt;=8/24,Z$9&lt;14/24)</formula>
    </cfRule>
    <cfRule type="expression" dxfId="8139" priority="193">
      <formula>Z$9&lt;8/24</formula>
    </cfRule>
  </conditionalFormatting>
  <conditionalFormatting sqref="O44:Y44">
    <cfRule type="expression" dxfId="8138" priority="186">
      <formula>O$9&gt;=20/24</formula>
    </cfRule>
    <cfRule type="expression" dxfId="8137" priority="187">
      <formula>AND(O$9&gt;=14/24,O$9&lt;20/24)</formula>
    </cfRule>
    <cfRule type="expression" dxfId="8136" priority="188">
      <formula>AND(O$9&gt;=8/24,O$9&lt;14/24)</formula>
    </cfRule>
    <cfRule type="expression" dxfId="8135" priority="189">
      <formula>O$9&lt;8/24</formula>
    </cfRule>
  </conditionalFormatting>
  <conditionalFormatting sqref="A44">
    <cfRule type="expression" dxfId="8134" priority="181">
      <formula>$AH44=0</formula>
    </cfRule>
  </conditionalFormatting>
  <conditionalFormatting sqref="A79">
    <cfRule type="expression" dxfId="8133" priority="180">
      <formula>$AH79=0</formula>
    </cfRule>
  </conditionalFormatting>
  <conditionalFormatting sqref="A73">
    <cfRule type="expression" dxfId="8132" priority="179">
      <formula>$AH73=0</formula>
    </cfRule>
  </conditionalFormatting>
  <conditionalFormatting sqref="AL34:AL35 AL7:AL31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C84:Y91">
    <cfRule type="expression" dxfId="8131" priority="167">
      <formula>C$9&gt;=20/24</formula>
    </cfRule>
    <cfRule type="expression" dxfId="8130" priority="168">
      <formula>AND(C$9&gt;=14/24,C$9&lt;20/24)</formula>
    </cfRule>
    <cfRule type="expression" dxfId="8129" priority="169">
      <formula>AND(C$9&gt;=8/24,C$9&lt;14/24)</formula>
    </cfRule>
    <cfRule type="expression" dxfId="8128" priority="170">
      <formula>C$9&lt;8/24</formula>
    </cfRule>
  </conditionalFormatting>
  <conditionalFormatting sqref="C95:M97 C94:F94">
    <cfRule type="expression" dxfId="8127" priority="159">
      <formula>C$9&gt;=20/24</formula>
    </cfRule>
    <cfRule type="expression" dxfId="8126" priority="160">
      <formula>AND(C$9&gt;=14/24,C$9&lt;20/24)</formula>
    </cfRule>
    <cfRule type="expression" dxfId="8125" priority="161">
      <formula>AND(C$9&gt;=8/24,C$9&lt;14/24)</formula>
    </cfRule>
    <cfRule type="expression" dxfId="8124" priority="162">
      <formula>C$9&lt;8/24</formula>
    </cfRule>
  </conditionalFormatting>
  <conditionalFormatting sqref="N95:R97 O94:R94 S94:W97">
    <cfRule type="expression" dxfId="8123" priority="155">
      <formula>N$9&gt;=20/24</formula>
    </cfRule>
    <cfRule type="expression" dxfId="8122" priority="156">
      <formula>AND(N$9&gt;=14/24,N$9&lt;20/24)</formula>
    </cfRule>
    <cfRule type="expression" dxfId="8121" priority="157">
      <formula>AND(N$9&gt;=8/24,N$9&lt;14/24)</formula>
    </cfRule>
    <cfRule type="expression" dxfId="8120" priority="158">
      <formula>N$9&lt;8/24</formula>
    </cfRule>
  </conditionalFormatting>
  <conditionalFormatting sqref="C98:M98">
    <cfRule type="expression" dxfId="8119" priority="147">
      <formula>C$9&gt;=20/24</formula>
    </cfRule>
    <cfRule type="expression" dxfId="8118" priority="148">
      <formula>AND(C$9&gt;=14/24,C$9&lt;20/24)</formula>
    </cfRule>
    <cfRule type="expression" dxfId="8117" priority="149">
      <formula>AND(C$9&gt;=8/24,C$9&lt;14/24)</formula>
    </cfRule>
    <cfRule type="expression" dxfId="8116" priority="150">
      <formula>C$9&lt;8/24</formula>
    </cfRule>
  </conditionalFormatting>
  <conditionalFormatting sqref="N98:W98">
    <cfRule type="expression" dxfId="8115" priority="143">
      <formula>N$9&gt;=20/24</formula>
    </cfRule>
    <cfRule type="expression" dxfId="8114" priority="144">
      <formula>AND(N$9&gt;=14/24,N$9&lt;20/24)</formula>
    </cfRule>
    <cfRule type="expression" dxfId="8113" priority="145">
      <formula>AND(N$9&gt;=8/24,N$9&lt;14/24)</formula>
    </cfRule>
    <cfRule type="expression" dxfId="8112" priority="146">
      <formula>N$9&lt;8/24</formula>
    </cfRule>
  </conditionalFormatting>
  <conditionalFormatting sqref="M94:N94">
    <cfRule type="expression" dxfId="8111" priority="135">
      <formula>M$9&gt;=20/24</formula>
    </cfRule>
    <cfRule type="expression" dxfId="8110" priority="136">
      <formula>AND(M$9&gt;=14/24,M$9&lt;20/24)</formula>
    </cfRule>
    <cfRule type="expression" dxfId="8109" priority="137">
      <formula>AND(M$9&gt;=8/24,M$9&lt;14/24)</formula>
    </cfRule>
    <cfRule type="expression" dxfId="8108" priority="138">
      <formula>M$9&lt;8/24</formula>
    </cfRule>
  </conditionalFormatting>
  <conditionalFormatting sqref="G94:L94">
    <cfRule type="expression" dxfId="8107" priority="131">
      <formula>G$9&gt;=20/24</formula>
    </cfRule>
    <cfRule type="expression" dxfId="8106" priority="132">
      <formula>AND(G$9&gt;=14/24,G$9&lt;20/24)</formula>
    </cfRule>
    <cfRule type="expression" dxfId="8105" priority="133">
      <formula>AND(G$9&gt;=8/24,G$9&lt;14/24)</formula>
    </cfRule>
    <cfRule type="expression" dxfId="8104" priority="134">
      <formula>G$9&lt;8/24</formula>
    </cfRule>
  </conditionalFormatting>
  <conditionalFormatting sqref="N94:W94">
    <cfRule type="expression" dxfId="8103" priority="123">
      <formula>N$9&gt;=20/24</formula>
    </cfRule>
    <cfRule type="expression" dxfId="8102" priority="124">
      <formula>AND(N$9&gt;=14/24,N$9&lt;20/24)</formula>
    </cfRule>
    <cfRule type="expression" dxfId="8101" priority="125">
      <formula>AND(N$9&gt;=8/24,N$9&lt;14/24)</formula>
    </cfRule>
    <cfRule type="expression" dxfId="8100" priority="126">
      <formula>N$9&lt;8/24</formula>
    </cfRule>
  </conditionalFormatting>
  <conditionalFormatting sqref="X99:AA100">
    <cfRule type="expression" dxfId="8099" priority="119">
      <formula>X$9&gt;=20/24</formula>
    </cfRule>
    <cfRule type="expression" dxfId="8098" priority="120">
      <formula>AND(X$9&gt;=14/24,X$9&lt;20/24)</formula>
    </cfRule>
    <cfRule type="expression" dxfId="8097" priority="121">
      <formula>AND(X$9&gt;=8/24,X$9&lt;14/24)</formula>
    </cfRule>
    <cfRule type="expression" dxfId="8096" priority="122">
      <formula>X$9&lt;8/24</formula>
    </cfRule>
  </conditionalFormatting>
  <conditionalFormatting sqref="C99:M100">
    <cfRule type="expression" dxfId="8095" priority="115">
      <formula>C$9&gt;=20/24</formula>
    </cfRule>
    <cfRule type="expression" dxfId="8094" priority="116">
      <formula>AND(C$9&gt;=14/24,C$9&lt;20/24)</formula>
    </cfRule>
    <cfRule type="expression" dxfId="8093" priority="117">
      <formula>AND(C$9&gt;=8/24,C$9&lt;14/24)</formula>
    </cfRule>
    <cfRule type="expression" dxfId="8092" priority="118">
      <formula>C$9&lt;8/24</formula>
    </cfRule>
  </conditionalFormatting>
  <conditionalFormatting sqref="N99:W100">
    <cfRule type="expression" dxfId="8091" priority="111">
      <formula>N$9&gt;=20/24</formula>
    </cfRule>
    <cfRule type="expression" dxfId="8090" priority="112">
      <formula>AND(N$9&gt;=14/24,N$9&lt;20/24)</formula>
    </cfRule>
    <cfRule type="expression" dxfId="8089" priority="113">
      <formula>AND(N$9&gt;=8/24,N$9&lt;14/24)</formula>
    </cfRule>
    <cfRule type="expression" dxfId="8088" priority="114">
      <formula>N$9&lt;8/24</formula>
    </cfRule>
  </conditionalFormatting>
  <conditionalFormatting sqref="AB58:AE59">
    <cfRule type="expression" dxfId="8087" priority="91">
      <formula>AB$9&gt;=20/24</formula>
    </cfRule>
    <cfRule type="expression" dxfId="8086" priority="92">
      <formula>AND(AB$9&gt;=14/24,AB$9&lt;20/24)</formula>
    </cfRule>
    <cfRule type="expression" dxfId="8085" priority="93">
      <formula>AND(AB$9&gt;=8/24,AB$9&lt;14/24)</formula>
    </cfRule>
    <cfRule type="expression" dxfId="8084" priority="94">
      <formula>AB$9&lt;8/24</formula>
    </cfRule>
  </conditionalFormatting>
  <conditionalFormatting sqref="AL33">
    <cfRule type="iconSet" priority="8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083" priority="324">
      <formula>C$9&gt;=20/24</formula>
    </cfRule>
    <cfRule type="expression" dxfId="8082" priority="325">
      <formula>AND(C$9&gt;=14/24,C$9&lt;20/24)</formula>
    </cfRule>
    <cfRule type="expression" dxfId="8081" priority="326">
      <formula>AND(C$9&gt;=8/24,C$9&lt;14/24)</formula>
    </cfRule>
    <cfRule type="expression" dxfId="8080" priority="327">
      <formula>C$9&lt;8/24</formula>
    </cfRule>
  </conditionalFormatting>
  <conditionalFormatting sqref="A201">
    <cfRule type="expression" dxfId="8079" priority="328">
      <formula>$AH201=0</formula>
    </cfRule>
  </conditionalFormatting>
  <conditionalFormatting sqref="AG213">
    <cfRule type="expression" dxfId="8078" priority="329">
      <formula>B$9&gt;=20/24</formula>
    </cfRule>
    <cfRule type="expression" dxfId="8077" priority="330">
      <formula>AND(B$9&gt;=14/24,B$9&lt;20/24)</formula>
    </cfRule>
    <cfRule type="expression" dxfId="8076" priority="331">
      <formula>AND(B$9&gt;=8/24,B$9&lt;14/24)</formula>
    </cfRule>
    <cfRule type="expression" dxfId="8075" priority="332">
      <formula>B$9&lt;8/24</formula>
    </cfRule>
  </conditionalFormatting>
  <conditionalFormatting sqref="S8">
    <cfRule type="expression" dxfId="8074" priority="85">
      <formula>U$9&gt;=20/24</formula>
    </cfRule>
    <cfRule type="expression" dxfId="8073" priority="86">
      <formula>AND(U$9&gt;=14/24,U$9&lt;20/24)</formula>
    </cfRule>
    <cfRule type="expression" dxfId="8072" priority="87">
      <formula>AND(U$9&gt;=8/24,U$9&lt;14/24)</formula>
    </cfRule>
    <cfRule type="expression" dxfId="8071" priority="88">
      <formula>U$9&lt;8/24</formula>
    </cfRule>
  </conditionalFormatting>
  <conditionalFormatting sqref="AB8">
    <cfRule type="expression" dxfId="8070" priority="81">
      <formula>AD$9&gt;=20/24</formula>
    </cfRule>
    <cfRule type="expression" dxfId="8069" priority="82">
      <formula>AND(AD$9&gt;=14/24,AD$9&lt;20/24)</formula>
    </cfRule>
    <cfRule type="expression" dxfId="8068" priority="83">
      <formula>AND(AD$9&gt;=8/24,AD$9&lt;14/24)</formula>
    </cfRule>
    <cfRule type="expression" dxfId="8067" priority="84">
      <formula>AD$9&lt;8/24</formula>
    </cfRule>
  </conditionalFormatting>
  <conditionalFormatting sqref="AH213:AX213">
    <cfRule type="expression" dxfId="8066" priority="333">
      <formula>AG$9&gt;=20/24</formula>
    </cfRule>
    <cfRule type="expression" dxfId="8065" priority="334">
      <formula>AND(AG$9&gt;=14/24,AG$9&lt;20/24)</formula>
    </cfRule>
    <cfRule type="expression" dxfId="8064" priority="335">
      <formula>AND(AG$9&gt;=8/24,AG$9&lt;14/24)</formula>
    </cfRule>
    <cfRule type="expression" dxfId="8063" priority="336">
      <formula>AG$9&lt;8/24</formula>
    </cfRule>
  </conditionalFormatting>
  <conditionalFormatting sqref="T213">
    <cfRule type="expression" dxfId="8062" priority="337">
      <formula>AX$9&gt;=20/24</formula>
    </cfRule>
    <cfRule type="expression" dxfId="8061" priority="338">
      <formula>AND(AX$9&gt;=14/24,AX$9&lt;20/24)</formula>
    </cfRule>
    <cfRule type="expression" dxfId="8060" priority="339">
      <formula>AND(AX$9&gt;=8/24,AX$9&lt;14/24)</formula>
    </cfRule>
    <cfRule type="expression" dxfId="8059" priority="340">
      <formula>AX$9&lt;8/24</formula>
    </cfRule>
  </conditionalFormatting>
  <conditionalFormatting sqref="A99:A100">
    <cfRule type="expression" dxfId="8058" priority="80">
      <formula>$AH99=0</formula>
    </cfRule>
  </conditionalFormatting>
  <conditionalFormatting sqref="B68:B91 B94:B100 B53:B57 B11:D13 E12:L13 B14:L14 B16:Y31 B36:Y36 M12:Y14">
    <cfRule type="expression" dxfId="8057" priority="63">
      <formula>B$9&gt;=20/24</formula>
    </cfRule>
    <cfRule type="expression" dxfId="8056" priority="64">
      <formula>AND(B$9&gt;=14/24,B$9&lt;20/24)</formula>
    </cfRule>
    <cfRule type="expression" dxfId="8055" priority="65">
      <formula>AND(B$9&gt;=8/24,B$9&lt;14/24)</formula>
    </cfRule>
    <cfRule type="expression" dxfId="8054" priority="66">
      <formula>B$9&lt;8/24</formula>
    </cfRule>
  </conditionalFormatting>
  <conditionalFormatting sqref="B32:Y32">
    <cfRule type="expression" dxfId="8053" priority="59">
      <formula>B$9&gt;=20/24</formula>
    </cfRule>
    <cfRule type="expression" dxfId="8052" priority="60">
      <formula>AND(B$9&gt;=14/24,B$9&lt;20/24)</formula>
    </cfRule>
    <cfRule type="expression" dxfId="8051" priority="61">
      <formula>AND(B$9&gt;=8/24,B$9&lt;14/24)</formula>
    </cfRule>
    <cfRule type="expression" dxfId="8050" priority="62">
      <formula>B$9&lt;8/24</formula>
    </cfRule>
  </conditionalFormatting>
  <conditionalFormatting sqref="B37:L37">
    <cfRule type="expression" dxfId="8049" priority="55">
      <formula>B$9&gt;=20/24</formula>
    </cfRule>
    <cfRule type="expression" dxfId="8048" priority="56">
      <formula>AND(B$9&gt;=14/24,B$9&lt;20/24)</formula>
    </cfRule>
    <cfRule type="expression" dxfId="8047" priority="57">
      <formula>AND(B$9&gt;=8/24,B$9&lt;14/24)</formula>
    </cfRule>
    <cfRule type="expression" dxfId="8046" priority="58">
      <formula>B$9&lt;8/24</formula>
    </cfRule>
  </conditionalFormatting>
  <conditionalFormatting sqref="B35:Y35">
    <cfRule type="expression" dxfId="8045" priority="51">
      <formula>B$9&gt;=20/24</formula>
    </cfRule>
    <cfRule type="expression" dxfId="8044" priority="52">
      <formula>AND(B$9&gt;=14/24,B$9&lt;20/24)</formula>
    </cfRule>
    <cfRule type="expression" dxfId="8043" priority="53">
      <formula>AND(B$9&gt;=8/24,B$9&lt;14/24)</formula>
    </cfRule>
    <cfRule type="expression" dxfId="8042" priority="54">
      <formula>B$9&lt;8/24</formula>
    </cfRule>
  </conditionalFormatting>
  <conditionalFormatting sqref="B45:Y48">
    <cfRule type="expression" dxfId="8041" priority="47">
      <formula>B$9&gt;=20/24</formula>
    </cfRule>
    <cfRule type="expression" dxfId="8040" priority="48">
      <formula>AND(B$9&gt;=14/24,B$9&lt;20/24)</formula>
    </cfRule>
    <cfRule type="expression" dxfId="8039" priority="49">
      <formula>AND(B$9&gt;=8/24,B$9&lt;14/24)</formula>
    </cfRule>
    <cfRule type="expression" dxfId="8038" priority="50">
      <formula>B$9&lt;8/24</formula>
    </cfRule>
  </conditionalFormatting>
  <conditionalFormatting sqref="B49:Y49">
    <cfRule type="expression" dxfId="8037" priority="43">
      <formula>B$9&gt;=20/24</formula>
    </cfRule>
    <cfRule type="expression" dxfId="8036" priority="44">
      <formula>AND(B$9&gt;=14/24,B$9&lt;20/24)</formula>
    </cfRule>
    <cfRule type="expression" dxfId="8035" priority="45">
      <formula>AND(B$9&gt;=8/24,B$9&lt;14/24)</formula>
    </cfRule>
    <cfRule type="expression" dxfId="8034" priority="46">
      <formula>B$9&lt;8/24</formula>
    </cfRule>
  </conditionalFormatting>
  <conditionalFormatting sqref="B50:Y50">
    <cfRule type="expression" dxfId="8033" priority="39">
      <formula>B$9&gt;=20/24</formula>
    </cfRule>
    <cfRule type="expression" dxfId="8032" priority="40">
      <formula>AND(B$9&gt;=14/24,B$9&lt;20/24)</formula>
    </cfRule>
    <cfRule type="expression" dxfId="8031" priority="41">
      <formula>AND(B$9&gt;=8/24,B$9&lt;14/24)</formula>
    </cfRule>
    <cfRule type="expression" dxfId="8030" priority="42">
      <formula>B$9&lt;8/24</formula>
    </cfRule>
  </conditionalFormatting>
  <conditionalFormatting sqref="B60:B67 C62:D65 E63:G65 C66:G67 H63:I67 J64:S67">
    <cfRule type="expression" dxfId="8029" priority="35">
      <formula>B$9&gt;=20/24</formula>
    </cfRule>
    <cfRule type="expression" dxfId="8028" priority="36">
      <formula>AND(B$9&gt;=14/24,B$9&lt;20/24)</formula>
    </cfRule>
    <cfRule type="expression" dxfId="8027" priority="37">
      <formula>AND(B$9&gt;=8/24,B$9&lt;14/24)</formula>
    </cfRule>
    <cfRule type="expression" dxfId="8026" priority="38">
      <formula>B$9&lt;8/24</formula>
    </cfRule>
  </conditionalFormatting>
  <conditionalFormatting sqref="B34:B56 B11:D13 C44:D50 E12:L13 C34:L37 B14:L32 M34:Y36 M12:Y32 E45:Y50">
    <cfRule type="expression" dxfId="8025" priority="34">
      <formula>B11&gt;$AG11</formula>
    </cfRule>
  </conditionalFormatting>
  <conditionalFormatting sqref="B34:Y34">
    <cfRule type="expression" dxfId="8024" priority="30">
      <formula>B$9&gt;=20/24</formula>
    </cfRule>
    <cfRule type="expression" dxfId="8023" priority="31">
      <formula>AND(B$9&gt;=14/24,B$9&lt;20/24)</formula>
    </cfRule>
    <cfRule type="expression" dxfId="8022" priority="32">
      <formula>AND(B$9&gt;=8/24,B$9&lt;14/24)</formula>
    </cfRule>
    <cfRule type="expression" dxfId="8021" priority="33">
      <formula>B$9&lt;8/24</formula>
    </cfRule>
  </conditionalFormatting>
  <conditionalFormatting sqref="B15:Y15">
    <cfRule type="expression" dxfId="8020" priority="26">
      <formula>B$9&gt;=20/24</formula>
    </cfRule>
    <cfRule type="expression" dxfId="8019" priority="27">
      <formula>AND(B$9&gt;=14/24,B$9&lt;20/24)</formula>
    </cfRule>
    <cfRule type="expression" dxfId="8018" priority="28">
      <formula>AND(B$9&gt;=8/24,B$9&lt;14/24)</formula>
    </cfRule>
    <cfRule type="expression" dxfId="8017" priority="29">
      <formula>B$9&lt;8/24</formula>
    </cfRule>
  </conditionalFormatting>
  <conditionalFormatting sqref="B58:B59">
    <cfRule type="expression" dxfId="8016" priority="22">
      <formula>B$9&gt;=20/24</formula>
    </cfRule>
    <cfRule type="expression" dxfId="8015" priority="23">
      <formula>AND(B$9&gt;=14/24,B$9&lt;20/24)</formula>
    </cfRule>
    <cfRule type="expression" dxfId="8014" priority="24">
      <formula>AND(B$9&gt;=8/24,B$9&lt;14/24)</formula>
    </cfRule>
    <cfRule type="expression" dxfId="8013" priority="25">
      <formula>B$9&lt;8/24</formula>
    </cfRule>
  </conditionalFormatting>
  <conditionalFormatting sqref="B33:Y33">
    <cfRule type="expression" dxfId="8012" priority="18">
      <formula>B$9&gt;=20/24</formula>
    </cfRule>
    <cfRule type="expression" dxfId="8011" priority="19">
      <formula>AND(B$9&gt;=14/24,B$9&lt;20/24)</formula>
    </cfRule>
    <cfRule type="expression" dxfId="8010" priority="20">
      <formula>AND(B$9&gt;=8/24,B$9&lt;14/24)</formula>
    </cfRule>
    <cfRule type="expression" dxfId="8009" priority="21">
      <formula>B$9&lt;8/24</formula>
    </cfRule>
  </conditionalFormatting>
  <conditionalFormatting sqref="B33:Y33">
    <cfRule type="expression" dxfId="8008" priority="17">
      <formula>B33&gt;$AG33</formula>
    </cfRule>
  </conditionalFormatting>
  <conditionalFormatting sqref="T58:Y59">
    <cfRule type="expression" dxfId="8007" priority="13">
      <formula>T$9&gt;=20/24</formula>
    </cfRule>
    <cfRule type="expression" dxfId="8006" priority="14">
      <formula>AND(T$9&gt;=14/24,T$9&lt;20/24)</formula>
    </cfRule>
    <cfRule type="expression" dxfId="8005" priority="15">
      <formula>AND(T$9&gt;=8/24,T$9&lt;14/24)</formula>
    </cfRule>
    <cfRule type="expression" dxfId="8004" priority="16">
      <formula>T$9&lt;8/24</formula>
    </cfRule>
  </conditionalFormatting>
  <conditionalFormatting sqref="T57:Y57">
    <cfRule type="expression" dxfId="8003" priority="9">
      <formula>T$9&gt;=20/24</formula>
    </cfRule>
    <cfRule type="expression" dxfId="8002" priority="10">
      <formula>AND(T$9&gt;=14/24,T$9&lt;20/24)</formula>
    </cfRule>
    <cfRule type="expression" dxfId="8001" priority="11">
      <formula>AND(T$9&gt;=8/24,T$9&lt;14/24)</formula>
    </cfRule>
    <cfRule type="expression" dxfId="8000" priority="12">
      <formula>T$9&lt;8/24</formula>
    </cfRule>
  </conditionalFormatting>
  <conditionalFormatting sqref="T60:Y67">
    <cfRule type="expression" dxfId="7999" priority="5">
      <formula>T$9&gt;=20/24</formula>
    </cfRule>
    <cfRule type="expression" dxfId="7998" priority="6">
      <formula>AND(T$9&gt;=14/24,T$9&lt;20/24)</formula>
    </cfRule>
    <cfRule type="expression" dxfId="7997" priority="7">
      <formula>AND(T$9&gt;=8/24,T$9&lt;14/24)</formula>
    </cfRule>
    <cfRule type="expression" dxfId="7996" priority="8">
      <formula>T$9&lt;8/24</formula>
    </cfRule>
  </conditionalFormatting>
  <conditionalFormatting sqref="Z39:AC39">
    <cfRule type="expression" dxfId="7995" priority="1">
      <formula>Z$9&gt;=20/24</formula>
    </cfRule>
    <cfRule type="expression" dxfId="7994" priority="2">
      <formula>AND(Z$9&gt;=14/24,Z$9&lt;20/24)</formula>
    </cfRule>
    <cfRule type="expression" dxfId="7993" priority="3">
      <formula>AND(Z$9&gt;=8/24,Z$9&lt;14/24)</formula>
    </cfRule>
    <cfRule type="expression" dxfId="7992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0" id="{7ADD0C5E-8ADC-4827-AFD6-95D597057FB2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CJ472"/>
  <sheetViews>
    <sheetView zoomScale="90" zoomScaleNormal="90" workbookViewId="0">
      <pane xSplit="1" ySplit="10" topLeftCell="B11" activePane="bottomRight" state="frozen"/>
      <selection activeCell="AK51" sqref="AK51"/>
      <selection pane="topRight" activeCell="AK51" sqref="AK51"/>
      <selection pane="bottomLeft" activeCell="AK51" sqref="AK51"/>
      <selection pane="bottomRight" activeCell="AK51" sqref="AK5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2078/12/4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185.51</v>
      </c>
      <c r="C5" s="157">
        <f t="shared" si="0"/>
        <v>188.14</v>
      </c>
      <c r="D5" s="157">
        <f t="shared" si="0"/>
        <v>298.57000000000005</v>
      </c>
      <c r="E5" s="157">
        <f t="shared" si="0"/>
        <v>332.07</v>
      </c>
      <c r="F5" s="157">
        <f t="shared" si="0"/>
        <v>312.12</v>
      </c>
      <c r="G5" s="157">
        <f t="shared" si="0"/>
        <v>269.2</v>
      </c>
      <c r="H5" s="157">
        <f t="shared" si="0"/>
        <v>219.75</v>
      </c>
      <c r="I5" s="157">
        <f t="shared" si="0"/>
        <v>209.04000000000002</v>
      </c>
      <c r="J5" s="157">
        <f t="shared" si="0"/>
        <v>79</v>
      </c>
      <c r="K5" s="157">
        <f t="shared" si="0"/>
        <v>62.9</v>
      </c>
      <c r="L5" s="157">
        <f t="shared" si="0"/>
        <v>63.5</v>
      </c>
      <c r="M5" s="157">
        <f t="shared" si="0"/>
        <v>238.3</v>
      </c>
      <c r="N5" s="157">
        <f t="shared" si="0"/>
        <v>337.9</v>
      </c>
      <c r="O5" s="157">
        <f t="shared" si="0"/>
        <v>340.5</v>
      </c>
      <c r="P5" s="157">
        <f t="shared" si="0"/>
        <v>344.03</v>
      </c>
      <c r="Q5" s="157">
        <f t="shared" si="0"/>
        <v>339</v>
      </c>
      <c r="R5" s="157">
        <f t="shared" si="0"/>
        <v>337</v>
      </c>
      <c r="S5" s="157">
        <f t="shared" si="0"/>
        <v>341</v>
      </c>
      <c r="T5" s="157">
        <f t="shared" si="0"/>
        <v>554.29999999999995</v>
      </c>
      <c r="U5" s="157">
        <f t="shared" si="0"/>
        <v>445.8</v>
      </c>
      <c r="V5" s="157">
        <f t="shared" si="0"/>
        <v>567.90000000000009</v>
      </c>
      <c r="W5" s="157">
        <f t="shared" si="0"/>
        <v>592.70000000000005</v>
      </c>
      <c r="X5" s="157">
        <f t="shared" si="0"/>
        <v>574.6</v>
      </c>
      <c r="Y5" s="157">
        <f t="shared" si="0"/>
        <v>556</v>
      </c>
      <c r="Z5" s="157">
        <f t="shared" si="0"/>
        <v>341.5</v>
      </c>
      <c r="AA5" s="157">
        <f t="shared" si="0"/>
        <v>301</v>
      </c>
      <c r="AB5" s="157">
        <f t="shared" si="0"/>
        <v>499</v>
      </c>
      <c r="AC5" s="157">
        <f t="shared" si="0"/>
        <v>511</v>
      </c>
      <c r="AD5" s="157">
        <f t="shared" si="0"/>
        <v>290</v>
      </c>
      <c r="AE5" s="157">
        <f t="shared" si="0"/>
        <v>297</v>
      </c>
      <c r="AF5" s="157">
        <f>B68</f>
        <v>215.42000000000002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1078MW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Load=910</v>
      </c>
      <c r="B7" s="146">
        <f>B75</f>
        <v>967.86</v>
      </c>
      <c r="C7" s="146">
        <f t="shared" ref="C7:AF7" si="1">C75</f>
        <v>947.84999999999991</v>
      </c>
      <c r="D7" s="146">
        <f t="shared" si="1"/>
        <v>937.38</v>
      </c>
      <c r="E7" s="146">
        <f t="shared" si="1"/>
        <v>910.01</v>
      </c>
      <c r="F7" s="146">
        <f t="shared" si="1"/>
        <v>918.81</v>
      </c>
      <c r="G7" s="146">
        <f t="shared" si="1"/>
        <v>930.36</v>
      </c>
      <c r="H7" s="146">
        <f t="shared" si="1"/>
        <v>933.04</v>
      </c>
      <c r="I7" s="146">
        <f t="shared" si="1"/>
        <v>986.29</v>
      </c>
      <c r="J7" s="146">
        <f t="shared" si="1"/>
        <v>1035.8800000000001</v>
      </c>
      <c r="K7" s="146">
        <f t="shared" si="1"/>
        <v>1044.3400000000001</v>
      </c>
      <c r="L7" s="146">
        <f t="shared" si="1"/>
        <v>1067.44</v>
      </c>
      <c r="M7" s="146">
        <f t="shared" si="1"/>
        <v>1077.6400000000001</v>
      </c>
      <c r="N7" s="146">
        <f t="shared" si="1"/>
        <v>1017.64</v>
      </c>
      <c r="O7" s="146">
        <f t="shared" si="1"/>
        <v>1012.1400000000001</v>
      </c>
      <c r="P7" s="146">
        <f t="shared" si="1"/>
        <v>1029.74</v>
      </c>
      <c r="Q7" s="146">
        <f t="shared" si="1"/>
        <v>1007.87</v>
      </c>
      <c r="R7" s="146">
        <f t="shared" si="1"/>
        <v>1002.84</v>
      </c>
      <c r="S7" s="146">
        <f t="shared" si="1"/>
        <v>1013.44</v>
      </c>
      <c r="T7" s="146">
        <f t="shared" si="1"/>
        <v>997.64</v>
      </c>
      <c r="U7" s="146">
        <f t="shared" si="1"/>
        <v>1231.04</v>
      </c>
      <c r="V7" s="146">
        <f t="shared" si="1"/>
        <v>1261.44</v>
      </c>
      <c r="W7" s="146">
        <f t="shared" si="1"/>
        <v>1346.3400000000001</v>
      </c>
      <c r="X7" s="146">
        <f t="shared" si="1"/>
        <v>1369.54</v>
      </c>
      <c r="Y7" s="146">
        <f t="shared" si="1"/>
        <v>1435.04</v>
      </c>
      <c r="Z7" s="146">
        <f t="shared" si="1"/>
        <v>1601.3400000000001</v>
      </c>
      <c r="AA7" s="146">
        <f t="shared" si="1"/>
        <v>1519.0400000000002</v>
      </c>
      <c r="AB7" s="146">
        <f t="shared" si="1"/>
        <v>1467.0400000000002</v>
      </c>
      <c r="AC7" s="146">
        <f t="shared" si="1"/>
        <v>1436.3400000000001</v>
      </c>
      <c r="AD7" s="146">
        <f t="shared" si="1"/>
        <v>1378.54</v>
      </c>
      <c r="AE7" s="146">
        <f t="shared" si="1"/>
        <v>1273.0400000000002</v>
      </c>
      <c r="AF7" s="146">
        <f t="shared" si="1"/>
        <v>1199.7400000000002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20</v>
      </c>
      <c r="C11" s="127">
        <v>20</v>
      </c>
      <c r="D11" s="127">
        <v>20</v>
      </c>
      <c r="E11" s="127">
        <v>12</v>
      </c>
      <c r="F11" s="127">
        <v>12</v>
      </c>
      <c r="G11" s="127">
        <v>12</v>
      </c>
      <c r="H11" s="127">
        <v>30</v>
      </c>
      <c r="I11" s="127">
        <v>70</v>
      </c>
      <c r="J11" s="127">
        <v>90</v>
      </c>
      <c r="K11" s="127">
        <v>228</v>
      </c>
      <c r="L11" s="127">
        <v>230</v>
      </c>
      <c r="M11" s="103">
        <v>240</v>
      </c>
      <c r="N11" s="103">
        <v>100</v>
      </c>
      <c r="O11" s="103">
        <v>30</v>
      </c>
      <c r="P11" s="103">
        <v>12</v>
      </c>
      <c r="Q11" s="103">
        <v>12</v>
      </c>
      <c r="R11" s="135">
        <v>40</v>
      </c>
      <c r="S11" s="103">
        <v>50</v>
      </c>
      <c r="T11" s="103">
        <v>50</v>
      </c>
      <c r="U11" s="103">
        <v>50</v>
      </c>
      <c r="V11" s="103">
        <v>40</v>
      </c>
      <c r="W11" s="103">
        <v>40</v>
      </c>
      <c r="X11" s="103">
        <v>40</v>
      </c>
      <c r="Y11" s="103">
        <v>80</v>
      </c>
      <c r="Z11" s="103">
        <v>150</v>
      </c>
      <c r="AA11" s="103">
        <v>350</v>
      </c>
      <c r="AB11" s="103">
        <v>330</v>
      </c>
      <c r="AC11" s="103">
        <v>230</v>
      </c>
      <c r="AD11" s="103">
        <v>170</v>
      </c>
      <c r="AE11" s="103">
        <v>250</v>
      </c>
      <c r="AF11" s="103">
        <v>160</v>
      </c>
      <c r="AG11" s="54">
        <v>456</v>
      </c>
      <c r="AH11" s="21">
        <f>MAX(B11:AF11)</f>
        <v>350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31</v>
      </c>
      <c r="C12" s="127">
        <v>31</v>
      </c>
      <c r="D12" s="127">
        <v>31</v>
      </c>
      <c r="E12" s="127">
        <v>31</v>
      </c>
      <c r="F12" s="127">
        <v>31</v>
      </c>
      <c r="G12" s="127">
        <v>31</v>
      </c>
      <c r="H12" s="127">
        <v>31</v>
      </c>
      <c r="I12" s="127">
        <v>31</v>
      </c>
      <c r="J12" s="127">
        <v>31</v>
      </c>
      <c r="K12" s="127">
        <v>31</v>
      </c>
      <c r="L12" s="127">
        <v>31</v>
      </c>
      <c r="M12" s="127">
        <v>31</v>
      </c>
      <c r="N12" s="127">
        <v>31</v>
      </c>
      <c r="O12" s="127">
        <v>31</v>
      </c>
      <c r="P12" s="127">
        <v>31</v>
      </c>
      <c r="Q12" s="127">
        <v>31</v>
      </c>
      <c r="R12" s="127">
        <v>31</v>
      </c>
      <c r="S12" s="77">
        <v>31</v>
      </c>
      <c r="T12" s="77">
        <v>31</v>
      </c>
      <c r="U12" s="77">
        <v>31</v>
      </c>
      <c r="V12" s="77">
        <v>31</v>
      </c>
      <c r="W12" s="77">
        <v>31</v>
      </c>
      <c r="X12" s="77">
        <v>31</v>
      </c>
      <c r="Y12" s="77">
        <v>31</v>
      </c>
      <c r="Z12" s="103">
        <v>31</v>
      </c>
      <c r="AA12" s="103">
        <v>31</v>
      </c>
      <c r="AB12" s="103">
        <v>31</v>
      </c>
      <c r="AC12" s="103">
        <v>31</v>
      </c>
      <c r="AD12" s="103">
        <v>31</v>
      </c>
      <c r="AE12" s="103">
        <v>31</v>
      </c>
      <c r="AF12" s="103">
        <v>31</v>
      </c>
      <c r="AG12" s="134">
        <v>60</v>
      </c>
      <c r="AH12" s="21">
        <f t="shared" ref="AH12:AH75" si="2">MAX(B12:AF12)</f>
        <v>31</v>
      </c>
      <c r="AI12" s="20">
        <f t="shared" ref="AI12:AI75" si="3">MIN(B12:AF12)</f>
        <v>31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15.9</v>
      </c>
      <c r="C13" s="127">
        <v>15.9</v>
      </c>
      <c r="D13" s="127">
        <v>15.9</v>
      </c>
      <c r="E13" s="127">
        <v>15.9</v>
      </c>
      <c r="F13" s="127">
        <v>15.9</v>
      </c>
      <c r="G13" s="127">
        <v>15.9</v>
      </c>
      <c r="H13" s="127">
        <v>15.9</v>
      </c>
      <c r="I13" s="127">
        <v>15.9</v>
      </c>
      <c r="J13" s="127">
        <v>15.9</v>
      </c>
      <c r="K13" s="127">
        <v>15.9</v>
      </c>
      <c r="L13" s="127">
        <v>15.9</v>
      </c>
      <c r="M13" s="127">
        <v>15.9</v>
      </c>
      <c r="N13" s="127">
        <v>18.600000000000001</v>
      </c>
      <c r="O13" s="127">
        <v>19.7</v>
      </c>
      <c r="P13" s="127">
        <v>19.7</v>
      </c>
      <c r="Q13" s="127">
        <v>18.100000000000001</v>
      </c>
      <c r="R13" s="127">
        <v>16.100000000000001</v>
      </c>
      <c r="S13" s="127">
        <v>16.100000000000001</v>
      </c>
      <c r="T13" s="127">
        <v>16.100000000000001</v>
      </c>
      <c r="U13" s="127">
        <v>16.100000000000001</v>
      </c>
      <c r="V13" s="127">
        <v>16.100000000000001</v>
      </c>
      <c r="W13" s="127">
        <v>16.100000000000001</v>
      </c>
      <c r="X13" s="127">
        <v>16.100000000000001</v>
      </c>
      <c r="Y13" s="127">
        <v>16.100000000000001</v>
      </c>
      <c r="Z13" s="103">
        <v>14.4</v>
      </c>
      <c r="AA13" s="103">
        <v>14.4</v>
      </c>
      <c r="AB13" s="103">
        <v>14.4</v>
      </c>
      <c r="AC13" s="103">
        <v>14.4</v>
      </c>
      <c r="AD13" s="103">
        <v>14.4</v>
      </c>
      <c r="AE13" s="103">
        <v>14.4</v>
      </c>
      <c r="AF13" s="103">
        <v>14.4</v>
      </c>
      <c r="AG13" s="134">
        <v>52.4</v>
      </c>
      <c r="AH13" s="21">
        <f t="shared" si="2"/>
        <v>19.7</v>
      </c>
      <c r="AI13" s="20">
        <f t="shared" si="3"/>
        <v>14.4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25.4</v>
      </c>
      <c r="C14" s="127">
        <v>25.4</v>
      </c>
      <c r="D14" s="127">
        <v>25.4</v>
      </c>
      <c r="E14" s="127">
        <v>25.4</v>
      </c>
      <c r="F14" s="127">
        <v>25.4</v>
      </c>
      <c r="G14" s="127">
        <v>25.4</v>
      </c>
      <c r="H14" s="127">
        <v>25.4</v>
      </c>
      <c r="I14" s="127">
        <v>25.4</v>
      </c>
      <c r="J14" s="127">
        <v>25.4</v>
      </c>
      <c r="K14" s="127">
        <v>25.4</v>
      </c>
      <c r="L14" s="127">
        <v>25.4</v>
      </c>
      <c r="M14" s="103">
        <v>25.4</v>
      </c>
      <c r="N14" s="103">
        <v>25.4</v>
      </c>
      <c r="O14" s="103">
        <v>25.4</v>
      </c>
      <c r="P14" s="103">
        <v>25.4</v>
      </c>
      <c r="Q14" s="103">
        <v>25.5</v>
      </c>
      <c r="R14" s="103">
        <v>25.5</v>
      </c>
      <c r="S14" s="103">
        <v>25.5</v>
      </c>
      <c r="T14" s="103">
        <v>25.5</v>
      </c>
      <c r="U14" s="103">
        <v>25.5</v>
      </c>
      <c r="V14" s="103">
        <v>25.5</v>
      </c>
      <c r="W14" s="103">
        <v>25.5</v>
      </c>
      <c r="X14" s="103">
        <v>25.5</v>
      </c>
      <c r="Y14" s="103">
        <v>25.5</v>
      </c>
      <c r="Z14" s="103">
        <v>25.3</v>
      </c>
      <c r="AA14" s="103">
        <v>25.3</v>
      </c>
      <c r="AB14" s="103">
        <v>25.3</v>
      </c>
      <c r="AC14" s="103">
        <v>25.3</v>
      </c>
      <c r="AD14" s="103">
        <v>25.3</v>
      </c>
      <c r="AE14" s="103">
        <v>25.3</v>
      </c>
      <c r="AF14" s="103">
        <v>25.3</v>
      </c>
      <c r="AG14" s="134">
        <v>50</v>
      </c>
      <c r="AH14" s="21">
        <f t="shared" si="2"/>
        <v>25.5</v>
      </c>
      <c r="AI14" s="20">
        <f t="shared" si="3"/>
        <v>25.3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23.7</v>
      </c>
      <c r="C15" s="123">
        <v>23.7</v>
      </c>
      <c r="D15" s="123">
        <v>23.7</v>
      </c>
      <c r="E15" s="123">
        <v>23.7</v>
      </c>
      <c r="F15" s="123">
        <v>23.7</v>
      </c>
      <c r="G15" s="123">
        <v>23.7</v>
      </c>
      <c r="H15" s="123">
        <v>23.7</v>
      </c>
      <c r="I15" s="123">
        <v>23.7</v>
      </c>
      <c r="J15" s="123">
        <v>23.7</v>
      </c>
      <c r="K15" s="123">
        <v>23.7</v>
      </c>
      <c r="L15" s="123">
        <v>23.7</v>
      </c>
      <c r="M15" s="103">
        <v>23.7</v>
      </c>
      <c r="N15" s="103">
        <v>23.1</v>
      </c>
      <c r="O15" s="103">
        <v>23.1</v>
      </c>
      <c r="P15" s="103">
        <v>23.1</v>
      </c>
      <c r="Q15" s="103">
        <v>23</v>
      </c>
      <c r="R15" s="103">
        <v>23</v>
      </c>
      <c r="S15" s="103">
        <v>23</v>
      </c>
      <c r="T15" s="103">
        <v>23</v>
      </c>
      <c r="U15" s="103">
        <v>23</v>
      </c>
      <c r="V15" s="103">
        <v>23</v>
      </c>
      <c r="W15" s="103">
        <v>23</v>
      </c>
      <c r="X15" s="103">
        <v>23</v>
      </c>
      <c r="Y15" s="103">
        <v>23</v>
      </c>
      <c r="Z15" s="103">
        <v>23</v>
      </c>
      <c r="AA15" s="103">
        <v>23</v>
      </c>
      <c r="AB15" s="103">
        <v>23</v>
      </c>
      <c r="AC15" s="103">
        <v>23</v>
      </c>
      <c r="AD15" s="103">
        <v>23</v>
      </c>
      <c r="AE15" s="103">
        <v>23</v>
      </c>
      <c r="AF15" s="103">
        <v>23</v>
      </c>
      <c r="AG15" s="108">
        <v>45</v>
      </c>
      <c r="AH15" s="21">
        <f t="shared" si="2"/>
        <v>23.7</v>
      </c>
      <c r="AI15" s="20">
        <f t="shared" si="3"/>
        <v>23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12</v>
      </c>
      <c r="C16" s="127">
        <v>12</v>
      </c>
      <c r="D16" s="127">
        <v>12</v>
      </c>
      <c r="E16" s="127">
        <v>12</v>
      </c>
      <c r="F16" s="127">
        <v>12</v>
      </c>
      <c r="G16" s="127">
        <v>12</v>
      </c>
      <c r="H16" s="127">
        <v>12</v>
      </c>
      <c r="I16" s="127">
        <v>12</v>
      </c>
      <c r="J16" s="127">
        <v>12</v>
      </c>
      <c r="K16" s="127">
        <v>12</v>
      </c>
      <c r="L16" s="127">
        <v>12</v>
      </c>
      <c r="M16" s="103">
        <v>12</v>
      </c>
      <c r="N16" s="103">
        <v>12</v>
      </c>
      <c r="O16" s="103">
        <v>12</v>
      </c>
      <c r="P16" s="103">
        <v>12</v>
      </c>
      <c r="Q16" s="103">
        <v>12</v>
      </c>
      <c r="R16" s="103">
        <v>12</v>
      </c>
      <c r="S16" s="103">
        <v>12</v>
      </c>
      <c r="T16" s="103">
        <v>12</v>
      </c>
      <c r="U16" s="103">
        <v>12</v>
      </c>
      <c r="V16" s="103">
        <v>12</v>
      </c>
      <c r="W16" s="103">
        <v>12</v>
      </c>
      <c r="X16" s="103">
        <v>12</v>
      </c>
      <c r="Y16" s="103">
        <v>12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12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12.3</v>
      </c>
      <c r="C19" s="127">
        <v>12.3</v>
      </c>
      <c r="D19" s="127">
        <v>12.3</v>
      </c>
      <c r="E19" s="127">
        <v>12.3</v>
      </c>
      <c r="F19" s="127">
        <v>12.3</v>
      </c>
      <c r="G19" s="127">
        <v>12.3</v>
      </c>
      <c r="H19" s="127">
        <v>12.3</v>
      </c>
      <c r="I19" s="127">
        <v>12.3</v>
      </c>
      <c r="J19" s="127">
        <v>12.3</v>
      </c>
      <c r="K19" s="127">
        <v>12.3</v>
      </c>
      <c r="L19" s="127">
        <v>12.3</v>
      </c>
      <c r="M19" s="103">
        <v>12.3</v>
      </c>
      <c r="N19" s="103">
        <v>12.3</v>
      </c>
      <c r="O19" s="103">
        <v>12.3</v>
      </c>
      <c r="P19" s="103">
        <v>12.3</v>
      </c>
      <c r="Q19" s="103">
        <v>12.3</v>
      </c>
      <c r="R19" s="103">
        <v>12.3</v>
      </c>
      <c r="S19" s="103">
        <v>12.3</v>
      </c>
      <c r="T19" s="103">
        <v>12.3</v>
      </c>
      <c r="U19" s="103">
        <v>12.3</v>
      </c>
      <c r="V19" s="103">
        <v>12.3</v>
      </c>
      <c r="W19" s="103">
        <v>12.3</v>
      </c>
      <c r="X19" s="103">
        <v>12.3</v>
      </c>
      <c r="Y19" s="103">
        <v>12.3</v>
      </c>
      <c r="Z19" s="103">
        <v>11.3</v>
      </c>
      <c r="AA19" s="103">
        <v>11.3</v>
      </c>
      <c r="AB19" s="103">
        <v>11.3</v>
      </c>
      <c r="AC19" s="103">
        <v>11.3</v>
      </c>
      <c r="AD19" s="103">
        <v>11.3</v>
      </c>
      <c r="AE19" s="103">
        <v>11.3</v>
      </c>
      <c r="AF19" s="103">
        <v>11.3</v>
      </c>
      <c r="AG19" s="134">
        <v>30</v>
      </c>
      <c r="AH19" s="21">
        <f t="shared" si="2"/>
        <v>12.3</v>
      </c>
      <c r="AI19" s="20">
        <f t="shared" si="3"/>
        <v>11.3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8.1</v>
      </c>
      <c r="C20" s="127">
        <v>8.1</v>
      </c>
      <c r="D20" s="127">
        <v>8.1</v>
      </c>
      <c r="E20" s="127">
        <v>8.1</v>
      </c>
      <c r="F20" s="127">
        <v>8.1</v>
      </c>
      <c r="G20" s="127">
        <v>8.1</v>
      </c>
      <c r="H20" s="127">
        <v>8.1</v>
      </c>
      <c r="I20" s="127">
        <v>8.1</v>
      </c>
      <c r="J20" s="127">
        <v>8.1</v>
      </c>
      <c r="K20" s="127">
        <v>8.1</v>
      </c>
      <c r="L20" s="127">
        <v>8.1</v>
      </c>
      <c r="M20" s="103">
        <v>8.1</v>
      </c>
      <c r="N20" s="103">
        <v>8.1</v>
      </c>
      <c r="O20" s="103">
        <v>8.1</v>
      </c>
      <c r="P20" s="103">
        <v>8.1</v>
      </c>
      <c r="Q20" s="103">
        <v>8.1</v>
      </c>
      <c r="R20" s="103">
        <v>8.1</v>
      </c>
      <c r="S20" s="103">
        <v>8.1</v>
      </c>
      <c r="T20" s="103">
        <v>8.1</v>
      </c>
      <c r="U20" s="103">
        <v>8.1</v>
      </c>
      <c r="V20" s="103">
        <v>8.1</v>
      </c>
      <c r="W20" s="103">
        <v>8.1</v>
      </c>
      <c r="X20" s="103">
        <v>8.1</v>
      </c>
      <c r="Y20" s="103">
        <v>8.1</v>
      </c>
      <c r="Z20" s="103">
        <v>8.1</v>
      </c>
      <c r="AA20" s="103">
        <v>8.1</v>
      </c>
      <c r="AB20" s="103">
        <v>8.1</v>
      </c>
      <c r="AC20" s="103">
        <v>8.1</v>
      </c>
      <c r="AD20" s="103">
        <v>8.1</v>
      </c>
      <c r="AE20" s="103">
        <v>8.1</v>
      </c>
      <c r="AF20" s="103">
        <v>8.1</v>
      </c>
      <c r="AG20" s="134">
        <v>27</v>
      </c>
      <c r="AH20" s="21">
        <f t="shared" si="2"/>
        <v>8.1</v>
      </c>
      <c r="AI20" s="20">
        <f t="shared" si="3"/>
        <v>8.1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12</v>
      </c>
      <c r="C22" s="127">
        <v>12</v>
      </c>
      <c r="D22" s="127">
        <v>12</v>
      </c>
      <c r="E22" s="127">
        <v>12</v>
      </c>
      <c r="F22" s="127">
        <v>12</v>
      </c>
      <c r="G22" s="127">
        <v>12</v>
      </c>
      <c r="H22" s="127">
        <v>12</v>
      </c>
      <c r="I22" s="127">
        <v>12</v>
      </c>
      <c r="J22" s="127">
        <v>12</v>
      </c>
      <c r="K22" s="127">
        <v>12</v>
      </c>
      <c r="L22" s="127">
        <v>12</v>
      </c>
      <c r="M22" s="103">
        <v>12</v>
      </c>
      <c r="N22" s="103">
        <v>12</v>
      </c>
      <c r="O22" s="103">
        <v>12</v>
      </c>
      <c r="P22" s="103">
        <v>12</v>
      </c>
      <c r="Q22" s="103">
        <v>12</v>
      </c>
      <c r="R22" s="103">
        <v>12</v>
      </c>
      <c r="S22" s="103">
        <v>12</v>
      </c>
      <c r="T22" s="103">
        <v>12</v>
      </c>
      <c r="U22" s="103">
        <v>12</v>
      </c>
      <c r="V22" s="103">
        <v>12</v>
      </c>
      <c r="W22" s="103">
        <v>12</v>
      </c>
      <c r="X22" s="103">
        <v>12</v>
      </c>
      <c r="Y22" s="103">
        <v>12</v>
      </c>
      <c r="Z22" s="103">
        <v>16.600000000000001</v>
      </c>
      <c r="AA22" s="103">
        <v>16.600000000000001</v>
      </c>
      <c r="AB22" s="103">
        <v>16.600000000000001</v>
      </c>
      <c r="AC22" s="103">
        <v>16.600000000000001</v>
      </c>
      <c r="AD22" s="103">
        <v>16.600000000000001</v>
      </c>
      <c r="AE22" s="103">
        <v>16.600000000000001</v>
      </c>
      <c r="AF22" s="103">
        <v>16.600000000000001</v>
      </c>
      <c r="AG22" s="134">
        <v>25</v>
      </c>
      <c r="AH22" s="21">
        <f t="shared" si="2"/>
        <v>16.600000000000001</v>
      </c>
      <c r="AI22" s="20">
        <f t="shared" si="3"/>
        <v>12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11</v>
      </c>
      <c r="C24" s="127">
        <v>11</v>
      </c>
      <c r="D24" s="127">
        <v>11</v>
      </c>
      <c r="E24" s="127">
        <v>11</v>
      </c>
      <c r="F24" s="127">
        <v>11</v>
      </c>
      <c r="G24" s="127">
        <v>11</v>
      </c>
      <c r="H24" s="127">
        <v>11</v>
      </c>
      <c r="I24" s="127">
        <v>11</v>
      </c>
      <c r="J24" s="127">
        <v>11</v>
      </c>
      <c r="K24" s="127">
        <v>11</v>
      </c>
      <c r="L24" s="127">
        <v>11</v>
      </c>
      <c r="M24" s="103">
        <v>11</v>
      </c>
      <c r="N24" s="103">
        <v>11</v>
      </c>
      <c r="O24" s="103">
        <v>11</v>
      </c>
      <c r="P24" s="103">
        <v>11</v>
      </c>
      <c r="Q24" s="103">
        <v>11</v>
      </c>
      <c r="R24" s="103">
        <v>11</v>
      </c>
      <c r="S24" s="103">
        <v>11</v>
      </c>
      <c r="T24" s="103">
        <v>11</v>
      </c>
      <c r="U24" s="103">
        <v>11</v>
      </c>
      <c r="V24" s="103">
        <v>11</v>
      </c>
      <c r="W24" s="103">
        <v>11</v>
      </c>
      <c r="X24" s="103">
        <v>11</v>
      </c>
      <c r="Y24" s="103">
        <v>11</v>
      </c>
      <c r="Z24" s="103">
        <v>6.4</v>
      </c>
      <c r="AA24" s="103">
        <v>6.4</v>
      </c>
      <c r="AB24" s="103">
        <v>6.4</v>
      </c>
      <c r="AC24" s="103">
        <v>6.4</v>
      </c>
      <c r="AD24" s="103">
        <v>6.4</v>
      </c>
      <c r="AE24" s="103">
        <v>6.4</v>
      </c>
      <c r="AF24" s="103">
        <v>6.4</v>
      </c>
      <c r="AG24" s="134">
        <v>25</v>
      </c>
      <c r="AH24" s="21">
        <f t="shared" si="2"/>
        <v>11</v>
      </c>
      <c r="AI24" s="20">
        <f t="shared" si="3"/>
        <v>6.4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4.5</v>
      </c>
      <c r="C28" s="127">
        <v>4.5</v>
      </c>
      <c r="D28" s="127">
        <v>4.5</v>
      </c>
      <c r="E28" s="127">
        <v>4.5</v>
      </c>
      <c r="F28" s="127">
        <v>4.5</v>
      </c>
      <c r="G28" s="127">
        <v>4.5</v>
      </c>
      <c r="H28" s="127">
        <v>4.5</v>
      </c>
      <c r="I28" s="127">
        <v>4.5</v>
      </c>
      <c r="J28" s="127">
        <v>4.5</v>
      </c>
      <c r="K28" s="127">
        <v>4.5</v>
      </c>
      <c r="L28" s="127">
        <v>4.5</v>
      </c>
      <c r="M28" s="103">
        <v>4.5</v>
      </c>
      <c r="N28" s="103">
        <v>4.5</v>
      </c>
      <c r="O28" s="103">
        <v>4.5</v>
      </c>
      <c r="P28" s="103">
        <v>4.5</v>
      </c>
      <c r="Q28" s="103">
        <v>4.5</v>
      </c>
      <c r="R28" s="103">
        <v>4.5</v>
      </c>
      <c r="S28" s="103">
        <v>4.5</v>
      </c>
      <c r="T28" s="103">
        <v>4.5</v>
      </c>
      <c r="U28" s="103">
        <v>4.5</v>
      </c>
      <c r="V28" s="103">
        <v>4.5</v>
      </c>
      <c r="W28" s="103">
        <v>4.5</v>
      </c>
      <c r="X28" s="103">
        <v>4.5</v>
      </c>
      <c r="Y28" s="103">
        <v>4.5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4.5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4.8</v>
      </c>
      <c r="C34" s="123">
        <v>4.8</v>
      </c>
      <c r="D34" s="123">
        <v>4.8</v>
      </c>
      <c r="E34" s="123">
        <v>4.8</v>
      </c>
      <c r="F34" s="123">
        <v>4.8</v>
      </c>
      <c r="G34" s="123">
        <v>4.8</v>
      </c>
      <c r="H34" s="123">
        <v>4.8</v>
      </c>
      <c r="I34" s="123">
        <v>4.8</v>
      </c>
      <c r="J34" s="123">
        <v>4.8</v>
      </c>
      <c r="K34" s="123">
        <v>4.8</v>
      </c>
      <c r="L34" s="123">
        <v>4.8</v>
      </c>
      <c r="M34" s="103">
        <v>4.8</v>
      </c>
      <c r="N34" s="103">
        <v>4.8</v>
      </c>
      <c r="O34" s="103">
        <v>4.8</v>
      </c>
      <c r="P34" s="103">
        <v>4.8</v>
      </c>
      <c r="Q34" s="103">
        <v>4.8</v>
      </c>
      <c r="R34" s="103">
        <v>4.8</v>
      </c>
      <c r="S34" s="103">
        <v>4.8</v>
      </c>
      <c r="T34" s="103">
        <v>4.8</v>
      </c>
      <c r="U34" s="103">
        <v>4.8</v>
      </c>
      <c r="V34" s="103">
        <v>4.8</v>
      </c>
      <c r="W34" s="103">
        <v>4.8</v>
      </c>
      <c r="X34" s="103">
        <v>4.8</v>
      </c>
      <c r="Y34" s="103">
        <v>4.8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4.8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03">
        <v>160</v>
      </c>
      <c r="AA36" s="103">
        <v>160</v>
      </c>
      <c r="AB36" s="103">
        <v>160</v>
      </c>
      <c r="AC36" s="103">
        <v>160</v>
      </c>
      <c r="AD36" s="103">
        <v>160</v>
      </c>
      <c r="AE36" s="103">
        <v>160</v>
      </c>
      <c r="AF36" s="10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28.1</v>
      </c>
      <c r="C37" s="123">
        <v>27.2</v>
      </c>
      <c r="D37" s="123">
        <v>28.2</v>
      </c>
      <c r="E37" s="123">
        <f>9.5+16.4</f>
        <v>25.9</v>
      </c>
      <c r="F37" s="123">
        <f>11+18.6</f>
        <v>29.6</v>
      </c>
      <c r="G37" s="123">
        <f>11.2+18.1</f>
        <v>29.3</v>
      </c>
      <c r="H37" s="123">
        <f>10.6+16.8</f>
        <v>27.4</v>
      </c>
      <c r="I37" s="123">
        <f>10.9+17</f>
        <v>27.9</v>
      </c>
      <c r="J37" s="123">
        <f>11.1+17</f>
        <v>28.1</v>
      </c>
      <c r="K37" s="123">
        <f>10.4+16.5</f>
        <v>26.9</v>
      </c>
      <c r="L37" s="123">
        <f>10.8+17.5</f>
        <v>28.3</v>
      </c>
      <c r="M37" s="128">
        <v>28.3</v>
      </c>
      <c r="N37" s="128">
        <v>28.9</v>
      </c>
      <c r="O37" s="128">
        <v>28.1</v>
      </c>
      <c r="P37" s="128">
        <v>27.9</v>
      </c>
      <c r="Q37" s="128">
        <v>27.5</v>
      </c>
      <c r="R37" s="128">
        <v>29</v>
      </c>
      <c r="S37" s="128">
        <v>29</v>
      </c>
      <c r="T37" s="128">
        <v>29</v>
      </c>
      <c r="U37" s="128">
        <v>24.2</v>
      </c>
      <c r="V37" s="128">
        <f>10.2+15.9</f>
        <v>26.1</v>
      </c>
      <c r="W37" s="128">
        <v>26.5</v>
      </c>
      <c r="X37" s="128">
        <v>26.4</v>
      </c>
      <c r="Y37" s="128">
        <v>25</v>
      </c>
      <c r="Z37" s="103">
        <v>25</v>
      </c>
      <c r="AA37" s="128">
        <v>27.4</v>
      </c>
      <c r="AB37" s="128">
        <v>27.4</v>
      </c>
      <c r="AC37" s="128">
        <v>29</v>
      </c>
      <c r="AD37" s="128">
        <v>29</v>
      </c>
      <c r="AE37" s="128">
        <v>29</v>
      </c>
      <c r="AF37" s="128">
        <v>30</v>
      </c>
      <c r="AG37" s="106">
        <v>240</v>
      </c>
      <c r="AH37" s="21">
        <f t="shared" si="2"/>
        <v>30</v>
      </c>
      <c r="AI37" s="20">
        <f t="shared" si="3"/>
        <v>24.2</v>
      </c>
      <c r="AK37" s="42"/>
    </row>
    <row r="38" spans="1:88" ht="15.75" thickBot="1" x14ac:dyDescent="0.3">
      <c r="A38" s="100" t="s">
        <v>173</v>
      </c>
      <c r="B38" s="99">
        <f>SUM(B11:B36)</f>
        <v>402</v>
      </c>
      <c r="C38" s="99">
        <f t="shared" ref="C38:AF38" si="4">SUM(C11:C36)</f>
        <v>402</v>
      </c>
      <c r="D38" s="99">
        <f t="shared" si="4"/>
        <v>402</v>
      </c>
      <c r="E38" s="99">
        <f t="shared" si="4"/>
        <v>394</v>
      </c>
      <c r="F38" s="99">
        <f t="shared" si="4"/>
        <v>394</v>
      </c>
      <c r="G38" s="99">
        <f t="shared" si="4"/>
        <v>394</v>
      </c>
      <c r="H38" s="99">
        <f t="shared" si="4"/>
        <v>412</v>
      </c>
      <c r="I38" s="99">
        <f t="shared" si="4"/>
        <v>452</v>
      </c>
      <c r="J38" s="99">
        <f t="shared" si="4"/>
        <v>472.00000000000006</v>
      </c>
      <c r="K38" s="99">
        <f t="shared" si="4"/>
        <v>610</v>
      </c>
      <c r="L38" s="99">
        <f t="shared" si="4"/>
        <v>612</v>
      </c>
      <c r="M38" s="99">
        <f t="shared" si="4"/>
        <v>622</v>
      </c>
      <c r="N38" s="99">
        <f t="shared" si="4"/>
        <v>484.1</v>
      </c>
      <c r="O38" s="99">
        <f t="shared" si="4"/>
        <v>415.2</v>
      </c>
      <c r="P38" s="99">
        <f t="shared" si="4"/>
        <v>397.2</v>
      </c>
      <c r="Q38" s="99">
        <f t="shared" si="4"/>
        <v>395.6</v>
      </c>
      <c r="R38" s="99">
        <f t="shared" si="4"/>
        <v>421.6</v>
      </c>
      <c r="S38" s="99">
        <f t="shared" si="4"/>
        <v>431.6</v>
      </c>
      <c r="T38" s="99">
        <f t="shared" si="4"/>
        <v>431.6</v>
      </c>
      <c r="U38" s="99">
        <f t="shared" si="4"/>
        <v>431.6</v>
      </c>
      <c r="V38" s="99">
        <f t="shared" si="4"/>
        <v>421.6</v>
      </c>
      <c r="W38" s="99">
        <f t="shared" si="4"/>
        <v>421.6</v>
      </c>
      <c r="X38" s="99">
        <f t="shared" si="4"/>
        <v>421.6</v>
      </c>
      <c r="Y38" s="99">
        <f t="shared" si="4"/>
        <v>461.6</v>
      </c>
      <c r="Z38" s="99">
        <f>SUM(Z11:Z37)</f>
        <v>551.40000000000009</v>
      </c>
      <c r="AA38" s="99">
        <f t="shared" si="4"/>
        <v>726.40000000000009</v>
      </c>
      <c r="AB38" s="99">
        <f t="shared" si="4"/>
        <v>706.40000000000009</v>
      </c>
      <c r="AC38" s="99">
        <f t="shared" si="4"/>
        <v>606.40000000000009</v>
      </c>
      <c r="AD38" s="99">
        <f t="shared" si="4"/>
        <v>546.40000000000009</v>
      </c>
      <c r="AE38" s="99">
        <f t="shared" si="4"/>
        <v>626.40000000000009</v>
      </c>
      <c r="AF38" s="99">
        <f t="shared" si="4"/>
        <v>536.40000000000009</v>
      </c>
      <c r="AG38" s="106">
        <f>SUM(AG11:AG37)</f>
        <v>1492.8299999999997</v>
      </c>
      <c r="AH38" s="21">
        <f t="shared" si="2"/>
        <v>726.40000000000009</v>
      </c>
      <c r="AI38" s="20">
        <f t="shared" si="3"/>
        <v>394</v>
      </c>
      <c r="AK38" s="42"/>
    </row>
    <row r="39" spans="1:88" x14ac:dyDescent="0.25">
      <c r="A39" s="109" t="s">
        <v>172</v>
      </c>
      <c r="B39" s="127">
        <v>60.8</v>
      </c>
      <c r="C39" s="127">
        <v>60.8</v>
      </c>
      <c r="D39" s="127">
        <v>66</v>
      </c>
      <c r="E39" s="123">
        <v>31.1</v>
      </c>
      <c r="F39" s="123">
        <v>0</v>
      </c>
      <c r="G39" s="123">
        <v>0</v>
      </c>
      <c r="H39" s="123">
        <v>29.8</v>
      </c>
      <c r="I39" s="123">
        <v>60.3</v>
      </c>
      <c r="J39" s="123">
        <v>124.1</v>
      </c>
      <c r="K39" s="123">
        <v>120.8</v>
      </c>
      <c r="L39" s="123">
        <v>141.4</v>
      </c>
      <c r="M39" s="103">
        <v>141.30000000000001</v>
      </c>
      <c r="N39" s="103">
        <v>96.4</v>
      </c>
      <c r="O39" s="103">
        <v>97</v>
      </c>
      <c r="P39" s="103">
        <v>96.7</v>
      </c>
      <c r="Q39" s="103">
        <v>107.3</v>
      </c>
      <c r="R39" s="103">
        <v>107</v>
      </c>
      <c r="S39" s="103">
        <v>80</v>
      </c>
      <c r="T39" s="103">
        <v>60</v>
      </c>
      <c r="U39" s="103">
        <v>60</v>
      </c>
      <c r="V39" s="103">
        <v>121.4</v>
      </c>
      <c r="W39" s="103">
        <v>121.4</v>
      </c>
      <c r="X39" s="103">
        <v>121.4</v>
      </c>
      <c r="Y39" s="103">
        <v>145</v>
      </c>
      <c r="Z39" s="103">
        <v>145</v>
      </c>
      <c r="AA39" s="103">
        <v>145</v>
      </c>
      <c r="AB39" s="103">
        <v>144</v>
      </c>
      <c r="AC39" s="103">
        <v>70</v>
      </c>
      <c r="AD39" s="103">
        <v>60</v>
      </c>
      <c r="AE39" s="103">
        <v>45</v>
      </c>
      <c r="AF39" s="103">
        <v>45</v>
      </c>
      <c r="AG39" s="108">
        <v>144</v>
      </c>
      <c r="AH39" s="21">
        <f t="shared" si="2"/>
        <v>145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26.8</v>
      </c>
      <c r="C40" s="123">
        <v>35.1</v>
      </c>
      <c r="D40" s="123">
        <v>24.6</v>
      </c>
      <c r="E40" s="123">
        <v>0</v>
      </c>
      <c r="F40" s="123">
        <v>0</v>
      </c>
      <c r="G40" s="123">
        <v>0</v>
      </c>
      <c r="H40" s="123">
        <v>22.1</v>
      </c>
      <c r="I40" s="123">
        <v>34.6</v>
      </c>
      <c r="J40" s="123">
        <v>49.1</v>
      </c>
      <c r="K40" s="123">
        <v>70.400000000000006</v>
      </c>
      <c r="L40" s="123">
        <v>64.400000000000006</v>
      </c>
      <c r="M40" s="73">
        <v>59</v>
      </c>
      <c r="N40" s="73">
        <v>45</v>
      </c>
      <c r="O40" s="73">
        <v>38.700000000000003</v>
      </c>
      <c r="P40" s="73">
        <v>64.8</v>
      </c>
      <c r="Q40" s="73">
        <v>35.4</v>
      </c>
      <c r="R40" s="73">
        <v>26</v>
      </c>
      <c r="S40" s="73">
        <v>26</v>
      </c>
      <c r="T40" s="73">
        <v>26</v>
      </c>
      <c r="U40" s="73">
        <v>47.9</v>
      </c>
      <c r="V40" s="73">
        <v>47.9</v>
      </c>
      <c r="W40" s="73">
        <v>47.9</v>
      </c>
      <c r="X40" s="73">
        <v>47.9</v>
      </c>
      <c r="Y40" s="73">
        <v>48.7</v>
      </c>
      <c r="Z40" s="73">
        <v>70.3</v>
      </c>
      <c r="AA40" s="73">
        <v>70.3</v>
      </c>
      <c r="AB40" s="73">
        <v>70</v>
      </c>
      <c r="AC40" s="73">
        <v>23</v>
      </c>
      <c r="AD40" s="73">
        <v>22</v>
      </c>
      <c r="AE40" s="73">
        <v>25</v>
      </c>
      <c r="AF40" s="73">
        <v>35</v>
      </c>
      <c r="AG40" s="106">
        <v>70</v>
      </c>
      <c r="AH40" s="21">
        <f t="shared" si="2"/>
        <v>70.400000000000006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45.1</v>
      </c>
      <c r="C41" s="123">
        <v>45.1</v>
      </c>
      <c r="D41" s="123">
        <v>40.9</v>
      </c>
      <c r="E41" s="123">
        <v>17.3</v>
      </c>
      <c r="F41" s="123">
        <v>16.899999999999999</v>
      </c>
      <c r="G41" s="123">
        <v>16.5</v>
      </c>
      <c r="H41" s="123">
        <v>16.2</v>
      </c>
      <c r="I41" s="123">
        <v>22.7</v>
      </c>
      <c r="J41" s="123">
        <v>32.799999999999997</v>
      </c>
      <c r="K41" s="123">
        <v>32.9</v>
      </c>
      <c r="L41" s="123">
        <v>55.5</v>
      </c>
      <c r="M41" s="73">
        <v>55.6</v>
      </c>
      <c r="N41" s="73">
        <v>32.6</v>
      </c>
      <c r="O41" s="73">
        <v>16.8</v>
      </c>
      <c r="P41" s="73">
        <v>22.3</v>
      </c>
      <c r="Q41" s="73">
        <v>16.3</v>
      </c>
      <c r="R41" s="73">
        <v>0</v>
      </c>
      <c r="S41" s="73">
        <v>17</v>
      </c>
      <c r="T41" s="73">
        <v>17</v>
      </c>
      <c r="U41" s="73">
        <v>17</v>
      </c>
      <c r="V41" s="73">
        <v>32.700000000000003</v>
      </c>
      <c r="W41" s="73">
        <v>34</v>
      </c>
      <c r="X41" s="73">
        <v>34</v>
      </c>
      <c r="Y41" s="73">
        <v>50.9</v>
      </c>
      <c r="Z41" s="73">
        <v>68.900000000000006</v>
      </c>
      <c r="AA41" s="73">
        <v>68.900000000000006</v>
      </c>
      <c r="AB41" s="73">
        <v>68</v>
      </c>
      <c r="AC41" s="73">
        <v>53</v>
      </c>
      <c r="AD41" s="73">
        <v>55</v>
      </c>
      <c r="AE41" s="73">
        <v>54</v>
      </c>
      <c r="AF41" s="73">
        <v>54</v>
      </c>
      <c r="AG41" s="106">
        <v>69</v>
      </c>
      <c r="AH41" s="21">
        <f t="shared" si="2"/>
        <v>68.900000000000006</v>
      </c>
      <c r="AI41" s="20">
        <f t="shared" si="3"/>
        <v>0</v>
      </c>
      <c r="AK41" s="42"/>
    </row>
    <row r="42" spans="1:88" x14ac:dyDescent="0.25">
      <c r="A42" s="107" t="s">
        <v>169</v>
      </c>
      <c r="B42" s="123">
        <v>60.4</v>
      </c>
      <c r="C42" s="123">
        <v>62</v>
      </c>
      <c r="D42" s="123">
        <v>60.4</v>
      </c>
      <c r="E42" s="123">
        <v>60.4</v>
      </c>
      <c r="F42" s="123">
        <v>60.4</v>
      </c>
      <c r="G42" s="123">
        <v>60.4</v>
      </c>
      <c r="H42" s="123">
        <v>60.4</v>
      </c>
      <c r="I42" s="123">
        <v>60.4</v>
      </c>
      <c r="J42" s="123">
        <v>60.4</v>
      </c>
      <c r="K42" s="123">
        <v>60.4</v>
      </c>
      <c r="L42" s="123">
        <v>60.4</v>
      </c>
      <c r="M42" s="73">
        <v>60.4</v>
      </c>
      <c r="N42" s="73">
        <v>60.4</v>
      </c>
      <c r="O42" s="73">
        <v>60.7</v>
      </c>
      <c r="P42" s="73">
        <v>60.4</v>
      </c>
      <c r="Q42" s="73">
        <v>60.4</v>
      </c>
      <c r="R42" s="73">
        <v>60.4</v>
      </c>
      <c r="S42" s="73">
        <v>58</v>
      </c>
      <c r="T42" s="73">
        <v>58.2</v>
      </c>
      <c r="U42" s="73">
        <v>58.2</v>
      </c>
      <c r="V42" s="73">
        <v>58.2</v>
      </c>
      <c r="W42" s="73">
        <v>58.2</v>
      </c>
      <c r="X42" s="73">
        <v>58.2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106">
        <v>60</v>
      </c>
      <c r="AH42" s="21">
        <f t="shared" si="2"/>
        <v>62</v>
      </c>
      <c r="AI42" s="20">
        <f t="shared" si="3"/>
        <v>58</v>
      </c>
      <c r="AK42" s="42"/>
    </row>
    <row r="43" spans="1:88" x14ac:dyDescent="0.25">
      <c r="A43" s="107" t="s">
        <v>168</v>
      </c>
      <c r="B43" s="123">
        <v>10</v>
      </c>
      <c r="C43" s="123">
        <v>10</v>
      </c>
      <c r="D43" s="123">
        <v>9</v>
      </c>
      <c r="E43" s="123">
        <v>9</v>
      </c>
      <c r="F43" s="123">
        <v>9</v>
      </c>
      <c r="G43" s="123">
        <v>9</v>
      </c>
      <c r="H43" s="123">
        <v>20</v>
      </c>
      <c r="I43" s="123">
        <v>30</v>
      </c>
      <c r="J43" s="123">
        <v>30</v>
      </c>
      <c r="K43" s="123">
        <v>30</v>
      </c>
      <c r="L43" s="123">
        <v>30</v>
      </c>
      <c r="M43" s="103">
        <v>30</v>
      </c>
      <c r="N43" s="103">
        <v>15</v>
      </c>
      <c r="O43" s="103">
        <v>0</v>
      </c>
      <c r="P43" s="103">
        <v>0</v>
      </c>
      <c r="Q43" s="103">
        <v>0</v>
      </c>
      <c r="R43" s="103">
        <v>0</v>
      </c>
      <c r="S43" s="103">
        <v>15</v>
      </c>
      <c r="T43" s="103">
        <v>15</v>
      </c>
      <c r="U43" s="103">
        <v>13.2</v>
      </c>
      <c r="V43" s="103">
        <v>15</v>
      </c>
      <c r="W43" s="103">
        <v>13.3</v>
      </c>
      <c r="X43" s="103">
        <v>13.3</v>
      </c>
      <c r="Y43" s="103">
        <v>13.4</v>
      </c>
      <c r="Z43" s="73">
        <v>30</v>
      </c>
      <c r="AA43" s="7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30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5</v>
      </c>
      <c r="N44" s="103">
        <v>5</v>
      </c>
      <c r="O44" s="103">
        <v>5</v>
      </c>
      <c r="P44" s="103">
        <v>7</v>
      </c>
      <c r="Q44" s="103">
        <v>7</v>
      </c>
      <c r="R44" s="103">
        <v>7</v>
      </c>
      <c r="S44" s="103">
        <v>7</v>
      </c>
      <c r="T44" s="103">
        <v>7</v>
      </c>
      <c r="U44" s="103">
        <v>7</v>
      </c>
      <c r="V44" s="103">
        <v>7</v>
      </c>
      <c r="W44" s="103">
        <v>7</v>
      </c>
      <c r="X44" s="103">
        <v>7</v>
      </c>
      <c r="Y44" s="103">
        <v>7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7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13</v>
      </c>
      <c r="C45" s="123">
        <v>13</v>
      </c>
      <c r="D45" s="123">
        <v>13</v>
      </c>
      <c r="E45" s="123">
        <v>13</v>
      </c>
      <c r="F45" s="123">
        <v>13</v>
      </c>
      <c r="G45" s="123">
        <v>13</v>
      </c>
      <c r="H45" s="123">
        <v>13</v>
      </c>
      <c r="I45" s="123">
        <v>13</v>
      </c>
      <c r="J45" s="123">
        <v>13</v>
      </c>
      <c r="K45" s="123">
        <v>13</v>
      </c>
      <c r="L45" s="123">
        <v>13</v>
      </c>
      <c r="M45" s="103">
        <v>13</v>
      </c>
      <c r="N45" s="103">
        <v>13</v>
      </c>
      <c r="O45" s="103">
        <v>13</v>
      </c>
      <c r="P45" s="103">
        <v>13</v>
      </c>
      <c r="Q45" s="103">
        <v>14</v>
      </c>
      <c r="R45" s="103">
        <v>14</v>
      </c>
      <c r="S45" s="103">
        <v>14</v>
      </c>
      <c r="T45" s="103">
        <v>14</v>
      </c>
      <c r="U45" s="103">
        <v>14</v>
      </c>
      <c r="V45" s="103">
        <v>14</v>
      </c>
      <c r="W45" s="103">
        <v>14</v>
      </c>
      <c r="X45" s="103">
        <v>14</v>
      </c>
      <c r="Y45" s="103">
        <v>14</v>
      </c>
      <c r="Z45" s="103">
        <v>13</v>
      </c>
      <c r="AA45" s="103">
        <v>13</v>
      </c>
      <c r="AB45" s="103">
        <v>13</v>
      </c>
      <c r="AC45" s="103">
        <v>13</v>
      </c>
      <c r="AD45" s="103">
        <v>13</v>
      </c>
      <c r="AE45" s="103">
        <v>13</v>
      </c>
      <c r="AF45" s="103">
        <v>13</v>
      </c>
      <c r="AG45" s="106">
        <v>24</v>
      </c>
      <c r="AH45" s="21">
        <f t="shared" si="2"/>
        <v>14</v>
      </c>
      <c r="AI45" s="20">
        <f t="shared" si="3"/>
        <v>13</v>
      </c>
      <c r="AK45" s="42"/>
    </row>
    <row r="46" spans="1:88" x14ac:dyDescent="0.25">
      <c r="A46" s="107" t="s">
        <v>165</v>
      </c>
      <c r="B46" s="123">
        <v>4</v>
      </c>
      <c r="C46" s="123">
        <v>4</v>
      </c>
      <c r="D46" s="123">
        <v>4</v>
      </c>
      <c r="E46" s="123">
        <v>4</v>
      </c>
      <c r="F46" s="123">
        <v>4</v>
      </c>
      <c r="G46" s="123">
        <v>4</v>
      </c>
      <c r="H46" s="123">
        <v>4</v>
      </c>
      <c r="I46" s="123">
        <v>4</v>
      </c>
      <c r="J46" s="123">
        <v>4</v>
      </c>
      <c r="K46" s="123">
        <v>4</v>
      </c>
      <c r="L46" s="123">
        <v>4</v>
      </c>
      <c r="M46" s="103">
        <v>4</v>
      </c>
      <c r="N46" s="103">
        <v>4</v>
      </c>
      <c r="O46" s="103">
        <v>4</v>
      </c>
      <c r="P46" s="103">
        <v>4</v>
      </c>
      <c r="Q46" s="103">
        <v>4</v>
      </c>
      <c r="R46" s="103">
        <v>4</v>
      </c>
      <c r="S46" s="103">
        <v>4</v>
      </c>
      <c r="T46" s="103">
        <v>4</v>
      </c>
      <c r="U46" s="103">
        <v>4</v>
      </c>
      <c r="V46" s="103">
        <v>4</v>
      </c>
      <c r="W46" s="103">
        <v>4</v>
      </c>
      <c r="X46" s="103">
        <v>4</v>
      </c>
      <c r="Y46" s="103">
        <v>4</v>
      </c>
      <c r="Z46" s="103">
        <v>4</v>
      </c>
      <c r="AA46" s="103">
        <v>4</v>
      </c>
      <c r="AB46" s="103">
        <v>4</v>
      </c>
      <c r="AC46" s="103">
        <v>4</v>
      </c>
      <c r="AD46" s="103">
        <v>4</v>
      </c>
      <c r="AE46" s="103">
        <v>4</v>
      </c>
      <c r="AF46" s="103">
        <v>4</v>
      </c>
      <c r="AG46" s="106">
        <v>15</v>
      </c>
      <c r="AH46" s="21">
        <f t="shared" si="2"/>
        <v>4</v>
      </c>
      <c r="AI46" s="20">
        <f t="shared" si="3"/>
        <v>4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10</v>
      </c>
      <c r="AA47" s="103">
        <v>10</v>
      </c>
      <c r="AB47" s="103">
        <v>10</v>
      </c>
      <c r="AC47" s="103">
        <v>10</v>
      </c>
      <c r="AD47" s="103">
        <v>10</v>
      </c>
      <c r="AE47" s="103">
        <v>10</v>
      </c>
      <c r="AF47" s="103">
        <v>10</v>
      </c>
      <c r="AG47" s="106">
        <v>14.1</v>
      </c>
      <c r="AH47" s="21">
        <f t="shared" si="2"/>
        <v>12</v>
      </c>
      <c r="AI47" s="20">
        <f t="shared" si="3"/>
        <v>10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7.1</v>
      </c>
      <c r="C48" s="123">
        <v>7.1</v>
      </c>
      <c r="D48" s="123">
        <v>7.1</v>
      </c>
      <c r="E48" s="123">
        <v>7.1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0</v>
      </c>
      <c r="Q48" s="123">
        <v>0</v>
      </c>
      <c r="R48" s="123">
        <v>0</v>
      </c>
      <c r="S48" s="123">
        <v>0</v>
      </c>
      <c r="T48" s="123">
        <v>0</v>
      </c>
      <c r="U48" s="123">
        <v>0</v>
      </c>
      <c r="V48" s="123">
        <v>0</v>
      </c>
      <c r="W48" s="123">
        <v>0</v>
      </c>
      <c r="X48" s="123">
        <v>0</v>
      </c>
      <c r="Y48" s="123">
        <v>0</v>
      </c>
      <c r="Z48" s="103">
        <v>6.1</v>
      </c>
      <c r="AA48" s="103">
        <v>6.1</v>
      </c>
      <c r="AB48" s="103">
        <v>6.1</v>
      </c>
      <c r="AC48" s="103">
        <v>6.1</v>
      </c>
      <c r="AD48" s="103">
        <v>6.1</v>
      </c>
      <c r="AE48" s="103">
        <v>6.1</v>
      </c>
      <c r="AF48" s="103">
        <v>6.1</v>
      </c>
      <c r="AG48" s="106">
        <v>14</v>
      </c>
      <c r="AH48" s="21">
        <f t="shared" si="2"/>
        <v>7.1</v>
      </c>
      <c r="AI48" s="20">
        <f t="shared" si="3"/>
        <v>0</v>
      </c>
      <c r="AK48" s="42"/>
    </row>
    <row r="49" spans="1:37" x14ac:dyDescent="0.25">
      <c r="A49" s="107" t="s">
        <v>162</v>
      </c>
      <c r="B49" s="123">
        <v>5.8</v>
      </c>
      <c r="C49" s="123">
        <v>5.8</v>
      </c>
      <c r="D49" s="123">
        <v>5.8</v>
      </c>
      <c r="E49" s="123">
        <v>5.8</v>
      </c>
      <c r="F49" s="123">
        <v>5.8</v>
      </c>
      <c r="G49" s="123">
        <v>5.8</v>
      </c>
      <c r="H49" s="123">
        <v>5.8</v>
      </c>
      <c r="I49" s="123">
        <v>5.8</v>
      </c>
      <c r="J49" s="123">
        <v>5.8</v>
      </c>
      <c r="K49" s="123">
        <v>5.8</v>
      </c>
      <c r="L49" s="123">
        <v>5.8</v>
      </c>
      <c r="M49" s="103">
        <v>5.8</v>
      </c>
      <c r="N49" s="103">
        <v>5.8</v>
      </c>
      <c r="O49" s="103">
        <v>5.8</v>
      </c>
      <c r="P49" s="103">
        <v>5.8</v>
      </c>
      <c r="Q49" s="103">
        <v>5.8</v>
      </c>
      <c r="R49" s="103">
        <v>5.8</v>
      </c>
      <c r="S49" s="103">
        <v>5.8</v>
      </c>
      <c r="T49" s="103">
        <v>5.8</v>
      </c>
      <c r="U49" s="103">
        <v>5.8</v>
      </c>
      <c r="V49" s="103">
        <v>5.8</v>
      </c>
      <c r="W49" s="103">
        <v>5.8</v>
      </c>
      <c r="X49" s="103">
        <v>5.8</v>
      </c>
      <c r="Y49" s="103">
        <v>5.8</v>
      </c>
      <c r="Z49" s="103">
        <v>5.8</v>
      </c>
      <c r="AA49" s="103">
        <v>5.8</v>
      </c>
      <c r="AB49" s="103">
        <v>5.8</v>
      </c>
      <c r="AC49" s="103">
        <v>5.8</v>
      </c>
      <c r="AD49" s="103">
        <v>5.8</v>
      </c>
      <c r="AE49" s="103">
        <v>5.8</v>
      </c>
      <c r="AF49" s="103">
        <v>5.8</v>
      </c>
      <c r="AG49" s="106">
        <v>10.050000000000001</v>
      </c>
      <c r="AH49" s="21">
        <f t="shared" si="2"/>
        <v>5.8</v>
      </c>
      <c r="AI49" s="20">
        <f t="shared" si="3"/>
        <v>5.8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251.04</v>
      </c>
      <c r="C52" s="99">
        <f t="shared" ref="C52:AF52" si="6">SUM(C39:C51)</f>
        <v>260.94</v>
      </c>
      <c r="D52" s="99">
        <f t="shared" si="6"/>
        <v>248.84</v>
      </c>
      <c r="E52" s="99">
        <f t="shared" si="6"/>
        <v>165.74</v>
      </c>
      <c r="F52" s="99">
        <f t="shared" si="6"/>
        <v>127.14</v>
      </c>
      <c r="G52" s="99">
        <f t="shared" si="6"/>
        <v>126.74000000000001</v>
      </c>
      <c r="H52" s="99">
        <f t="shared" si="6"/>
        <v>189.34</v>
      </c>
      <c r="I52" s="99">
        <f t="shared" si="6"/>
        <v>248.84</v>
      </c>
      <c r="J52" s="99">
        <f t="shared" si="6"/>
        <v>337.24</v>
      </c>
      <c r="K52" s="99">
        <f t="shared" si="6"/>
        <v>355.34000000000003</v>
      </c>
      <c r="L52" s="99">
        <f t="shared" si="6"/>
        <v>392.54</v>
      </c>
      <c r="M52" s="99">
        <f t="shared" si="6"/>
        <v>392.14000000000004</v>
      </c>
      <c r="N52" s="99">
        <f t="shared" si="6"/>
        <v>295.24</v>
      </c>
      <c r="O52" s="99">
        <f t="shared" si="6"/>
        <v>259.04000000000002</v>
      </c>
      <c r="P52" s="99">
        <f t="shared" si="6"/>
        <v>292.04000000000008</v>
      </c>
      <c r="Q52" s="99">
        <f t="shared" si="6"/>
        <v>268.24</v>
      </c>
      <c r="R52" s="99">
        <f t="shared" si="6"/>
        <v>242.24</v>
      </c>
      <c r="S52" s="99">
        <f t="shared" si="6"/>
        <v>244.84</v>
      </c>
      <c r="T52" s="99">
        <f t="shared" si="6"/>
        <v>225.04</v>
      </c>
      <c r="U52" s="99">
        <f t="shared" si="6"/>
        <v>245.14000000000001</v>
      </c>
      <c r="V52" s="99">
        <f t="shared" si="6"/>
        <v>324.04000000000002</v>
      </c>
      <c r="W52" s="99">
        <f t="shared" si="6"/>
        <v>323.64000000000004</v>
      </c>
      <c r="X52" s="99">
        <f t="shared" si="6"/>
        <v>323.64000000000004</v>
      </c>
      <c r="Y52" s="99">
        <f t="shared" si="6"/>
        <v>367.24</v>
      </c>
      <c r="Z52" s="99">
        <f t="shared" ref="Z52" si="7">SUM(Z39:Z51)</f>
        <v>419.54000000000008</v>
      </c>
      <c r="AA52" s="99">
        <f t="shared" si="6"/>
        <v>419.54000000000008</v>
      </c>
      <c r="AB52" s="99">
        <f t="shared" si="6"/>
        <v>417.34000000000003</v>
      </c>
      <c r="AC52" s="99">
        <f t="shared" si="6"/>
        <v>281.34000000000003</v>
      </c>
      <c r="AD52" s="99">
        <f t="shared" si="6"/>
        <v>272.34000000000003</v>
      </c>
      <c r="AE52" s="99">
        <f t="shared" si="6"/>
        <v>259.34000000000003</v>
      </c>
      <c r="AF52" s="99">
        <f t="shared" si="6"/>
        <v>269.34000000000003</v>
      </c>
      <c r="AG52" s="98">
        <f>SUM(AG39:AG51)</f>
        <v>489.91</v>
      </c>
      <c r="AH52" s="21">
        <f t="shared" si="2"/>
        <v>419.54000000000008</v>
      </c>
      <c r="AI52" s="20">
        <f t="shared" si="3"/>
        <v>126.74000000000001</v>
      </c>
      <c r="AK52" s="42"/>
    </row>
    <row r="53" spans="1:37" x14ac:dyDescent="0.25">
      <c r="A53" s="109" t="s">
        <v>159</v>
      </c>
      <c r="B53" s="103">
        <v>59.5</v>
      </c>
      <c r="C53" s="103">
        <v>59.5</v>
      </c>
      <c r="D53" s="123">
        <v>59.2</v>
      </c>
      <c r="E53" s="123">
        <v>33.4</v>
      </c>
      <c r="F53" s="123">
        <v>40.1</v>
      </c>
      <c r="G53" s="123">
        <v>58.7</v>
      </c>
      <c r="H53" s="123">
        <v>40</v>
      </c>
      <c r="I53" s="123">
        <v>40</v>
      </c>
      <c r="J53" s="123">
        <v>0</v>
      </c>
      <c r="K53" s="123">
        <v>0</v>
      </c>
      <c r="L53" s="123">
        <v>0</v>
      </c>
      <c r="M53" s="122">
        <v>0</v>
      </c>
      <c r="N53" s="122">
        <v>0</v>
      </c>
      <c r="O53" s="122">
        <v>0</v>
      </c>
      <c r="P53" s="122">
        <v>0</v>
      </c>
      <c r="Q53" s="122">
        <v>0</v>
      </c>
      <c r="R53" s="122">
        <v>0</v>
      </c>
      <c r="S53" s="122">
        <v>0</v>
      </c>
      <c r="T53" s="103">
        <v>0</v>
      </c>
      <c r="U53" s="103">
        <v>0</v>
      </c>
      <c r="V53" s="103">
        <v>0</v>
      </c>
      <c r="W53" s="103">
        <v>19.7</v>
      </c>
      <c r="X53" s="103">
        <v>19.600000000000001</v>
      </c>
      <c r="Y53" s="103">
        <v>19.600000000000001</v>
      </c>
      <c r="Z53" s="103">
        <v>50</v>
      </c>
      <c r="AA53" s="103">
        <v>20</v>
      </c>
      <c r="AB53" s="103">
        <v>30</v>
      </c>
      <c r="AC53" s="103">
        <v>29</v>
      </c>
      <c r="AD53" s="103">
        <v>29.4</v>
      </c>
      <c r="AE53" s="103">
        <v>59</v>
      </c>
      <c r="AF53" s="103">
        <v>59</v>
      </c>
      <c r="AG53" s="108">
        <v>60</v>
      </c>
      <c r="AH53" s="21">
        <f t="shared" si="2"/>
        <v>59.5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29.5</v>
      </c>
      <c r="C54" s="73">
        <v>29.5</v>
      </c>
      <c r="D54" s="123">
        <v>28.7</v>
      </c>
      <c r="E54" s="123">
        <v>13.4</v>
      </c>
      <c r="F54" s="123">
        <v>18.7</v>
      </c>
      <c r="G54" s="123">
        <v>28.4</v>
      </c>
      <c r="H54" s="123">
        <v>16.5</v>
      </c>
      <c r="I54" s="123">
        <v>18.8</v>
      </c>
      <c r="J54" s="123">
        <v>12.9</v>
      </c>
      <c r="K54" s="123">
        <v>0</v>
      </c>
      <c r="L54" s="123">
        <v>0</v>
      </c>
      <c r="M54" s="122">
        <v>0</v>
      </c>
      <c r="N54" s="122">
        <v>0</v>
      </c>
      <c r="O54" s="122">
        <v>0</v>
      </c>
      <c r="P54" s="122">
        <v>0</v>
      </c>
      <c r="Q54" s="122">
        <v>0</v>
      </c>
      <c r="R54" s="122">
        <v>0</v>
      </c>
      <c r="S54" s="122">
        <v>0</v>
      </c>
      <c r="T54" s="103">
        <v>0</v>
      </c>
      <c r="U54" s="103">
        <v>0</v>
      </c>
      <c r="V54" s="103">
        <v>0</v>
      </c>
      <c r="W54" s="73">
        <v>9.9</v>
      </c>
      <c r="X54" s="73">
        <v>8.8000000000000007</v>
      </c>
      <c r="Y54" s="73">
        <v>8.8000000000000007</v>
      </c>
      <c r="Z54" s="73">
        <v>17.899999999999999</v>
      </c>
      <c r="AA54" s="73">
        <v>8.5</v>
      </c>
      <c r="AB54" s="73">
        <v>9</v>
      </c>
      <c r="AC54" s="73">
        <v>15</v>
      </c>
      <c r="AD54" s="73">
        <v>14.2</v>
      </c>
      <c r="AE54" s="73">
        <v>28</v>
      </c>
      <c r="AF54" s="73">
        <v>28</v>
      </c>
      <c r="AG54" s="106">
        <v>32</v>
      </c>
      <c r="AH54" s="21">
        <f t="shared" si="2"/>
        <v>29.5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10.4</v>
      </c>
      <c r="C55" s="118">
        <v>10.4</v>
      </c>
      <c r="D55" s="120">
        <v>10.5</v>
      </c>
      <c r="E55" s="120">
        <v>4.9000000000000004</v>
      </c>
      <c r="F55" s="120">
        <v>6.8</v>
      </c>
      <c r="G55" s="120">
        <v>10.4</v>
      </c>
      <c r="H55" s="120">
        <v>6</v>
      </c>
      <c r="I55" s="120">
        <v>6.9</v>
      </c>
      <c r="J55" s="120">
        <v>4.7</v>
      </c>
      <c r="K55" s="120">
        <v>0</v>
      </c>
      <c r="L55" s="120">
        <v>0</v>
      </c>
      <c r="M55" s="119">
        <v>0</v>
      </c>
      <c r="N55" s="119">
        <v>0</v>
      </c>
      <c r="O55" s="119">
        <v>0</v>
      </c>
      <c r="P55" s="119">
        <v>0</v>
      </c>
      <c r="Q55" s="119">
        <v>0</v>
      </c>
      <c r="R55" s="119">
        <v>0</v>
      </c>
      <c r="S55" s="119">
        <v>0</v>
      </c>
      <c r="T55" s="103">
        <v>0</v>
      </c>
      <c r="U55" s="103">
        <v>0</v>
      </c>
      <c r="V55" s="103">
        <v>0</v>
      </c>
      <c r="W55" s="118">
        <v>3.6</v>
      </c>
      <c r="X55" s="118">
        <v>3.2</v>
      </c>
      <c r="Y55" s="118">
        <v>3.2</v>
      </c>
      <c r="Z55" s="118">
        <v>6.5</v>
      </c>
      <c r="AA55" s="118">
        <v>3.1</v>
      </c>
      <c r="AB55" s="118">
        <v>3.3</v>
      </c>
      <c r="AC55" s="118">
        <v>5.6</v>
      </c>
      <c r="AD55" s="118">
        <v>5.2</v>
      </c>
      <c r="AE55" s="118">
        <v>10.3</v>
      </c>
      <c r="AF55" s="118">
        <v>10</v>
      </c>
      <c r="AG55" s="117">
        <v>14</v>
      </c>
      <c r="AH55" s="21">
        <f t="shared" si="2"/>
        <v>10.5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99.4</v>
      </c>
      <c r="C56" s="99">
        <f>SUM(C53:C55)</f>
        <v>99.4</v>
      </c>
      <c r="D56" s="99">
        <f t="shared" ref="D56:AF56" si="8">SUM(D53:D55)</f>
        <v>98.4</v>
      </c>
      <c r="E56" s="99">
        <f t="shared" si="8"/>
        <v>51.699999999999996</v>
      </c>
      <c r="F56" s="99">
        <f t="shared" si="8"/>
        <v>65.599999999999994</v>
      </c>
      <c r="G56" s="99">
        <f t="shared" si="8"/>
        <v>97.5</v>
      </c>
      <c r="H56" s="99">
        <f t="shared" si="8"/>
        <v>62.5</v>
      </c>
      <c r="I56" s="99">
        <f t="shared" si="8"/>
        <v>65.7</v>
      </c>
      <c r="J56" s="99">
        <f t="shared" si="8"/>
        <v>17.600000000000001</v>
      </c>
      <c r="K56" s="99">
        <f t="shared" si="8"/>
        <v>0</v>
      </c>
      <c r="L56" s="99">
        <f t="shared" si="8"/>
        <v>0</v>
      </c>
      <c r="M56" s="99">
        <f t="shared" si="8"/>
        <v>0</v>
      </c>
      <c r="N56" s="99">
        <f t="shared" si="8"/>
        <v>0</v>
      </c>
      <c r="O56" s="99">
        <f t="shared" si="8"/>
        <v>0</v>
      </c>
      <c r="P56" s="99">
        <f t="shared" si="8"/>
        <v>0</v>
      </c>
      <c r="Q56" s="99">
        <f t="shared" si="8"/>
        <v>0</v>
      </c>
      <c r="R56" s="99">
        <f t="shared" si="8"/>
        <v>0</v>
      </c>
      <c r="S56" s="99">
        <f t="shared" si="8"/>
        <v>0</v>
      </c>
      <c r="T56" s="99">
        <f t="shared" si="8"/>
        <v>0</v>
      </c>
      <c r="U56" s="99">
        <f t="shared" si="8"/>
        <v>0</v>
      </c>
      <c r="V56" s="99">
        <f t="shared" si="8"/>
        <v>0</v>
      </c>
      <c r="W56" s="99">
        <f t="shared" si="8"/>
        <v>33.200000000000003</v>
      </c>
      <c r="X56" s="99">
        <f t="shared" si="8"/>
        <v>31.6</v>
      </c>
      <c r="Y56" s="99">
        <f t="shared" si="8"/>
        <v>31.6</v>
      </c>
      <c r="Z56" s="99">
        <f t="shared" ref="Z56" si="9">SUM(Z53:Z55)</f>
        <v>74.400000000000006</v>
      </c>
      <c r="AA56" s="99">
        <f t="shared" si="8"/>
        <v>31.6</v>
      </c>
      <c r="AB56" s="99">
        <f t="shared" si="8"/>
        <v>42.3</v>
      </c>
      <c r="AC56" s="99">
        <f t="shared" si="8"/>
        <v>49.6</v>
      </c>
      <c r="AD56" s="99">
        <f t="shared" si="8"/>
        <v>48.8</v>
      </c>
      <c r="AE56" s="99">
        <f t="shared" si="8"/>
        <v>97.3</v>
      </c>
      <c r="AF56" s="99">
        <f t="shared" si="8"/>
        <v>97</v>
      </c>
      <c r="AG56" s="98">
        <f>SUM(AG53:AG55)</f>
        <v>106</v>
      </c>
      <c r="AH56" s="21">
        <f t="shared" si="2"/>
        <v>99.4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52.92</v>
      </c>
      <c r="C57" s="103">
        <v>15.71</v>
      </c>
      <c r="D57" s="103">
        <v>14.24</v>
      </c>
      <c r="E57" s="103">
        <v>59.27</v>
      </c>
      <c r="F57" s="103">
        <v>58.47</v>
      </c>
      <c r="G57" s="103">
        <v>54.62</v>
      </c>
      <c r="H57" s="103">
        <v>41.2</v>
      </c>
      <c r="I57" s="103">
        <v>29.85</v>
      </c>
      <c r="J57" s="103">
        <v>29.54</v>
      </c>
      <c r="K57" s="103">
        <v>19</v>
      </c>
      <c r="L57" s="103">
        <v>20</v>
      </c>
      <c r="M57" s="103">
        <v>20</v>
      </c>
      <c r="N57" s="103">
        <v>72</v>
      </c>
      <c r="O57" s="103">
        <v>70.099999999999994</v>
      </c>
      <c r="P57" s="103">
        <v>70.400000000000006</v>
      </c>
      <c r="Q57" s="103">
        <v>69.63</v>
      </c>
      <c r="R57" s="103">
        <v>69</v>
      </c>
      <c r="S57" s="103">
        <v>72</v>
      </c>
      <c r="T57" s="103">
        <v>74</v>
      </c>
      <c r="U57" s="103">
        <v>75.900000000000006</v>
      </c>
      <c r="V57" s="103">
        <v>70</v>
      </c>
      <c r="W57" s="103">
        <v>71.099999999999994</v>
      </c>
      <c r="X57" s="103">
        <v>72.099999999999994</v>
      </c>
      <c r="Y57" s="103">
        <v>59.1</v>
      </c>
      <c r="Z57" s="103">
        <v>60.2</v>
      </c>
      <c r="AA57" s="103">
        <v>55.4</v>
      </c>
      <c r="AB57" s="103">
        <v>56</v>
      </c>
      <c r="AC57" s="103">
        <v>74</v>
      </c>
      <c r="AD57" s="103">
        <v>74</v>
      </c>
      <c r="AE57" s="103">
        <v>70</v>
      </c>
      <c r="AF57" s="103">
        <v>68</v>
      </c>
      <c r="AG57" s="108"/>
      <c r="AH57" s="21">
        <f t="shared" si="2"/>
        <v>75.900000000000006</v>
      </c>
      <c r="AI57" s="20">
        <f t="shared" si="3"/>
        <v>14.24</v>
      </c>
      <c r="AK57" s="42"/>
    </row>
    <row r="58" spans="1:37" x14ac:dyDescent="0.25">
      <c r="A58" s="107" t="s">
        <v>138</v>
      </c>
      <c r="B58" s="73">
        <v>58.3</v>
      </c>
      <c r="C58" s="73">
        <v>59.4</v>
      </c>
      <c r="D58" s="73">
        <v>53.3</v>
      </c>
      <c r="E58" s="73">
        <f>79.4+48</f>
        <v>127.4</v>
      </c>
      <c r="F58" s="73">
        <f>81.2+58</f>
        <v>139.19999999999999</v>
      </c>
      <c r="G58" s="73">
        <f>82.5+58</f>
        <v>140.5</v>
      </c>
      <c r="H58" s="73">
        <f>86.3+58</f>
        <v>144.30000000000001</v>
      </c>
      <c r="I58" s="73">
        <f>84.5+30</f>
        <v>114.5</v>
      </c>
      <c r="J58" s="73">
        <f>70</f>
        <v>70</v>
      </c>
      <c r="K58" s="73">
        <v>0</v>
      </c>
      <c r="L58" s="73">
        <v>0</v>
      </c>
      <c r="M58" s="103">
        <v>0</v>
      </c>
      <c r="N58" s="103">
        <v>0</v>
      </c>
      <c r="O58" s="103">
        <v>0</v>
      </c>
      <c r="P58" s="103">
        <v>0</v>
      </c>
      <c r="Q58" s="103">
        <v>0</v>
      </c>
      <c r="R58" s="103">
        <v>0</v>
      </c>
      <c r="S58" s="103">
        <v>0</v>
      </c>
      <c r="T58" s="103">
        <v>0</v>
      </c>
      <c r="U58" s="103">
        <v>117</v>
      </c>
      <c r="V58" s="103">
        <v>122</v>
      </c>
      <c r="W58" s="103">
        <v>130</v>
      </c>
      <c r="X58" s="116">
        <v>137</v>
      </c>
      <c r="Y58" s="116">
        <v>137</v>
      </c>
      <c r="Z58" s="116">
        <v>140</v>
      </c>
      <c r="AA58" s="116">
        <v>120</v>
      </c>
      <c r="AB58" s="73">
        <v>104</v>
      </c>
      <c r="AC58" s="73">
        <v>100</v>
      </c>
      <c r="AD58" s="73">
        <v>106</v>
      </c>
      <c r="AE58" s="73">
        <v>97</v>
      </c>
      <c r="AF58" s="73">
        <v>99</v>
      </c>
      <c r="AG58" s="106"/>
      <c r="AH58" s="21">
        <f t="shared" si="2"/>
        <v>144.30000000000001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13.5</v>
      </c>
      <c r="C59" s="73">
        <v>28.1</v>
      </c>
      <c r="D59" s="73">
        <v>27.5</v>
      </c>
      <c r="E59" s="73">
        <v>24.9</v>
      </c>
      <c r="F59" s="73">
        <v>44.1</v>
      </c>
      <c r="G59" s="73">
        <v>34.700000000000003</v>
      </c>
      <c r="H59" s="103">
        <v>8.3000000000000007</v>
      </c>
      <c r="I59" s="103">
        <v>0</v>
      </c>
      <c r="J59" s="103">
        <v>42.7</v>
      </c>
      <c r="K59" s="103">
        <v>60</v>
      </c>
      <c r="L59" s="103">
        <v>42.9</v>
      </c>
      <c r="M59" s="73">
        <v>43.5</v>
      </c>
      <c r="N59" s="73">
        <v>166.3</v>
      </c>
      <c r="O59" s="73">
        <v>267.8</v>
      </c>
      <c r="P59" s="73">
        <v>270.10000000000002</v>
      </c>
      <c r="Q59" s="73">
        <v>274.39999999999998</v>
      </c>
      <c r="R59" s="73">
        <v>270</v>
      </c>
      <c r="S59" s="73">
        <v>265</v>
      </c>
      <c r="T59" s="73">
        <v>267</v>
      </c>
      <c r="U59" s="73">
        <v>234</v>
      </c>
      <c r="V59" s="73">
        <v>198</v>
      </c>
      <c r="W59" s="73">
        <v>241</v>
      </c>
      <c r="X59" s="115">
        <v>266</v>
      </c>
      <c r="Y59" s="115">
        <v>255</v>
      </c>
      <c r="Z59" s="115">
        <v>230.8</v>
      </c>
      <c r="AA59" s="115">
        <v>58.1</v>
      </c>
      <c r="AB59" s="73">
        <v>41</v>
      </c>
      <c r="AC59" s="73">
        <v>190</v>
      </c>
      <c r="AD59" s="73">
        <v>200</v>
      </c>
      <c r="AE59" s="73">
        <v>0</v>
      </c>
      <c r="AF59" s="73">
        <v>4</v>
      </c>
      <c r="AG59" s="113"/>
      <c r="AH59" s="21">
        <f t="shared" si="2"/>
        <v>274.39999999999998</v>
      </c>
      <c r="AI59" s="20">
        <f t="shared" si="3"/>
        <v>0</v>
      </c>
      <c r="AK59" s="42"/>
    </row>
    <row r="60" spans="1:37" x14ac:dyDescent="0.25">
      <c r="A60" s="107" t="s">
        <v>139</v>
      </c>
      <c r="B60" s="77">
        <v>33</v>
      </c>
      <c r="C60" s="77">
        <v>33</v>
      </c>
      <c r="D60" s="77">
        <v>33</v>
      </c>
      <c r="E60" s="77">
        <v>33</v>
      </c>
      <c r="F60" s="77">
        <v>40</v>
      </c>
      <c r="G60" s="77">
        <v>40</v>
      </c>
      <c r="H60" s="77">
        <v>40</v>
      </c>
      <c r="I60" s="77">
        <v>40</v>
      </c>
      <c r="J60" s="77">
        <v>40</v>
      </c>
      <c r="K60" s="77">
        <v>0</v>
      </c>
      <c r="L60" s="77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55.8</v>
      </c>
      <c r="V60" s="73">
        <v>55.8</v>
      </c>
      <c r="W60" s="73">
        <v>55.8</v>
      </c>
      <c r="X60" s="73">
        <v>47.6</v>
      </c>
      <c r="Y60" s="73">
        <v>47.6</v>
      </c>
      <c r="Z60" s="73">
        <v>47.8</v>
      </c>
      <c r="AA60" s="73">
        <v>41.3</v>
      </c>
      <c r="AB60" s="73">
        <v>19</v>
      </c>
      <c r="AC60" s="73">
        <v>45</v>
      </c>
      <c r="AD60" s="73">
        <v>45</v>
      </c>
      <c r="AE60" s="73">
        <v>43</v>
      </c>
      <c r="AF60" s="73">
        <v>51</v>
      </c>
      <c r="AG60" s="113"/>
      <c r="AH60" s="21">
        <f t="shared" si="2"/>
        <v>55.8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57.7</v>
      </c>
      <c r="C61" s="77">
        <v>49.3</v>
      </c>
      <c r="D61" s="77">
        <v>60.1</v>
      </c>
      <c r="E61" s="77">
        <v>54</v>
      </c>
      <c r="F61" s="77">
        <v>50.3</v>
      </c>
      <c r="G61" s="77">
        <v>42.3</v>
      </c>
      <c r="H61" s="77">
        <v>35.4</v>
      </c>
      <c r="I61" s="77">
        <v>35.4</v>
      </c>
      <c r="J61" s="77">
        <v>26.8</v>
      </c>
      <c r="K61" s="77">
        <v>0</v>
      </c>
      <c r="L61" s="77">
        <v>0</v>
      </c>
      <c r="M61" s="103">
        <v>0</v>
      </c>
      <c r="N61" s="103">
        <v>0</v>
      </c>
      <c r="O61" s="103">
        <v>0</v>
      </c>
      <c r="P61" s="103">
        <v>0</v>
      </c>
      <c r="Q61" s="103">
        <v>0</v>
      </c>
      <c r="R61" s="73">
        <v>0</v>
      </c>
      <c r="S61" s="73">
        <v>0</v>
      </c>
      <c r="T61" s="73">
        <v>0</v>
      </c>
      <c r="U61" s="73">
        <v>71.599999999999994</v>
      </c>
      <c r="V61" s="73">
        <v>0</v>
      </c>
      <c r="W61" s="73">
        <v>70</v>
      </c>
      <c r="X61" s="73">
        <v>70</v>
      </c>
      <c r="Y61" s="73">
        <v>75.900000000000006</v>
      </c>
      <c r="Z61" s="73">
        <v>77.2</v>
      </c>
      <c r="AA61" s="73">
        <v>66.7</v>
      </c>
      <c r="AB61" s="73">
        <v>81</v>
      </c>
      <c r="AC61" s="73">
        <v>90</v>
      </c>
      <c r="AD61" s="73">
        <v>86</v>
      </c>
      <c r="AE61" s="73">
        <v>80</v>
      </c>
      <c r="AF61" s="73">
        <v>75</v>
      </c>
      <c r="AG61" s="113"/>
      <c r="AH61" s="21">
        <f t="shared" si="2"/>
        <v>90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103">
        <v>0</v>
      </c>
      <c r="N62" s="103">
        <v>0</v>
      </c>
      <c r="O62" s="103">
        <v>0</v>
      </c>
      <c r="P62" s="103">
        <v>0</v>
      </c>
      <c r="Q62" s="10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113"/>
      <c r="AH62" s="21">
        <f t="shared" si="2"/>
        <v>0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103">
        <v>0</v>
      </c>
      <c r="L63" s="103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103">
        <v>0</v>
      </c>
      <c r="N64" s="103">
        <v>0</v>
      </c>
      <c r="O64" s="103">
        <v>0</v>
      </c>
      <c r="P64" s="103">
        <v>0</v>
      </c>
      <c r="Q64" s="10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103">
        <v>0</v>
      </c>
      <c r="N65" s="103">
        <v>0</v>
      </c>
      <c r="O65" s="103">
        <v>0</v>
      </c>
      <c r="P65" s="103">
        <v>0</v>
      </c>
      <c r="Q65" s="10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0</v>
      </c>
      <c r="C66" s="77">
        <v>0</v>
      </c>
      <c r="D66" s="77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3">
        <v>0</v>
      </c>
      <c r="M66" s="103">
        <v>0</v>
      </c>
      <c r="N66" s="103">
        <v>0</v>
      </c>
      <c r="O66" s="103">
        <v>0</v>
      </c>
      <c r="P66" s="103">
        <v>0</v>
      </c>
      <c r="Q66" s="10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  <c r="Z66" s="73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102"/>
      <c r="AH66" s="21">
        <f t="shared" si="2"/>
        <v>0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7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  <c r="Z67" s="73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215.42000000000002</v>
      </c>
      <c r="C68" s="99">
        <f>SUM(C57:C67)</f>
        <v>185.51</v>
      </c>
      <c r="D68" s="99">
        <f t="shared" ref="D68:AF68" si="10">SUM(D57:D67)</f>
        <v>188.14</v>
      </c>
      <c r="E68" s="99">
        <f t="shared" si="10"/>
        <v>298.57000000000005</v>
      </c>
      <c r="F68" s="99">
        <f t="shared" si="10"/>
        <v>332.07</v>
      </c>
      <c r="G68" s="99">
        <f t="shared" si="10"/>
        <v>312.12</v>
      </c>
      <c r="H68" s="99">
        <f t="shared" si="10"/>
        <v>269.2</v>
      </c>
      <c r="I68" s="99">
        <f t="shared" si="10"/>
        <v>219.75</v>
      </c>
      <c r="J68" s="99">
        <f t="shared" si="10"/>
        <v>209.04000000000002</v>
      </c>
      <c r="K68" s="99">
        <f t="shared" si="10"/>
        <v>79</v>
      </c>
      <c r="L68" s="99">
        <f t="shared" si="10"/>
        <v>62.9</v>
      </c>
      <c r="M68" s="99">
        <f t="shared" si="10"/>
        <v>63.5</v>
      </c>
      <c r="N68" s="99">
        <f t="shared" si="10"/>
        <v>238.3</v>
      </c>
      <c r="O68" s="99">
        <f t="shared" si="10"/>
        <v>337.9</v>
      </c>
      <c r="P68" s="99">
        <f t="shared" si="10"/>
        <v>340.5</v>
      </c>
      <c r="Q68" s="99">
        <f t="shared" si="10"/>
        <v>344.03</v>
      </c>
      <c r="R68" s="99">
        <f t="shared" si="10"/>
        <v>339</v>
      </c>
      <c r="S68" s="99">
        <f t="shared" si="10"/>
        <v>337</v>
      </c>
      <c r="T68" s="99">
        <f t="shared" si="10"/>
        <v>341</v>
      </c>
      <c r="U68" s="99">
        <f t="shared" si="10"/>
        <v>554.29999999999995</v>
      </c>
      <c r="V68" s="99">
        <f t="shared" si="10"/>
        <v>445.8</v>
      </c>
      <c r="W68" s="99">
        <f t="shared" si="10"/>
        <v>567.90000000000009</v>
      </c>
      <c r="X68" s="99">
        <f t="shared" si="10"/>
        <v>592.70000000000005</v>
      </c>
      <c r="Y68" s="99">
        <f t="shared" si="10"/>
        <v>574.6</v>
      </c>
      <c r="Z68" s="99">
        <f t="shared" si="10"/>
        <v>556</v>
      </c>
      <c r="AA68" s="99">
        <f t="shared" si="10"/>
        <v>341.5</v>
      </c>
      <c r="AB68" s="99">
        <f t="shared" si="10"/>
        <v>301</v>
      </c>
      <c r="AC68" s="99">
        <f t="shared" si="10"/>
        <v>499</v>
      </c>
      <c r="AD68" s="99">
        <f t="shared" si="10"/>
        <v>511</v>
      </c>
      <c r="AE68" s="99">
        <f t="shared" si="10"/>
        <v>290</v>
      </c>
      <c r="AF68" s="99">
        <f t="shared" si="10"/>
        <v>297</v>
      </c>
      <c r="AG68" s="98">
        <f>SUM(AG57:AG67)</f>
        <v>0</v>
      </c>
      <c r="AH68" s="21">
        <f t="shared" si="2"/>
        <v>592.70000000000005</v>
      </c>
      <c r="AI68" s="20">
        <f t="shared" si="3"/>
        <v>62.9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11">SUM(D69:D71)</f>
        <v>0</v>
      </c>
      <c r="E72" s="99">
        <f t="shared" si="11"/>
        <v>0</v>
      </c>
      <c r="F72" s="99">
        <f t="shared" si="11"/>
        <v>0</v>
      </c>
      <c r="G72" s="99">
        <f t="shared" si="11"/>
        <v>0</v>
      </c>
      <c r="H72" s="99">
        <f t="shared" si="11"/>
        <v>0</v>
      </c>
      <c r="I72" s="99">
        <f t="shared" si="11"/>
        <v>0</v>
      </c>
      <c r="J72" s="99">
        <f t="shared" si="11"/>
        <v>0</v>
      </c>
      <c r="K72" s="99">
        <f t="shared" si="11"/>
        <v>0</v>
      </c>
      <c r="L72" s="99">
        <f t="shared" si="11"/>
        <v>0</v>
      </c>
      <c r="M72" s="99">
        <f t="shared" si="11"/>
        <v>0</v>
      </c>
      <c r="N72" s="99">
        <f t="shared" si="11"/>
        <v>0</v>
      </c>
      <c r="O72" s="99">
        <f t="shared" si="11"/>
        <v>0</v>
      </c>
      <c r="P72" s="99">
        <f t="shared" si="11"/>
        <v>0</v>
      </c>
      <c r="Q72" s="99">
        <f t="shared" si="11"/>
        <v>0</v>
      </c>
      <c r="R72" s="99">
        <f t="shared" si="11"/>
        <v>0</v>
      </c>
      <c r="S72" s="99">
        <f t="shared" si="11"/>
        <v>0</v>
      </c>
      <c r="T72" s="99">
        <f t="shared" si="11"/>
        <v>0</v>
      </c>
      <c r="U72" s="99">
        <f t="shared" si="11"/>
        <v>0</v>
      </c>
      <c r="V72" s="99">
        <f t="shared" si="11"/>
        <v>0</v>
      </c>
      <c r="W72" s="99">
        <f t="shared" si="11"/>
        <v>0</v>
      </c>
      <c r="X72" s="99">
        <f t="shared" si="11"/>
        <v>0</v>
      </c>
      <c r="Y72" s="99">
        <f t="shared" si="11"/>
        <v>0</v>
      </c>
      <c r="Z72" s="99">
        <f t="shared" si="11"/>
        <v>0</v>
      </c>
      <c r="AA72" s="99">
        <f t="shared" si="11"/>
        <v>0</v>
      </c>
      <c r="AB72" s="99">
        <f t="shared" si="11"/>
        <v>0</v>
      </c>
      <c r="AC72" s="99">
        <f t="shared" si="11"/>
        <v>0</v>
      </c>
      <c r="AD72" s="99">
        <f t="shared" si="11"/>
        <v>0</v>
      </c>
      <c r="AE72" s="99">
        <f t="shared" si="11"/>
        <v>0</v>
      </c>
      <c r="AF72" s="99">
        <f t="shared" si="11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967.86</v>
      </c>
      <c r="C73" s="110">
        <f>C68+C56+C52+C38+C72</f>
        <v>947.84999999999991</v>
      </c>
      <c r="D73" s="110">
        <f t="shared" ref="D73:AG73" si="12">D68+D56+D52+D38+D72</f>
        <v>937.38</v>
      </c>
      <c r="E73" s="110">
        <f t="shared" si="12"/>
        <v>910.01</v>
      </c>
      <c r="F73" s="110">
        <f t="shared" si="12"/>
        <v>918.81</v>
      </c>
      <c r="G73" s="110">
        <f t="shared" si="12"/>
        <v>930.36</v>
      </c>
      <c r="H73" s="110">
        <f t="shared" si="12"/>
        <v>933.04</v>
      </c>
      <c r="I73" s="110">
        <f t="shared" si="12"/>
        <v>986.29</v>
      </c>
      <c r="J73" s="110">
        <f t="shared" si="12"/>
        <v>1035.8800000000001</v>
      </c>
      <c r="K73" s="110">
        <f t="shared" si="12"/>
        <v>1044.3400000000001</v>
      </c>
      <c r="L73" s="110">
        <f t="shared" si="12"/>
        <v>1067.44</v>
      </c>
      <c r="M73" s="110">
        <f t="shared" si="12"/>
        <v>1077.6400000000001</v>
      </c>
      <c r="N73" s="110">
        <f t="shared" si="12"/>
        <v>1017.64</v>
      </c>
      <c r="O73" s="110">
        <f t="shared" si="12"/>
        <v>1012.1400000000001</v>
      </c>
      <c r="P73" s="110">
        <f t="shared" si="12"/>
        <v>1029.74</v>
      </c>
      <c r="Q73" s="110">
        <f t="shared" si="12"/>
        <v>1007.87</v>
      </c>
      <c r="R73" s="110">
        <f t="shared" si="12"/>
        <v>1002.84</v>
      </c>
      <c r="S73" s="110">
        <f t="shared" si="12"/>
        <v>1013.44</v>
      </c>
      <c r="T73" s="110">
        <f t="shared" si="12"/>
        <v>997.64</v>
      </c>
      <c r="U73" s="110">
        <f t="shared" si="12"/>
        <v>1231.04</v>
      </c>
      <c r="V73" s="110">
        <f t="shared" si="12"/>
        <v>1191.44</v>
      </c>
      <c r="W73" s="110">
        <f t="shared" si="12"/>
        <v>1346.3400000000001</v>
      </c>
      <c r="X73" s="110">
        <f t="shared" si="12"/>
        <v>1369.54</v>
      </c>
      <c r="Y73" s="110">
        <f t="shared" si="12"/>
        <v>1435.04</v>
      </c>
      <c r="Z73" s="110">
        <f t="shared" si="12"/>
        <v>1601.3400000000001</v>
      </c>
      <c r="AA73" s="110">
        <f t="shared" si="12"/>
        <v>1519.0400000000002</v>
      </c>
      <c r="AB73" s="110">
        <f t="shared" si="12"/>
        <v>1467.0400000000002</v>
      </c>
      <c r="AC73" s="110">
        <f t="shared" si="12"/>
        <v>1436.3400000000001</v>
      </c>
      <c r="AD73" s="110">
        <f t="shared" si="12"/>
        <v>1378.54</v>
      </c>
      <c r="AE73" s="110">
        <f t="shared" si="12"/>
        <v>1273.0400000000002</v>
      </c>
      <c r="AF73" s="110">
        <f t="shared" si="12"/>
        <v>1199.7400000000002</v>
      </c>
      <c r="AG73" s="110">
        <f t="shared" si="12"/>
        <v>2144.14</v>
      </c>
      <c r="AH73" s="21">
        <f t="shared" si="2"/>
        <v>1601.3400000000001</v>
      </c>
      <c r="AI73" s="20">
        <f t="shared" si="3"/>
        <v>910.01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>
        <v>70</v>
      </c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70</v>
      </c>
      <c r="AI74" s="20">
        <f t="shared" si="3"/>
        <v>70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967.86</v>
      </c>
      <c r="C75" s="110">
        <f>C73+C74</f>
        <v>947.84999999999991</v>
      </c>
      <c r="D75" s="110">
        <f t="shared" ref="D75:AF75" si="13">D72+D68+D56+D52+D38+D74</f>
        <v>937.38</v>
      </c>
      <c r="E75" s="110">
        <f t="shared" si="13"/>
        <v>910.01</v>
      </c>
      <c r="F75" s="110">
        <f t="shared" si="13"/>
        <v>918.81</v>
      </c>
      <c r="G75" s="110">
        <f t="shared" si="13"/>
        <v>930.36</v>
      </c>
      <c r="H75" s="110">
        <f t="shared" si="13"/>
        <v>933.04</v>
      </c>
      <c r="I75" s="110">
        <f t="shared" si="13"/>
        <v>986.29</v>
      </c>
      <c r="J75" s="110">
        <f t="shared" si="13"/>
        <v>1035.8800000000001</v>
      </c>
      <c r="K75" s="110">
        <f t="shared" si="13"/>
        <v>1044.3400000000001</v>
      </c>
      <c r="L75" s="110">
        <f t="shared" si="13"/>
        <v>1067.44</v>
      </c>
      <c r="M75" s="110">
        <f t="shared" si="13"/>
        <v>1077.6400000000001</v>
      </c>
      <c r="N75" s="110">
        <f t="shared" si="13"/>
        <v>1017.64</v>
      </c>
      <c r="O75" s="110">
        <f t="shared" si="13"/>
        <v>1012.1400000000001</v>
      </c>
      <c r="P75" s="110">
        <f t="shared" si="13"/>
        <v>1029.74</v>
      </c>
      <c r="Q75" s="110">
        <f t="shared" si="13"/>
        <v>1007.87</v>
      </c>
      <c r="R75" s="110">
        <f t="shared" si="13"/>
        <v>1002.84</v>
      </c>
      <c r="S75" s="110">
        <f t="shared" si="13"/>
        <v>1013.44</v>
      </c>
      <c r="T75" s="110">
        <f t="shared" si="13"/>
        <v>997.64</v>
      </c>
      <c r="U75" s="110">
        <f t="shared" si="13"/>
        <v>1231.04</v>
      </c>
      <c r="V75" s="110">
        <f t="shared" si="13"/>
        <v>1261.44</v>
      </c>
      <c r="W75" s="110">
        <f t="shared" si="13"/>
        <v>1346.3400000000001</v>
      </c>
      <c r="X75" s="110">
        <f t="shared" si="13"/>
        <v>1369.54</v>
      </c>
      <c r="Y75" s="110">
        <f t="shared" si="13"/>
        <v>1435.04</v>
      </c>
      <c r="Z75" s="110">
        <f t="shared" si="13"/>
        <v>1601.3400000000001</v>
      </c>
      <c r="AA75" s="110">
        <f t="shared" si="13"/>
        <v>1519.0400000000002</v>
      </c>
      <c r="AB75" s="110">
        <f t="shared" si="13"/>
        <v>1467.0400000000002</v>
      </c>
      <c r="AC75" s="110">
        <f t="shared" si="13"/>
        <v>1436.3400000000001</v>
      </c>
      <c r="AD75" s="110">
        <f t="shared" si="13"/>
        <v>1378.54</v>
      </c>
      <c r="AE75" s="110">
        <f t="shared" si="13"/>
        <v>1273.0400000000002</v>
      </c>
      <c r="AF75" s="110">
        <f t="shared" si="13"/>
        <v>1199.7400000000002</v>
      </c>
      <c r="AG75" s="98">
        <f>AG72+AG68+AG56+AG52+AG38+AG74</f>
        <v>2144.14</v>
      </c>
      <c r="AH75" s="21">
        <f t="shared" si="2"/>
        <v>1601.3400000000001</v>
      </c>
      <c r="AI75" s="20">
        <f t="shared" si="3"/>
        <v>910.01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4">IF(D60&lt;0,D60*-1,0)</f>
        <v>0</v>
      </c>
      <c r="E76" s="77">
        <f t="shared" si="14"/>
        <v>0</v>
      </c>
      <c r="F76" s="77">
        <f t="shared" si="14"/>
        <v>0</v>
      </c>
      <c r="G76" s="77">
        <f t="shared" si="14"/>
        <v>0</v>
      </c>
      <c r="H76" s="77">
        <f t="shared" si="14"/>
        <v>0</v>
      </c>
      <c r="I76" s="77">
        <f t="shared" si="14"/>
        <v>0</v>
      </c>
      <c r="J76" s="77">
        <f t="shared" si="14"/>
        <v>0</v>
      </c>
      <c r="K76" s="77">
        <f t="shared" si="14"/>
        <v>0</v>
      </c>
      <c r="L76" s="77">
        <f t="shared" si="14"/>
        <v>0</v>
      </c>
      <c r="M76" s="77">
        <f t="shared" si="14"/>
        <v>0</v>
      </c>
      <c r="N76" s="77">
        <f t="shared" si="14"/>
        <v>0</v>
      </c>
      <c r="O76" s="77">
        <f t="shared" si="14"/>
        <v>0</v>
      </c>
      <c r="P76" s="77">
        <f t="shared" si="14"/>
        <v>0</v>
      </c>
      <c r="Q76" s="77">
        <f t="shared" si="14"/>
        <v>0</v>
      </c>
      <c r="R76" s="77">
        <f t="shared" si="14"/>
        <v>0</v>
      </c>
      <c r="S76" s="77">
        <f t="shared" si="14"/>
        <v>0</v>
      </c>
      <c r="T76" s="77">
        <f t="shared" si="14"/>
        <v>0</v>
      </c>
      <c r="U76" s="77">
        <f t="shared" si="14"/>
        <v>0</v>
      </c>
      <c r="V76" s="77">
        <f t="shared" si="14"/>
        <v>0</v>
      </c>
      <c r="W76" s="77">
        <f t="shared" si="14"/>
        <v>0</v>
      </c>
      <c r="X76" s="77">
        <f t="shared" si="14"/>
        <v>0</v>
      </c>
      <c r="Y76" s="77">
        <f t="shared" si="14"/>
        <v>0</v>
      </c>
      <c r="Z76" s="77">
        <f t="shared" si="14"/>
        <v>0</v>
      </c>
      <c r="AA76" s="77">
        <f t="shared" si="14"/>
        <v>0</v>
      </c>
      <c r="AB76" s="77">
        <f t="shared" si="14"/>
        <v>0</v>
      </c>
      <c r="AC76" s="77">
        <f t="shared" si="14"/>
        <v>0</v>
      </c>
      <c r="AD76" s="77">
        <f t="shared" si="14"/>
        <v>0</v>
      </c>
      <c r="AE76" s="77">
        <f t="shared" si="14"/>
        <v>0</v>
      </c>
      <c r="AF76" s="77">
        <f t="shared" si="14"/>
        <v>0</v>
      </c>
      <c r="AG76" s="108"/>
      <c r="AH76" s="21">
        <f t="shared" ref="AH76:AH91" si="15">MAX(B76:AF76)</f>
        <v>0</v>
      </c>
      <c r="AI76" s="20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7">IF(D58&lt;0,D58*-1,0)</f>
        <v>0</v>
      </c>
      <c r="E77" s="77">
        <f t="shared" si="17"/>
        <v>0</v>
      </c>
      <c r="F77" s="77">
        <f t="shared" si="17"/>
        <v>0</v>
      </c>
      <c r="G77" s="77">
        <f t="shared" si="17"/>
        <v>0</v>
      </c>
      <c r="H77" s="77">
        <f t="shared" si="17"/>
        <v>0</v>
      </c>
      <c r="I77" s="77">
        <f t="shared" si="17"/>
        <v>0</v>
      </c>
      <c r="J77" s="77">
        <f t="shared" si="17"/>
        <v>0</v>
      </c>
      <c r="K77" s="77">
        <f t="shared" si="17"/>
        <v>0</v>
      </c>
      <c r="L77" s="77">
        <f t="shared" si="17"/>
        <v>0</v>
      </c>
      <c r="M77" s="77">
        <f t="shared" si="17"/>
        <v>0</v>
      </c>
      <c r="N77" s="77">
        <f t="shared" si="17"/>
        <v>0</v>
      </c>
      <c r="O77" s="77">
        <f t="shared" si="17"/>
        <v>0</v>
      </c>
      <c r="P77" s="77">
        <f t="shared" si="17"/>
        <v>0</v>
      </c>
      <c r="Q77" s="77">
        <f t="shared" si="17"/>
        <v>0</v>
      </c>
      <c r="R77" s="77">
        <f t="shared" si="17"/>
        <v>0</v>
      </c>
      <c r="S77" s="77">
        <f t="shared" si="17"/>
        <v>0</v>
      </c>
      <c r="T77" s="77">
        <f t="shared" si="17"/>
        <v>0</v>
      </c>
      <c r="U77" s="77">
        <f t="shared" si="17"/>
        <v>0</v>
      </c>
      <c r="V77" s="77">
        <f t="shared" si="17"/>
        <v>0</v>
      </c>
      <c r="W77" s="77">
        <f t="shared" si="17"/>
        <v>0</v>
      </c>
      <c r="X77" s="77">
        <f t="shared" si="17"/>
        <v>0</v>
      </c>
      <c r="Y77" s="77">
        <f t="shared" si="17"/>
        <v>0</v>
      </c>
      <c r="Z77" s="77">
        <f t="shared" si="17"/>
        <v>0</v>
      </c>
      <c r="AA77" s="77">
        <f t="shared" si="17"/>
        <v>0</v>
      </c>
      <c r="AB77" s="77">
        <f t="shared" si="17"/>
        <v>0</v>
      </c>
      <c r="AC77" s="77">
        <f t="shared" si="17"/>
        <v>0</v>
      </c>
      <c r="AD77" s="77">
        <f t="shared" si="17"/>
        <v>0</v>
      </c>
      <c r="AE77" s="77">
        <f t="shared" si="17"/>
        <v>0</v>
      </c>
      <c r="AF77" s="77">
        <f t="shared" si="17"/>
        <v>0</v>
      </c>
      <c r="AG77" s="106"/>
      <c r="AH77" s="21">
        <f t="shared" si="15"/>
        <v>0</v>
      </c>
      <c r="AI77" s="20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8">IF(D61&lt;0,D61*-1,0)</f>
        <v>0</v>
      </c>
      <c r="E78" s="77">
        <f t="shared" si="18"/>
        <v>0</v>
      </c>
      <c r="F78" s="77">
        <f t="shared" si="18"/>
        <v>0</v>
      </c>
      <c r="G78" s="77">
        <f t="shared" si="18"/>
        <v>0</v>
      </c>
      <c r="H78" s="77">
        <f t="shared" si="18"/>
        <v>0</v>
      </c>
      <c r="I78" s="77">
        <f t="shared" si="18"/>
        <v>0</v>
      </c>
      <c r="J78" s="77">
        <f t="shared" si="18"/>
        <v>0</v>
      </c>
      <c r="K78" s="77">
        <f t="shared" si="18"/>
        <v>0</v>
      </c>
      <c r="L78" s="77">
        <f t="shared" si="18"/>
        <v>0</v>
      </c>
      <c r="M78" s="77">
        <f t="shared" si="18"/>
        <v>0</v>
      </c>
      <c r="N78" s="77">
        <f t="shared" si="18"/>
        <v>0</v>
      </c>
      <c r="O78" s="77">
        <f t="shared" si="18"/>
        <v>0</v>
      </c>
      <c r="P78" s="77">
        <f t="shared" si="18"/>
        <v>0</v>
      </c>
      <c r="Q78" s="77">
        <f t="shared" si="18"/>
        <v>0</v>
      </c>
      <c r="R78" s="77">
        <f t="shared" si="18"/>
        <v>0</v>
      </c>
      <c r="S78" s="77">
        <f t="shared" si="18"/>
        <v>0</v>
      </c>
      <c r="T78" s="77">
        <f t="shared" si="18"/>
        <v>0</v>
      </c>
      <c r="U78" s="77">
        <f t="shared" si="18"/>
        <v>0</v>
      </c>
      <c r="V78" s="77">
        <f t="shared" si="18"/>
        <v>0</v>
      </c>
      <c r="W78" s="77">
        <f t="shared" si="18"/>
        <v>0</v>
      </c>
      <c r="X78" s="77">
        <f t="shared" si="18"/>
        <v>0</v>
      </c>
      <c r="Y78" s="77">
        <f t="shared" si="18"/>
        <v>0</v>
      </c>
      <c r="Z78" s="77">
        <f t="shared" si="18"/>
        <v>0</v>
      </c>
      <c r="AA78" s="77">
        <f t="shared" si="18"/>
        <v>0</v>
      </c>
      <c r="AB78" s="77">
        <f t="shared" si="18"/>
        <v>0</v>
      </c>
      <c r="AC78" s="77">
        <f t="shared" si="18"/>
        <v>0</v>
      </c>
      <c r="AD78" s="77">
        <f t="shared" si="18"/>
        <v>0</v>
      </c>
      <c r="AE78" s="77">
        <f t="shared" si="18"/>
        <v>0</v>
      </c>
      <c r="AF78" s="77">
        <f t="shared" si="18"/>
        <v>0</v>
      </c>
      <c r="AG78" s="105"/>
      <c r="AH78" s="21">
        <f t="shared" si="15"/>
        <v>0</v>
      </c>
      <c r="AI78" s="20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9">IF(D59&lt;0,D59*-1,0)</f>
        <v>0</v>
      </c>
      <c r="E79" s="77">
        <f t="shared" si="19"/>
        <v>0</v>
      </c>
      <c r="F79" s="77">
        <f t="shared" si="19"/>
        <v>0</v>
      </c>
      <c r="G79" s="77">
        <f t="shared" si="19"/>
        <v>0</v>
      </c>
      <c r="H79" s="77">
        <f t="shared" si="19"/>
        <v>0</v>
      </c>
      <c r="I79" s="77">
        <f t="shared" si="19"/>
        <v>0</v>
      </c>
      <c r="J79" s="77">
        <f t="shared" si="19"/>
        <v>0</v>
      </c>
      <c r="K79" s="77">
        <f t="shared" si="19"/>
        <v>0</v>
      </c>
      <c r="L79" s="77">
        <f t="shared" si="19"/>
        <v>0</v>
      </c>
      <c r="M79" s="77">
        <f t="shared" si="19"/>
        <v>0</v>
      </c>
      <c r="N79" s="77">
        <f t="shared" si="19"/>
        <v>0</v>
      </c>
      <c r="O79" s="77">
        <f t="shared" si="19"/>
        <v>0</v>
      </c>
      <c r="P79" s="77">
        <f t="shared" si="19"/>
        <v>0</v>
      </c>
      <c r="Q79" s="77">
        <f t="shared" si="19"/>
        <v>0</v>
      </c>
      <c r="R79" s="77">
        <f t="shared" si="19"/>
        <v>0</v>
      </c>
      <c r="S79" s="77">
        <f t="shared" si="19"/>
        <v>0</v>
      </c>
      <c r="T79" s="77">
        <f t="shared" si="19"/>
        <v>0</v>
      </c>
      <c r="U79" s="77">
        <f t="shared" si="19"/>
        <v>0</v>
      </c>
      <c r="V79" s="77">
        <f t="shared" si="19"/>
        <v>0</v>
      </c>
      <c r="W79" s="77">
        <f t="shared" si="19"/>
        <v>0</v>
      </c>
      <c r="X79" s="77">
        <f t="shared" si="19"/>
        <v>0</v>
      </c>
      <c r="Y79" s="77">
        <f t="shared" si="19"/>
        <v>0</v>
      </c>
      <c r="Z79" s="77">
        <f t="shared" si="19"/>
        <v>0</v>
      </c>
      <c r="AA79" s="77">
        <f t="shared" si="19"/>
        <v>0</v>
      </c>
      <c r="AB79" s="77">
        <f t="shared" si="19"/>
        <v>0</v>
      </c>
      <c r="AC79" s="77">
        <f t="shared" si="19"/>
        <v>0</v>
      </c>
      <c r="AD79" s="77">
        <f t="shared" si="19"/>
        <v>0</v>
      </c>
      <c r="AE79" s="77">
        <f t="shared" si="19"/>
        <v>0</v>
      </c>
      <c r="AF79" s="77">
        <f t="shared" si="19"/>
        <v>0</v>
      </c>
      <c r="AG79" s="105"/>
      <c r="AH79" s="21">
        <f t="shared" si="15"/>
        <v>0</v>
      </c>
      <c r="AI79" s="20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20">IF(D57&lt;0,D57*-1,0)</f>
        <v>0</v>
      </c>
      <c r="E80" s="77">
        <f t="shared" si="20"/>
        <v>0</v>
      </c>
      <c r="F80" s="77">
        <f t="shared" si="20"/>
        <v>0</v>
      </c>
      <c r="G80" s="77">
        <f t="shared" si="20"/>
        <v>0</v>
      </c>
      <c r="H80" s="77">
        <f t="shared" si="20"/>
        <v>0</v>
      </c>
      <c r="I80" s="77">
        <f t="shared" si="20"/>
        <v>0</v>
      </c>
      <c r="J80" s="77">
        <f t="shared" si="20"/>
        <v>0</v>
      </c>
      <c r="K80" s="77">
        <f t="shared" si="20"/>
        <v>0</v>
      </c>
      <c r="L80" s="77">
        <f t="shared" si="20"/>
        <v>0</v>
      </c>
      <c r="M80" s="77">
        <f t="shared" si="20"/>
        <v>0</v>
      </c>
      <c r="N80" s="77">
        <f t="shared" si="20"/>
        <v>0</v>
      </c>
      <c r="O80" s="77">
        <f t="shared" si="20"/>
        <v>0</v>
      </c>
      <c r="P80" s="77">
        <f t="shared" si="20"/>
        <v>0</v>
      </c>
      <c r="Q80" s="77">
        <f t="shared" si="20"/>
        <v>0</v>
      </c>
      <c r="R80" s="77">
        <f t="shared" si="20"/>
        <v>0</v>
      </c>
      <c r="S80" s="77">
        <f t="shared" si="20"/>
        <v>0</v>
      </c>
      <c r="T80" s="77">
        <f t="shared" si="20"/>
        <v>0</v>
      </c>
      <c r="U80" s="77">
        <f t="shared" si="20"/>
        <v>0</v>
      </c>
      <c r="V80" s="77">
        <f t="shared" si="20"/>
        <v>0</v>
      </c>
      <c r="W80" s="77">
        <f t="shared" si="20"/>
        <v>0</v>
      </c>
      <c r="X80" s="77">
        <f t="shared" si="20"/>
        <v>0</v>
      </c>
      <c r="Y80" s="77">
        <f t="shared" si="20"/>
        <v>0</v>
      </c>
      <c r="Z80" s="77">
        <f t="shared" si="20"/>
        <v>0</v>
      </c>
      <c r="AA80" s="77">
        <f t="shared" si="20"/>
        <v>0</v>
      </c>
      <c r="AB80" s="77">
        <f t="shared" si="20"/>
        <v>0</v>
      </c>
      <c r="AC80" s="77">
        <f t="shared" si="20"/>
        <v>0</v>
      </c>
      <c r="AD80" s="77">
        <f t="shared" si="20"/>
        <v>0</v>
      </c>
      <c r="AE80" s="77">
        <f t="shared" si="20"/>
        <v>0</v>
      </c>
      <c r="AF80" s="77">
        <f t="shared" si="20"/>
        <v>0</v>
      </c>
      <c r="AG80" s="105"/>
      <c r="AH80" s="21">
        <f t="shared" si="15"/>
        <v>0</v>
      </c>
      <c r="AI80" s="20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5"/>
        <v>0</v>
      </c>
      <c r="AI81" s="20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21">SUM(C76:C81)</f>
        <v>0</v>
      </c>
      <c r="D82" s="99">
        <f t="shared" si="21"/>
        <v>0</v>
      </c>
      <c r="E82" s="99">
        <f t="shared" si="21"/>
        <v>0</v>
      </c>
      <c r="F82" s="99">
        <f t="shared" si="21"/>
        <v>0</v>
      </c>
      <c r="G82" s="99">
        <f t="shared" si="21"/>
        <v>0</v>
      </c>
      <c r="H82" s="99">
        <f t="shared" si="21"/>
        <v>0</v>
      </c>
      <c r="I82" s="99">
        <f t="shared" si="21"/>
        <v>0</v>
      </c>
      <c r="J82" s="99">
        <f t="shared" si="21"/>
        <v>0</v>
      </c>
      <c r="K82" s="99">
        <f t="shared" si="21"/>
        <v>0</v>
      </c>
      <c r="L82" s="99">
        <f t="shared" si="21"/>
        <v>0</v>
      </c>
      <c r="M82" s="99">
        <f t="shared" si="21"/>
        <v>0</v>
      </c>
      <c r="N82" s="99">
        <f t="shared" si="21"/>
        <v>0</v>
      </c>
      <c r="O82" s="99">
        <f t="shared" si="21"/>
        <v>0</v>
      </c>
      <c r="P82" s="99">
        <f t="shared" si="21"/>
        <v>0</v>
      </c>
      <c r="Q82" s="99">
        <f t="shared" si="21"/>
        <v>0</v>
      </c>
      <c r="R82" s="99">
        <f t="shared" si="21"/>
        <v>0</v>
      </c>
      <c r="S82" s="99">
        <f t="shared" si="21"/>
        <v>0</v>
      </c>
      <c r="T82" s="99">
        <f t="shared" si="21"/>
        <v>0</v>
      </c>
      <c r="U82" s="99">
        <f t="shared" si="21"/>
        <v>0</v>
      </c>
      <c r="V82" s="99">
        <f t="shared" si="21"/>
        <v>0</v>
      </c>
      <c r="W82" s="99">
        <f t="shared" si="21"/>
        <v>0</v>
      </c>
      <c r="X82" s="99">
        <f t="shared" si="21"/>
        <v>0</v>
      </c>
      <c r="Y82" s="99">
        <f t="shared" si="21"/>
        <v>0</v>
      </c>
      <c r="Z82" s="99">
        <f t="shared" si="21"/>
        <v>0</v>
      </c>
      <c r="AA82" s="99">
        <f t="shared" si="21"/>
        <v>0</v>
      </c>
      <c r="AB82" s="99">
        <f t="shared" si="21"/>
        <v>0</v>
      </c>
      <c r="AC82" s="99">
        <f t="shared" si="21"/>
        <v>0</v>
      </c>
      <c r="AD82" s="99">
        <f t="shared" si="21"/>
        <v>0</v>
      </c>
      <c r="AE82" s="99">
        <f t="shared" si="21"/>
        <v>0</v>
      </c>
      <c r="AF82" s="99">
        <f t="shared" si="21"/>
        <v>0</v>
      </c>
      <c r="AG82" s="98">
        <f t="shared" si="21"/>
        <v>0</v>
      </c>
      <c r="AH82" s="21">
        <f t="shared" si="15"/>
        <v>0</v>
      </c>
      <c r="AI82" s="20">
        <f t="shared" si="16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1935.72</v>
      </c>
      <c r="C83" s="99">
        <f t="shared" ref="C83:AG83" si="22">SUM(C70:C82)</f>
        <v>1895.6999999999998</v>
      </c>
      <c r="D83" s="99">
        <f t="shared" si="22"/>
        <v>1874.76</v>
      </c>
      <c r="E83" s="99">
        <f t="shared" si="22"/>
        <v>1820.02</v>
      </c>
      <c r="F83" s="99">
        <f t="shared" si="22"/>
        <v>1837.62</v>
      </c>
      <c r="G83" s="99">
        <f t="shared" si="22"/>
        <v>1860.72</v>
      </c>
      <c r="H83" s="99">
        <f t="shared" si="22"/>
        <v>1866.08</v>
      </c>
      <c r="I83" s="99">
        <f t="shared" si="22"/>
        <v>1972.58</v>
      </c>
      <c r="J83" s="99">
        <f t="shared" si="22"/>
        <v>2071.7600000000002</v>
      </c>
      <c r="K83" s="99">
        <f t="shared" si="22"/>
        <v>2088.6800000000003</v>
      </c>
      <c r="L83" s="99">
        <f t="shared" si="22"/>
        <v>2134.88</v>
      </c>
      <c r="M83" s="99">
        <f t="shared" si="22"/>
        <v>2155.2800000000002</v>
      </c>
      <c r="N83" s="99">
        <f t="shared" si="22"/>
        <v>2035.28</v>
      </c>
      <c r="O83" s="99">
        <f t="shared" si="22"/>
        <v>2024.2800000000002</v>
      </c>
      <c r="P83" s="99">
        <f t="shared" si="22"/>
        <v>2059.48</v>
      </c>
      <c r="Q83" s="99">
        <f t="shared" si="22"/>
        <v>2015.74</v>
      </c>
      <c r="R83" s="99">
        <f t="shared" si="22"/>
        <v>2005.68</v>
      </c>
      <c r="S83" s="99">
        <f t="shared" si="22"/>
        <v>2026.88</v>
      </c>
      <c r="T83" s="99">
        <f t="shared" si="22"/>
        <v>1995.28</v>
      </c>
      <c r="U83" s="99">
        <f t="shared" si="22"/>
        <v>2462.08</v>
      </c>
      <c r="V83" s="99">
        <f t="shared" si="22"/>
        <v>2522.88</v>
      </c>
      <c r="W83" s="99">
        <f t="shared" si="22"/>
        <v>2692.6800000000003</v>
      </c>
      <c r="X83" s="99">
        <f t="shared" si="22"/>
        <v>2739.08</v>
      </c>
      <c r="Y83" s="99">
        <f t="shared" si="22"/>
        <v>2870.08</v>
      </c>
      <c r="Z83" s="99">
        <f t="shared" si="22"/>
        <v>3202.6800000000003</v>
      </c>
      <c r="AA83" s="99">
        <f t="shared" si="22"/>
        <v>3038.0800000000004</v>
      </c>
      <c r="AB83" s="99">
        <f t="shared" si="22"/>
        <v>2934.0800000000004</v>
      </c>
      <c r="AC83" s="99">
        <f t="shared" si="22"/>
        <v>2872.6800000000003</v>
      </c>
      <c r="AD83" s="99">
        <f t="shared" si="22"/>
        <v>2757.08</v>
      </c>
      <c r="AE83" s="99">
        <f t="shared" si="22"/>
        <v>2546.0800000000004</v>
      </c>
      <c r="AF83" s="99">
        <f t="shared" si="22"/>
        <v>2399.4800000000005</v>
      </c>
      <c r="AG83" s="98">
        <f t="shared" si="22"/>
        <v>4360.08</v>
      </c>
      <c r="AH83" s="21">
        <f t="shared" si="15"/>
        <v>3202.6800000000003</v>
      </c>
      <c r="AI83" s="20">
        <f t="shared" si="16"/>
        <v>1820.02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49.863</v>
      </c>
      <c r="C84" s="96">
        <v>49.951999999999998</v>
      </c>
      <c r="D84" s="96">
        <v>49.892000000000003</v>
      </c>
      <c r="E84" s="96">
        <v>50.006999999999998</v>
      </c>
      <c r="F84" s="96">
        <v>50.021000000000001</v>
      </c>
      <c r="G84" s="96">
        <v>50.030999999999999</v>
      </c>
      <c r="H84" s="96">
        <v>50.057000000000002</v>
      </c>
      <c r="I84" s="96">
        <v>50.034999999999997</v>
      </c>
      <c r="J84" s="96">
        <v>50.064</v>
      </c>
      <c r="K84" s="96">
        <v>50.000999999999998</v>
      </c>
      <c r="L84" s="96">
        <v>50.045999999999999</v>
      </c>
      <c r="M84" s="96">
        <v>50.064999999999998</v>
      </c>
      <c r="N84" s="96">
        <v>50.031999999999996</v>
      </c>
      <c r="O84" s="96">
        <v>49.972999999999999</v>
      </c>
      <c r="P84" s="96">
        <v>50.015999999999998</v>
      </c>
      <c r="Q84" s="96">
        <v>49.987000000000002</v>
      </c>
      <c r="R84" s="96">
        <v>49.917999999999999</v>
      </c>
      <c r="S84" s="96">
        <v>50.03</v>
      </c>
      <c r="T84" s="96">
        <v>49.96</v>
      </c>
      <c r="U84" s="96">
        <v>49.912999999999997</v>
      </c>
      <c r="V84" s="96">
        <v>49.935000000000002</v>
      </c>
      <c r="W84" s="96">
        <v>49.96</v>
      </c>
      <c r="X84" s="96">
        <v>49.932000000000002</v>
      </c>
      <c r="Y84" s="96">
        <v>49.854999999999997</v>
      </c>
      <c r="Z84" s="96">
        <v>50.026000000000003</v>
      </c>
      <c r="AA84" s="96">
        <v>49.941000000000003</v>
      </c>
      <c r="AB84" s="96">
        <v>49.97</v>
      </c>
      <c r="AC84" s="96">
        <v>49.98</v>
      </c>
      <c r="AD84" s="96">
        <v>50.05</v>
      </c>
      <c r="AE84" s="96">
        <v>49.98</v>
      </c>
      <c r="AF84" s="96">
        <v>49.9</v>
      </c>
      <c r="AG84" s="95"/>
      <c r="AH84" s="21">
        <f t="shared" si="15"/>
        <v>50.064999999999998</v>
      </c>
      <c r="AI84" s="20">
        <f t="shared" si="16"/>
        <v>49.854999999999997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132.69999999999999</v>
      </c>
      <c r="C85" s="73">
        <v>132.80000000000001</v>
      </c>
      <c r="D85" s="73">
        <v>132.80000000000001</v>
      </c>
      <c r="E85" s="73">
        <v>134.30000000000001</v>
      </c>
      <c r="F85" s="73">
        <v>133.9</v>
      </c>
      <c r="G85" s="73">
        <v>133.69999999999999</v>
      </c>
      <c r="H85" s="73">
        <v>133.80000000000001</v>
      </c>
      <c r="I85" s="73">
        <v>132.80000000000001</v>
      </c>
      <c r="J85" s="73">
        <v>130.1</v>
      </c>
      <c r="K85" s="73">
        <v>128.30000000000001</v>
      </c>
      <c r="L85" s="73">
        <v>128.19999999999999</v>
      </c>
      <c r="M85" s="73">
        <v>128</v>
      </c>
      <c r="N85" s="73">
        <v>128.19999999999999</v>
      </c>
      <c r="O85" s="73">
        <v>128.1</v>
      </c>
      <c r="P85" s="73">
        <v>128.69999999999999</v>
      </c>
      <c r="Q85" s="73">
        <v>128.80000000000001</v>
      </c>
      <c r="R85" s="73">
        <v>128</v>
      </c>
      <c r="S85" s="73">
        <v>128.6</v>
      </c>
      <c r="T85" s="73">
        <v>128.6</v>
      </c>
      <c r="U85" s="94">
        <v>126.8</v>
      </c>
      <c r="V85" s="94">
        <v>127.8</v>
      </c>
      <c r="W85" s="94">
        <v>127</v>
      </c>
      <c r="X85" s="94">
        <v>126.5</v>
      </c>
      <c r="Y85" s="94">
        <v>126.1</v>
      </c>
      <c r="Z85" s="94">
        <v>125.5</v>
      </c>
      <c r="AA85" s="94">
        <v>126.1</v>
      </c>
      <c r="AB85" s="94">
        <v>128</v>
      </c>
      <c r="AC85" s="94">
        <v>127</v>
      </c>
      <c r="AD85" s="94">
        <v>127</v>
      </c>
      <c r="AE85" s="73">
        <v>129</v>
      </c>
      <c r="AF85" s="73">
        <v>129</v>
      </c>
      <c r="AG85" s="89"/>
      <c r="AH85" s="21">
        <f t="shared" si="15"/>
        <v>134.30000000000001</v>
      </c>
      <c r="AI85" s="20">
        <f t="shared" si="16"/>
        <v>125.5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135.6</v>
      </c>
      <c r="C86" s="73">
        <v>135.80000000000001</v>
      </c>
      <c r="D86" s="73">
        <v>135.80000000000001</v>
      </c>
      <c r="E86" s="73">
        <v>136.4</v>
      </c>
      <c r="F86" s="73">
        <v>136</v>
      </c>
      <c r="G86" s="73">
        <v>135.6</v>
      </c>
      <c r="H86" s="73">
        <v>135.69999999999999</v>
      </c>
      <c r="I86" s="73">
        <v>133.69999999999999</v>
      </c>
      <c r="J86" s="73">
        <v>131.30000000000001</v>
      </c>
      <c r="K86" s="73">
        <v>129.5</v>
      </c>
      <c r="L86" s="73">
        <v>129.4</v>
      </c>
      <c r="M86" s="73">
        <v>129</v>
      </c>
      <c r="N86" s="73">
        <v>129.5</v>
      </c>
      <c r="O86" s="73">
        <v>129.69999999999999</v>
      </c>
      <c r="P86" s="73">
        <v>130.5</v>
      </c>
      <c r="Q86" s="73">
        <v>130.69999999999999</v>
      </c>
      <c r="R86" s="73">
        <v>130</v>
      </c>
      <c r="S86" s="73">
        <v>130.30000000000001</v>
      </c>
      <c r="T86" s="73">
        <v>130.69999999999999</v>
      </c>
      <c r="U86" s="94">
        <v>129.5</v>
      </c>
      <c r="V86" s="94">
        <v>130.1</v>
      </c>
      <c r="W86" s="94">
        <v>130.19999999999999</v>
      </c>
      <c r="X86" s="94">
        <v>129.19999999999999</v>
      </c>
      <c r="Y86" s="94">
        <v>128.80000000000001</v>
      </c>
      <c r="Z86" s="94">
        <v>128.5</v>
      </c>
      <c r="AA86" s="94">
        <v>129.1</v>
      </c>
      <c r="AB86" s="94">
        <v>132</v>
      </c>
      <c r="AC86" s="94">
        <v>130</v>
      </c>
      <c r="AD86" s="94">
        <v>131</v>
      </c>
      <c r="AE86" s="73">
        <v>132</v>
      </c>
      <c r="AF86" s="73">
        <v>132</v>
      </c>
      <c r="AG86" s="89"/>
      <c r="AH86" s="21">
        <f t="shared" si="15"/>
        <v>136.4</v>
      </c>
      <c r="AI86" s="20">
        <f t="shared" si="16"/>
        <v>128.5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132.69999999999999</v>
      </c>
      <c r="C87" s="73">
        <v>132.6</v>
      </c>
      <c r="D87" s="73">
        <v>132.6</v>
      </c>
      <c r="E87" s="73">
        <v>131.5</v>
      </c>
      <c r="F87" s="73">
        <v>131.9</v>
      </c>
      <c r="G87" s="73">
        <v>131.80000000000001</v>
      </c>
      <c r="H87" s="73">
        <v>131.4</v>
      </c>
      <c r="I87" s="73">
        <v>131.4</v>
      </c>
      <c r="J87" s="73">
        <v>131.69999999999999</v>
      </c>
      <c r="K87" s="73">
        <v>131.19999999999999</v>
      </c>
      <c r="L87" s="73">
        <v>129.9</v>
      </c>
      <c r="M87" s="73">
        <v>129.5</v>
      </c>
      <c r="N87" s="73">
        <v>130.6</v>
      </c>
      <c r="O87" s="73">
        <v>129.5</v>
      </c>
      <c r="P87" s="73">
        <v>129.4</v>
      </c>
      <c r="Q87" s="73">
        <v>130</v>
      </c>
      <c r="R87" s="73">
        <v>130</v>
      </c>
      <c r="S87" s="73">
        <v>130</v>
      </c>
      <c r="T87" s="73">
        <v>13.8</v>
      </c>
      <c r="U87" s="73">
        <v>128.4</v>
      </c>
      <c r="V87" s="73">
        <v>129</v>
      </c>
      <c r="W87" s="73">
        <v>129</v>
      </c>
      <c r="X87" s="94">
        <v>128.19999999999999</v>
      </c>
      <c r="Y87" s="94">
        <v>127.3</v>
      </c>
      <c r="Z87" s="94">
        <v>127.7</v>
      </c>
      <c r="AA87" s="94">
        <v>126.9</v>
      </c>
      <c r="AB87" s="94">
        <v>128</v>
      </c>
      <c r="AC87" s="94">
        <v>130</v>
      </c>
      <c r="AD87" s="94">
        <v>130</v>
      </c>
      <c r="AE87" s="73">
        <v>132</v>
      </c>
      <c r="AF87" s="73">
        <v>132</v>
      </c>
      <c r="AG87" s="89"/>
      <c r="AH87" s="21">
        <f t="shared" si="15"/>
        <v>132.69999999999999</v>
      </c>
      <c r="AI87" s="20">
        <f t="shared" si="16"/>
        <v>13.8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135.69999999999999</v>
      </c>
      <c r="C88" s="73">
        <v>136</v>
      </c>
      <c r="D88" s="73">
        <v>136</v>
      </c>
      <c r="E88" s="73">
        <v>135.4</v>
      </c>
      <c r="F88" s="73">
        <v>135.80000000000001</v>
      </c>
      <c r="G88" s="73">
        <v>135.5</v>
      </c>
      <c r="H88" s="73">
        <v>134.80000000000001</v>
      </c>
      <c r="I88" s="73">
        <v>133.6</v>
      </c>
      <c r="J88" s="73">
        <v>133.5</v>
      </c>
      <c r="K88" s="73">
        <v>132.5</v>
      </c>
      <c r="L88" s="73">
        <v>130.5</v>
      </c>
      <c r="M88" s="73">
        <v>129.9</v>
      </c>
      <c r="N88" s="73">
        <v>131.80000000000001</v>
      </c>
      <c r="O88" s="73">
        <v>130.4</v>
      </c>
      <c r="P88" s="73">
        <v>130.5</v>
      </c>
      <c r="Q88" s="73">
        <v>131.4</v>
      </c>
      <c r="R88" s="73">
        <v>131.4</v>
      </c>
      <c r="S88" s="73">
        <v>132</v>
      </c>
      <c r="T88" s="73">
        <v>132</v>
      </c>
      <c r="U88" s="73">
        <v>128.69999999999999</v>
      </c>
      <c r="V88" s="73">
        <v>128.80000000000001</v>
      </c>
      <c r="W88" s="73">
        <v>129</v>
      </c>
      <c r="X88" s="94">
        <v>128.30000000000001</v>
      </c>
      <c r="Y88" s="94">
        <v>123</v>
      </c>
      <c r="Z88" s="94">
        <v>123.3</v>
      </c>
      <c r="AA88" s="94">
        <v>126.5</v>
      </c>
      <c r="AB88" s="94">
        <v>130</v>
      </c>
      <c r="AC88" s="94">
        <v>132</v>
      </c>
      <c r="AD88" s="94">
        <v>133</v>
      </c>
      <c r="AE88" s="73">
        <v>133</v>
      </c>
      <c r="AF88" s="73">
        <v>133</v>
      </c>
      <c r="AG88" s="89"/>
      <c r="AH88" s="21">
        <f t="shared" si="15"/>
        <v>136</v>
      </c>
      <c r="AI88" s="20">
        <f t="shared" si="16"/>
        <v>123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133.5</v>
      </c>
      <c r="C89" s="66">
        <v>132.6</v>
      </c>
      <c r="D89" s="66">
        <v>132.6</v>
      </c>
      <c r="E89" s="66">
        <v>131.69999999999999</v>
      </c>
      <c r="F89" s="66">
        <v>131.80000000000001</v>
      </c>
      <c r="G89" s="66">
        <v>130.4</v>
      </c>
      <c r="H89" s="66">
        <v>134.69999999999999</v>
      </c>
      <c r="I89" s="66">
        <v>132.6</v>
      </c>
      <c r="J89" s="66">
        <v>135</v>
      </c>
      <c r="K89" s="66">
        <v>133.1</v>
      </c>
      <c r="L89" s="66">
        <v>135.5</v>
      </c>
      <c r="M89" s="66">
        <v>134.6</v>
      </c>
      <c r="N89" s="66">
        <v>133.1</v>
      </c>
      <c r="O89" s="66">
        <v>133.4</v>
      </c>
      <c r="P89" s="66">
        <v>133.9</v>
      </c>
      <c r="Q89" s="66">
        <v>133.9</v>
      </c>
      <c r="R89" s="66">
        <v>133</v>
      </c>
      <c r="S89" s="66">
        <v>133</v>
      </c>
      <c r="T89" s="66">
        <v>132</v>
      </c>
      <c r="U89" s="66">
        <v>137.4</v>
      </c>
      <c r="V89" s="66">
        <v>135.4</v>
      </c>
      <c r="W89" s="66">
        <v>134.30000000000001</v>
      </c>
      <c r="X89" s="94">
        <v>135.19999999999999</v>
      </c>
      <c r="Y89" s="94">
        <v>135.80000000000001</v>
      </c>
      <c r="Z89" s="94">
        <v>133.19999999999999</v>
      </c>
      <c r="AA89" s="94">
        <v>135.6</v>
      </c>
      <c r="AB89" s="94">
        <v>133.6</v>
      </c>
      <c r="AC89" s="94">
        <v>133</v>
      </c>
      <c r="AD89" s="94">
        <v>133</v>
      </c>
      <c r="AE89" s="66">
        <v>131</v>
      </c>
      <c r="AF89" s="66">
        <v>131</v>
      </c>
      <c r="AG89" s="91"/>
      <c r="AH89" s="21">
        <f t="shared" si="15"/>
        <v>137.4</v>
      </c>
      <c r="AI89" s="20">
        <f t="shared" si="16"/>
        <v>130.4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132.1</v>
      </c>
      <c r="C90" s="73">
        <v>132.9</v>
      </c>
      <c r="D90" s="73">
        <v>132.9</v>
      </c>
      <c r="E90" s="73">
        <v>134.69999999999999</v>
      </c>
      <c r="F90" s="73">
        <v>135.80000000000001</v>
      </c>
      <c r="G90" s="73">
        <v>135.4</v>
      </c>
      <c r="H90" s="73">
        <v>137.5</v>
      </c>
      <c r="I90" s="73">
        <v>134</v>
      </c>
      <c r="J90" s="73">
        <v>133.5</v>
      </c>
      <c r="K90" s="73">
        <v>133.5</v>
      </c>
      <c r="L90" s="73">
        <v>132.4</v>
      </c>
      <c r="M90" s="73">
        <v>135</v>
      </c>
      <c r="N90" s="73">
        <v>131.4</v>
      </c>
      <c r="O90" s="73">
        <v>132.19999999999999</v>
      </c>
      <c r="P90" s="73">
        <v>132</v>
      </c>
      <c r="Q90" s="73">
        <v>129.4</v>
      </c>
      <c r="R90" s="73">
        <v>133</v>
      </c>
      <c r="S90" s="73">
        <v>134.5</v>
      </c>
      <c r="T90" s="73">
        <v>133.9</v>
      </c>
      <c r="U90" s="73">
        <v>126</v>
      </c>
      <c r="V90" s="73">
        <v>136.1</v>
      </c>
      <c r="W90" s="73">
        <v>136</v>
      </c>
      <c r="X90" s="94">
        <v>134.4</v>
      </c>
      <c r="Y90" s="94">
        <v>130.80000000000001</v>
      </c>
      <c r="Z90" s="94">
        <v>135.80000000000001</v>
      </c>
      <c r="AA90" s="94">
        <v>132.6</v>
      </c>
      <c r="AB90" s="94">
        <v>128</v>
      </c>
      <c r="AC90" s="94">
        <v>132</v>
      </c>
      <c r="AD90" s="94">
        <v>131</v>
      </c>
      <c r="AE90" s="73">
        <v>132</v>
      </c>
      <c r="AF90" s="73">
        <v>132</v>
      </c>
      <c r="AG90" s="89"/>
      <c r="AH90" s="21">
        <f t="shared" si="15"/>
        <v>137.5</v>
      </c>
      <c r="AI90" s="20">
        <f t="shared" si="16"/>
        <v>126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68.599999999999994</v>
      </c>
      <c r="C91" s="87">
        <v>68.7</v>
      </c>
      <c r="D91" s="87">
        <v>68.7</v>
      </c>
      <c r="E91" s="87">
        <v>68.8</v>
      </c>
      <c r="F91" s="87">
        <v>68.599999999999994</v>
      </c>
      <c r="G91" s="87">
        <v>68.3</v>
      </c>
      <c r="H91" s="87">
        <v>68.3</v>
      </c>
      <c r="I91" s="87">
        <v>67.5</v>
      </c>
      <c r="J91" s="87">
        <v>65.7</v>
      </c>
      <c r="K91" s="87">
        <v>65</v>
      </c>
      <c r="L91" s="87">
        <v>65.099999999999994</v>
      </c>
      <c r="M91" s="87">
        <v>65</v>
      </c>
      <c r="N91" s="87">
        <v>65.400000000000006</v>
      </c>
      <c r="O91" s="87">
        <v>65.3</v>
      </c>
      <c r="P91" s="87">
        <v>65.599999999999994</v>
      </c>
      <c r="Q91" s="87">
        <v>65.599999999999994</v>
      </c>
      <c r="R91" s="87">
        <v>65</v>
      </c>
      <c r="S91" s="87">
        <v>65.7</v>
      </c>
      <c r="T91" s="87">
        <v>64.8</v>
      </c>
      <c r="U91" s="87">
        <v>65.2</v>
      </c>
      <c r="V91" s="87">
        <v>65.599999999999994</v>
      </c>
      <c r="W91" s="87">
        <v>65.8</v>
      </c>
      <c r="X91" s="87">
        <v>65.400000000000006</v>
      </c>
      <c r="Y91" s="87">
        <v>65.2</v>
      </c>
      <c r="Z91" s="87">
        <v>65.099999999999994</v>
      </c>
      <c r="AA91" s="87">
        <v>65.5</v>
      </c>
      <c r="AB91" s="87">
        <v>66.7</v>
      </c>
      <c r="AC91" s="87">
        <v>66.3</v>
      </c>
      <c r="AD91" s="87">
        <v>66.2</v>
      </c>
      <c r="AE91" s="87">
        <v>66.599999999999994</v>
      </c>
      <c r="AF91" s="87">
        <v>66.599999999999994</v>
      </c>
      <c r="AG91" s="86"/>
      <c r="AH91" s="21">
        <f t="shared" si="15"/>
        <v>68.8</v>
      </c>
      <c r="AI91" s="20">
        <f t="shared" si="16"/>
        <v>64.8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3">SUM(B15,B18,B21:B22,B42,B44:B45,B47,B49,B94:B97,B103,B109,B115,B124,B126,B138,B145,B148:B149,B156,B158,B160,B164:B166,B168:B170,B175,B181:B182,B184:B186,B194,B199)</f>
        <v>154.03999999999996</v>
      </c>
      <c r="C93" s="82">
        <f t="shared" si="23"/>
        <v>144.94</v>
      </c>
      <c r="D93" s="82">
        <f t="shared" si="23"/>
        <v>143.34</v>
      </c>
      <c r="E93" s="82">
        <f t="shared" si="23"/>
        <v>140.34</v>
      </c>
      <c r="F93" s="82">
        <f t="shared" si="23"/>
        <v>143.54</v>
      </c>
      <c r="G93" s="80">
        <f t="shared" si="23"/>
        <v>161.63999999999999</v>
      </c>
      <c r="H93" s="80">
        <f t="shared" si="23"/>
        <v>186.93999999999997</v>
      </c>
      <c r="I93" s="80">
        <f t="shared" si="23"/>
        <v>225.23999999999998</v>
      </c>
      <c r="J93" s="80">
        <f t="shared" si="23"/>
        <v>263.24</v>
      </c>
      <c r="K93" s="80">
        <f t="shared" si="23"/>
        <v>281.44</v>
      </c>
      <c r="L93" s="80">
        <f t="shared" si="23"/>
        <v>310.84000000000003</v>
      </c>
      <c r="M93" s="80">
        <f t="shared" si="23"/>
        <v>319.54000000000002</v>
      </c>
      <c r="N93" s="80">
        <f t="shared" si="23"/>
        <v>304.44000000000005</v>
      </c>
      <c r="O93" s="80">
        <f t="shared" si="23"/>
        <v>302.04000000000008</v>
      </c>
      <c r="P93" s="80">
        <f t="shared" si="23"/>
        <v>294.34000000000003</v>
      </c>
      <c r="Q93" s="80">
        <f t="shared" si="23"/>
        <v>288.74000000000007</v>
      </c>
      <c r="R93" s="80">
        <f t="shared" si="23"/>
        <v>283.44000000000005</v>
      </c>
      <c r="S93" s="80">
        <f t="shared" si="23"/>
        <v>279.54000000000002</v>
      </c>
      <c r="T93" s="80">
        <f t="shared" si="23"/>
        <v>282.34000000000003</v>
      </c>
      <c r="U93" s="80">
        <f t="shared" si="23"/>
        <v>307.04000000000002</v>
      </c>
      <c r="V93" s="80">
        <f t="shared" si="23"/>
        <v>295.34000000000003</v>
      </c>
      <c r="W93" s="80">
        <f t="shared" si="23"/>
        <v>291.94000000000005</v>
      </c>
      <c r="X93" s="80">
        <f t="shared" si="23"/>
        <v>318.44000000000005</v>
      </c>
      <c r="Y93" s="80">
        <f t="shared" si="23"/>
        <v>349.64000000000004</v>
      </c>
      <c r="Z93" s="80">
        <f t="shared" si="23"/>
        <v>383.94000000000005</v>
      </c>
      <c r="AA93" s="80">
        <f t="shared" si="23"/>
        <v>353.54</v>
      </c>
      <c r="AB93" s="80">
        <f t="shared" si="23"/>
        <v>313.14000000000004</v>
      </c>
      <c r="AC93" s="80">
        <f t="shared" si="23"/>
        <v>281.14</v>
      </c>
      <c r="AD93" s="80">
        <f t="shared" si="23"/>
        <v>274.14000000000004</v>
      </c>
      <c r="AE93" s="80">
        <f t="shared" si="23"/>
        <v>215.73999999999998</v>
      </c>
      <c r="AF93" s="80">
        <f t="shared" si="23"/>
        <v>176.14</v>
      </c>
      <c r="AG93" s="79"/>
      <c r="AH93" s="21">
        <f>MAX(C93:AF93)</f>
        <v>383.94000000000005</v>
      </c>
      <c r="AI93" s="20">
        <f>MIN(C93:AF93)</f>
        <v>140.34</v>
      </c>
    </row>
    <row r="94" spans="1:88" x14ac:dyDescent="0.25">
      <c r="A94" s="48" t="s">
        <v>122</v>
      </c>
      <c r="B94" s="78">
        <v>13.7</v>
      </c>
      <c r="C94" s="77">
        <v>4.8</v>
      </c>
      <c r="D94" s="77">
        <v>4.8</v>
      </c>
      <c r="E94" s="77">
        <v>-19.100000000000001</v>
      </c>
      <c r="F94" s="77">
        <v>-35.299999999999997</v>
      </c>
      <c r="G94" s="76">
        <v>-37.700000000000003</v>
      </c>
      <c r="H94" s="76">
        <v>-19.899999999999999</v>
      </c>
      <c r="I94" s="76">
        <v>-1.4</v>
      </c>
      <c r="J94" s="76">
        <v>36</v>
      </c>
      <c r="K94" s="76">
        <v>30.1</v>
      </c>
      <c r="L94" s="76">
        <v>47.6</v>
      </c>
      <c r="M94" s="75">
        <v>47.4</v>
      </c>
      <c r="N94" s="76">
        <v>42.1</v>
      </c>
      <c r="O94" s="76">
        <v>18.899999999999999</v>
      </c>
      <c r="P94" s="76">
        <v>26.2</v>
      </c>
      <c r="Q94" s="76">
        <v>29</v>
      </c>
      <c r="R94" s="76">
        <v>14.4</v>
      </c>
      <c r="S94" s="76">
        <v>17.399999999999999</v>
      </c>
      <c r="T94" s="76">
        <v>10</v>
      </c>
      <c r="U94" s="75">
        <v>39.4</v>
      </c>
      <c r="V94" s="75">
        <v>25</v>
      </c>
      <c r="W94" s="75">
        <v>21.1</v>
      </c>
      <c r="X94" s="76">
        <v>25.5</v>
      </c>
      <c r="Y94" s="76">
        <v>39.4</v>
      </c>
      <c r="Z94" s="76">
        <v>38.700000000000003</v>
      </c>
      <c r="AA94" s="76">
        <v>37.200000000000003</v>
      </c>
      <c r="AB94" s="75">
        <v>30</v>
      </c>
      <c r="AC94" s="75">
        <v>7</v>
      </c>
      <c r="AD94" s="75">
        <v>2</v>
      </c>
      <c r="AE94" s="75">
        <v>2.6</v>
      </c>
      <c r="AF94" s="75">
        <v>12</v>
      </c>
      <c r="AG94" s="3">
        <v>75</v>
      </c>
      <c r="AH94" s="21">
        <f t="shared" ref="AH94:AH100" si="24">IF(ABS(MAX(C94:AF94))&gt;ABS(MIN(C94:AF94)),MAX(C94:AF94),MIN(C94:AF94))</f>
        <v>47.6</v>
      </c>
      <c r="AI94" s="64">
        <f t="shared" ref="AI94:AI100" si="25">INDEX($C$9:$AF$9,1,MATCH(AH94,C94:AF94,0))</f>
        <v>0.3125</v>
      </c>
    </row>
    <row r="95" spans="1:88" x14ac:dyDescent="0.25">
      <c r="A95" s="45" t="s">
        <v>121</v>
      </c>
      <c r="B95" s="74">
        <v>-43</v>
      </c>
      <c r="C95" s="67">
        <v>-47</v>
      </c>
      <c r="D95" s="67">
        <v>-47</v>
      </c>
      <c r="E95" s="67">
        <v>-38</v>
      </c>
      <c r="F95" s="67">
        <v>-33</v>
      </c>
      <c r="G95" s="67">
        <v>-23</v>
      </c>
      <c r="H95" s="67">
        <v>-19</v>
      </c>
      <c r="I95" s="67">
        <v>-5</v>
      </c>
      <c r="J95" s="67">
        <v>0</v>
      </c>
      <c r="K95" s="67">
        <v>0</v>
      </c>
      <c r="L95" s="67">
        <v>5</v>
      </c>
      <c r="M95" s="67">
        <v>5.7</v>
      </c>
      <c r="N95" s="67">
        <v>4.8</v>
      </c>
      <c r="O95" s="67">
        <v>13.4</v>
      </c>
      <c r="P95" s="67">
        <v>11.1</v>
      </c>
      <c r="Q95" s="67">
        <v>2.6</v>
      </c>
      <c r="R95" s="67">
        <v>14</v>
      </c>
      <c r="S95" s="67">
        <v>11</v>
      </c>
      <c r="T95" s="67">
        <v>17</v>
      </c>
      <c r="U95" s="67">
        <v>3.6</v>
      </c>
      <c r="V95" s="67">
        <v>4</v>
      </c>
      <c r="W95" s="67">
        <v>2.9</v>
      </c>
      <c r="X95" s="67">
        <v>14</v>
      </c>
      <c r="Y95" s="67">
        <v>21</v>
      </c>
      <c r="Z95" s="67">
        <v>40</v>
      </c>
      <c r="AA95" s="67">
        <v>35</v>
      </c>
      <c r="AB95" s="73">
        <v>-3</v>
      </c>
      <c r="AC95" s="73">
        <v>10</v>
      </c>
      <c r="AD95" s="73">
        <v>-4</v>
      </c>
      <c r="AE95" s="73">
        <v>-28</v>
      </c>
      <c r="AF95" s="73">
        <v>-45</v>
      </c>
      <c r="AG95" s="3">
        <v>240</v>
      </c>
      <c r="AH95" s="21">
        <f t="shared" si="24"/>
        <v>-47</v>
      </c>
      <c r="AI95" s="64">
        <f t="shared" si="25"/>
        <v>4.1666666666666664E-2</v>
      </c>
    </row>
    <row r="96" spans="1:88" x14ac:dyDescent="0.25">
      <c r="A96" s="45" t="s">
        <v>120</v>
      </c>
      <c r="B96" s="74">
        <v>29.6</v>
      </c>
      <c r="C96" s="67">
        <v>26.9</v>
      </c>
      <c r="D96" s="67">
        <v>26.9</v>
      </c>
      <c r="E96" s="67">
        <v>17.899999999999999</v>
      </c>
      <c r="F96" s="67">
        <v>21.8</v>
      </c>
      <c r="G96" s="67">
        <v>32.700000000000003</v>
      </c>
      <c r="H96" s="67">
        <v>25</v>
      </c>
      <c r="I96" s="67">
        <v>19.8</v>
      </c>
      <c r="J96" s="67">
        <v>12</v>
      </c>
      <c r="K96" s="67">
        <v>13</v>
      </c>
      <c r="L96" s="67">
        <v>16.3</v>
      </c>
      <c r="M96" s="67">
        <v>16.5</v>
      </c>
      <c r="N96" s="67">
        <v>15.4</v>
      </c>
      <c r="O96" s="67">
        <v>16.600000000000001</v>
      </c>
      <c r="P96" s="67">
        <v>17.8</v>
      </c>
      <c r="Q96" s="67">
        <v>18.899999999999999</v>
      </c>
      <c r="R96" s="67">
        <v>19.600000000000001</v>
      </c>
      <c r="S96" s="67">
        <v>18</v>
      </c>
      <c r="T96" s="67">
        <v>19</v>
      </c>
      <c r="U96" s="67">
        <v>25</v>
      </c>
      <c r="V96" s="67">
        <v>29.3</v>
      </c>
      <c r="W96" s="67">
        <v>19.7</v>
      </c>
      <c r="X96" s="67">
        <v>18.5</v>
      </c>
      <c r="Y96" s="67">
        <v>22.5</v>
      </c>
      <c r="Z96" s="67">
        <v>40.700000000000003</v>
      </c>
      <c r="AA96" s="67">
        <v>29.1</v>
      </c>
      <c r="AB96" s="73">
        <v>18</v>
      </c>
      <c r="AC96" s="73">
        <v>14</v>
      </c>
      <c r="AD96" s="73">
        <v>14</v>
      </c>
      <c r="AE96" s="73">
        <v>24</v>
      </c>
      <c r="AF96" s="73">
        <v>17</v>
      </c>
      <c r="AG96" s="3">
        <v>60</v>
      </c>
      <c r="AH96" s="21">
        <f t="shared" si="24"/>
        <v>40.700000000000003</v>
      </c>
      <c r="AI96" s="64">
        <f t="shared" si="25"/>
        <v>0.79166666666666663</v>
      </c>
    </row>
    <row r="97" spans="1:37" x14ac:dyDescent="0.25">
      <c r="A97" s="41" t="s">
        <v>119</v>
      </c>
      <c r="B97" s="71">
        <v>-19.5</v>
      </c>
      <c r="C97" s="70">
        <v>-14.6</v>
      </c>
      <c r="D97" s="70">
        <v>-14.6</v>
      </c>
      <c r="E97" s="70">
        <v>6.3</v>
      </c>
      <c r="F97" s="70">
        <v>16.8</v>
      </c>
      <c r="G97" s="70">
        <v>16.399999999999999</v>
      </c>
      <c r="H97" s="70">
        <v>27.6</v>
      </c>
      <c r="I97" s="70">
        <v>38.6</v>
      </c>
      <c r="J97" s="70">
        <v>42</v>
      </c>
      <c r="K97" s="70">
        <v>65.099999999999994</v>
      </c>
      <c r="L97" s="70">
        <v>68.7</v>
      </c>
      <c r="M97" s="70">
        <v>71.7</v>
      </c>
      <c r="N97" s="70">
        <v>64.5</v>
      </c>
      <c r="O97" s="70">
        <v>75.2</v>
      </c>
      <c r="P97" s="70">
        <v>59.6</v>
      </c>
      <c r="Q97" s="70">
        <v>57.7</v>
      </c>
      <c r="R97" s="70">
        <v>54.9</v>
      </c>
      <c r="S97" s="70">
        <v>55</v>
      </c>
      <c r="T97" s="70">
        <v>58</v>
      </c>
      <c r="U97" s="70">
        <v>60.7</v>
      </c>
      <c r="V97" s="70">
        <v>58.7</v>
      </c>
      <c r="W97" s="70">
        <v>69.900000000000006</v>
      </c>
      <c r="X97" s="70">
        <v>82.1</v>
      </c>
      <c r="Y97" s="70">
        <v>86.2</v>
      </c>
      <c r="Z97" s="70">
        <v>89.4</v>
      </c>
      <c r="AA97" s="70">
        <v>77.099999999999994</v>
      </c>
      <c r="AB97" s="69">
        <v>93</v>
      </c>
      <c r="AC97" s="69">
        <v>75</v>
      </c>
      <c r="AD97" s="69">
        <v>87</v>
      </c>
      <c r="AE97" s="69">
        <v>42</v>
      </c>
      <c r="AF97" s="69">
        <v>17</v>
      </c>
      <c r="AG97" s="72">
        <v>120</v>
      </c>
      <c r="AH97" s="21">
        <f t="shared" si="24"/>
        <v>93</v>
      </c>
      <c r="AI97" s="64">
        <f t="shared" si="25"/>
        <v>0.83333333333333337</v>
      </c>
    </row>
    <row r="98" spans="1:37" x14ac:dyDescent="0.25">
      <c r="A98" s="41" t="s">
        <v>118</v>
      </c>
      <c r="B98" s="71">
        <v>-15</v>
      </c>
      <c r="C98" s="70">
        <v>-9.1</v>
      </c>
      <c r="D98" s="70">
        <v>-9.1</v>
      </c>
      <c r="E98" s="70">
        <v>11.5</v>
      </c>
      <c r="F98" s="70">
        <v>21.6</v>
      </c>
      <c r="G98" s="70">
        <v>19.399999999999999</v>
      </c>
      <c r="H98" s="70">
        <v>25.6</v>
      </c>
      <c r="I98" s="70">
        <v>29.9</v>
      </c>
      <c r="J98" s="70">
        <v>26</v>
      </c>
      <c r="K98" s="70">
        <v>38.5</v>
      </c>
      <c r="L98" s="70">
        <v>41.2</v>
      </c>
      <c r="M98" s="70">
        <v>43</v>
      </c>
      <c r="N98" s="70">
        <v>45.9</v>
      </c>
      <c r="O98" s="70">
        <v>61</v>
      </c>
      <c r="P98" s="70">
        <v>56.8</v>
      </c>
      <c r="Q98" s="70">
        <v>52.9</v>
      </c>
      <c r="R98" s="70">
        <v>69.2</v>
      </c>
      <c r="S98" s="70">
        <v>68</v>
      </c>
      <c r="T98" s="70">
        <v>71</v>
      </c>
      <c r="U98" s="70">
        <v>49.5</v>
      </c>
      <c r="V98" s="70">
        <v>49.4</v>
      </c>
      <c r="W98" s="70">
        <v>58.6</v>
      </c>
      <c r="X98" s="70">
        <v>69</v>
      </c>
      <c r="Y98" s="70">
        <v>66.400000000000006</v>
      </c>
      <c r="Z98" s="70">
        <v>79</v>
      </c>
      <c r="AA98" s="70">
        <v>86.1</v>
      </c>
      <c r="AB98" s="69">
        <v>61</v>
      </c>
      <c r="AC98" s="69">
        <v>83</v>
      </c>
      <c r="AD98" s="69">
        <v>72</v>
      </c>
      <c r="AE98" s="69">
        <v>30</v>
      </c>
      <c r="AF98" s="69">
        <v>15</v>
      </c>
      <c r="AG98" s="72"/>
      <c r="AH98" s="21">
        <f t="shared" si="24"/>
        <v>86.1</v>
      </c>
      <c r="AI98" s="64">
        <f t="shared" si="25"/>
        <v>0.8125</v>
      </c>
    </row>
    <row r="99" spans="1:37" x14ac:dyDescent="0.25">
      <c r="A99" s="41" t="s">
        <v>117</v>
      </c>
      <c r="B99" s="71">
        <v>47.6</v>
      </c>
      <c r="C99" s="70">
        <v>64.099999999999994</v>
      </c>
      <c r="D99" s="70">
        <v>64.099999999999994</v>
      </c>
      <c r="E99" s="70">
        <v>53</v>
      </c>
      <c r="F99" s="70">
        <v>67.400000000000006</v>
      </c>
      <c r="G99" s="70">
        <v>70</v>
      </c>
      <c r="H99" s="70">
        <v>62</v>
      </c>
      <c r="I99" s="70">
        <v>51.5</v>
      </c>
      <c r="J99" s="70">
        <v>21.8</v>
      </c>
      <c r="K99" s="70">
        <v>39.700000000000003</v>
      </c>
      <c r="L99" s="70">
        <v>26.1</v>
      </c>
      <c r="M99" s="70">
        <v>23.5</v>
      </c>
      <c r="N99" s="70">
        <v>24.2</v>
      </c>
      <c r="O99" s="70">
        <v>22.1</v>
      </c>
      <c r="P99" s="70">
        <v>21.3</v>
      </c>
      <c r="Q99" s="70">
        <v>13.7</v>
      </c>
      <c r="R99" s="70">
        <v>15.4</v>
      </c>
      <c r="S99" s="70">
        <v>1</v>
      </c>
      <c r="T99" s="70">
        <v>31</v>
      </c>
      <c r="U99" s="70">
        <v>18.5</v>
      </c>
      <c r="V99" s="70">
        <v>27.4</v>
      </c>
      <c r="W99" s="70">
        <v>31.9</v>
      </c>
      <c r="X99" s="70">
        <v>25.8</v>
      </c>
      <c r="Y99" s="70">
        <v>23</v>
      </c>
      <c r="Z99" s="70">
        <v>45</v>
      </c>
      <c r="AA99" s="70">
        <v>47.8</v>
      </c>
      <c r="AB99" s="69">
        <v>51</v>
      </c>
      <c r="AC99" s="69">
        <v>50</v>
      </c>
      <c r="AD99" s="69">
        <v>54</v>
      </c>
      <c r="AE99" s="69">
        <v>57</v>
      </c>
      <c r="AF99" s="69">
        <v>52</v>
      </c>
      <c r="AG99" s="65"/>
      <c r="AH99" s="21">
        <f t="shared" si="24"/>
        <v>70</v>
      </c>
      <c r="AI99" s="64">
        <f t="shared" si="25"/>
        <v>0.20833333333333301</v>
      </c>
    </row>
    <row r="100" spans="1:37" ht="15.75" thickBot="1" x14ac:dyDescent="0.3">
      <c r="A100" s="68" t="s">
        <v>116</v>
      </c>
      <c r="B100" s="66">
        <v>48.1</v>
      </c>
      <c r="C100" s="67">
        <v>45</v>
      </c>
      <c r="D100" s="67">
        <v>45</v>
      </c>
      <c r="E100" s="67">
        <v>8.1</v>
      </c>
      <c r="F100" s="67">
        <v>0</v>
      </c>
      <c r="G100" s="67">
        <v>0</v>
      </c>
      <c r="H100" s="67">
        <v>0</v>
      </c>
      <c r="I100" s="67">
        <v>12</v>
      </c>
      <c r="J100" s="67">
        <v>33.299999999999997</v>
      </c>
      <c r="K100" s="67">
        <v>68.2</v>
      </c>
      <c r="L100" s="67">
        <v>72.099999999999994</v>
      </c>
      <c r="M100" s="67">
        <v>70.599999999999994</v>
      </c>
      <c r="N100" s="67">
        <v>66.900000000000006</v>
      </c>
      <c r="O100" s="67">
        <v>68.7</v>
      </c>
      <c r="P100" s="67">
        <v>68.900000000000006</v>
      </c>
      <c r="Q100" s="67">
        <v>52.9</v>
      </c>
      <c r="R100" s="67">
        <v>70.8</v>
      </c>
      <c r="S100" s="67">
        <v>69</v>
      </c>
      <c r="T100" s="67">
        <v>69</v>
      </c>
      <c r="U100" s="67">
        <v>50.3</v>
      </c>
      <c r="V100" s="67">
        <v>50</v>
      </c>
      <c r="W100" s="67">
        <v>45.1</v>
      </c>
      <c r="X100" s="67">
        <v>44</v>
      </c>
      <c r="Y100" s="67">
        <v>60</v>
      </c>
      <c r="Z100" s="67">
        <v>66</v>
      </c>
      <c r="AA100" s="67">
        <v>70</v>
      </c>
      <c r="AB100" s="66">
        <v>78</v>
      </c>
      <c r="AC100" s="66">
        <v>73</v>
      </c>
      <c r="AD100" s="66">
        <v>72</v>
      </c>
      <c r="AE100" s="66">
        <v>62</v>
      </c>
      <c r="AF100" s="66">
        <v>53</v>
      </c>
      <c r="AG100" s="65"/>
      <c r="AH100" s="21">
        <f t="shared" si="24"/>
        <v>78</v>
      </c>
      <c r="AI100" s="64">
        <f t="shared" si="25"/>
        <v>0.83333333333333337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6">AF102</f>
        <v>9.9</v>
      </c>
      <c r="C102" s="54">
        <v>9.9</v>
      </c>
      <c r="D102" s="58">
        <f t="shared" ref="D102:S107" si="27">C102</f>
        <v>9.9</v>
      </c>
      <c r="E102" s="58">
        <f t="shared" si="27"/>
        <v>9.9</v>
      </c>
      <c r="F102" s="58">
        <f t="shared" si="27"/>
        <v>9.9</v>
      </c>
      <c r="G102" s="58">
        <f t="shared" si="27"/>
        <v>9.9</v>
      </c>
      <c r="H102" s="58">
        <f t="shared" si="27"/>
        <v>9.9</v>
      </c>
      <c r="I102" s="58">
        <f t="shared" si="27"/>
        <v>9.9</v>
      </c>
      <c r="J102" s="58">
        <f t="shared" si="27"/>
        <v>9.9</v>
      </c>
      <c r="K102" s="58">
        <f t="shared" si="27"/>
        <v>9.9</v>
      </c>
      <c r="L102" s="58">
        <f t="shared" si="27"/>
        <v>9.9</v>
      </c>
      <c r="M102" s="58">
        <f t="shared" si="27"/>
        <v>9.9</v>
      </c>
      <c r="N102" s="58">
        <f t="shared" si="27"/>
        <v>9.9</v>
      </c>
      <c r="O102" s="58">
        <f t="shared" si="27"/>
        <v>9.9</v>
      </c>
      <c r="P102" s="58">
        <f t="shared" si="27"/>
        <v>9.9</v>
      </c>
      <c r="Q102" s="58">
        <f t="shared" si="27"/>
        <v>9.9</v>
      </c>
      <c r="R102" s="58">
        <f t="shared" si="27"/>
        <v>9.9</v>
      </c>
      <c r="S102" s="58">
        <f t="shared" si="27"/>
        <v>9.9</v>
      </c>
      <c r="T102" s="58">
        <f t="shared" ref="T102:AF107" si="28">S102</f>
        <v>9.9</v>
      </c>
      <c r="U102" s="58">
        <f t="shared" si="28"/>
        <v>9.9</v>
      </c>
      <c r="V102" s="58">
        <f t="shared" si="28"/>
        <v>9.9</v>
      </c>
      <c r="W102" s="58">
        <f t="shared" si="28"/>
        <v>9.9</v>
      </c>
      <c r="X102" s="58">
        <f t="shared" si="28"/>
        <v>9.9</v>
      </c>
      <c r="Y102" s="58">
        <f t="shared" si="28"/>
        <v>9.9</v>
      </c>
      <c r="Z102" s="58">
        <f t="shared" si="28"/>
        <v>9.9</v>
      </c>
      <c r="AA102" s="58">
        <f t="shared" si="28"/>
        <v>9.9</v>
      </c>
      <c r="AB102" s="58">
        <f t="shared" si="28"/>
        <v>9.9</v>
      </c>
      <c r="AC102" s="58">
        <f t="shared" si="28"/>
        <v>9.9</v>
      </c>
      <c r="AD102" s="58">
        <f t="shared" si="28"/>
        <v>9.9</v>
      </c>
      <c r="AE102" s="58">
        <f t="shared" si="28"/>
        <v>9.9</v>
      </c>
      <c r="AF102" s="58">
        <f t="shared" si="28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6"/>
        <v>9.6</v>
      </c>
      <c r="C103" s="55">
        <v>9.6</v>
      </c>
      <c r="D103" s="44">
        <f t="shared" si="27"/>
        <v>9.6</v>
      </c>
      <c r="E103" s="44">
        <f t="shared" si="27"/>
        <v>9.6</v>
      </c>
      <c r="F103" s="44">
        <f t="shared" si="27"/>
        <v>9.6</v>
      </c>
      <c r="G103" s="44">
        <f t="shared" si="27"/>
        <v>9.6</v>
      </c>
      <c r="H103" s="44">
        <f t="shared" si="27"/>
        <v>9.6</v>
      </c>
      <c r="I103" s="44">
        <f t="shared" si="27"/>
        <v>9.6</v>
      </c>
      <c r="J103" s="44">
        <f t="shared" si="27"/>
        <v>9.6</v>
      </c>
      <c r="K103" s="44">
        <f t="shared" si="27"/>
        <v>9.6</v>
      </c>
      <c r="L103" s="44">
        <f t="shared" si="27"/>
        <v>9.6</v>
      </c>
      <c r="M103" s="44">
        <f t="shared" si="27"/>
        <v>9.6</v>
      </c>
      <c r="N103" s="44">
        <f t="shared" si="27"/>
        <v>9.6</v>
      </c>
      <c r="O103" s="44">
        <f t="shared" si="27"/>
        <v>9.6</v>
      </c>
      <c r="P103" s="44">
        <f t="shared" si="27"/>
        <v>9.6</v>
      </c>
      <c r="Q103" s="44">
        <f t="shared" si="27"/>
        <v>9.6</v>
      </c>
      <c r="R103" s="44">
        <f t="shared" si="27"/>
        <v>9.6</v>
      </c>
      <c r="S103" s="44">
        <f t="shared" si="27"/>
        <v>9.6</v>
      </c>
      <c r="T103" s="44">
        <f t="shared" si="28"/>
        <v>9.6</v>
      </c>
      <c r="U103" s="44">
        <f t="shared" si="28"/>
        <v>9.6</v>
      </c>
      <c r="V103" s="44">
        <f t="shared" si="28"/>
        <v>9.6</v>
      </c>
      <c r="W103" s="44">
        <f t="shared" si="28"/>
        <v>9.6</v>
      </c>
      <c r="X103" s="44">
        <f t="shared" si="28"/>
        <v>9.6</v>
      </c>
      <c r="Y103" s="44">
        <f t="shared" si="28"/>
        <v>9.6</v>
      </c>
      <c r="Z103" s="44">
        <f t="shared" si="28"/>
        <v>9.6</v>
      </c>
      <c r="AA103" s="44">
        <f t="shared" si="28"/>
        <v>9.6</v>
      </c>
      <c r="AB103" s="44">
        <f t="shared" si="28"/>
        <v>9.6</v>
      </c>
      <c r="AC103" s="44">
        <f t="shared" si="28"/>
        <v>9.6</v>
      </c>
      <c r="AD103" s="44">
        <f t="shared" si="28"/>
        <v>9.6</v>
      </c>
      <c r="AE103" s="44">
        <f t="shared" si="28"/>
        <v>9.6</v>
      </c>
      <c r="AF103" s="44">
        <f t="shared" si="28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6"/>
        <v>9.98</v>
      </c>
      <c r="C104" s="55">
        <v>9.98</v>
      </c>
      <c r="D104" s="44">
        <f t="shared" si="27"/>
        <v>9.98</v>
      </c>
      <c r="E104" s="44">
        <f t="shared" si="27"/>
        <v>9.98</v>
      </c>
      <c r="F104" s="44">
        <f t="shared" si="27"/>
        <v>9.98</v>
      </c>
      <c r="G104" s="44">
        <f t="shared" si="27"/>
        <v>9.98</v>
      </c>
      <c r="H104" s="44">
        <f t="shared" si="27"/>
        <v>9.98</v>
      </c>
      <c r="I104" s="44">
        <f t="shared" si="27"/>
        <v>9.98</v>
      </c>
      <c r="J104" s="44">
        <f t="shared" si="27"/>
        <v>9.98</v>
      </c>
      <c r="K104" s="44">
        <f t="shared" si="27"/>
        <v>9.98</v>
      </c>
      <c r="L104" s="44">
        <f t="shared" si="27"/>
        <v>9.98</v>
      </c>
      <c r="M104" s="44">
        <f t="shared" si="27"/>
        <v>9.98</v>
      </c>
      <c r="N104" s="44">
        <f t="shared" si="27"/>
        <v>9.98</v>
      </c>
      <c r="O104" s="44">
        <f t="shared" si="27"/>
        <v>9.98</v>
      </c>
      <c r="P104" s="44">
        <f t="shared" si="27"/>
        <v>9.98</v>
      </c>
      <c r="Q104" s="44">
        <f t="shared" si="27"/>
        <v>9.98</v>
      </c>
      <c r="R104" s="44">
        <f t="shared" si="27"/>
        <v>9.98</v>
      </c>
      <c r="S104" s="44">
        <f t="shared" si="27"/>
        <v>9.98</v>
      </c>
      <c r="T104" s="44">
        <f t="shared" si="28"/>
        <v>9.98</v>
      </c>
      <c r="U104" s="44">
        <f t="shared" si="28"/>
        <v>9.98</v>
      </c>
      <c r="V104" s="44">
        <f t="shared" si="28"/>
        <v>9.98</v>
      </c>
      <c r="W104" s="44">
        <f t="shared" si="28"/>
        <v>9.98</v>
      </c>
      <c r="X104" s="44">
        <f t="shared" si="28"/>
        <v>9.98</v>
      </c>
      <c r="Y104" s="44">
        <f t="shared" si="28"/>
        <v>9.98</v>
      </c>
      <c r="Z104" s="44">
        <f t="shared" si="28"/>
        <v>9.98</v>
      </c>
      <c r="AA104" s="44">
        <f t="shared" si="28"/>
        <v>9.98</v>
      </c>
      <c r="AB104" s="44">
        <f t="shared" si="28"/>
        <v>9.98</v>
      </c>
      <c r="AC104" s="44">
        <f t="shared" si="28"/>
        <v>9.98</v>
      </c>
      <c r="AD104" s="44">
        <f t="shared" si="28"/>
        <v>9.98</v>
      </c>
      <c r="AE104" s="44">
        <f t="shared" si="28"/>
        <v>9.98</v>
      </c>
      <c r="AF104" s="44">
        <f t="shared" si="28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6"/>
        <v>9.1</v>
      </c>
      <c r="C105" s="55">
        <v>9.1</v>
      </c>
      <c r="D105" s="44">
        <f t="shared" si="27"/>
        <v>9.1</v>
      </c>
      <c r="E105" s="44">
        <f t="shared" si="27"/>
        <v>9.1</v>
      </c>
      <c r="F105" s="44">
        <f t="shared" si="27"/>
        <v>9.1</v>
      </c>
      <c r="G105" s="44">
        <f t="shared" si="27"/>
        <v>9.1</v>
      </c>
      <c r="H105" s="44">
        <f t="shared" si="27"/>
        <v>9.1</v>
      </c>
      <c r="I105" s="44">
        <f t="shared" si="27"/>
        <v>9.1</v>
      </c>
      <c r="J105" s="44">
        <f t="shared" si="27"/>
        <v>9.1</v>
      </c>
      <c r="K105" s="44">
        <f t="shared" si="27"/>
        <v>9.1</v>
      </c>
      <c r="L105" s="44">
        <f t="shared" si="27"/>
        <v>9.1</v>
      </c>
      <c r="M105" s="44">
        <f t="shared" si="27"/>
        <v>9.1</v>
      </c>
      <c r="N105" s="44">
        <f t="shared" si="27"/>
        <v>9.1</v>
      </c>
      <c r="O105" s="44">
        <f t="shared" si="27"/>
        <v>9.1</v>
      </c>
      <c r="P105" s="44">
        <f t="shared" si="27"/>
        <v>9.1</v>
      </c>
      <c r="Q105" s="44">
        <f t="shared" si="27"/>
        <v>9.1</v>
      </c>
      <c r="R105" s="44">
        <f t="shared" si="27"/>
        <v>9.1</v>
      </c>
      <c r="S105" s="44">
        <f t="shared" si="27"/>
        <v>9.1</v>
      </c>
      <c r="T105" s="44">
        <f t="shared" si="28"/>
        <v>9.1</v>
      </c>
      <c r="U105" s="44">
        <f t="shared" si="28"/>
        <v>9.1</v>
      </c>
      <c r="V105" s="44">
        <f t="shared" si="28"/>
        <v>9.1</v>
      </c>
      <c r="W105" s="44">
        <f t="shared" si="28"/>
        <v>9.1</v>
      </c>
      <c r="X105" s="44">
        <f t="shared" si="28"/>
        <v>9.1</v>
      </c>
      <c r="Y105" s="44">
        <f t="shared" si="28"/>
        <v>9.1</v>
      </c>
      <c r="Z105" s="44">
        <f t="shared" si="28"/>
        <v>9.1</v>
      </c>
      <c r="AA105" s="44">
        <f t="shared" si="28"/>
        <v>9.1</v>
      </c>
      <c r="AB105" s="44">
        <f t="shared" si="28"/>
        <v>9.1</v>
      </c>
      <c r="AC105" s="44">
        <f t="shared" si="28"/>
        <v>9.1</v>
      </c>
      <c r="AD105" s="44">
        <f t="shared" si="28"/>
        <v>9.1</v>
      </c>
      <c r="AE105" s="44">
        <f t="shared" si="28"/>
        <v>9.1</v>
      </c>
      <c r="AF105" s="44">
        <f t="shared" si="28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6"/>
        <v>9.18</v>
      </c>
      <c r="C106" s="55">
        <v>9.18</v>
      </c>
      <c r="D106" s="44">
        <f t="shared" si="27"/>
        <v>9.18</v>
      </c>
      <c r="E106" s="44">
        <f t="shared" si="27"/>
        <v>9.18</v>
      </c>
      <c r="F106" s="44">
        <f t="shared" si="27"/>
        <v>9.18</v>
      </c>
      <c r="G106" s="44">
        <f t="shared" si="27"/>
        <v>9.18</v>
      </c>
      <c r="H106" s="44">
        <f t="shared" si="27"/>
        <v>9.18</v>
      </c>
      <c r="I106" s="44">
        <f t="shared" si="27"/>
        <v>9.18</v>
      </c>
      <c r="J106" s="44">
        <f t="shared" si="27"/>
        <v>9.18</v>
      </c>
      <c r="K106" s="44">
        <f t="shared" si="27"/>
        <v>9.18</v>
      </c>
      <c r="L106" s="44">
        <f t="shared" si="27"/>
        <v>9.18</v>
      </c>
      <c r="M106" s="44">
        <f t="shared" si="27"/>
        <v>9.18</v>
      </c>
      <c r="N106" s="44">
        <f t="shared" si="27"/>
        <v>9.18</v>
      </c>
      <c r="O106" s="44">
        <f t="shared" si="27"/>
        <v>9.18</v>
      </c>
      <c r="P106" s="44">
        <f t="shared" si="27"/>
        <v>9.18</v>
      </c>
      <c r="Q106" s="44">
        <f t="shared" si="27"/>
        <v>9.18</v>
      </c>
      <c r="R106" s="44">
        <f t="shared" si="27"/>
        <v>9.18</v>
      </c>
      <c r="S106" s="44">
        <f t="shared" si="27"/>
        <v>9.18</v>
      </c>
      <c r="T106" s="44">
        <f t="shared" si="28"/>
        <v>9.18</v>
      </c>
      <c r="U106" s="44">
        <f t="shared" si="28"/>
        <v>9.18</v>
      </c>
      <c r="V106" s="44">
        <f t="shared" si="28"/>
        <v>9.18</v>
      </c>
      <c r="W106" s="44">
        <f t="shared" si="28"/>
        <v>9.18</v>
      </c>
      <c r="X106" s="44">
        <f t="shared" si="28"/>
        <v>9.18</v>
      </c>
      <c r="Y106" s="44">
        <f t="shared" si="28"/>
        <v>9.18</v>
      </c>
      <c r="Z106" s="44">
        <f t="shared" si="28"/>
        <v>9.18</v>
      </c>
      <c r="AA106" s="44">
        <f t="shared" si="28"/>
        <v>9.18</v>
      </c>
      <c r="AB106" s="44">
        <f t="shared" si="28"/>
        <v>9.18</v>
      </c>
      <c r="AC106" s="44">
        <f t="shared" si="28"/>
        <v>9.18</v>
      </c>
      <c r="AD106" s="44">
        <f t="shared" si="28"/>
        <v>9.18</v>
      </c>
      <c r="AE106" s="44">
        <f t="shared" si="28"/>
        <v>9.18</v>
      </c>
      <c r="AF106" s="44">
        <f t="shared" si="28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6"/>
        <v>7</v>
      </c>
      <c r="C107" s="55">
        <v>7</v>
      </c>
      <c r="D107" s="44">
        <f t="shared" si="27"/>
        <v>7</v>
      </c>
      <c r="E107" s="44">
        <f t="shared" si="27"/>
        <v>7</v>
      </c>
      <c r="F107" s="44">
        <f t="shared" si="27"/>
        <v>7</v>
      </c>
      <c r="G107" s="44">
        <f t="shared" si="27"/>
        <v>7</v>
      </c>
      <c r="H107" s="44">
        <f t="shared" si="27"/>
        <v>7</v>
      </c>
      <c r="I107" s="44">
        <f t="shared" si="27"/>
        <v>7</v>
      </c>
      <c r="J107" s="44">
        <f t="shared" si="27"/>
        <v>7</v>
      </c>
      <c r="K107" s="44">
        <f t="shared" si="27"/>
        <v>7</v>
      </c>
      <c r="L107" s="44">
        <f t="shared" si="27"/>
        <v>7</v>
      </c>
      <c r="M107" s="44">
        <f t="shared" si="27"/>
        <v>7</v>
      </c>
      <c r="N107" s="44">
        <f t="shared" si="27"/>
        <v>7</v>
      </c>
      <c r="O107" s="44">
        <f t="shared" si="27"/>
        <v>7</v>
      </c>
      <c r="P107" s="44">
        <f t="shared" si="27"/>
        <v>7</v>
      </c>
      <c r="Q107" s="44">
        <f t="shared" si="27"/>
        <v>7</v>
      </c>
      <c r="R107" s="44">
        <f t="shared" si="27"/>
        <v>7</v>
      </c>
      <c r="S107" s="44">
        <f t="shared" si="27"/>
        <v>7</v>
      </c>
      <c r="T107" s="44">
        <f t="shared" si="28"/>
        <v>7</v>
      </c>
      <c r="U107" s="44">
        <f t="shared" si="28"/>
        <v>7</v>
      </c>
      <c r="V107" s="44">
        <f t="shared" si="28"/>
        <v>7</v>
      </c>
      <c r="W107" s="44">
        <f t="shared" si="28"/>
        <v>7</v>
      </c>
      <c r="X107" s="44">
        <f t="shared" si="28"/>
        <v>7</v>
      </c>
      <c r="Y107" s="44">
        <f t="shared" si="28"/>
        <v>7</v>
      </c>
      <c r="Z107" s="44">
        <f t="shared" si="28"/>
        <v>7</v>
      </c>
      <c r="AA107" s="44">
        <f t="shared" si="28"/>
        <v>7</v>
      </c>
      <c r="AB107" s="44">
        <f t="shared" si="28"/>
        <v>7</v>
      </c>
      <c r="AC107" s="44">
        <f t="shared" si="28"/>
        <v>7</v>
      </c>
      <c r="AD107" s="44">
        <f t="shared" si="28"/>
        <v>7</v>
      </c>
      <c r="AE107" s="44">
        <f t="shared" si="28"/>
        <v>7</v>
      </c>
      <c r="AF107" s="44">
        <f t="shared" si="28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9">C109</f>
        <v>2.25</v>
      </c>
      <c r="E109" s="44">
        <f t="shared" si="29"/>
        <v>2.25</v>
      </c>
      <c r="F109" s="44">
        <f t="shared" si="29"/>
        <v>2.25</v>
      </c>
      <c r="G109" s="44">
        <f t="shared" si="29"/>
        <v>2.25</v>
      </c>
      <c r="H109" s="44">
        <f t="shared" si="29"/>
        <v>2.25</v>
      </c>
      <c r="I109" s="44">
        <f t="shared" si="29"/>
        <v>2.25</v>
      </c>
      <c r="J109" s="44">
        <f t="shared" si="29"/>
        <v>2.25</v>
      </c>
      <c r="K109" s="44">
        <f t="shared" si="29"/>
        <v>2.25</v>
      </c>
      <c r="L109" s="44">
        <f t="shared" si="29"/>
        <v>2.25</v>
      </c>
      <c r="M109" s="44">
        <f t="shared" si="29"/>
        <v>2.25</v>
      </c>
      <c r="N109" s="44">
        <f t="shared" si="29"/>
        <v>2.25</v>
      </c>
      <c r="O109" s="44">
        <f t="shared" si="29"/>
        <v>2.25</v>
      </c>
      <c r="P109" s="44">
        <f t="shared" si="29"/>
        <v>2.25</v>
      </c>
      <c r="Q109" s="44">
        <f t="shared" si="29"/>
        <v>2.25</v>
      </c>
      <c r="R109" s="44">
        <f t="shared" si="29"/>
        <v>2.25</v>
      </c>
      <c r="S109" s="44">
        <f t="shared" si="29"/>
        <v>2.25</v>
      </c>
      <c r="T109" s="44">
        <f t="shared" ref="T109:AF110" si="30">S109</f>
        <v>2.25</v>
      </c>
      <c r="U109" s="44">
        <f t="shared" si="30"/>
        <v>2.25</v>
      </c>
      <c r="V109" s="44">
        <f t="shared" si="30"/>
        <v>2.25</v>
      </c>
      <c r="W109" s="44">
        <f t="shared" si="30"/>
        <v>2.25</v>
      </c>
      <c r="X109" s="44">
        <f t="shared" si="30"/>
        <v>2.25</v>
      </c>
      <c r="Y109" s="44">
        <f t="shared" si="30"/>
        <v>2.25</v>
      </c>
      <c r="Z109" s="44">
        <f t="shared" si="30"/>
        <v>2.25</v>
      </c>
      <c r="AA109" s="44">
        <f t="shared" si="30"/>
        <v>2.25</v>
      </c>
      <c r="AB109" s="44">
        <f t="shared" si="30"/>
        <v>2.25</v>
      </c>
      <c r="AC109" s="44">
        <f t="shared" si="30"/>
        <v>2.25</v>
      </c>
      <c r="AD109" s="44">
        <f t="shared" si="30"/>
        <v>2.25</v>
      </c>
      <c r="AE109" s="44">
        <f t="shared" si="30"/>
        <v>2.25</v>
      </c>
      <c r="AF109" s="44">
        <f t="shared" si="30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9"/>
        <v>1.64</v>
      </c>
      <c r="E110" s="44">
        <f t="shared" si="29"/>
        <v>1.64</v>
      </c>
      <c r="F110" s="44">
        <f t="shared" si="29"/>
        <v>1.64</v>
      </c>
      <c r="G110" s="44">
        <f t="shared" si="29"/>
        <v>1.64</v>
      </c>
      <c r="H110" s="44">
        <f t="shared" si="29"/>
        <v>1.64</v>
      </c>
      <c r="I110" s="44">
        <f t="shared" si="29"/>
        <v>1.64</v>
      </c>
      <c r="J110" s="44">
        <f t="shared" si="29"/>
        <v>1.64</v>
      </c>
      <c r="K110" s="44">
        <f t="shared" si="29"/>
        <v>1.64</v>
      </c>
      <c r="L110" s="44">
        <f t="shared" si="29"/>
        <v>1.64</v>
      </c>
      <c r="M110" s="44">
        <f t="shared" si="29"/>
        <v>1.64</v>
      </c>
      <c r="N110" s="44">
        <f t="shared" si="29"/>
        <v>1.64</v>
      </c>
      <c r="O110" s="44">
        <f t="shared" si="29"/>
        <v>1.64</v>
      </c>
      <c r="P110" s="44">
        <f t="shared" si="29"/>
        <v>1.64</v>
      </c>
      <c r="Q110" s="44">
        <f t="shared" si="29"/>
        <v>1.64</v>
      </c>
      <c r="R110" s="44">
        <f t="shared" si="29"/>
        <v>1.64</v>
      </c>
      <c r="S110" s="44">
        <f t="shared" si="29"/>
        <v>1.64</v>
      </c>
      <c r="T110" s="44">
        <f t="shared" si="30"/>
        <v>1.64</v>
      </c>
      <c r="U110" s="44">
        <f t="shared" si="30"/>
        <v>1.64</v>
      </c>
      <c r="V110" s="44">
        <f t="shared" si="30"/>
        <v>1.64</v>
      </c>
      <c r="W110" s="44">
        <f t="shared" si="30"/>
        <v>1.64</v>
      </c>
      <c r="X110" s="44">
        <f t="shared" si="30"/>
        <v>1.64</v>
      </c>
      <c r="Y110" s="44">
        <f t="shared" si="30"/>
        <v>1.64</v>
      </c>
      <c r="Z110" s="44">
        <f t="shared" si="30"/>
        <v>1.64</v>
      </c>
      <c r="AA110" s="44">
        <f t="shared" si="30"/>
        <v>1.64</v>
      </c>
      <c r="AB110" s="44">
        <f t="shared" si="30"/>
        <v>1.64</v>
      </c>
      <c r="AC110" s="44">
        <f t="shared" si="30"/>
        <v>1.64</v>
      </c>
      <c r="AD110" s="44">
        <f t="shared" si="30"/>
        <v>1.64</v>
      </c>
      <c r="AE110" s="44">
        <f t="shared" si="30"/>
        <v>1.64</v>
      </c>
      <c r="AF110" s="44">
        <f t="shared" si="30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31">AF112</f>
        <v>1.62</v>
      </c>
      <c r="C112" s="55">
        <v>1.62</v>
      </c>
      <c r="D112" s="44">
        <f t="shared" ref="D112:S119" si="32">C112</f>
        <v>1.62</v>
      </c>
      <c r="E112" s="44">
        <f t="shared" si="32"/>
        <v>1.62</v>
      </c>
      <c r="F112" s="44">
        <f t="shared" si="32"/>
        <v>1.62</v>
      </c>
      <c r="G112" s="44">
        <f t="shared" si="32"/>
        <v>1.62</v>
      </c>
      <c r="H112" s="44">
        <f t="shared" si="32"/>
        <v>1.62</v>
      </c>
      <c r="I112" s="44">
        <f t="shared" si="32"/>
        <v>1.62</v>
      </c>
      <c r="J112" s="44">
        <f t="shared" si="32"/>
        <v>1.62</v>
      </c>
      <c r="K112" s="44">
        <f t="shared" si="32"/>
        <v>1.62</v>
      </c>
      <c r="L112" s="44">
        <f t="shared" si="32"/>
        <v>1.62</v>
      </c>
      <c r="M112" s="44">
        <f t="shared" si="32"/>
        <v>1.62</v>
      </c>
      <c r="N112" s="44">
        <f t="shared" si="32"/>
        <v>1.62</v>
      </c>
      <c r="O112" s="44">
        <f t="shared" si="32"/>
        <v>1.62</v>
      </c>
      <c r="P112" s="44">
        <f t="shared" si="32"/>
        <v>1.62</v>
      </c>
      <c r="Q112" s="44">
        <f t="shared" si="32"/>
        <v>1.62</v>
      </c>
      <c r="R112" s="44">
        <f t="shared" si="32"/>
        <v>1.62</v>
      </c>
      <c r="S112" s="44">
        <f t="shared" si="32"/>
        <v>1.62</v>
      </c>
      <c r="T112" s="44">
        <f t="shared" ref="T112:AF127" si="33">S112</f>
        <v>1.62</v>
      </c>
      <c r="U112" s="44">
        <f t="shared" si="33"/>
        <v>1.62</v>
      </c>
      <c r="V112" s="44">
        <f t="shared" si="33"/>
        <v>1.62</v>
      </c>
      <c r="W112" s="44">
        <f t="shared" si="33"/>
        <v>1.62</v>
      </c>
      <c r="X112" s="44">
        <f t="shared" si="33"/>
        <v>1.62</v>
      </c>
      <c r="Y112" s="44">
        <f t="shared" si="33"/>
        <v>1.62</v>
      </c>
      <c r="Z112" s="44">
        <f t="shared" si="33"/>
        <v>1.62</v>
      </c>
      <c r="AA112" s="44">
        <f t="shared" si="33"/>
        <v>1.62</v>
      </c>
      <c r="AB112" s="44">
        <f t="shared" si="33"/>
        <v>1.62</v>
      </c>
      <c r="AC112" s="44">
        <f t="shared" si="33"/>
        <v>1.62</v>
      </c>
      <c r="AD112" s="44">
        <f t="shared" si="33"/>
        <v>1.62</v>
      </c>
      <c r="AE112" s="44">
        <f t="shared" si="33"/>
        <v>1.62</v>
      </c>
      <c r="AF112" s="44">
        <f t="shared" si="33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31"/>
        <v>8.36</v>
      </c>
      <c r="C113" s="55">
        <v>8.36</v>
      </c>
      <c r="D113" s="44">
        <f t="shared" si="32"/>
        <v>8.36</v>
      </c>
      <c r="E113" s="44">
        <f t="shared" si="32"/>
        <v>8.36</v>
      </c>
      <c r="F113" s="44">
        <f t="shared" si="32"/>
        <v>8.36</v>
      </c>
      <c r="G113" s="44">
        <f t="shared" si="32"/>
        <v>8.36</v>
      </c>
      <c r="H113" s="44">
        <f t="shared" si="32"/>
        <v>8.36</v>
      </c>
      <c r="I113" s="44">
        <f t="shared" si="32"/>
        <v>8.36</v>
      </c>
      <c r="J113" s="44">
        <f t="shared" si="32"/>
        <v>8.36</v>
      </c>
      <c r="K113" s="44">
        <f t="shared" si="32"/>
        <v>8.36</v>
      </c>
      <c r="L113" s="44">
        <f t="shared" si="32"/>
        <v>8.36</v>
      </c>
      <c r="M113" s="44">
        <f t="shared" si="32"/>
        <v>8.36</v>
      </c>
      <c r="N113" s="44">
        <f t="shared" si="32"/>
        <v>8.36</v>
      </c>
      <c r="O113" s="44">
        <f t="shared" si="32"/>
        <v>8.36</v>
      </c>
      <c r="P113" s="44">
        <f t="shared" si="32"/>
        <v>8.36</v>
      </c>
      <c r="Q113" s="44">
        <f t="shared" si="32"/>
        <v>8.36</v>
      </c>
      <c r="R113" s="44">
        <f t="shared" si="32"/>
        <v>8.36</v>
      </c>
      <c r="S113" s="44">
        <f t="shared" si="32"/>
        <v>8.36</v>
      </c>
      <c r="T113" s="44">
        <f t="shared" si="33"/>
        <v>8.36</v>
      </c>
      <c r="U113" s="44">
        <f t="shared" si="33"/>
        <v>8.36</v>
      </c>
      <c r="V113" s="44">
        <f t="shared" si="33"/>
        <v>8.36</v>
      </c>
      <c r="W113" s="44">
        <f t="shared" si="33"/>
        <v>8.36</v>
      </c>
      <c r="X113" s="44">
        <f t="shared" si="33"/>
        <v>8.36</v>
      </c>
      <c r="Y113" s="44">
        <f t="shared" si="33"/>
        <v>8.36</v>
      </c>
      <c r="Z113" s="44">
        <f t="shared" si="33"/>
        <v>8.36</v>
      </c>
      <c r="AA113" s="44">
        <f t="shared" si="33"/>
        <v>8.36</v>
      </c>
      <c r="AB113" s="44">
        <f t="shared" si="33"/>
        <v>8.36</v>
      </c>
      <c r="AC113" s="44">
        <f t="shared" si="33"/>
        <v>8.36</v>
      </c>
      <c r="AD113" s="44">
        <f t="shared" si="33"/>
        <v>8.36</v>
      </c>
      <c r="AE113" s="44">
        <f t="shared" si="33"/>
        <v>8.36</v>
      </c>
      <c r="AF113" s="44">
        <f t="shared" si="33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31"/>
        <v>5.4</v>
      </c>
      <c r="C114" s="55">
        <v>8</v>
      </c>
      <c r="D114" s="44">
        <f t="shared" si="32"/>
        <v>8</v>
      </c>
      <c r="E114" s="44">
        <f t="shared" si="32"/>
        <v>8</v>
      </c>
      <c r="F114" s="44">
        <f t="shared" si="32"/>
        <v>8</v>
      </c>
      <c r="G114" s="44">
        <f t="shared" si="32"/>
        <v>8</v>
      </c>
      <c r="H114" s="44">
        <f t="shared" si="32"/>
        <v>8</v>
      </c>
      <c r="I114" s="44">
        <f t="shared" si="32"/>
        <v>8</v>
      </c>
      <c r="J114" s="44">
        <v>5.4</v>
      </c>
      <c r="K114" s="44">
        <f t="shared" si="32"/>
        <v>5.4</v>
      </c>
      <c r="L114" s="44">
        <f t="shared" si="32"/>
        <v>5.4</v>
      </c>
      <c r="M114" s="44">
        <f t="shared" si="32"/>
        <v>5.4</v>
      </c>
      <c r="N114" s="44">
        <f t="shared" si="32"/>
        <v>5.4</v>
      </c>
      <c r="O114" s="44">
        <f t="shared" si="32"/>
        <v>5.4</v>
      </c>
      <c r="P114" s="44">
        <f t="shared" si="32"/>
        <v>5.4</v>
      </c>
      <c r="Q114" s="44">
        <f t="shared" si="32"/>
        <v>5.4</v>
      </c>
      <c r="R114" s="44">
        <f t="shared" si="32"/>
        <v>5.4</v>
      </c>
      <c r="S114" s="44">
        <f t="shared" si="32"/>
        <v>5.4</v>
      </c>
      <c r="T114" s="44">
        <f t="shared" si="33"/>
        <v>5.4</v>
      </c>
      <c r="U114" s="44">
        <f t="shared" si="33"/>
        <v>5.4</v>
      </c>
      <c r="V114" s="44">
        <f t="shared" si="33"/>
        <v>5.4</v>
      </c>
      <c r="W114" s="44">
        <f t="shared" si="33"/>
        <v>5.4</v>
      </c>
      <c r="X114" s="44">
        <f t="shared" si="33"/>
        <v>5.4</v>
      </c>
      <c r="Y114" s="44">
        <f t="shared" si="33"/>
        <v>5.4</v>
      </c>
      <c r="Z114" s="44">
        <f t="shared" si="33"/>
        <v>5.4</v>
      </c>
      <c r="AA114" s="44">
        <f t="shared" si="33"/>
        <v>5.4</v>
      </c>
      <c r="AB114" s="44">
        <f t="shared" si="33"/>
        <v>5.4</v>
      </c>
      <c r="AC114" s="44">
        <f t="shared" si="33"/>
        <v>5.4</v>
      </c>
      <c r="AD114" s="44">
        <f t="shared" si="33"/>
        <v>5.4</v>
      </c>
      <c r="AE114" s="44">
        <f t="shared" si="33"/>
        <v>5.4</v>
      </c>
      <c r="AF114" s="44">
        <f t="shared" si="33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31"/>
        <v>6.57</v>
      </c>
      <c r="C115" s="55">
        <v>6.57</v>
      </c>
      <c r="D115" s="44">
        <f t="shared" si="32"/>
        <v>6.57</v>
      </c>
      <c r="E115" s="44">
        <f t="shared" si="32"/>
        <v>6.57</v>
      </c>
      <c r="F115" s="44">
        <f t="shared" si="32"/>
        <v>6.57</v>
      </c>
      <c r="G115" s="44">
        <f t="shared" si="32"/>
        <v>6.57</v>
      </c>
      <c r="H115" s="44">
        <f t="shared" si="32"/>
        <v>6.57</v>
      </c>
      <c r="I115" s="44">
        <f t="shared" si="32"/>
        <v>6.57</v>
      </c>
      <c r="J115" s="44">
        <f t="shared" si="32"/>
        <v>6.57</v>
      </c>
      <c r="K115" s="44">
        <f t="shared" si="32"/>
        <v>6.57</v>
      </c>
      <c r="L115" s="44">
        <f t="shared" si="32"/>
        <v>6.57</v>
      </c>
      <c r="M115" s="44">
        <f t="shared" si="32"/>
        <v>6.57</v>
      </c>
      <c r="N115" s="44">
        <f t="shared" si="32"/>
        <v>6.57</v>
      </c>
      <c r="O115" s="44">
        <f t="shared" si="32"/>
        <v>6.57</v>
      </c>
      <c r="P115" s="44">
        <f t="shared" si="32"/>
        <v>6.57</v>
      </c>
      <c r="Q115" s="44">
        <f t="shared" si="32"/>
        <v>6.57</v>
      </c>
      <c r="R115" s="44">
        <f t="shared" si="32"/>
        <v>6.57</v>
      </c>
      <c r="S115" s="44">
        <f t="shared" si="32"/>
        <v>6.57</v>
      </c>
      <c r="T115" s="44">
        <f t="shared" si="33"/>
        <v>6.57</v>
      </c>
      <c r="U115" s="44">
        <f t="shared" si="33"/>
        <v>6.57</v>
      </c>
      <c r="V115" s="44">
        <f t="shared" si="33"/>
        <v>6.57</v>
      </c>
      <c r="W115" s="44">
        <f t="shared" si="33"/>
        <v>6.57</v>
      </c>
      <c r="X115" s="44">
        <f t="shared" si="33"/>
        <v>6.57</v>
      </c>
      <c r="Y115" s="44">
        <f t="shared" si="33"/>
        <v>6.57</v>
      </c>
      <c r="Z115" s="44">
        <f t="shared" si="33"/>
        <v>6.57</v>
      </c>
      <c r="AA115" s="44">
        <f t="shared" si="33"/>
        <v>6.57</v>
      </c>
      <c r="AB115" s="44">
        <f t="shared" si="33"/>
        <v>6.57</v>
      </c>
      <c r="AC115" s="44">
        <f t="shared" si="33"/>
        <v>6.57</v>
      </c>
      <c r="AD115" s="44">
        <f t="shared" si="33"/>
        <v>6.57</v>
      </c>
      <c r="AE115" s="44">
        <f t="shared" si="33"/>
        <v>6.57</v>
      </c>
      <c r="AF115" s="44">
        <f t="shared" si="33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31"/>
        <v>3.43</v>
      </c>
      <c r="C116" s="55">
        <v>3.43</v>
      </c>
      <c r="D116" s="44">
        <f t="shared" si="32"/>
        <v>3.43</v>
      </c>
      <c r="E116" s="44">
        <f t="shared" si="32"/>
        <v>3.43</v>
      </c>
      <c r="F116" s="44">
        <f t="shared" si="32"/>
        <v>3.43</v>
      </c>
      <c r="G116" s="44">
        <f t="shared" si="32"/>
        <v>3.43</v>
      </c>
      <c r="H116" s="44">
        <f t="shared" si="32"/>
        <v>3.43</v>
      </c>
      <c r="I116" s="44">
        <f t="shared" si="32"/>
        <v>3.43</v>
      </c>
      <c r="J116" s="44">
        <f t="shared" si="32"/>
        <v>3.43</v>
      </c>
      <c r="K116" s="44">
        <f t="shared" si="32"/>
        <v>3.43</v>
      </c>
      <c r="L116" s="44">
        <f t="shared" si="32"/>
        <v>3.43</v>
      </c>
      <c r="M116" s="44">
        <f t="shared" si="32"/>
        <v>3.43</v>
      </c>
      <c r="N116" s="44">
        <f t="shared" si="32"/>
        <v>3.43</v>
      </c>
      <c r="O116" s="44">
        <f t="shared" si="32"/>
        <v>3.43</v>
      </c>
      <c r="P116" s="44">
        <f t="shared" si="32"/>
        <v>3.43</v>
      </c>
      <c r="Q116" s="44">
        <f t="shared" si="32"/>
        <v>3.43</v>
      </c>
      <c r="R116" s="44">
        <f t="shared" si="32"/>
        <v>3.43</v>
      </c>
      <c r="S116" s="44">
        <f t="shared" si="32"/>
        <v>3.43</v>
      </c>
      <c r="T116" s="44">
        <f t="shared" si="33"/>
        <v>3.43</v>
      </c>
      <c r="U116" s="44">
        <f t="shared" si="33"/>
        <v>3.43</v>
      </c>
      <c r="V116" s="44">
        <f t="shared" si="33"/>
        <v>3.43</v>
      </c>
      <c r="W116" s="44">
        <f t="shared" si="33"/>
        <v>3.43</v>
      </c>
      <c r="X116" s="44">
        <f t="shared" si="33"/>
        <v>3.43</v>
      </c>
      <c r="Y116" s="44">
        <f t="shared" si="33"/>
        <v>3.43</v>
      </c>
      <c r="Z116" s="44">
        <f t="shared" si="33"/>
        <v>3.43</v>
      </c>
      <c r="AA116" s="44">
        <f t="shared" si="33"/>
        <v>3.43</v>
      </c>
      <c r="AB116" s="44">
        <f t="shared" si="33"/>
        <v>3.43</v>
      </c>
      <c r="AC116" s="44">
        <f t="shared" si="33"/>
        <v>3.43</v>
      </c>
      <c r="AD116" s="44">
        <f t="shared" si="33"/>
        <v>3.43</v>
      </c>
      <c r="AE116" s="44">
        <f t="shared" si="33"/>
        <v>3.43</v>
      </c>
      <c r="AF116" s="44">
        <f t="shared" si="33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31"/>
        <v>2.96</v>
      </c>
      <c r="C117" s="55">
        <v>2.96</v>
      </c>
      <c r="D117" s="44">
        <f t="shared" si="32"/>
        <v>2.96</v>
      </c>
      <c r="E117" s="44">
        <f t="shared" si="32"/>
        <v>2.96</v>
      </c>
      <c r="F117" s="44">
        <f t="shared" si="32"/>
        <v>2.96</v>
      </c>
      <c r="G117" s="44">
        <f t="shared" si="32"/>
        <v>2.96</v>
      </c>
      <c r="H117" s="44">
        <f t="shared" si="32"/>
        <v>2.96</v>
      </c>
      <c r="I117" s="44">
        <f t="shared" si="32"/>
        <v>2.96</v>
      </c>
      <c r="J117" s="44">
        <f t="shared" si="32"/>
        <v>2.96</v>
      </c>
      <c r="K117" s="44">
        <f t="shared" si="32"/>
        <v>2.96</v>
      </c>
      <c r="L117" s="44">
        <f t="shared" si="32"/>
        <v>2.96</v>
      </c>
      <c r="M117" s="44">
        <f t="shared" si="32"/>
        <v>2.96</v>
      </c>
      <c r="N117" s="44">
        <f t="shared" si="32"/>
        <v>2.96</v>
      </c>
      <c r="O117" s="44">
        <f t="shared" si="32"/>
        <v>2.96</v>
      </c>
      <c r="P117" s="44">
        <f t="shared" si="32"/>
        <v>2.96</v>
      </c>
      <c r="Q117" s="44">
        <f t="shared" si="32"/>
        <v>2.96</v>
      </c>
      <c r="R117" s="44">
        <f t="shared" si="32"/>
        <v>2.96</v>
      </c>
      <c r="S117" s="44">
        <f t="shared" si="32"/>
        <v>2.96</v>
      </c>
      <c r="T117" s="44">
        <f t="shared" si="33"/>
        <v>2.96</v>
      </c>
      <c r="U117" s="44">
        <f t="shared" si="33"/>
        <v>2.96</v>
      </c>
      <c r="V117" s="44">
        <f t="shared" si="33"/>
        <v>2.96</v>
      </c>
      <c r="W117" s="44">
        <f t="shared" si="33"/>
        <v>2.96</v>
      </c>
      <c r="X117" s="44">
        <f t="shared" si="33"/>
        <v>2.96</v>
      </c>
      <c r="Y117" s="44">
        <f t="shared" si="33"/>
        <v>2.96</v>
      </c>
      <c r="Z117" s="44">
        <f t="shared" si="33"/>
        <v>2.96</v>
      </c>
      <c r="AA117" s="44">
        <f t="shared" si="33"/>
        <v>2.96</v>
      </c>
      <c r="AB117" s="44">
        <f t="shared" si="33"/>
        <v>2.96</v>
      </c>
      <c r="AC117" s="44">
        <f t="shared" si="33"/>
        <v>2.96</v>
      </c>
      <c r="AD117" s="44">
        <f t="shared" si="33"/>
        <v>2.96</v>
      </c>
      <c r="AE117" s="44">
        <f t="shared" si="33"/>
        <v>2.96</v>
      </c>
      <c r="AF117" s="44">
        <f t="shared" si="33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31"/>
        <v>8</v>
      </c>
      <c r="C118" s="55">
        <v>8</v>
      </c>
      <c r="D118" s="44">
        <f t="shared" si="32"/>
        <v>8</v>
      </c>
      <c r="E118" s="44">
        <f t="shared" si="32"/>
        <v>8</v>
      </c>
      <c r="F118" s="44">
        <f t="shared" si="32"/>
        <v>8</v>
      </c>
      <c r="G118" s="44">
        <f t="shared" si="32"/>
        <v>8</v>
      </c>
      <c r="H118" s="44">
        <f t="shared" si="32"/>
        <v>8</v>
      </c>
      <c r="I118" s="44">
        <f t="shared" si="32"/>
        <v>8</v>
      </c>
      <c r="J118" s="44">
        <f t="shared" si="32"/>
        <v>8</v>
      </c>
      <c r="K118" s="44">
        <f t="shared" si="32"/>
        <v>8</v>
      </c>
      <c r="L118" s="44">
        <f t="shared" si="32"/>
        <v>8</v>
      </c>
      <c r="M118" s="44">
        <f t="shared" si="32"/>
        <v>8</v>
      </c>
      <c r="N118" s="44">
        <f t="shared" si="32"/>
        <v>8</v>
      </c>
      <c r="O118" s="44">
        <f t="shared" si="32"/>
        <v>8</v>
      </c>
      <c r="P118" s="44">
        <f t="shared" si="32"/>
        <v>8</v>
      </c>
      <c r="Q118" s="44">
        <f t="shared" si="32"/>
        <v>8</v>
      </c>
      <c r="R118" s="44">
        <f t="shared" si="32"/>
        <v>8</v>
      </c>
      <c r="S118" s="44">
        <f t="shared" si="32"/>
        <v>8</v>
      </c>
      <c r="T118" s="44">
        <f t="shared" si="33"/>
        <v>8</v>
      </c>
      <c r="U118" s="44">
        <f t="shared" si="33"/>
        <v>8</v>
      </c>
      <c r="V118" s="44">
        <f t="shared" si="33"/>
        <v>8</v>
      </c>
      <c r="W118" s="44">
        <f t="shared" si="33"/>
        <v>8</v>
      </c>
      <c r="X118" s="44">
        <f t="shared" si="33"/>
        <v>8</v>
      </c>
      <c r="Y118" s="44">
        <f t="shared" si="33"/>
        <v>8</v>
      </c>
      <c r="Z118" s="44">
        <f t="shared" si="33"/>
        <v>8</v>
      </c>
      <c r="AA118" s="44">
        <f t="shared" si="33"/>
        <v>8</v>
      </c>
      <c r="AB118" s="44">
        <f t="shared" si="33"/>
        <v>8</v>
      </c>
      <c r="AC118" s="44">
        <f t="shared" si="33"/>
        <v>8</v>
      </c>
      <c r="AD118" s="44">
        <f t="shared" si="33"/>
        <v>8</v>
      </c>
      <c r="AE118" s="44">
        <f t="shared" si="33"/>
        <v>8</v>
      </c>
      <c r="AF118" s="44">
        <f t="shared" si="33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31"/>
        <v>7</v>
      </c>
      <c r="C119" s="55">
        <v>7</v>
      </c>
      <c r="D119" s="44">
        <f>C119</f>
        <v>7</v>
      </c>
      <c r="E119" s="44">
        <f t="shared" si="32"/>
        <v>7</v>
      </c>
      <c r="F119" s="44">
        <f t="shared" si="32"/>
        <v>7</v>
      </c>
      <c r="G119" s="44">
        <f t="shared" si="32"/>
        <v>7</v>
      </c>
      <c r="H119" s="44">
        <f t="shared" si="32"/>
        <v>7</v>
      </c>
      <c r="I119" s="44">
        <f t="shared" si="32"/>
        <v>7</v>
      </c>
      <c r="J119" s="44">
        <f t="shared" si="32"/>
        <v>7</v>
      </c>
      <c r="K119" s="44">
        <f t="shared" si="32"/>
        <v>7</v>
      </c>
      <c r="L119" s="44">
        <f t="shared" si="32"/>
        <v>7</v>
      </c>
      <c r="M119" s="44">
        <f t="shared" si="32"/>
        <v>7</v>
      </c>
      <c r="N119" s="44">
        <f t="shared" si="32"/>
        <v>7</v>
      </c>
      <c r="O119" s="44">
        <f t="shared" si="32"/>
        <v>7</v>
      </c>
      <c r="P119" s="44">
        <f t="shared" si="32"/>
        <v>7</v>
      </c>
      <c r="Q119" s="44">
        <f t="shared" si="32"/>
        <v>7</v>
      </c>
      <c r="R119" s="44">
        <f t="shared" si="32"/>
        <v>7</v>
      </c>
      <c r="S119" s="44">
        <f t="shared" si="32"/>
        <v>7</v>
      </c>
      <c r="T119" s="44">
        <f t="shared" si="33"/>
        <v>7</v>
      </c>
      <c r="U119" s="44">
        <f t="shared" si="33"/>
        <v>7</v>
      </c>
      <c r="V119" s="44">
        <f t="shared" si="33"/>
        <v>7</v>
      </c>
      <c r="W119" s="44">
        <f t="shared" si="33"/>
        <v>7</v>
      </c>
      <c r="X119" s="44">
        <f t="shared" si="33"/>
        <v>7</v>
      </c>
      <c r="Y119" s="44">
        <f t="shared" si="33"/>
        <v>7</v>
      </c>
      <c r="Z119" s="44">
        <f t="shared" si="33"/>
        <v>7</v>
      </c>
      <c r="AA119" s="44">
        <f t="shared" si="33"/>
        <v>7</v>
      </c>
      <c r="AB119" s="44">
        <f t="shared" si="33"/>
        <v>7</v>
      </c>
      <c r="AC119" s="44">
        <f t="shared" si="33"/>
        <v>7</v>
      </c>
      <c r="AD119" s="44">
        <f t="shared" si="33"/>
        <v>7</v>
      </c>
      <c r="AE119" s="44">
        <f t="shared" si="33"/>
        <v>7</v>
      </c>
      <c r="AF119" s="44">
        <f t="shared" si="33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31"/>
        <v>3.47</v>
      </c>
      <c r="C120" s="55">
        <v>3.47</v>
      </c>
      <c r="D120" s="44">
        <f t="shared" ref="D120:S129" si="34">C120</f>
        <v>3.47</v>
      </c>
      <c r="E120" s="44">
        <f t="shared" si="34"/>
        <v>3.47</v>
      </c>
      <c r="F120" s="44">
        <f t="shared" si="34"/>
        <v>3.47</v>
      </c>
      <c r="G120" s="44">
        <f t="shared" si="34"/>
        <v>3.47</v>
      </c>
      <c r="H120" s="44">
        <f t="shared" si="34"/>
        <v>3.47</v>
      </c>
      <c r="I120" s="44">
        <f t="shared" si="34"/>
        <v>3.47</v>
      </c>
      <c r="J120" s="44">
        <f t="shared" si="34"/>
        <v>3.47</v>
      </c>
      <c r="K120" s="44">
        <f t="shared" si="34"/>
        <v>3.47</v>
      </c>
      <c r="L120" s="44">
        <f t="shared" si="34"/>
        <v>3.47</v>
      </c>
      <c r="M120" s="44">
        <f t="shared" si="34"/>
        <v>3.47</v>
      </c>
      <c r="N120" s="44">
        <f t="shared" si="34"/>
        <v>3.47</v>
      </c>
      <c r="O120" s="44">
        <f t="shared" si="34"/>
        <v>3.47</v>
      </c>
      <c r="P120" s="44">
        <f t="shared" si="34"/>
        <v>3.47</v>
      </c>
      <c r="Q120" s="44">
        <f t="shared" si="34"/>
        <v>3.47</v>
      </c>
      <c r="R120" s="44">
        <f t="shared" si="34"/>
        <v>3.47</v>
      </c>
      <c r="S120" s="44">
        <f t="shared" si="34"/>
        <v>3.47</v>
      </c>
      <c r="T120" s="44">
        <f t="shared" si="33"/>
        <v>3.47</v>
      </c>
      <c r="U120" s="44">
        <f t="shared" si="33"/>
        <v>3.47</v>
      </c>
      <c r="V120" s="44">
        <f t="shared" si="33"/>
        <v>3.47</v>
      </c>
      <c r="W120" s="44">
        <f t="shared" si="33"/>
        <v>3.47</v>
      </c>
      <c r="X120" s="44">
        <f t="shared" si="33"/>
        <v>3.47</v>
      </c>
      <c r="Y120" s="44">
        <f t="shared" si="33"/>
        <v>3.47</v>
      </c>
      <c r="Z120" s="44">
        <f t="shared" si="33"/>
        <v>3.47</v>
      </c>
      <c r="AA120" s="44">
        <f t="shared" si="33"/>
        <v>3.47</v>
      </c>
      <c r="AB120" s="44">
        <f t="shared" si="33"/>
        <v>3.47</v>
      </c>
      <c r="AC120" s="44">
        <f t="shared" si="33"/>
        <v>3.47</v>
      </c>
      <c r="AD120" s="44">
        <f t="shared" si="33"/>
        <v>3.47</v>
      </c>
      <c r="AE120" s="44">
        <f t="shared" si="33"/>
        <v>3.47</v>
      </c>
      <c r="AF120" s="44">
        <f t="shared" si="33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31"/>
        <v>2.1</v>
      </c>
      <c r="C121" s="55">
        <v>2.1</v>
      </c>
      <c r="D121" s="44">
        <f t="shared" si="34"/>
        <v>2.1</v>
      </c>
      <c r="E121" s="44">
        <f t="shared" si="34"/>
        <v>2.1</v>
      </c>
      <c r="F121" s="44">
        <f t="shared" si="34"/>
        <v>2.1</v>
      </c>
      <c r="G121" s="44">
        <f t="shared" si="34"/>
        <v>2.1</v>
      </c>
      <c r="H121" s="44">
        <f t="shared" si="34"/>
        <v>2.1</v>
      </c>
      <c r="I121" s="44">
        <f t="shared" si="34"/>
        <v>2.1</v>
      </c>
      <c r="J121" s="44">
        <f t="shared" si="34"/>
        <v>2.1</v>
      </c>
      <c r="K121" s="44">
        <f t="shared" si="34"/>
        <v>2.1</v>
      </c>
      <c r="L121" s="44">
        <f t="shared" si="34"/>
        <v>2.1</v>
      </c>
      <c r="M121" s="44">
        <f t="shared" si="34"/>
        <v>2.1</v>
      </c>
      <c r="N121" s="44">
        <f t="shared" si="34"/>
        <v>2.1</v>
      </c>
      <c r="O121" s="44">
        <f t="shared" si="34"/>
        <v>2.1</v>
      </c>
      <c r="P121" s="44">
        <f t="shared" si="34"/>
        <v>2.1</v>
      </c>
      <c r="Q121" s="44">
        <f t="shared" si="34"/>
        <v>2.1</v>
      </c>
      <c r="R121" s="44">
        <f t="shared" si="34"/>
        <v>2.1</v>
      </c>
      <c r="S121" s="44">
        <f t="shared" si="34"/>
        <v>2.1</v>
      </c>
      <c r="T121" s="44">
        <f t="shared" si="33"/>
        <v>2.1</v>
      </c>
      <c r="U121" s="44">
        <f t="shared" si="33"/>
        <v>2.1</v>
      </c>
      <c r="V121" s="44">
        <f t="shared" si="33"/>
        <v>2.1</v>
      </c>
      <c r="W121" s="44">
        <f t="shared" si="33"/>
        <v>2.1</v>
      </c>
      <c r="X121" s="44">
        <f t="shared" si="33"/>
        <v>2.1</v>
      </c>
      <c r="Y121" s="44">
        <f t="shared" si="33"/>
        <v>2.1</v>
      </c>
      <c r="Z121" s="44">
        <f t="shared" si="33"/>
        <v>2.1</v>
      </c>
      <c r="AA121" s="44">
        <f t="shared" si="33"/>
        <v>2.1</v>
      </c>
      <c r="AB121" s="44">
        <f t="shared" si="33"/>
        <v>2.1</v>
      </c>
      <c r="AC121" s="44">
        <f t="shared" si="33"/>
        <v>2.1</v>
      </c>
      <c r="AD121" s="44">
        <f t="shared" si="33"/>
        <v>2.1</v>
      </c>
      <c r="AE121" s="44">
        <f t="shared" si="33"/>
        <v>2.1</v>
      </c>
      <c r="AF121" s="44">
        <f t="shared" si="33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31"/>
        <v>9.3000000000000007</v>
      </c>
      <c r="C122" s="55">
        <v>9.3000000000000007</v>
      </c>
      <c r="D122" s="44">
        <f t="shared" si="34"/>
        <v>9.3000000000000007</v>
      </c>
      <c r="E122" s="44">
        <f t="shared" si="34"/>
        <v>9.3000000000000007</v>
      </c>
      <c r="F122" s="44">
        <f t="shared" si="34"/>
        <v>9.3000000000000007</v>
      </c>
      <c r="G122" s="44">
        <f t="shared" si="34"/>
        <v>9.3000000000000007</v>
      </c>
      <c r="H122" s="44">
        <f t="shared" si="34"/>
        <v>9.3000000000000007</v>
      </c>
      <c r="I122" s="44">
        <f t="shared" si="34"/>
        <v>9.3000000000000007</v>
      </c>
      <c r="J122" s="44">
        <f t="shared" si="34"/>
        <v>9.3000000000000007</v>
      </c>
      <c r="K122" s="44">
        <f t="shared" si="34"/>
        <v>9.3000000000000007</v>
      </c>
      <c r="L122" s="44">
        <f t="shared" si="34"/>
        <v>9.3000000000000007</v>
      </c>
      <c r="M122" s="44">
        <f t="shared" si="34"/>
        <v>9.3000000000000007</v>
      </c>
      <c r="N122" s="44">
        <f t="shared" si="34"/>
        <v>9.3000000000000007</v>
      </c>
      <c r="O122" s="44">
        <f t="shared" si="34"/>
        <v>9.3000000000000007</v>
      </c>
      <c r="P122" s="44">
        <f t="shared" si="34"/>
        <v>9.3000000000000007</v>
      </c>
      <c r="Q122" s="44">
        <f t="shared" si="34"/>
        <v>9.3000000000000007</v>
      </c>
      <c r="R122" s="44">
        <f t="shared" si="34"/>
        <v>9.3000000000000007</v>
      </c>
      <c r="S122" s="44">
        <f t="shared" si="34"/>
        <v>9.3000000000000007</v>
      </c>
      <c r="T122" s="44">
        <f t="shared" si="33"/>
        <v>9.3000000000000007</v>
      </c>
      <c r="U122" s="44">
        <f t="shared" si="33"/>
        <v>9.3000000000000007</v>
      </c>
      <c r="V122" s="44">
        <f t="shared" si="33"/>
        <v>9.3000000000000007</v>
      </c>
      <c r="W122" s="44">
        <f t="shared" si="33"/>
        <v>9.3000000000000007</v>
      </c>
      <c r="X122" s="44">
        <f t="shared" si="33"/>
        <v>9.3000000000000007</v>
      </c>
      <c r="Y122" s="44">
        <f t="shared" si="33"/>
        <v>9.3000000000000007</v>
      </c>
      <c r="Z122" s="44">
        <f t="shared" si="33"/>
        <v>9.3000000000000007</v>
      </c>
      <c r="AA122" s="44">
        <f t="shared" si="33"/>
        <v>9.3000000000000007</v>
      </c>
      <c r="AB122" s="44">
        <f t="shared" si="33"/>
        <v>9.3000000000000007</v>
      </c>
      <c r="AC122" s="44">
        <f t="shared" si="33"/>
        <v>9.3000000000000007</v>
      </c>
      <c r="AD122" s="44">
        <f t="shared" si="33"/>
        <v>9.3000000000000007</v>
      </c>
      <c r="AE122" s="44">
        <f t="shared" si="33"/>
        <v>9.3000000000000007</v>
      </c>
      <c r="AF122" s="44">
        <f t="shared" si="33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31"/>
        <v>0</v>
      </c>
      <c r="C123" s="55">
        <v>0</v>
      </c>
      <c r="D123" s="44">
        <f t="shared" si="34"/>
        <v>0</v>
      </c>
      <c r="E123" s="44">
        <f t="shared" si="34"/>
        <v>0</v>
      </c>
      <c r="F123" s="44">
        <f t="shared" si="34"/>
        <v>0</v>
      </c>
      <c r="G123" s="44">
        <f t="shared" si="34"/>
        <v>0</v>
      </c>
      <c r="H123" s="44">
        <f t="shared" si="34"/>
        <v>0</v>
      </c>
      <c r="I123" s="44">
        <f t="shared" si="34"/>
        <v>0</v>
      </c>
      <c r="J123" s="44">
        <f t="shared" si="34"/>
        <v>0</v>
      </c>
      <c r="K123" s="44">
        <f t="shared" si="34"/>
        <v>0</v>
      </c>
      <c r="L123" s="44">
        <f t="shared" si="34"/>
        <v>0</v>
      </c>
      <c r="M123" s="44">
        <f t="shared" si="34"/>
        <v>0</v>
      </c>
      <c r="N123" s="44">
        <f t="shared" si="34"/>
        <v>0</v>
      </c>
      <c r="O123" s="44">
        <f t="shared" si="34"/>
        <v>0</v>
      </c>
      <c r="P123" s="44">
        <f t="shared" si="34"/>
        <v>0</v>
      </c>
      <c r="Q123" s="44">
        <f t="shared" si="34"/>
        <v>0</v>
      </c>
      <c r="R123" s="44">
        <f t="shared" si="34"/>
        <v>0</v>
      </c>
      <c r="S123" s="44">
        <f t="shared" si="34"/>
        <v>0</v>
      </c>
      <c r="T123" s="44">
        <f t="shared" si="33"/>
        <v>0</v>
      </c>
      <c r="U123" s="44">
        <f t="shared" si="33"/>
        <v>0</v>
      </c>
      <c r="V123" s="44">
        <f t="shared" si="33"/>
        <v>0</v>
      </c>
      <c r="W123" s="44">
        <f t="shared" si="33"/>
        <v>0</v>
      </c>
      <c r="X123" s="44">
        <f t="shared" si="33"/>
        <v>0</v>
      </c>
      <c r="Y123" s="44">
        <f t="shared" si="33"/>
        <v>0</v>
      </c>
      <c r="Z123" s="44">
        <f t="shared" si="33"/>
        <v>0</v>
      </c>
      <c r="AA123" s="44">
        <f t="shared" si="33"/>
        <v>0</v>
      </c>
      <c r="AB123" s="44">
        <f t="shared" si="33"/>
        <v>0</v>
      </c>
      <c r="AC123" s="44">
        <f t="shared" si="33"/>
        <v>0</v>
      </c>
      <c r="AD123" s="44">
        <f t="shared" si="33"/>
        <v>0</v>
      </c>
      <c r="AE123" s="44">
        <f t="shared" si="33"/>
        <v>0</v>
      </c>
      <c r="AF123" s="44">
        <f t="shared" si="33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31"/>
        <v>0</v>
      </c>
      <c r="C124" s="55">
        <v>0</v>
      </c>
      <c r="D124" s="44">
        <f t="shared" si="34"/>
        <v>0</v>
      </c>
      <c r="E124" s="44">
        <f t="shared" si="34"/>
        <v>0</v>
      </c>
      <c r="F124" s="44">
        <f t="shared" si="34"/>
        <v>0</v>
      </c>
      <c r="G124" s="44">
        <f t="shared" si="34"/>
        <v>0</v>
      </c>
      <c r="H124" s="44">
        <f t="shared" si="34"/>
        <v>0</v>
      </c>
      <c r="I124" s="44">
        <f t="shared" si="34"/>
        <v>0</v>
      </c>
      <c r="J124" s="44">
        <f t="shared" si="34"/>
        <v>0</v>
      </c>
      <c r="K124" s="44">
        <f t="shared" si="34"/>
        <v>0</v>
      </c>
      <c r="L124" s="44">
        <f t="shared" si="34"/>
        <v>0</v>
      </c>
      <c r="M124" s="44">
        <f t="shared" si="34"/>
        <v>0</v>
      </c>
      <c r="N124" s="44">
        <f t="shared" si="34"/>
        <v>0</v>
      </c>
      <c r="O124" s="44">
        <f t="shared" si="34"/>
        <v>0</v>
      </c>
      <c r="P124" s="44">
        <f t="shared" si="34"/>
        <v>0</v>
      </c>
      <c r="Q124" s="44">
        <f t="shared" si="34"/>
        <v>0</v>
      </c>
      <c r="R124" s="44">
        <f t="shared" si="34"/>
        <v>0</v>
      </c>
      <c r="S124" s="44">
        <f t="shared" si="34"/>
        <v>0</v>
      </c>
      <c r="T124" s="44">
        <f t="shared" si="33"/>
        <v>0</v>
      </c>
      <c r="U124" s="44">
        <f t="shared" si="33"/>
        <v>0</v>
      </c>
      <c r="V124" s="44">
        <f t="shared" si="33"/>
        <v>0</v>
      </c>
      <c r="W124" s="44">
        <f t="shared" si="33"/>
        <v>0</v>
      </c>
      <c r="X124" s="44">
        <f t="shared" si="33"/>
        <v>0</v>
      </c>
      <c r="Y124" s="44">
        <f t="shared" si="33"/>
        <v>0</v>
      </c>
      <c r="Z124" s="44">
        <f t="shared" si="33"/>
        <v>0</v>
      </c>
      <c r="AA124" s="44">
        <f t="shared" si="33"/>
        <v>0</v>
      </c>
      <c r="AB124" s="44">
        <f t="shared" si="33"/>
        <v>0</v>
      </c>
      <c r="AC124" s="44">
        <f t="shared" si="33"/>
        <v>0</v>
      </c>
      <c r="AD124" s="44">
        <f t="shared" si="33"/>
        <v>0</v>
      </c>
      <c r="AE124" s="44">
        <f t="shared" si="33"/>
        <v>0</v>
      </c>
      <c r="AF124" s="44">
        <f t="shared" si="33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31"/>
        <v>5</v>
      </c>
      <c r="C125" s="55">
        <v>5</v>
      </c>
      <c r="D125" s="44">
        <f t="shared" si="34"/>
        <v>5</v>
      </c>
      <c r="E125" s="44">
        <f t="shared" si="34"/>
        <v>5</v>
      </c>
      <c r="F125" s="44">
        <f t="shared" si="34"/>
        <v>5</v>
      </c>
      <c r="G125" s="44">
        <f t="shared" si="34"/>
        <v>5</v>
      </c>
      <c r="H125" s="44">
        <f t="shared" si="34"/>
        <v>5</v>
      </c>
      <c r="I125" s="44">
        <f t="shared" si="34"/>
        <v>5</v>
      </c>
      <c r="J125" s="44">
        <f t="shared" si="34"/>
        <v>5</v>
      </c>
      <c r="K125" s="44">
        <f t="shared" si="34"/>
        <v>5</v>
      </c>
      <c r="L125" s="44">
        <f t="shared" si="34"/>
        <v>5</v>
      </c>
      <c r="M125" s="44">
        <f t="shared" si="34"/>
        <v>5</v>
      </c>
      <c r="N125" s="44">
        <f t="shared" si="34"/>
        <v>5</v>
      </c>
      <c r="O125" s="44">
        <f t="shared" si="34"/>
        <v>5</v>
      </c>
      <c r="P125" s="44">
        <f t="shared" si="34"/>
        <v>5</v>
      </c>
      <c r="Q125" s="44">
        <f t="shared" si="34"/>
        <v>5</v>
      </c>
      <c r="R125" s="44">
        <f t="shared" si="34"/>
        <v>5</v>
      </c>
      <c r="S125" s="44">
        <f t="shared" si="34"/>
        <v>5</v>
      </c>
      <c r="T125" s="44">
        <f t="shared" si="33"/>
        <v>5</v>
      </c>
      <c r="U125" s="44">
        <f t="shared" si="33"/>
        <v>5</v>
      </c>
      <c r="V125" s="44">
        <f t="shared" si="33"/>
        <v>5</v>
      </c>
      <c r="W125" s="44">
        <f t="shared" si="33"/>
        <v>5</v>
      </c>
      <c r="X125" s="44">
        <f t="shared" si="33"/>
        <v>5</v>
      </c>
      <c r="Y125" s="44">
        <f t="shared" si="33"/>
        <v>5</v>
      </c>
      <c r="Z125" s="44">
        <f t="shared" si="33"/>
        <v>5</v>
      </c>
      <c r="AA125" s="44">
        <f t="shared" si="33"/>
        <v>5</v>
      </c>
      <c r="AB125" s="44">
        <f t="shared" si="33"/>
        <v>5</v>
      </c>
      <c r="AC125" s="44">
        <f t="shared" si="33"/>
        <v>5</v>
      </c>
      <c r="AD125" s="44">
        <f t="shared" si="33"/>
        <v>5</v>
      </c>
      <c r="AE125" s="44">
        <f t="shared" si="33"/>
        <v>5</v>
      </c>
      <c r="AF125" s="44">
        <f t="shared" si="33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31"/>
        <v>1</v>
      </c>
      <c r="C126" s="55">
        <v>1</v>
      </c>
      <c r="D126" s="44">
        <f t="shared" si="34"/>
        <v>1</v>
      </c>
      <c r="E126" s="44">
        <f t="shared" si="34"/>
        <v>1</v>
      </c>
      <c r="F126" s="44">
        <f t="shared" si="34"/>
        <v>1</v>
      </c>
      <c r="G126" s="44">
        <f t="shared" si="34"/>
        <v>1</v>
      </c>
      <c r="H126" s="44">
        <f t="shared" si="34"/>
        <v>1</v>
      </c>
      <c r="I126" s="44">
        <f t="shared" si="34"/>
        <v>1</v>
      </c>
      <c r="J126" s="44">
        <f t="shared" si="34"/>
        <v>1</v>
      </c>
      <c r="K126" s="44">
        <f t="shared" si="34"/>
        <v>1</v>
      </c>
      <c r="L126" s="44">
        <f t="shared" si="34"/>
        <v>1</v>
      </c>
      <c r="M126" s="44">
        <f t="shared" si="34"/>
        <v>1</v>
      </c>
      <c r="N126" s="44">
        <f t="shared" si="34"/>
        <v>1</v>
      </c>
      <c r="O126" s="44">
        <f t="shared" si="34"/>
        <v>1</v>
      </c>
      <c r="P126" s="44">
        <f t="shared" si="34"/>
        <v>1</v>
      </c>
      <c r="Q126" s="44">
        <f t="shared" si="34"/>
        <v>1</v>
      </c>
      <c r="R126" s="44">
        <f t="shared" si="34"/>
        <v>1</v>
      </c>
      <c r="S126" s="44">
        <f t="shared" si="34"/>
        <v>1</v>
      </c>
      <c r="T126" s="44">
        <f t="shared" si="33"/>
        <v>1</v>
      </c>
      <c r="U126" s="44">
        <f t="shared" si="33"/>
        <v>1</v>
      </c>
      <c r="V126" s="44">
        <f t="shared" si="33"/>
        <v>1</v>
      </c>
      <c r="W126" s="44">
        <f t="shared" si="33"/>
        <v>1</v>
      </c>
      <c r="X126" s="44">
        <f t="shared" si="33"/>
        <v>1</v>
      </c>
      <c r="Y126" s="44">
        <f t="shared" si="33"/>
        <v>1</v>
      </c>
      <c r="Z126" s="44">
        <f t="shared" si="33"/>
        <v>1</v>
      </c>
      <c r="AA126" s="44">
        <f t="shared" si="33"/>
        <v>1</v>
      </c>
      <c r="AB126" s="44">
        <f t="shared" si="33"/>
        <v>1</v>
      </c>
      <c r="AC126" s="44">
        <f t="shared" si="33"/>
        <v>1</v>
      </c>
      <c r="AD126" s="44">
        <f t="shared" si="33"/>
        <v>1</v>
      </c>
      <c r="AE126" s="44">
        <f t="shared" si="33"/>
        <v>1</v>
      </c>
      <c r="AF126" s="44">
        <f t="shared" si="33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31"/>
        <v>1.58</v>
      </c>
      <c r="C127" s="55">
        <v>1.58</v>
      </c>
      <c r="D127" s="44">
        <f t="shared" si="34"/>
        <v>1.58</v>
      </c>
      <c r="E127" s="44">
        <f t="shared" si="34"/>
        <v>1.58</v>
      </c>
      <c r="F127" s="44">
        <f t="shared" si="34"/>
        <v>1.58</v>
      </c>
      <c r="G127" s="44">
        <f t="shared" si="34"/>
        <v>1.58</v>
      </c>
      <c r="H127" s="44">
        <f t="shared" si="34"/>
        <v>1.58</v>
      </c>
      <c r="I127" s="44">
        <f t="shared" si="34"/>
        <v>1.58</v>
      </c>
      <c r="J127" s="44">
        <f t="shared" si="34"/>
        <v>1.58</v>
      </c>
      <c r="K127" s="44">
        <f t="shared" si="34"/>
        <v>1.58</v>
      </c>
      <c r="L127" s="44">
        <f t="shared" si="34"/>
        <v>1.58</v>
      </c>
      <c r="M127" s="44">
        <f t="shared" si="34"/>
        <v>1.58</v>
      </c>
      <c r="N127" s="44">
        <f t="shared" si="34"/>
        <v>1.58</v>
      </c>
      <c r="O127" s="44">
        <f t="shared" si="34"/>
        <v>1.58</v>
      </c>
      <c r="P127" s="44">
        <f t="shared" si="34"/>
        <v>1.58</v>
      </c>
      <c r="Q127" s="44">
        <f t="shared" si="34"/>
        <v>1.58</v>
      </c>
      <c r="R127" s="44">
        <f t="shared" si="34"/>
        <v>1.58</v>
      </c>
      <c r="S127" s="44">
        <f t="shared" si="34"/>
        <v>1.58</v>
      </c>
      <c r="T127" s="44">
        <f t="shared" si="33"/>
        <v>1.58</v>
      </c>
      <c r="U127" s="44">
        <f t="shared" si="33"/>
        <v>1.58</v>
      </c>
      <c r="V127" s="44">
        <f t="shared" si="33"/>
        <v>1.58</v>
      </c>
      <c r="W127" s="44">
        <f t="shared" si="33"/>
        <v>1.58</v>
      </c>
      <c r="X127" s="44">
        <f t="shared" si="33"/>
        <v>1.58</v>
      </c>
      <c r="Y127" s="44">
        <f t="shared" si="33"/>
        <v>1.58</v>
      </c>
      <c r="Z127" s="44">
        <f t="shared" si="33"/>
        <v>1.58</v>
      </c>
      <c r="AA127" s="44">
        <f t="shared" si="33"/>
        <v>1.58</v>
      </c>
      <c r="AB127" s="44">
        <f t="shared" si="33"/>
        <v>1.58</v>
      </c>
      <c r="AC127" s="44">
        <f t="shared" si="33"/>
        <v>1.58</v>
      </c>
      <c r="AD127" s="44">
        <f t="shared" si="33"/>
        <v>1.58</v>
      </c>
      <c r="AE127" s="44">
        <f t="shared" si="33"/>
        <v>1.58</v>
      </c>
      <c r="AF127" s="44">
        <f t="shared" si="33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31"/>
        <v>1.46</v>
      </c>
      <c r="C128" s="55">
        <v>1.46</v>
      </c>
      <c r="D128" s="44">
        <f t="shared" si="34"/>
        <v>1.46</v>
      </c>
      <c r="E128" s="44">
        <f t="shared" si="34"/>
        <v>1.46</v>
      </c>
      <c r="F128" s="44">
        <f t="shared" si="34"/>
        <v>1.46</v>
      </c>
      <c r="G128" s="44">
        <f t="shared" si="34"/>
        <v>1.46</v>
      </c>
      <c r="H128" s="44">
        <f t="shared" si="34"/>
        <v>1.46</v>
      </c>
      <c r="I128" s="44">
        <f t="shared" si="34"/>
        <v>1.46</v>
      </c>
      <c r="J128" s="44">
        <f t="shared" si="34"/>
        <v>1.46</v>
      </c>
      <c r="K128" s="44">
        <f t="shared" si="34"/>
        <v>1.46</v>
      </c>
      <c r="L128" s="44">
        <f t="shared" si="34"/>
        <v>1.46</v>
      </c>
      <c r="M128" s="44">
        <f t="shared" si="34"/>
        <v>1.46</v>
      </c>
      <c r="N128" s="44">
        <f t="shared" si="34"/>
        <v>1.46</v>
      </c>
      <c r="O128" s="44">
        <f t="shared" si="34"/>
        <v>1.46</v>
      </c>
      <c r="P128" s="44">
        <f t="shared" si="34"/>
        <v>1.46</v>
      </c>
      <c r="Q128" s="44">
        <f t="shared" si="34"/>
        <v>1.46</v>
      </c>
      <c r="R128" s="44">
        <f t="shared" si="34"/>
        <v>1.46</v>
      </c>
      <c r="S128" s="44">
        <f t="shared" si="34"/>
        <v>1.46</v>
      </c>
      <c r="T128" s="44">
        <f t="shared" ref="T128:AF129" si="35">S128</f>
        <v>1.46</v>
      </c>
      <c r="U128" s="44">
        <f t="shared" si="35"/>
        <v>1.46</v>
      </c>
      <c r="V128" s="44">
        <f t="shared" si="35"/>
        <v>1.46</v>
      </c>
      <c r="W128" s="44">
        <f t="shared" si="35"/>
        <v>1.46</v>
      </c>
      <c r="X128" s="44">
        <f t="shared" si="35"/>
        <v>1.46</v>
      </c>
      <c r="Y128" s="44">
        <f t="shared" si="35"/>
        <v>1.46</v>
      </c>
      <c r="Z128" s="44">
        <f t="shared" si="35"/>
        <v>1.46</v>
      </c>
      <c r="AA128" s="44">
        <f t="shared" si="35"/>
        <v>1.46</v>
      </c>
      <c r="AB128" s="44">
        <f t="shared" si="35"/>
        <v>1.46</v>
      </c>
      <c r="AC128" s="44">
        <f t="shared" si="35"/>
        <v>1.46</v>
      </c>
      <c r="AD128" s="44">
        <f t="shared" si="35"/>
        <v>1.46</v>
      </c>
      <c r="AE128" s="44">
        <f t="shared" si="35"/>
        <v>1.46</v>
      </c>
      <c r="AF128" s="44">
        <f t="shared" si="35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31"/>
        <v>1.48</v>
      </c>
      <c r="C129" s="55">
        <v>1.48</v>
      </c>
      <c r="D129" s="44">
        <f t="shared" si="34"/>
        <v>1.48</v>
      </c>
      <c r="E129" s="44">
        <f t="shared" si="34"/>
        <v>1.48</v>
      </c>
      <c r="F129" s="44">
        <f t="shared" si="34"/>
        <v>1.48</v>
      </c>
      <c r="G129" s="44">
        <f t="shared" si="34"/>
        <v>1.48</v>
      </c>
      <c r="H129" s="44">
        <f t="shared" si="34"/>
        <v>1.48</v>
      </c>
      <c r="I129" s="44">
        <f t="shared" si="34"/>
        <v>1.48</v>
      </c>
      <c r="J129" s="44">
        <f t="shared" si="34"/>
        <v>1.48</v>
      </c>
      <c r="K129" s="44">
        <f t="shared" si="34"/>
        <v>1.48</v>
      </c>
      <c r="L129" s="44">
        <f t="shared" si="34"/>
        <v>1.48</v>
      </c>
      <c r="M129" s="44">
        <f t="shared" si="34"/>
        <v>1.48</v>
      </c>
      <c r="N129" s="44">
        <f t="shared" si="34"/>
        <v>1.48</v>
      </c>
      <c r="O129" s="44">
        <f t="shared" si="34"/>
        <v>1.48</v>
      </c>
      <c r="P129" s="44">
        <f t="shared" si="34"/>
        <v>1.48</v>
      </c>
      <c r="Q129" s="44">
        <f t="shared" si="34"/>
        <v>1.48</v>
      </c>
      <c r="R129" s="44">
        <f t="shared" si="34"/>
        <v>1.48</v>
      </c>
      <c r="S129" s="44">
        <f t="shared" si="34"/>
        <v>1.48</v>
      </c>
      <c r="T129" s="44">
        <f t="shared" si="35"/>
        <v>1.48</v>
      </c>
      <c r="U129" s="44">
        <f t="shared" si="35"/>
        <v>1.48</v>
      </c>
      <c r="V129" s="44">
        <f t="shared" si="35"/>
        <v>1.48</v>
      </c>
      <c r="W129" s="44">
        <f t="shared" si="35"/>
        <v>1.48</v>
      </c>
      <c r="X129" s="44">
        <f t="shared" si="35"/>
        <v>1.48</v>
      </c>
      <c r="Y129" s="44">
        <f t="shared" si="35"/>
        <v>1.48</v>
      </c>
      <c r="Z129" s="44">
        <f t="shared" si="35"/>
        <v>1.48</v>
      </c>
      <c r="AA129" s="44">
        <f t="shared" si="35"/>
        <v>1.48</v>
      </c>
      <c r="AB129" s="44">
        <f t="shared" si="35"/>
        <v>1.48</v>
      </c>
      <c r="AC129" s="44">
        <f t="shared" si="35"/>
        <v>1.48</v>
      </c>
      <c r="AD129" s="44">
        <f t="shared" si="35"/>
        <v>1.48</v>
      </c>
      <c r="AE129" s="44">
        <f t="shared" si="35"/>
        <v>1.48</v>
      </c>
      <c r="AF129" s="44">
        <f t="shared" si="35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6">AF131</f>
        <v>2.2000000000000002</v>
      </c>
      <c r="C131" s="55">
        <v>2.2000000000000002</v>
      </c>
      <c r="D131" s="44">
        <f t="shared" ref="D131:S138" si="37">C131</f>
        <v>2.2000000000000002</v>
      </c>
      <c r="E131" s="44">
        <f t="shared" si="37"/>
        <v>2.2000000000000002</v>
      </c>
      <c r="F131" s="44">
        <f t="shared" si="37"/>
        <v>2.2000000000000002</v>
      </c>
      <c r="G131" s="44">
        <f t="shared" si="37"/>
        <v>2.2000000000000002</v>
      </c>
      <c r="H131" s="44">
        <f t="shared" si="37"/>
        <v>2.2000000000000002</v>
      </c>
      <c r="I131" s="44">
        <f t="shared" si="37"/>
        <v>2.2000000000000002</v>
      </c>
      <c r="J131" s="44">
        <f t="shared" si="37"/>
        <v>2.2000000000000002</v>
      </c>
      <c r="K131" s="44">
        <f t="shared" si="37"/>
        <v>2.2000000000000002</v>
      </c>
      <c r="L131" s="44">
        <f t="shared" si="37"/>
        <v>2.2000000000000002</v>
      </c>
      <c r="M131" s="44">
        <f t="shared" si="37"/>
        <v>2.2000000000000002</v>
      </c>
      <c r="N131" s="44">
        <f t="shared" si="37"/>
        <v>2.2000000000000002</v>
      </c>
      <c r="O131" s="44">
        <f t="shared" si="37"/>
        <v>2.2000000000000002</v>
      </c>
      <c r="P131" s="44">
        <f t="shared" si="37"/>
        <v>2.2000000000000002</v>
      </c>
      <c r="Q131" s="44">
        <f t="shared" si="37"/>
        <v>2.2000000000000002</v>
      </c>
      <c r="R131" s="44">
        <f t="shared" si="37"/>
        <v>2.2000000000000002</v>
      </c>
      <c r="S131" s="44">
        <f t="shared" si="37"/>
        <v>2.2000000000000002</v>
      </c>
      <c r="T131" s="44">
        <f t="shared" ref="T131:AF138" si="38">S131</f>
        <v>2.2000000000000002</v>
      </c>
      <c r="U131" s="44">
        <f t="shared" si="38"/>
        <v>2.2000000000000002</v>
      </c>
      <c r="V131" s="44">
        <f t="shared" si="38"/>
        <v>2.2000000000000002</v>
      </c>
      <c r="W131" s="44">
        <f t="shared" si="38"/>
        <v>2.2000000000000002</v>
      </c>
      <c r="X131" s="44">
        <f t="shared" si="38"/>
        <v>2.2000000000000002</v>
      </c>
      <c r="Y131" s="44">
        <f t="shared" si="38"/>
        <v>2.2000000000000002</v>
      </c>
      <c r="Z131" s="44">
        <f t="shared" si="38"/>
        <v>2.2000000000000002</v>
      </c>
      <c r="AA131" s="44">
        <f t="shared" si="38"/>
        <v>2.2000000000000002</v>
      </c>
      <c r="AB131" s="44">
        <f t="shared" si="38"/>
        <v>2.2000000000000002</v>
      </c>
      <c r="AC131" s="44">
        <f t="shared" si="38"/>
        <v>2.2000000000000002</v>
      </c>
      <c r="AD131" s="44">
        <f t="shared" si="38"/>
        <v>2.2000000000000002</v>
      </c>
      <c r="AE131" s="44">
        <f t="shared" si="38"/>
        <v>2.2000000000000002</v>
      </c>
      <c r="AF131" s="44">
        <f t="shared" si="38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6"/>
        <v>2</v>
      </c>
      <c r="C132" s="55">
        <v>2</v>
      </c>
      <c r="D132" s="44">
        <f t="shared" si="37"/>
        <v>2</v>
      </c>
      <c r="E132" s="44">
        <f t="shared" si="37"/>
        <v>2</v>
      </c>
      <c r="F132" s="44">
        <f t="shared" si="37"/>
        <v>2</v>
      </c>
      <c r="G132" s="44">
        <f t="shared" si="37"/>
        <v>2</v>
      </c>
      <c r="H132" s="44">
        <f t="shared" si="37"/>
        <v>2</v>
      </c>
      <c r="I132" s="44">
        <f t="shared" si="37"/>
        <v>2</v>
      </c>
      <c r="J132" s="44">
        <f t="shared" si="37"/>
        <v>2</v>
      </c>
      <c r="K132" s="44">
        <f t="shared" si="37"/>
        <v>2</v>
      </c>
      <c r="L132" s="44">
        <f t="shared" si="37"/>
        <v>2</v>
      </c>
      <c r="M132" s="44">
        <f t="shared" si="37"/>
        <v>2</v>
      </c>
      <c r="N132" s="44">
        <f t="shared" si="37"/>
        <v>2</v>
      </c>
      <c r="O132" s="44">
        <f t="shared" si="37"/>
        <v>2</v>
      </c>
      <c r="P132" s="44">
        <f t="shared" si="37"/>
        <v>2</v>
      </c>
      <c r="Q132" s="44">
        <f t="shared" si="37"/>
        <v>2</v>
      </c>
      <c r="R132" s="44">
        <f t="shared" si="37"/>
        <v>2</v>
      </c>
      <c r="S132" s="44">
        <f t="shared" si="37"/>
        <v>2</v>
      </c>
      <c r="T132" s="44">
        <f t="shared" si="38"/>
        <v>2</v>
      </c>
      <c r="U132" s="44">
        <f t="shared" si="38"/>
        <v>2</v>
      </c>
      <c r="V132" s="44">
        <f t="shared" si="38"/>
        <v>2</v>
      </c>
      <c r="W132" s="44">
        <f t="shared" si="38"/>
        <v>2</v>
      </c>
      <c r="X132" s="44">
        <f t="shared" si="38"/>
        <v>2</v>
      </c>
      <c r="Y132" s="44">
        <f t="shared" si="38"/>
        <v>2</v>
      </c>
      <c r="Z132" s="44">
        <f t="shared" si="38"/>
        <v>2</v>
      </c>
      <c r="AA132" s="44">
        <f t="shared" si="38"/>
        <v>2</v>
      </c>
      <c r="AB132" s="44">
        <f t="shared" si="38"/>
        <v>2</v>
      </c>
      <c r="AC132" s="44">
        <f t="shared" si="38"/>
        <v>2</v>
      </c>
      <c r="AD132" s="44">
        <f t="shared" si="38"/>
        <v>2</v>
      </c>
      <c r="AE132" s="44">
        <f t="shared" si="38"/>
        <v>2</v>
      </c>
      <c r="AF132" s="44">
        <f t="shared" si="38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6"/>
        <v>1.25</v>
      </c>
      <c r="C133" s="55">
        <v>1.25</v>
      </c>
      <c r="D133" s="44">
        <f t="shared" si="37"/>
        <v>1.25</v>
      </c>
      <c r="E133" s="44">
        <f t="shared" si="37"/>
        <v>1.25</v>
      </c>
      <c r="F133" s="44">
        <f t="shared" si="37"/>
        <v>1.25</v>
      </c>
      <c r="G133" s="44">
        <f t="shared" si="37"/>
        <v>1.25</v>
      </c>
      <c r="H133" s="44">
        <f t="shared" si="37"/>
        <v>1.25</v>
      </c>
      <c r="I133" s="44">
        <f t="shared" si="37"/>
        <v>1.25</v>
      </c>
      <c r="J133" s="44">
        <f t="shared" si="37"/>
        <v>1.25</v>
      </c>
      <c r="K133" s="44">
        <f t="shared" si="37"/>
        <v>1.25</v>
      </c>
      <c r="L133" s="44">
        <f t="shared" si="37"/>
        <v>1.25</v>
      </c>
      <c r="M133" s="44">
        <f t="shared" si="37"/>
        <v>1.25</v>
      </c>
      <c r="N133" s="44">
        <f t="shared" si="37"/>
        <v>1.25</v>
      </c>
      <c r="O133" s="44">
        <f t="shared" si="37"/>
        <v>1.25</v>
      </c>
      <c r="P133" s="44">
        <f t="shared" si="37"/>
        <v>1.25</v>
      </c>
      <c r="Q133" s="44">
        <f t="shared" si="37"/>
        <v>1.25</v>
      </c>
      <c r="R133" s="44">
        <f t="shared" si="37"/>
        <v>1.25</v>
      </c>
      <c r="S133" s="44">
        <f t="shared" si="37"/>
        <v>1.25</v>
      </c>
      <c r="T133" s="44">
        <f t="shared" si="38"/>
        <v>1.25</v>
      </c>
      <c r="U133" s="44">
        <f t="shared" si="38"/>
        <v>1.25</v>
      </c>
      <c r="V133" s="44">
        <f t="shared" si="38"/>
        <v>1.25</v>
      </c>
      <c r="W133" s="44">
        <f t="shared" si="38"/>
        <v>1.25</v>
      </c>
      <c r="X133" s="44">
        <f t="shared" si="38"/>
        <v>1.25</v>
      </c>
      <c r="Y133" s="44">
        <f t="shared" si="38"/>
        <v>1.25</v>
      </c>
      <c r="Z133" s="44">
        <f t="shared" si="38"/>
        <v>1.25</v>
      </c>
      <c r="AA133" s="44">
        <f t="shared" si="38"/>
        <v>1.25</v>
      </c>
      <c r="AB133" s="44">
        <f t="shared" si="38"/>
        <v>1.25</v>
      </c>
      <c r="AC133" s="44">
        <f t="shared" si="38"/>
        <v>1.25</v>
      </c>
      <c r="AD133" s="44">
        <f t="shared" si="38"/>
        <v>1.25</v>
      </c>
      <c r="AE133" s="44">
        <f t="shared" si="38"/>
        <v>1.25</v>
      </c>
      <c r="AF133" s="44">
        <f t="shared" si="38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6"/>
        <v>1.1499999999999999</v>
      </c>
      <c r="C134" s="55">
        <v>1.1499999999999999</v>
      </c>
      <c r="D134" s="44">
        <f t="shared" si="37"/>
        <v>1.1499999999999999</v>
      </c>
      <c r="E134" s="44">
        <f t="shared" si="37"/>
        <v>1.1499999999999999</v>
      </c>
      <c r="F134" s="44">
        <f t="shared" si="37"/>
        <v>1.1499999999999999</v>
      </c>
      <c r="G134" s="44">
        <f t="shared" si="37"/>
        <v>1.1499999999999999</v>
      </c>
      <c r="H134" s="44">
        <f t="shared" si="37"/>
        <v>1.1499999999999999</v>
      </c>
      <c r="I134" s="44">
        <f t="shared" si="37"/>
        <v>1.1499999999999999</v>
      </c>
      <c r="J134" s="44">
        <f t="shared" si="37"/>
        <v>1.1499999999999999</v>
      </c>
      <c r="K134" s="44">
        <f t="shared" si="37"/>
        <v>1.1499999999999999</v>
      </c>
      <c r="L134" s="44">
        <f t="shared" si="37"/>
        <v>1.1499999999999999</v>
      </c>
      <c r="M134" s="44">
        <f t="shared" si="37"/>
        <v>1.1499999999999999</v>
      </c>
      <c r="N134" s="44">
        <f t="shared" si="37"/>
        <v>1.1499999999999999</v>
      </c>
      <c r="O134" s="44">
        <f t="shared" si="37"/>
        <v>1.1499999999999999</v>
      </c>
      <c r="P134" s="44">
        <f t="shared" si="37"/>
        <v>1.1499999999999999</v>
      </c>
      <c r="Q134" s="44">
        <f t="shared" si="37"/>
        <v>1.1499999999999999</v>
      </c>
      <c r="R134" s="44">
        <f t="shared" si="37"/>
        <v>1.1499999999999999</v>
      </c>
      <c r="S134" s="44">
        <f t="shared" si="37"/>
        <v>1.1499999999999999</v>
      </c>
      <c r="T134" s="44">
        <f t="shared" si="38"/>
        <v>1.1499999999999999</v>
      </c>
      <c r="U134" s="44">
        <f t="shared" si="38"/>
        <v>1.1499999999999999</v>
      </c>
      <c r="V134" s="44">
        <f t="shared" si="38"/>
        <v>1.1499999999999999</v>
      </c>
      <c r="W134" s="44">
        <f t="shared" si="38"/>
        <v>1.1499999999999999</v>
      </c>
      <c r="X134" s="44">
        <f t="shared" si="38"/>
        <v>1.1499999999999999</v>
      </c>
      <c r="Y134" s="44">
        <f t="shared" si="38"/>
        <v>1.1499999999999999</v>
      </c>
      <c r="Z134" s="44">
        <f t="shared" si="38"/>
        <v>1.1499999999999999</v>
      </c>
      <c r="AA134" s="44">
        <f t="shared" si="38"/>
        <v>1.1499999999999999</v>
      </c>
      <c r="AB134" s="44">
        <f t="shared" si="38"/>
        <v>1.1499999999999999</v>
      </c>
      <c r="AC134" s="44">
        <f t="shared" si="38"/>
        <v>1.1499999999999999</v>
      </c>
      <c r="AD134" s="44">
        <f t="shared" si="38"/>
        <v>1.1499999999999999</v>
      </c>
      <c r="AE134" s="44">
        <f t="shared" si="38"/>
        <v>1.1499999999999999</v>
      </c>
      <c r="AF134" s="44">
        <f t="shared" si="38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6"/>
        <v>2.133</v>
      </c>
      <c r="C135" s="55">
        <v>2.133</v>
      </c>
      <c r="D135" s="44">
        <f t="shared" si="37"/>
        <v>2.133</v>
      </c>
      <c r="E135" s="44">
        <f t="shared" si="37"/>
        <v>2.133</v>
      </c>
      <c r="F135" s="44">
        <f t="shared" si="37"/>
        <v>2.133</v>
      </c>
      <c r="G135" s="44">
        <f t="shared" si="37"/>
        <v>2.133</v>
      </c>
      <c r="H135" s="44">
        <f t="shared" si="37"/>
        <v>2.133</v>
      </c>
      <c r="I135" s="44">
        <f t="shared" si="37"/>
        <v>2.133</v>
      </c>
      <c r="J135" s="44">
        <f t="shared" si="37"/>
        <v>2.133</v>
      </c>
      <c r="K135" s="44">
        <f t="shared" si="37"/>
        <v>2.133</v>
      </c>
      <c r="L135" s="44">
        <f t="shared" si="37"/>
        <v>2.133</v>
      </c>
      <c r="M135" s="44">
        <f t="shared" si="37"/>
        <v>2.133</v>
      </c>
      <c r="N135" s="44">
        <f t="shared" si="37"/>
        <v>2.133</v>
      </c>
      <c r="O135" s="44">
        <f t="shared" si="37"/>
        <v>2.133</v>
      </c>
      <c r="P135" s="44">
        <f t="shared" si="37"/>
        <v>2.133</v>
      </c>
      <c r="Q135" s="44">
        <f t="shared" si="37"/>
        <v>2.133</v>
      </c>
      <c r="R135" s="44">
        <f t="shared" si="37"/>
        <v>2.133</v>
      </c>
      <c r="S135" s="44">
        <f t="shared" si="37"/>
        <v>2.133</v>
      </c>
      <c r="T135" s="44">
        <f t="shared" si="38"/>
        <v>2.133</v>
      </c>
      <c r="U135" s="44">
        <f t="shared" si="38"/>
        <v>2.133</v>
      </c>
      <c r="V135" s="44">
        <f t="shared" si="38"/>
        <v>2.133</v>
      </c>
      <c r="W135" s="44">
        <f t="shared" si="38"/>
        <v>2.133</v>
      </c>
      <c r="X135" s="44">
        <f t="shared" si="38"/>
        <v>2.133</v>
      </c>
      <c r="Y135" s="44">
        <f t="shared" si="38"/>
        <v>2.133</v>
      </c>
      <c r="Z135" s="44">
        <f t="shared" si="38"/>
        <v>2.133</v>
      </c>
      <c r="AA135" s="44">
        <f t="shared" si="38"/>
        <v>2.133</v>
      </c>
      <c r="AB135" s="44">
        <f t="shared" si="38"/>
        <v>2.133</v>
      </c>
      <c r="AC135" s="44">
        <f t="shared" si="38"/>
        <v>2.133</v>
      </c>
      <c r="AD135" s="44">
        <f t="shared" si="38"/>
        <v>2.133</v>
      </c>
      <c r="AE135" s="44">
        <f t="shared" si="38"/>
        <v>2.133</v>
      </c>
      <c r="AF135" s="44">
        <f t="shared" si="38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6"/>
        <v>2.09</v>
      </c>
      <c r="C136" s="55">
        <v>2.09</v>
      </c>
      <c r="D136" s="44">
        <f t="shared" si="37"/>
        <v>2.09</v>
      </c>
      <c r="E136" s="44">
        <f t="shared" si="37"/>
        <v>2.09</v>
      </c>
      <c r="F136" s="44">
        <f t="shared" si="37"/>
        <v>2.09</v>
      </c>
      <c r="G136" s="44">
        <f t="shared" si="37"/>
        <v>2.09</v>
      </c>
      <c r="H136" s="44">
        <f t="shared" si="37"/>
        <v>2.09</v>
      </c>
      <c r="I136" s="44">
        <f t="shared" si="37"/>
        <v>2.09</v>
      </c>
      <c r="J136" s="44">
        <f t="shared" si="37"/>
        <v>2.09</v>
      </c>
      <c r="K136" s="44">
        <f t="shared" si="37"/>
        <v>2.09</v>
      </c>
      <c r="L136" s="44">
        <f t="shared" si="37"/>
        <v>2.09</v>
      </c>
      <c r="M136" s="44">
        <f t="shared" si="37"/>
        <v>2.09</v>
      </c>
      <c r="N136" s="44">
        <f t="shared" si="37"/>
        <v>2.09</v>
      </c>
      <c r="O136" s="44">
        <f t="shared" si="37"/>
        <v>2.09</v>
      </c>
      <c r="P136" s="44">
        <f t="shared" si="37"/>
        <v>2.09</v>
      </c>
      <c r="Q136" s="44">
        <f t="shared" si="37"/>
        <v>2.09</v>
      </c>
      <c r="R136" s="44">
        <f t="shared" si="37"/>
        <v>2.09</v>
      </c>
      <c r="S136" s="44">
        <f t="shared" si="37"/>
        <v>2.09</v>
      </c>
      <c r="T136" s="44">
        <f t="shared" si="38"/>
        <v>2.09</v>
      </c>
      <c r="U136" s="44">
        <f t="shared" si="38"/>
        <v>2.09</v>
      </c>
      <c r="V136" s="44">
        <f t="shared" si="38"/>
        <v>2.09</v>
      </c>
      <c r="W136" s="44">
        <f t="shared" si="38"/>
        <v>2.09</v>
      </c>
      <c r="X136" s="44">
        <f t="shared" si="38"/>
        <v>2.09</v>
      </c>
      <c r="Y136" s="44">
        <f t="shared" si="38"/>
        <v>2.09</v>
      </c>
      <c r="Z136" s="44">
        <f t="shared" si="38"/>
        <v>2.09</v>
      </c>
      <c r="AA136" s="44">
        <f t="shared" si="38"/>
        <v>2.09</v>
      </c>
      <c r="AB136" s="44">
        <f t="shared" si="38"/>
        <v>2.09</v>
      </c>
      <c r="AC136" s="44">
        <f t="shared" si="38"/>
        <v>2.09</v>
      </c>
      <c r="AD136" s="44">
        <f t="shared" si="38"/>
        <v>2.09</v>
      </c>
      <c r="AE136" s="44">
        <f t="shared" si="38"/>
        <v>2.09</v>
      </c>
      <c r="AF136" s="44">
        <f t="shared" si="38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6"/>
        <v>1.1399999999999999</v>
      </c>
      <c r="C137" s="55">
        <v>1.1399999999999999</v>
      </c>
      <c r="D137" s="44">
        <f t="shared" si="37"/>
        <v>1.1399999999999999</v>
      </c>
      <c r="E137" s="44">
        <f t="shared" si="37"/>
        <v>1.1399999999999999</v>
      </c>
      <c r="F137" s="44">
        <f t="shared" si="37"/>
        <v>1.1399999999999999</v>
      </c>
      <c r="G137" s="44">
        <f t="shared" si="37"/>
        <v>1.1399999999999999</v>
      </c>
      <c r="H137" s="44">
        <f t="shared" si="37"/>
        <v>1.1399999999999999</v>
      </c>
      <c r="I137" s="44">
        <f t="shared" si="37"/>
        <v>1.1399999999999999</v>
      </c>
      <c r="J137" s="44">
        <f t="shared" si="37"/>
        <v>1.1399999999999999</v>
      </c>
      <c r="K137" s="44">
        <f t="shared" si="37"/>
        <v>1.1399999999999999</v>
      </c>
      <c r="L137" s="44">
        <f t="shared" si="37"/>
        <v>1.1399999999999999</v>
      </c>
      <c r="M137" s="44">
        <f t="shared" si="37"/>
        <v>1.1399999999999999</v>
      </c>
      <c r="N137" s="44">
        <f t="shared" si="37"/>
        <v>1.1399999999999999</v>
      </c>
      <c r="O137" s="44">
        <f t="shared" si="37"/>
        <v>1.1399999999999999</v>
      </c>
      <c r="P137" s="44">
        <f t="shared" si="37"/>
        <v>1.1399999999999999</v>
      </c>
      <c r="Q137" s="44">
        <f t="shared" si="37"/>
        <v>1.1399999999999999</v>
      </c>
      <c r="R137" s="44">
        <f t="shared" si="37"/>
        <v>1.1399999999999999</v>
      </c>
      <c r="S137" s="44">
        <f t="shared" si="37"/>
        <v>1.1399999999999999</v>
      </c>
      <c r="T137" s="44">
        <f t="shared" si="38"/>
        <v>1.1399999999999999</v>
      </c>
      <c r="U137" s="44">
        <f t="shared" si="38"/>
        <v>1.1399999999999999</v>
      </c>
      <c r="V137" s="44">
        <f t="shared" si="38"/>
        <v>1.1399999999999999</v>
      </c>
      <c r="W137" s="44">
        <f t="shared" si="38"/>
        <v>1.1399999999999999</v>
      </c>
      <c r="X137" s="44">
        <f t="shared" si="38"/>
        <v>1.1399999999999999</v>
      </c>
      <c r="Y137" s="44">
        <f t="shared" si="38"/>
        <v>1.1399999999999999</v>
      </c>
      <c r="Z137" s="44">
        <f t="shared" si="38"/>
        <v>1.1399999999999999</v>
      </c>
      <c r="AA137" s="44">
        <f t="shared" si="38"/>
        <v>1.1399999999999999</v>
      </c>
      <c r="AB137" s="44">
        <f t="shared" si="38"/>
        <v>1.1399999999999999</v>
      </c>
      <c r="AC137" s="44">
        <f t="shared" si="38"/>
        <v>1.1399999999999999</v>
      </c>
      <c r="AD137" s="44">
        <f t="shared" si="38"/>
        <v>1.1399999999999999</v>
      </c>
      <c r="AE137" s="44">
        <f t="shared" si="38"/>
        <v>1.1399999999999999</v>
      </c>
      <c r="AF137" s="44">
        <f t="shared" si="38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6"/>
        <v>0.82</v>
      </c>
      <c r="C138" s="55">
        <v>0.82</v>
      </c>
      <c r="D138" s="44">
        <f t="shared" si="37"/>
        <v>0.82</v>
      </c>
      <c r="E138" s="44">
        <f t="shared" si="37"/>
        <v>0.82</v>
      </c>
      <c r="F138" s="44">
        <f t="shared" si="37"/>
        <v>0.82</v>
      </c>
      <c r="G138" s="44">
        <f t="shared" si="37"/>
        <v>0.82</v>
      </c>
      <c r="H138" s="44">
        <f t="shared" si="37"/>
        <v>0.82</v>
      </c>
      <c r="I138" s="44">
        <f t="shared" si="37"/>
        <v>0.82</v>
      </c>
      <c r="J138" s="44">
        <f t="shared" si="37"/>
        <v>0.82</v>
      </c>
      <c r="K138" s="44">
        <f t="shared" si="37"/>
        <v>0.82</v>
      </c>
      <c r="L138" s="44">
        <f t="shared" si="37"/>
        <v>0.82</v>
      </c>
      <c r="M138" s="44">
        <f t="shared" si="37"/>
        <v>0.82</v>
      </c>
      <c r="N138" s="44">
        <f t="shared" si="37"/>
        <v>0.82</v>
      </c>
      <c r="O138" s="44">
        <f t="shared" si="37"/>
        <v>0.82</v>
      </c>
      <c r="P138" s="44">
        <f t="shared" si="37"/>
        <v>0.82</v>
      </c>
      <c r="Q138" s="44">
        <f t="shared" si="37"/>
        <v>0.82</v>
      </c>
      <c r="R138" s="44">
        <f t="shared" si="37"/>
        <v>0.82</v>
      </c>
      <c r="S138" s="44">
        <f t="shared" si="37"/>
        <v>0.82</v>
      </c>
      <c r="T138" s="44">
        <f t="shared" si="38"/>
        <v>0.82</v>
      </c>
      <c r="U138" s="44">
        <f t="shared" si="38"/>
        <v>0.82</v>
      </c>
      <c r="V138" s="44">
        <f t="shared" si="38"/>
        <v>0.82</v>
      </c>
      <c r="W138" s="44">
        <f t="shared" si="38"/>
        <v>0.82</v>
      </c>
      <c r="X138" s="44">
        <f t="shared" si="38"/>
        <v>0.82</v>
      </c>
      <c r="Y138" s="44">
        <f t="shared" si="38"/>
        <v>0.82</v>
      </c>
      <c r="Z138" s="44">
        <f t="shared" si="38"/>
        <v>0.82</v>
      </c>
      <c r="AA138" s="44">
        <f t="shared" si="38"/>
        <v>0.82</v>
      </c>
      <c r="AB138" s="44">
        <f t="shared" si="38"/>
        <v>0.82</v>
      </c>
      <c r="AC138" s="44">
        <f t="shared" si="38"/>
        <v>0.82</v>
      </c>
      <c r="AD138" s="44">
        <f t="shared" si="38"/>
        <v>0.82</v>
      </c>
      <c r="AE138" s="44">
        <f t="shared" si="38"/>
        <v>0.82</v>
      </c>
      <c r="AF138" s="44">
        <f t="shared" si="38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9">AF140</f>
        <v>2</v>
      </c>
      <c r="C140" s="55">
        <v>2</v>
      </c>
      <c r="D140" s="44">
        <f t="shared" ref="D140:S146" si="40">C140</f>
        <v>2</v>
      </c>
      <c r="E140" s="44">
        <f t="shared" si="40"/>
        <v>2</v>
      </c>
      <c r="F140" s="44">
        <f t="shared" si="40"/>
        <v>2</v>
      </c>
      <c r="G140" s="44">
        <f t="shared" si="40"/>
        <v>2</v>
      </c>
      <c r="H140" s="44">
        <f t="shared" si="40"/>
        <v>2</v>
      </c>
      <c r="I140" s="44">
        <f t="shared" si="40"/>
        <v>2</v>
      </c>
      <c r="J140" s="44">
        <f t="shared" si="40"/>
        <v>2</v>
      </c>
      <c r="K140" s="44">
        <f t="shared" si="40"/>
        <v>2</v>
      </c>
      <c r="L140" s="44">
        <f t="shared" si="40"/>
        <v>2</v>
      </c>
      <c r="M140" s="44">
        <f t="shared" si="40"/>
        <v>2</v>
      </c>
      <c r="N140" s="44">
        <f t="shared" si="40"/>
        <v>2</v>
      </c>
      <c r="O140" s="44">
        <f t="shared" si="40"/>
        <v>2</v>
      </c>
      <c r="P140" s="44">
        <f t="shared" si="40"/>
        <v>2</v>
      </c>
      <c r="Q140" s="44">
        <f t="shared" si="40"/>
        <v>2</v>
      </c>
      <c r="R140" s="44">
        <f t="shared" si="40"/>
        <v>2</v>
      </c>
      <c r="S140" s="44">
        <f t="shared" si="40"/>
        <v>2</v>
      </c>
      <c r="T140" s="44">
        <f t="shared" ref="T140:AF146" si="41">S140</f>
        <v>2</v>
      </c>
      <c r="U140" s="44">
        <f t="shared" si="41"/>
        <v>2</v>
      </c>
      <c r="V140" s="44">
        <f t="shared" si="41"/>
        <v>2</v>
      </c>
      <c r="W140" s="44">
        <f t="shared" si="41"/>
        <v>2</v>
      </c>
      <c r="X140" s="44">
        <f t="shared" si="41"/>
        <v>2</v>
      </c>
      <c r="Y140" s="44">
        <f t="shared" si="41"/>
        <v>2</v>
      </c>
      <c r="Z140" s="44">
        <f t="shared" si="41"/>
        <v>2</v>
      </c>
      <c r="AA140" s="44">
        <f t="shared" si="41"/>
        <v>2</v>
      </c>
      <c r="AB140" s="44">
        <f t="shared" si="41"/>
        <v>2</v>
      </c>
      <c r="AC140" s="44">
        <f t="shared" si="41"/>
        <v>2</v>
      </c>
      <c r="AD140" s="44">
        <f t="shared" si="41"/>
        <v>2</v>
      </c>
      <c r="AE140" s="44">
        <f t="shared" si="41"/>
        <v>2</v>
      </c>
      <c r="AF140" s="44">
        <f t="shared" si="41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9"/>
        <v>5.61</v>
      </c>
      <c r="C141" s="55">
        <v>5.61</v>
      </c>
      <c r="D141" s="44">
        <f t="shared" si="40"/>
        <v>5.61</v>
      </c>
      <c r="E141" s="44">
        <f t="shared" si="40"/>
        <v>5.61</v>
      </c>
      <c r="F141" s="44">
        <f t="shared" si="40"/>
        <v>5.61</v>
      </c>
      <c r="G141" s="44">
        <f t="shared" si="40"/>
        <v>5.61</v>
      </c>
      <c r="H141" s="44">
        <f t="shared" si="40"/>
        <v>5.61</v>
      </c>
      <c r="I141" s="44">
        <f t="shared" si="40"/>
        <v>5.61</v>
      </c>
      <c r="J141" s="44">
        <f t="shared" si="40"/>
        <v>5.61</v>
      </c>
      <c r="K141" s="44">
        <f t="shared" si="40"/>
        <v>5.61</v>
      </c>
      <c r="L141" s="44">
        <f t="shared" si="40"/>
        <v>5.61</v>
      </c>
      <c r="M141" s="44">
        <f t="shared" si="40"/>
        <v>5.61</v>
      </c>
      <c r="N141" s="44">
        <f t="shared" si="40"/>
        <v>5.61</v>
      </c>
      <c r="O141" s="44">
        <f t="shared" si="40"/>
        <v>5.61</v>
      </c>
      <c r="P141" s="44">
        <f t="shared" si="40"/>
        <v>5.61</v>
      </c>
      <c r="Q141" s="44">
        <f t="shared" si="40"/>
        <v>5.61</v>
      </c>
      <c r="R141" s="44">
        <f t="shared" si="40"/>
        <v>5.61</v>
      </c>
      <c r="S141" s="44">
        <f t="shared" si="40"/>
        <v>5.61</v>
      </c>
      <c r="T141" s="44">
        <f t="shared" si="41"/>
        <v>5.61</v>
      </c>
      <c r="U141" s="44">
        <f t="shared" si="41"/>
        <v>5.61</v>
      </c>
      <c r="V141" s="44">
        <f t="shared" si="41"/>
        <v>5.61</v>
      </c>
      <c r="W141" s="44">
        <f t="shared" si="41"/>
        <v>5.61</v>
      </c>
      <c r="X141" s="44">
        <f t="shared" si="41"/>
        <v>5.61</v>
      </c>
      <c r="Y141" s="44">
        <f t="shared" si="41"/>
        <v>5.61</v>
      </c>
      <c r="Z141" s="44">
        <f t="shared" si="41"/>
        <v>5.61</v>
      </c>
      <c r="AA141" s="44">
        <f t="shared" si="41"/>
        <v>5.61</v>
      </c>
      <c r="AB141" s="44">
        <f t="shared" si="41"/>
        <v>5.61</v>
      </c>
      <c r="AC141" s="44">
        <f t="shared" si="41"/>
        <v>5.61</v>
      </c>
      <c r="AD141" s="44">
        <f t="shared" si="41"/>
        <v>5.61</v>
      </c>
      <c r="AE141" s="44">
        <f t="shared" si="41"/>
        <v>5.61</v>
      </c>
      <c r="AF141" s="44">
        <f t="shared" si="41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9"/>
        <v>1.25</v>
      </c>
      <c r="C142" s="55">
        <v>1.25</v>
      </c>
      <c r="D142" s="44">
        <f t="shared" si="40"/>
        <v>1.25</v>
      </c>
      <c r="E142" s="44">
        <f t="shared" si="40"/>
        <v>1.25</v>
      </c>
      <c r="F142" s="44">
        <f t="shared" si="40"/>
        <v>1.25</v>
      </c>
      <c r="G142" s="44">
        <f t="shared" si="40"/>
        <v>1.25</v>
      </c>
      <c r="H142" s="44">
        <f t="shared" si="40"/>
        <v>1.25</v>
      </c>
      <c r="I142" s="44">
        <f t="shared" si="40"/>
        <v>1.25</v>
      </c>
      <c r="J142" s="44">
        <f t="shared" si="40"/>
        <v>1.25</v>
      </c>
      <c r="K142" s="44">
        <f t="shared" si="40"/>
        <v>1.25</v>
      </c>
      <c r="L142" s="44">
        <f t="shared" si="40"/>
        <v>1.25</v>
      </c>
      <c r="M142" s="44">
        <f t="shared" si="40"/>
        <v>1.25</v>
      </c>
      <c r="N142" s="44">
        <f t="shared" si="40"/>
        <v>1.25</v>
      </c>
      <c r="O142" s="44">
        <f t="shared" si="40"/>
        <v>1.25</v>
      </c>
      <c r="P142" s="44">
        <f t="shared" si="40"/>
        <v>1.25</v>
      </c>
      <c r="Q142" s="44">
        <f t="shared" si="40"/>
        <v>1.25</v>
      </c>
      <c r="R142" s="44">
        <f t="shared" si="40"/>
        <v>1.25</v>
      </c>
      <c r="S142" s="44">
        <f t="shared" si="40"/>
        <v>1.25</v>
      </c>
      <c r="T142" s="44">
        <f t="shared" si="41"/>
        <v>1.25</v>
      </c>
      <c r="U142" s="44">
        <f t="shared" si="41"/>
        <v>1.25</v>
      </c>
      <c r="V142" s="44">
        <f t="shared" si="41"/>
        <v>1.25</v>
      </c>
      <c r="W142" s="44">
        <f t="shared" si="41"/>
        <v>1.25</v>
      </c>
      <c r="X142" s="44">
        <f t="shared" si="41"/>
        <v>1.25</v>
      </c>
      <c r="Y142" s="44">
        <f t="shared" si="41"/>
        <v>1.25</v>
      </c>
      <c r="Z142" s="44">
        <f t="shared" si="41"/>
        <v>1.25</v>
      </c>
      <c r="AA142" s="44">
        <f t="shared" si="41"/>
        <v>1.25</v>
      </c>
      <c r="AB142" s="44">
        <f t="shared" si="41"/>
        <v>1.25</v>
      </c>
      <c r="AC142" s="44">
        <f t="shared" si="41"/>
        <v>1.25</v>
      </c>
      <c r="AD142" s="44">
        <f t="shared" si="41"/>
        <v>1.25</v>
      </c>
      <c r="AE142" s="44">
        <f t="shared" si="41"/>
        <v>1.25</v>
      </c>
      <c r="AF142" s="44">
        <f t="shared" si="41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9"/>
        <v>1.25</v>
      </c>
      <c r="C143" s="55">
        <v>1.25</v>
      </c>
      <c r="D143" s="44">
        <f t="shared" si="40"/>
        <v>1.25</v>
      </c>
      <c r="E143" s="44">
        <f t="shared" si="40"/>
        <v>1.25</v>
      </c>
      <c r="F143" s="44">
        <f t="shared" si="40"/>
        <v>1.25</v>
      </c>
      <c r="G143" s="44">
        <f t="shared" si="40"/>
        <v>1.25</v>
      </c>
      <c r="H143" s="44">
        <f t="shared" si="40"/>
        <v>1.25</v>
      </c>
      <c r="I143" s="44">
        <f t="shared" si="40"/>
        <v>1.25</v>
      </c>
      <c r="J143" s="44">
        <f t="shared" si="40"/>
        <v>1.25</v>
      </c>
      <c r="K143" s="44">
        <f t="shared" si="40"/>
        <v>1.25</v>
      </c>
      <c r="L143" s="44">
        <f t="shared" si="40"/>
        <v>1.25</v>
      </c>
      <c r="M143" s="44">
        <f t="shared" si="40"/>
        <v>1.25</v>
      </c>
      <c r="N143" s="44">
        <f t="shared" si="40"/>
        <v>1.25</v>
      </c>
      <c r="O143" s="44">
        <f t="shared" si="40"/>
        <v>1.25</v>
      </c>
      <c r="P143" s="44">
        <f t="shared" si="40"/>
        <v>1.25</v>
      </c>
      <c r="Q143" s="44">
        <f t="shared" si="40"/>
        <v>1.25</v>
      </c>
      <c r="R143" s="44">
        <f t="shared" si="40"/>
        <v>1.25</v>
      </c>
      <c r="S143" s="44">
        <f t="shared" si="40"/>
        <v>1.25</v>
      </c>
      <c r="T143" s="44">
        <f t="shared" si="41"/>
        <v>1.25</v>
      </c>
      <c r="U143" s="44">
        <f t="shared" si="41"/>
        <v>1.25</v>
      </c>
      <c r="V143" s="44">
        <f t="shared" si="41"/>
        <v>1.25</v>
      </c>
      <c r="W143" s="44">
        <f t="shared" si="41"/>
        <v>1.25</v>
      </c>
      <c r="X143" s="44">
        <f t="shared" si="41"/>
        <v>1.25</v>
      </c>
      <c r="Y143" s="44">
        <f t="shared" si="41"/>
        <v>1.25</v>
      </c>
      <c r="Z143" s="44">
        <f t="shared" si="41"/>
        <v>1.25</v>
      </c>
      <c r="AA143" s="44">
        <f t="shared" si="41"/>
        <v>1.25</v>
      </c>
      <c r="AB143" s="44">
        <f t="shared" si="41"/>
        <v>1.25</v>
      </c>
      <c r="AC143" s="44">
        <f t="shared" si="41"/>
        <v>1.25</v>
      </c>
      <c r="AD143" s="44">
        <f t="shared" si="41"/>
        <v>1.25</v>
      </c>
      <c r="AE143" s="44">
        <f t="shared" si="41"/>
        <v>1.25</v>
      </c>
      <c r="AF143" s="44">
        <f t="shared" si="41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9"/>
        <v>1.46</v>
      </c>
      <c r="C144" s="55">
        <v>1.46</v>
      </c>
      <c r="D144" s="44">
        <f t="shared" si="40"/>
        <v>1.46</v>
      </c>
      <c r="E144" s="44">
        <f t="shared" si="40"/>
        <v>1.46</v>
      </c>
      <c r="F144" s="44">
        <f t="shared" si="40"/>
        <v>1.46</v>
      </c>
      <c r="G144" s="44">
        <f t="shared" si="40"/>
        <v>1.46</v>
      </c>
      <c r="H144" s="44">
        <f t="shared" si="40"/>
        <v>1.46</v>
      </c>
      <c r="I144" s="44">
        <f t="shared" si="40"/>
        <v>1.46</v>
      </c>
      <c r="J144" s="44">
        <f t="shared" si="40"/>
        <v>1.46</v>
      </c>
      <c r="K144" s="44">
        <f t="shared" si="40"/>
        <v>1.46</v>
      </c>
      <c r="L144" s="44">
        <f t="shared" si="40"/>
        <v>1.46</v>
      </c>
      <c r="M144" s="44">
        <f t="shared" si="40"/>
        <v>1.46</v>
      </c>
      <c r="N144" s="44">
        <f t="shared" si="40"/>
        <v>1.46</v>
      </c>
      <c r="O144" s="44">
        <f t="shared" si="40"/>
        <v>1.46</v>
      </c>
      <c r="P144" s="44">
        <f t="shared" si="40"/>
        <v>1.46</v>
      </c>
      <c r="Q144" s="44">
        <f t="shared" si="40"/>
        <v>1.46</v>
      </c>
      <c r="R144" s="44">
        <f t="shared" si="40"/>
        <v>1.46</v>
      </c>
      <c r="S144" s="44">
        <f t="shared" si="40"/>
        <v>1.46</v>
      </c>
      <c r="T144" s="44">
        <f t="shared" si="41"/>
        <v>1.46</v>
      </c>
      <c r="U144" s="44">
        <f t="shared" si="41"/>
        <v>1.46</v>
      </c>
      <c r="V144" s="44">
        <f t="shared" si="41"/>
        <v>1.46</v>
      </c>
      <c r="W144" s="44">
        <f t="shared" si="41"/>
        <v>1.46</v>
      </c>
      <c r="X144" s="44">
        <f t="shared" si="41"/>
        <v>1.46</v>
      </c>
      <c r="Y144" s="44">
        <f t="shared" si="41"/>
        <v>1.46</v>
      </c>
      <c r="Z144" s="44">
        <f t="shared" si="41"/>
        <v>1.46</v>
      </c>
      <c r="AA144" s="44">
        <f t="shared" si="41"/>
        <v>1.46</v>
      </c>
      <c r="AB144" s="44">
        <f t="shared" si="41"/>
        <v>1.46</v>
      </c>
      <c r="AC144" s="44">
        <f t="shared" si="41"/>
        <v>1.46</v>
      </c>
      <c r="AD144" s="44">
        <f t="shared" si="41"/>
        <v>1.46</v>
      </c>
      <c r="AE144" s="44">
        <f t="shared" si="41"/>
        <v>1.46</v>
      </c>
      <c r="AF144" s="44">
        <f t="shared" si="41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9"/>
        <v>3</v>
      </c>
      <c r="C145" s="55">
        <v>3</v>
      </c>
      <c r="D145" s="44">
        <f t="shared" si="40"/>
        <v>3</v>
      </c>
      <c r="E145" s="44">
        <f t="shared" si="40"/>
        <v>3</v>
      </c>
      <c r="F145" s="44">
        <f t="shared" si="40"/>
        <v>3</v>
      </c>
      <c r="G145" s="44">
        <f t="shared" si="40"/>
        <v>3</v>
      </c>
      <c r="H145" s="44">
        <f t="shared" si="40"/>
        <v>3</v>
      </c>
      <c r="I145" s="44">
        <f t="shared" si="40"/>
        <v>3</v>
      </c>
      <c r="J145" s="44">
        <f t="shared" si="40"/>
        <v>3</v>
      </c>
      <c r="K145" s="44">
        <f t="shared" si="40"/>
        <v>3</v>
      </c>
      <c r="L145" s="44">
        <f t="shared" si="40"/>
        <v>3</v>
      </c>
      <c r="M145" s="44">
        <f t="shared" si="40"/>
        <v>3</v>
      </c>
      <c r="N145" s="44">
        <f t="shared" si="40"/>
        <v>3</v>
      </c>
      <c r="O145" s="44">
        <f t="shared" si="40"/>
        <v>3</v>
      </c>
      <c r="P145" s="44">
        <f t="shared" si="40"/>
        <v>3</v>
      </c>
      <c r="Q145" s="44">
        <f t="shared" si="40"/>
        <v>3</v>
      </c>
      <c r="R145" s="44">
        <f t="shared" si="40"/>
        <v>3</v>
      </c>
      <c r="S145" s="44">
        <f t="shared" si="40"/>
        <v>3</v>
      </c>
      <c r="T145" s="44">
        <f t="shared" si="41"/>
        <v>3</v>
      </c>
      <c r="U145" s="44">
        <f t="shared" si="41"/>
        <v>3</v>
      </c>
      <c r="V145" s="44">
        <f t="shared" si="41"/>
        <v>3</v>
      </c>
      <c r="W145" s="44">
        <f t="shared" si="41"/>
        <v>3</v>
      </c>
      <c r="X145" s="44">
        <f t="shared" si="41"/>
        <v>3</v>
      </c>
      <c r="Y145" s="44">
        <f t="shared" si="41"/>
        <v>3</v>
      </c>
      <c r="Z145" s="44">
        <f t="shared" si="41"/>
        <v>3</v>
      </c>
      <c r="AA145" s="44">
        <f t="shared" si="41"/>
        <v>3</v>
      </c>
      <c r="AB145" s="44">
        <f t="shared" si="41"/>
        <v>3</v>
      </c>
      <c r="AC145" s="44">
        <f t="shared" si="41"/>
        <v>3</v>
      </c>
      <c r="AD145" s="44">
        <f t="shared" si="41"/>
        <v>3</v>
      </c>
      <c r="AE145" s="44">
        <f t="shared" si="41"/>
        <v>3</v>
      </c>
      <c r="AF145" s="44">
        <f t="shared" si="41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9"/>
        <v>3.3</v>
      </c>
      <c r="C146" s="55">
        <v>3.3</v>
      </c>
      <c r="D146" s="44">
        <f t="shared" si="40"/>
        <v>3.3</v>
      </c>
      <c r="E146" s="44">
        <f t="shared" si="40"/>
        <v>3.3</v>
      </c>
      <c r="F146" s="44">
        <f t="shared" si="40"/>
        <v>3.3</v>
      </c>
      <c r="G146" s="44">
        <f t="shared" si="40"/>
        <v>3.3</v>
      </c>
      <c r="H146" s="44">
        <f t="shared" si="40"/>
        <v>3.3</v>
      </c>
      <c r="I146" s="44">
        <f t="shared" si="40"/>
        <v>3.3</v>
      </c>
      <c r="J146" s="44">
        <f t="shared" si="40"/>
        <v>3.3</v>
      </c>
      <c r="K146" s="44">
        <f t="shared" si="40"/>
        <v>3.3</v>
      </c>
      <c r="L146" s="44">
        <f t="shared" si="40"/>
        <v>3.3</v>
      </c>
      <c r="M146" s="44">
        <f t="shared" si="40"/>
        <v>3.3</v>
      </c>
      <c r="N146" s="44">
        <f t="shared" si="40"/>
        <v>3.3</v>
      </c>
      <c r="O146" s="44">
        <f t="shared" si="40"/>
        <v>3.3</v>
      </c>
      <c r="P146" s="44">
        <f t="shared" si="40"/>
        <v>3.3</v>
      </c>
      <c r="Q146" s="44">
        <f t="shared" si="40"/>
        <v>3.3</v>
      </c>
      <c r="R146" s="44">
        <f t="shared" si="40"/>
        <v>3.3</v>
      </c>
      <c r="S146" s="44">
        <f t="shared" si="40"/>
        <v>3.3</v>
      </c>
      <c r="T146" s="44">
        <f t="shared" si="41"/>
        <v>3.3</v>
      </c>
      <c r="U146" s="44">
        <f t="shared" si="41"/>
        <v>3.3</v>
      </c>
      <c r="V146" s="44">
        <f t="shared" si="41"/>
        <v>3.3</v>
      </c>
      <c r="W146" s="44">
        <f t="shared" si="41"/>
        <v>3.3</v>
      </c>
      <c r="X146" s="44">
        <f t="shared" si="41"/>
        <v>3.3</v>
      </c>
      <c r="Y146" s="44">
        <f t="shared" si="41"/>
        <v>3.3</v>
      </c>
      <c r="Z146" s="44">
        <f t="shared" si="41"/>
        <v>3.3</v>
      </c>
      <c r="AA146" s="44">
        <f t="shared" si="41"/>
        <v>3.3</v>
      </c>
      <c r="AB146" s="44">
        <f t="shared" si="41"/>
        <v>3.3</v>
      </c>
      <c r="AC146" s="44">
        <f t="shared" si="41"/>
        <v>3.3</v>
      </c>
      <c r="AD146" s="44">
        <f t="shared" si="41"/>
        <v>3.3</v>
      </c>
      <c r="AE146" s="44">
        <f t="shared" si="41"/>
        <v>3.3</v>
      </c>
      <c r="AF146" s="44">
        <f t="shared" si="41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2">C148</f>
        <v>1.76</v>
      </c>
      <c r="E148" s="44">
        <f t="shared" si="42"/>
        <v>1.76</v>
      </c>
      <c r="F148" s="44">
        <f t="shared" si="42"/>
        <v>1.76</v>
      </c>
      <c r="G148" s="44">
        <f t="shared" si="42"/>
        <v>1.76</v>
      </c>
      <c r="H148" s="44">
        <f t="shared" si="42"/>
        <v>1.76</v>
      </c>
      <c r="I148" s="44">
        <f t="shared" si="42"/>
        <v>1.76</v>
      </c>
      <c r="J148" s="44">
        <f t="shared" si="42"/>
        <v>1.76</v>
      </c>
      <c r="K148" s="44">
        <f t="shared" si="42"/>
        <v>1.76</v>
      </c>
      <c r="L148" s="44">
        <f t="shared" si="42"/>
        <v>1.76</v>
      </c>
      <c r="M148" s="44">
        <f t="shared" si="42"/>
        <v>1.76</v>
      </c>
      <c r="N148" s="44">
        <f t="shared" si="42"/>
        <v>1.76</v>
      </c>
      <c r="O148" s="44">
        <f t="shared" si="42"/>
        <v>1.76</v>
      </c>
      <c r="P148" s="44">
        <f t="shared" si="42"/>
        <v>1.76</v>
      </c>
      <c r="Q148" s="44">
        <f t="shared" si="42"/>
        <v>1.76</v>
      </c>
      <c r="R148" s="44">
        <f t="shared" si="42"/>
        <v>1.76</v>
      </c>
      <c r="S148" s="44">
        <f t="shared" si="42"/>
        <v>1.76</v>
      </c>
      <c r="T148" s="44">
        <f t="shared" ref="T148:AF149" si="43">S148</f>
        <v>1.76</v>
      </c>
      <c r="U148" s="44">
        <f t="shared" si="43"/>
        <v>1.76</v>
      </c>
      <c r="V148" s="44">
        <f t="shared" si="43"/>
        <v>1.76</v>
      </c>
      <c r="W148" s="44">
        <f t="shared" si="43"/>
        <v>1.76</v>
      </c>
      <c r="X148" s="44">
        <f t="shared" si="43"/>
        <v>1.76</v>
      </c>
      <c r="Y148" s="44">
        <f t="shared" si="43"/>
        <v>1.76</v>
      </c>
      <c r="Z148" s="44">
        <f t="shared" si="43"/>
        <v>1.76</v>
      </c>
      <c r="AA148" s="44">
        <f t="shared" si="43"/>
        <v>1.76</v>
      </c>
      <c r="AB148" s="44">
        <f t="shared" si="43"/>
        <v>1.76</v>
      </c>
      <c r="AC148" s="44">
        <f t="shared" si="43"/>
        <v>1.76</v>
      </c>
      <c r="AD148" s="44">
        <f t="shared" si="43"/>
        <v>1.76</v>
      </c>
      <c r="AE148" s="44">
        <f t="shared" si="43"/>
        <v>1.76</v>
      </c>
      <c r="AF148" s="44">
        <f t="shared" si="43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2"/>
        <v>0</v>
      </c>
      <c r="E149" s="44">
        <f t="shared" si="42"/>
        <v>0</v>
      </c>
      <c r="F149" s="44">
        <f t="shared" si="42"/>
        <v>0</v>
      </c>
      <c r="G149" s="44">
        <f t="shared" si="42"/>
        <v>0</v>
      </c>
      <c r="H149" s="44">
        <f t="shared" si="42"/>
        <v>0</v>
      </c>
      <c r="I149" s="44">
        <f t="shared" si="42"/>
        <v>0</v>
      </c>
      <c r="J149" s="44">
        <f t="shared" si="42"/>
        <v>0</v>
      </c>
      <c r="K149" s="44">
        <f t="shared" si="42"/>
        <v>0</v>
      </c>
      <c r="L149" s="44">
        <f t="shared" si="42"/>
        <v>0</v>
      </c>
      <c r="M149" s="44">
        <f t="shared" si="42"/>
        <v>0</v>
      </c>
      <c r="N149" s="44">
        <f t="shared" si="42"/>
        <v>0</v>
      </c>
      <c r="O149" s="44">
        <f t="shared" si="42"/>
        <v>0</v>
      </c>
      <c r="P149" s="44">
        <f t="shared" si="42"/>
        <v>0</v>
      </c>
      <c r="Q149" s="44">
        <f t="shared" si="42"/>
        <v>0</v>
      </c>
      <c r="R149" s="44">
        <f t="shared" si="42"/>
        <v>0</v>
      </c>
      <c r="S149" s="44">
        <f t="shared" si="42"/>
        <v>0</v>
      </c>
      <c r="T149" s="44">
        <f t="shared" si="43"/>
        <v>0</v>
      </c>
      <c r="U149" s="44">
        <f t="shared" si="43"/>
        <v>0</v>
      </c>
      <c r="V149" s="44">
        <f t="shared" si="43"/>
        <v>0</v>
      </c>
      <c r="W149" s="44">
        <f t="shared" si="43"/>
        <v>0</v>
      </c>
      <c r="X149" s="44">
        <f t="shared" si="43"/>
        <v>0</v>
      </c>
      <c r="Y149" s="44">
        <f t="shared" si="43"/>
        <v>0</v>
      </c>
      <c r="Z149" s="44">
        <f t="shared" si="43"/>
        <v>0</v>
      </c>
      <c r="AA149" s="44">
        <f t="shared" si="43"/>
        <v>0</v>
      </c>
      <c r="AB149" s="44">
        <f t="shared" si="43"/>
        <v>0</v>
      </c>
      <c r="AC149" s="44">
        <f t="shared" si="43"/>
        <v>0</v>
      </c>
      <c r="AD149" s="44">
        <f t="shared" si="43"/>
        <v>0</v>
      </c>
      <c r="AE149" s="44">
        <f t="shared" si="43"/>
        <v>0</v>
      </c>
      <c r="AF149" s="44">
        <f t="shared" si="43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4">C151</f>
        <v>0.1</v>
      </c>
      <c r="E151" s="44">
        <f t="shared" si="44"/>
        <v>0.1</v>
      </c>
      <c r="F151" s="44">
        <f t="shared" si="44"/>
        <v>0.1</v>
      </c>
      <c r="G151" s="44">
        <f t="shared" si="44"/>
        <v>0.1</v>
      </c>
      <c r="H151" s="44">
        <f t="shared" si="44"/>
        <v>0.1</v>
      </c>
      <c r="I151" s="44">
        <f t="shared" si="44"/>
        <v>0.1</v>
      </c>
      <c r="J151" s="44">
        <f t="shared" si="44"/>
        <v>0.1</v>
      </c>
      <c r="K151" s="44">
        <f t="shared" si="44"/>
        <v>0.1</v>
      </c>
      <c r="L151" s="44">
        <f t="shared" si="44"/>
        <v>0.1</v>
      </c>
      <c r="M151" s="44">
        <f t="shared" si="44"/>
        <v>0.1</v>
      </c>
      <c r="N151" s="44">
        <f t="shared" si="44"/>
        <v>0.1</v>
      </c>
      <c r="O151" s="44">
        <f t="shared" si="44"/>
        <v>0.1</v>
      </c>
      <c r="P151" s="44">
        <f t="shared" si="44"/>
        <v>0.1</v>
      </c>
      <c r="Q151" s="44">
        <f t="shared" si="44"/>
        <v>0.1</v>
      </c>
      <c r="R151" s="44">
        <f t="shared" si="44"/>
        <v>0.1</v>
      </c>
      <c r="S151" s="44">
        <f t="shared" si="44"/>
        <v>0.1</v>
      </c>
      <c r="T151" s="44">
        <f t="shared" ref="T151:AF154" si="45">S151</f>
        <v>0.1</v>
      </c>
      <c r="U151" s="44">
        <f t="shared" si="45"/>
        <v>0.1</v>
      </c>
      <c r="V151" s="44">
        <f t="shared" si="45"/>
        <v>0.1</v>
      </c>
      <c r="W151" s="44">
        <f t="shared" si="45"/>
        <v>0.1</v>
      </c>
      <c r="X151" s="44">
        <f t="shared" si="45"/>
        <v>0.1</v>
      </c>
      <c r="Y151" s="44">
        <f t="shared" si="45"/>
        <v>0.1</v>
      </c>
      <c r="Z151" s="44">
        <f t="shared" si="45"/>
        <v>0.1</v>
      </c>
      <c r="AA151" s="44">
        <f t="shared" si="45"/>
        <v>0.1</v>
      </c>
      <c r="AB151" s="44">
        <f t="shared" si="45"/>
        <v>0.1</v>
      </c>
      <c r="AC151" s="44">
        <f t="shared" si="45"/>
        <v>0.1</v>
      </c>
      <c r="AD151" s="44">
        <f t="shared" si="45"/>
        <v>0.1</v>
      </c>
      <c r="AE151" s="44">
        <f t="shared" si="45"/>
        <v>0.1</v>
      </c>
      <c r="AF151" s="44">
        <f t="shared" si="45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4"/>
        <v>2.0499999999999998</v>
      </c>
      <c r="E152" s="44">
        <f t="shared" si="44"/>
        <v>2.0499999999999998</v>
      </c>
      <c r="F152" s="44">
        <f t="shared" si="44"/>
        <v>2.0499999999999998</v>
      </c>
      <c r="G152" s="44">
        <f t="shared" si="44"/>
        <v>2.0499999999999998</v>
      </c>
      <c r="H152" s="44">
        <f t="shared" si="44"/>
        <v>2.0499999999999998</v>
      </c>
      <c r="I152" s="44">
        <f t="shared" si="44"/>
        <v>2.0499999999999998</v>
      </c>
      <c r="J152" s="44">
        <f t="shared" si="44"/>
        <v>2.0499999999999998</v>
      </c>
      <c r="K152" s="44">
        <f t="shared" si="44"/>
        <v>2.0499999999999998</v>
      </c>
      <c r="L152" s="44">
        <f t="shared" si="44"/>
        <v>2.0499999999999998</v>
      </c>
      <c r="M152" s="44">
        <f t="shared" si="44"/>
        <v>2.0499999999999998</v>
      </c>
      <c r="N152" s="44">
        <f t="shared" si="44"/>
        <v>2.0499999999999998</v>
      </c>
      <c r="O152" s="44">
        <f t="shared" si="44"/>
        <v>2.0499999999999998</v>
      </c>
      <c r="P152" s="44">
        <f t="shared" si="44"/>
        <v>2.0499999999999998</v>
      </c>
      <c r="Q152" s="44">
        <f t="shared" si="44"/>
        <v>2.0499999999999998</v>
      </c>
      <c r="R152" s="44">
        <f t="shared" si="44"/>
        <v>2.0499999999999998</v>
      </c>
      <c r="S152" s="44">
        <f t="shared" si="44"/>
        <v>2.0499999999999998</v>
      </c>
      <c r="T152" s="44">
        <f t="shared" si="45"/>
        <v>2.0499999999999998</v>
      </c>
      <c r="U152" s="44">
        <f t="shared" si="45"/>
        <v>2.0499999999999998</v>
      </c>
      <c r="V152" s="44">
        <f t="shared" si="45"/>
        <v>2.0499999999999998</v>
      </c>
      <c r="W152" s="44">
        <f t="shared" si="45"/>
        <v>2.0499999999999998</v>
      </c>
      <c r="X152" s="44">
        <f t="shared" si="45"/>
        <v>2.0499999999999998</v>
      </c>
      <c r="Y152" s="44">
        <f t="shared" si="45"/>
        <v>2.0499999999999998</v>
      </c>
      <c r="Z152" s="44">
        <f t="shared" si="45"/>
        <v>2.0499999999999998</v>
      </c>
      <c r="AA152" s="44">
        <f t="shared" si="45"/>
        <v>2.0499999999999998</v>
      </c>
      <c r="AB152" s="44">
        <f t="shared" si="45"/>
        <v>2.0499999999999998</v>
      </c>
      <c r="AC152" s="44">
        <f t="shared" si="45"/>
        <v>2.0499999999999998</v>
      </c>
      <c r="AD152" s="44">
        <f t="shared" si="45"/>
        <v>2.0499999999999998</v>
      </c>
      <c r="AE152" s="44">
        <f t="shared" si="45"/>
        <v>2.0499999999999998</v>
      </c>
      <c r="AF152" s="44">
        <f t="shared" si="45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4"/>
        <v>2.7</v>
      </c>
      <c r="E153" s="44">
        <f t="shared" si="44"/>
        <v>2.7</v>
      </c>
      <c r="F153" s="44">
        <f t="shared" si="44"/>
        <v>2.7</v>
      </c>
      <c r="G153" s="44">
        <f t="shared" si="44"/>
        <v>2.7</v>
      </c>
      <c r="H153" s="44">
        <f t="shared" si="44"/>
        <v>2.7</v>
      </c>
      <c r="I153" s="44">
        <f t="shared" si="44"/>
        <v>2.7</v>
      </c>
      <c r="J153" s="44">
        <f t="shared" si="44"/>
        <v>2.7</v>
      </c>
      <c r="K153" s="44">
        <f t="shared" si="44"/>
        <v>2.7</v>
      </c>
      <c r="L153" s="44">
        <f t="shared" si="44"/>
        <v>2.7</v>
      </c>
      <c r="M153" s="44">
        <f t="shared" si="44"/>
        <v>2.7</v>
      </c>
      <c r="N153" s="44">
        <f t="shared" si="44"/>
        <v>2.7</v>
      </c>
      <c r="O153" s="44">
        <f t="shared" si="44"/>
        <v>2.7</v>
      </c>
      <c r="P153" s="44">
        <f t="shared" si="44"/>
        <v>2.7</v>
      </c>
      <c r="Q153" s="44">
        <f t="shared" si="44"/>
        <v>2.7</v>
      </c>
      <c r="R153" s="44">
        <f t="shared" si="44"/>
        <v>2.7</v>
      </c>
      <c r="S153" s="44">
        <f t="shared" si="44"/>
        <v>2.7</v>
      </c>
      <c r="T153" s="44">
        <f t="shared" si="45"/>
        <v>2.7</v>
      </c>
      <c r="U153" s="44">
        <f t="shared" si="45"/>
        <v>2.7</v>
      </c>
      <c r="V153" s="44">
        <f t="shared" si="45"/>
        <v>2.7</v>
      </c>
      <c r="W153" s="44">
        <f t="shared" si="45"/>
        <v>2.7</v>
      </c>
      <c r="X153" s="44">
        <f t="shared" si="45"/>
        <v>2.7</v>
      </c>
      <c r="Y153" s="44">
        <f t="shared" si="45"/>
        <v>2.7</v>
      </c>
      <c r="Z153" s="44">
        <f t="shared" si="45"/>
        <v>2.7</v>
      </c>
      <c r="AA153" s="44">
        <f t="shared" si="45"/>
        <v>2.7</v>
      </c>
      <c r="AB153" s="44">
        <f t="shared" si="45"/>
        <v>2.7</v>
      </c>
      <c r="AC153" s="44">
        <f t="shared" si="45"/>
        <v>2.7</v>
      </c>
      <c r="AD153" s="44">
        <f t="shared" si="45"/>
        <v>2.7</v>
      </c>
      <c r="AE153" s="44">
        <f t="shared" si="45"/>
        <v>2.7</v>
      </c>
      <c r="AF153" s="44">
        <f t="shared" si="45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4"/>
        <v>2.15</v>
      </c>
      <c r="E154" s="44">
        <f t="shared" si="44"/>
        <v>2.15</v>
      </c>
      <c r="F154" s="44">
        <f t="shared" si="44"/>
        <v>2.15</v>
      </c>
      <c r="G154" s="44">
        <f t="shared" si="44"/>
        <v>2.15</v>
      </c>
      <c r="H154" s="44">
        <f t="shared" si="44"/>
        <v>2.15</v>
      </c>
      <c r="I154" s="44">
        <f t="shared" si="44"/>
        <v>2.15</v>
      </c>
      <c r="J154" s="44">
        <f t="shared" si="44"/>
        <v>2.15</v>
      </c>
      <c r="K154" s="44">
        <f t="shared" si="44"/>
        <v>2.15</v>
      </c>
      <c r="L154" s="44">
        <f t="shared" si="44"/>
        <v>2.15</v>
      </c>
      <c r="M154" s="44">
        <f t="shared" si="44"/>
        <v>2.15</v>
      </c>
      <c r="N154" s="44">
        <f t="shared" si="44"/>
        <v>2.15</v>
      </c>
      <c r="O154" s="44">
        <f t="shared" si="44"/>
        <v>2.15</v>
      </c>
      <c r="P154" s="44">
        <f t="shared" si="44"/>
        <v>2.15</v>
      </c>
      <c r="Q154" s="44">
        <f t="shared" si="44"/>
        <v>2.15</v>
      </c>
      <c r="R154" s="44">
        <f t="shared" si="44"/>
        <v>2.15</v>
      </c>
      <c r="S154" s="44">
        <f t="shared" si="44"/>
        <v>2.15</v>
      </c>
      <c r="T154" s="44">
        <f t="shared" si="45"/>
        <v>2.15</v>
      </c>
      <c r="U154" s="44">
        <f t="shared" si="45"/>
        <v>2.15</v>
      </c>
      <c r="V154" s="44">
        <f t="shared" si="45"/>
        <v>2.15</v>
      </c>
      <c r="W154" s="44">
        <f t="shared" si="45"/>
        <v>2.15</v>
      </c>
      <c r="X154" s="44">
        <f t="shared" si="45"/>
        <v>2.15</v>
      </c>
      <c r="Y154" s="44">
        <f t="shared" si="45"/>
        <v>2.15</v>
      </c>
      <c r="Z154" s="44">
        <f t="shared" si="45"/>
        <v>2.15</v>
      </c>
      <c r="AA154" s="44">
        <f t="shared" si="45"/>
        <v>2.15</v>
      </c>
      <c r="AB154" s="44">
        <f t="shared" si="45"/>
        <v>2.15</v>
      </c>
      <c r="AC154" s="44">
        <f t="shared" si="45"/>
        <v>2.15</v>
      </c>
      <c r="AD154" s="44">
        <f t="shared" si="45"/>
        <v>2.15</v>
      </c>
      <c r="AE154" s="44">
        <f t="shared" si="45"/>
        <v>2.15</v>
      </c>
      <c r="AF154" s="44">
        <f t="shared" si="45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6">AF156</f>
        <v>0.9</v>
      </c>
      <c r="C156" s="55">
        <v>0.9</v>
      </c>
      <c r="D156" s="44">
        <f t="shared" ref="D156:S168" si="47">C156</f>
        <v>0.9</v>
      </c>
      <c r="E156" s="44">
        <f t="shared" si="47"/>
        <v>0.9</v>
      </c>
      <c r="F156" s="44">
        <f t="shared" si="47"/>
        <v>0.9</v>
      </c>
      <c r="G156" s="44">
        <f t="shared" si="47"/>
        <v>0.9</v>
      </c>
      <c r="H156" s="44">
        <f t="shared" si="47"/>
        <v>0.9</v>
      </c>
      <c r="I156" s="44">
        <f t="shared" si="47"/>
        <v>0.9</v>
      </c>
      <c r="J156" s="44">
        <f t="shared" si="47"/>
        <v>0.9</v>
      </c>
      <c r="K156" s="44">
        <f t="shared" si="47"/>
        <v>0.9</v>
      </c>
      <c r="L156" s="44">
        <f t="shared" si="47"/>
        <v>0.9</v>
      </c>
      <c r="M156" s="44">
        <f t="shared" si="47"/>
        <v>0.9</v>
      </c>
      <c r="N156" s="44">
        <f t="shared" si="47"/>
        <v>0.9</v>
      </c>
      <c r="O156" s="44">
        <f t="shared" si="47"/>
        <v>0.9</v>
      </c>
      <c r="P156" s="44">
        <f t="shared" si="47"/>
        <v>0.9</v>
      </c>
      <c r="Q156" s="44">
        <f t="shared" si="47"/>
        <v>0.9</v>
      </c>
      <c r="R156" s="44">
        <f t="shared" si="47"/>
        <v>0.9</v>
      </c>
      <c r="S156" s="44">
        <f t="shared" si="47"/>
        <v>0.9</v>
      </c>
      <c r="T156" s="44">
        <f t="shared" ref="S156:AF168" si="48">S156</f>
        <v>0.9</v>
      </c>
      <c r="U156" s="44">
        <f t="shared" si="48"/>
        <v>0.9</v>
      </c>
      <c r="V156" s="44">
        <f t="shared" si="48"/>
        <v>0.9</v>
      </c>
      <c r="W156" s="44">
        <f t="shared" si="48"/>
        <v>0.9</v>
      </c>
      <c r="X156" s="44">
        <f t="shared" si="48"/>
        <v>0.9</v>
      </c>
      <c r="Y156" s="44">
        <f t="shared" si="48"/>
        <v>0.9</v>
      </c>
      <c r="Z156" s="44">
        <f t="shared" si="48"/>
        <v>0.9</v>
      </c>
      <c r="AA156" s="44">
        <f t="shared" si="48"/>
        <v>0.9</v>
      </c>
      <c r="AB156" s="44">
        <f t="shared" si="48"/>
        <v>0.9</v>
      </c>
      <c r="AC156" s="44">
        <f t="shared" si="48"/>
        <v>0.9</v>
      </c>
      <c r="AD156" s="44">
        <f t="shared" si="48"/>
        <v>0.9</v>
      </c>
      <c r="AE156" s="44">
        <f t="shared" si="48"/>
        <v>0.9</v>
      </c>
      <c r="AF156" s="44">
        <f t="shared" si="48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6"/>
        <v>1.08</v>
      </c>
      <c r="C157" s="55">
        <v>1.08</v>
      </c>
      <c r="D157" s="44">
        <f t="shared" si="47"/>
        <v>1.08</v>
      </c>
      <c r="E157" s="44">
        <f t="shared" si="47"/>
        <v>1.08</v>
      </c>
      <c r="F157" s="44">
        <f t="shared" si="47"/>
        <v>1.08</v>
      </c>
      <c r="G157" s="44">
        <f t="shared" si="47"/>
        <v>1.08</v>
      </c>
      <c r="H157" s="44">
        <f t="shared" si="47"/>
        <v>1.08</v>
      </c>
      <c r="I157" s="44">
        <f t="shared" si="47"/>
        <v>1.08</v>
      </c>
      <c r="J157" s="44">
        <f t="shared" si="47"/>
        <v>1.08</v>
      </c>
      <c r="K157" s="44">
        <f t="shared" si="47"/>
        <v>1.08</v>
      </c>
      <c r="L157" s="44">
        <f t="shared" si="47"/>
        <v>1.08</v>
      </c>
      <c r="M157" s="44">
        <f t="shared" si="47"/>
        <v>1.08</v>
      </c>
      <c r="N157" s="44">
        <f t="shared" si="47"/>
        <v>1.08</v>
      </c>
      <c r="O157" s="44">
        <f t="shared" si="47"/>
        <v>1.08</v>
      </c>
      <c r="P157" s="44">
        <f t="shared" si="47"/>
        <v>1.08</v>
      </c>
      <c r="Q157" s="44">
        <f t="shared" si="47"/>
        <v>1.08</v>
      </c>
      <c r="R157" s="44">
        <f t="shared" si="47"/>
        <v>1.08</v>
      </c>
      <c r="S157" s="44">
        <f t="shared" si="47"/>
        <v>1.08</v>
      </c>
      <c r="T157" s="44">
        <f t="shared" si="48"/>
        <v>1.08</v>
      </c>
      <c r="U157" s="44">
        <f t="shared" si="48"/>
        <v>1.08</v>
      </c>
      <c r="V157" s="44">
        <f t="shared" si="48"/>
        <v>1.08</v>
      </c>
      <c r="W157" s="44">
        <f t="shared" si="48"/>
        <v>1.08</v>
      </c>
      <c r="X157" s="44">
        <f t="shared" si="48"/>
        <v>1.08</v>
      </c>
      <c r="Y157" s="44">
        <f t="shared" si="48"/>
        <v>1.08</v>
      </c>
      <c r="Z157" s="44">
        <f t="shared" si="48"/>
        <v>1.08</v>
      </c>
      <c r="AA157" s="44">
        <f t="shared" si="48"/>
        <v>1.08</v>
      </c>
      <c r="AB157" s="44">
        <f t="shared" si="48"/>
        <v>1.08</v>
      </c>
      <c r="AC157" s="44">
        <f t="shared" si="48"/>
        <v>1.08</v>
      </c>
      <c r="AD157" s="44">
        <f t="shared" si="48"/>
        <v>1.08</v>
      </c>
      <c r="AE157" s="44">
        <f t="shared" si="48"/>
        <v>1.08</v>
      </c>
      <c r="AF157" s="44">
        <f t="shared" si="48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6"/>
        <v>2.37</v>
      </c>
      <c r="C158" s="55">
        <v>2.37</v>
      </c>
      <c r="D158" s="44">
        <f t="shared" si="47"/>
        <v>2.37</v>
      </c>
      <c r="E158" s="44">
        <f t="shared" si="47"/>
        <v>2.37</v>
      </c>
      <c r="F158" s="44">
        <f t="shared" si="47"/>
        <v>2.37</v>
      </c>
      <c r="G158" s="44">
        <f t="shared" si="47"/>
        <v>2.37</v>
      </c>
      <c r="H158" s="44">
        <f t="shared" si="47"/>
        <v>2.37</v>
      </c>
      <c r="I158" s="44">
        <f t="shared" si="47"/>
        <v>2.37</v>
      </c>
      <c r="J158" s="44">
        <f t="shared" si="47"/>
        <v>2.37</v>
      </c>
      <c r="K158" s="44">
        <f t="shared" si="47"/>
        <v>2.37</v>
      </c>
      <c r="L158" s="44">
        <f t="shared" si="47"/>
        <v>2.37</v>
      </c>
      <c r="M158" s="44">
        <f t="shared" si="47"/>
        <v>2.37</v>
      </c>
      <c r="N158" s="44">
        <f t="shared" si="47"/>
        <v>2.37</v>
      </c>
      <c r="O158" s="44">
        <f t="shared" si="47"/>
        <v>2.37</v>
      </c>
      <c r="P158" s="44">
        <f t="shared" si="47"/>
        <v>2.37</v>
      </c>
      <c r="Q158" s="44">
        <f t="shared" si="47"/>
        <v>2.37</v>
      </c>
      <c r="R158" s="44">
        <f t="shared" si="47"/>
        <v>2.37</v>
      </c>
      <c r="S158" s="44">
        <f t="shared" si="47"/>
        <v>2.37</v>
      </c>
      <c r="T158" s="44">
        <f t="shared" si="48"/>
        <v>2.37</v>
      </c>
      <c r="U158" s="44">
        <f t="shared" si="48"/>
        <v>2.37</v>
      </c>
      <c r="V158" s="44">
        <f t="shared" si="48"/>
        <v>2.37</v>
      </c>
      <c r="W158" s="44">
        <f t="shared" si="48"/>
        <v>2.37</v>
      </c>
      <c r="X158" s="44">
        <f t="shared" si="48"/>
        <v>2.37</v>
      </c>
      <c r="Y158" s="44">
        <f t="shared" si="48"/>
        <v>2.37</v>
      </c>
      <c r="Z158" s="44">
        <f t="shared" si="48"/>
        <v>2.37</v>
      </c>
      <c r="AA158" s="44">
        <f t="shared" si="48"/>
        <v>2.37</v>
      </c>
      <c r="AB158" s="44">
        <f t="shared" si="48"/>
        <v>2.37</v>
      </c>
      <c r="AC158" s="44">
        <f t="shared" si="48"/>
        <v>2.37</v>
      </c>
      <c r="AD158" s="44">
        <f t="shared" si="48"/>
        <v>2.37</v>
      </c>
      <c r="AE158" s="44">
        <f t="shared" si="48"/>
        <v>2.37</v>
      </c>
      <c r="AF158" s="44">
        <f t="shared" si="48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6"/>
        <v>1.81</v>
      </c>
      <c r="C159" s="55">
        <v>1.81</v>
      </c>
      <c r="D159" s="44">
        <f t="shared" si="47"/>
        <v>1.81</v>
      </c>
      <c r="E159" s="44">
        <f t="shared" si="47"/>
        <v>1.81</v>
      </c>
      <c r="F159" s="44">
        <f t="shared" si="47"/>
        <v>1.81</v>
      </c>
      <c r="G159" s="44">
        <f t="shared" si="47"/>
        <v>1.81</v>
      </c>
      <c r="H159" s="44">
        <f t="shared" si="47"/>
        <v>1.81</v>
      </c>
      <c r="I159" s="44">
        <f t="shared" si="47"/>
        <v>1.81</v>
      </c>
      <c r="J159" s="44">
        <f t="shared" si="47"/>
        <v>1.81</v>
      </c>
      <c r="K159" s="44">
        <f t="shared" si="47"/>
        <v>1.81</v>
      </c>
      <c r="L159" s="44">
        <f t="shared" si="47"/>
        <v>1.81</v>
      </c>
      <c r="M159" s="44">
        <f t="shared" si="47"/>
        <v>1.81</v>
      </c>
      <c r="N159" s="44">
        <f t="shared" si="47"/>
        <v>1.81</v>
      </c>
      <c r="O159" s="44">
        <f t="shared" si="47"/>
        <v>1.81</v>
      </c>
      <c r="P159" s="44">
        <f t="shared" si="47"/>
        <v>1.81</v>
      </c>
      <c r="Q159" s="44">
        <f t="shared" si="47"/>
        <v>1.81</v>
      </c>
      <c r="R159" s="44">
        <f t="shared" si="47"/>
        <v>1.81</v>
      </c>
      <c r="S159" s="44">
        <f t="shared" si="47"/>
        <v>1.81</v>
      </c>
      <c r="T159" s="44">
        <f t="shared" si="48"/>
        <v>1.81</v>
      </c>
      <c r="U159" s="44">
        <f t="shared" si="48"/>
        <v>1.81</v>
      </c>
      <c r="V159" s="44">
        <f t="shared" si="48"/>
        <v>1.81</v>
      </c>
      <c r="W159" s="44">
        <f t="shared" si="48"/>
        <v>1.81</v>
      </c>
      <c r="X159" s="44">
        <f t="shared" si="48"/>
        <v>1.81</v>
      </c>
      <c r="Y159" s="44">
        <f t="shared" si="48"/>
        <v>1.81</v>
      </c>
      <c r="Z159" s="44">
        <f t="shared" si="48"/>
        <v>1.81</v>
      </c>
      <c r="AA159" s="44">
        <f t="shared" si="48"/>
        <v>1.81</v>
      </c>
      <c r="AB159" s="44">
        <f t="shared" si="48"/>
        <v>1.81</v>
      </c>
      <c r="AC159" s="44">
        <f t="shared" si="48"/>
        <v>1.81</v>
      </c>
      <c r="AD159" s="44">
        <f t="shared" si="48"/>
        <v>1.81</v>
      </c>
      <c r="AE159" s="44">
        <f t="shared" si="48"/>
        <v>1.81</v>
      </c>
      <c r="AF159" s="44">
        <f t="shared" si="48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6"/>
        <v>1.0900000000000001</v>
      </c>
      <c r="C160" s="55">
        <v>1.0900000000000001</v>
      </c>
      <c r="D160" s="44">
        <f t="shared" si="47"/>
        <v>1.0900000000000001</v>
      </c>
      <c r="E160" s="44">
        <f t="shared" si="47"/>
        <v>1.0900000000000001</v>
      </c>
      <c r="F160" s="44">
        <f t="shared" si="47"/>
        <v>1.0900000000000001</v>
      </c>
      <c r="G160" s="44">
        <f t="shared" si="47"/>
        <v>1.0900000000000001</v>
      </c>
      <c r="H160" s="44">
        <f t="shared" si="47"/>
        <v>1.0900000000000001</v>
      </c>
      <c r="I160" s="44">
        <f t="shared" si="47"/>
        <v>1.0900000000000001</v>
      </c>
      <c r="J160" s="44">
        <f t="shared" si="47"/>
        <v>1.0900000000000001</v>
      </c>
      <c r="K160" s="44">
        <f t="shared" si="47"/>
        <v>1.0900000000000001</v>
      </c>
      <c r="L160" s="44">
        <f t="shared" si="47"/>
        <v>1.0900000000000001</v>
      </c>
      <c r="M160" s="44">
        <f t="shared" si="47"/>
        <v>1.0900000000000001</v>
      </c>
      <c r="N160" s="44">
        <f t="shared" si="47"/>
        <v>1.0900000000000001</v>
      </c>
      <c r="O160" s="44">
        <f t="shared" si="47"/>
        <v>1.0900000000000001</v>
      </c>
      <c r="P160" s="44">
        <f t="shared" si="47"/>
        <v>1.0900000000000001</v>
      </c>
      <c r="Q160" s="44">
        <f t="shared" si="47"/>
        <v>1.0900000000000001</v>
      </c>
      <c r="R160" s="44">
        <f t="shared" si="47"/>
        <v>1.0900000000000001</v>
      </c>
      <c r="S160" s="44">
        <f t="shared" si="47"/>
        <v>1.0900000000000001</v>
      </c>
      <c r="T160" s="44">
        <f t="shared" si="48"/>
        <v>1.0900000000000001</v>
      </c>
      <c r="U160" s="44">
        <f t="shared" si="48"/>
        <v>1.0900000000000001</v>
      </c>
      <c r="V160" s="44">
        <f t="shared" si="48"/>
        <v>1.0900000000000001</v>
      </c>
      <c r="W160" s="44">
        <f t="shared" si="48"/>
        <v>1.0900000000000001</v>
      </c>
      <c r="X160" s="44">
        <f t="shared" si="48"/>
        <v>1.0900000000000001</v>
      </c>
      <c r="Y160" s="44">
        <f t="shared" si="48"/>
        <v>1.0900000000000001</v>
      </c>
      <c r="Z160" s="44">
        <f t="shared" si="48"/>
        <v>1.0900000000000001</v>
      </c>
      <c r="AA160" s="44">
        <f t="shared" si="48"/>
        <v>1.0900000000000001</v>
      </c>
      <c r="AB160" s="44">
        <f t="shared" si="48"/>
        <v>1.0900000000000001</v>
      </c>
      <c r="AC160" s="44">
        <f t="shared" si="48"/>
        <v>1.0900000000000001</v>
      </c>
      <c r="AD160" s="44">
        <f t="shared" si="48"/>
        <v>1.0900000000000001</v>
      </c>
      <c r="AE160" s="44">
        <f t="shared" si="48"/>
        <v>1.0900000000000001</v>
      </c>
      <c r="AF160" s="44">
        <f t="shared" si="48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6"/>
        <v>1.58</v>
      </c>
      <c r="C161" s="55">
        <v>1.58</v>
      </c>
      <c r="D161" s="44">
        <f t="shared" si="47"/>
        <v>1.58</v>
      </c>
      <c r="E161" s="44">
        <f t="shared" si="47"/>
        <v>1.58</v>
      </c>
      <c r="F161" s="44">
        <f t="shared" si="47"/>
        <v>1.58</v>
      </c>
      <c r="G161" s="44">
        <f t="shared" si="47"/>
        <v>1.58</v>
      </c>
      <c r="H161" s="44">
        <f t="shared" si="47"/>
        <v>1.58</v>
      </c>
      <c r="I161" s="44">
        <f t="shared" si="47"/>
        <v>1.58</v>
      </c>
      <c r="J161" s="44">
        <f t="shared" si="47"/>
        <v>1.58</v>
      </c>
      <c r="K161" s="44">
        <f t="shared" si="47"/>
        <v>1.58</v>
      </c>
      <c r="L161" s="44">
        <f t="shared" si="47"/>
        <v>1.58</v>
      </c>
      <c r="M161" s="44">
        <f t="shared" si="47"/>
        <v>1.58</v>
      </c>
      <c r="N161" s="44">
        <f t="shared" si="47"/>
        <v>1.58</v>
      </c>
      <c r="O161" s="44">
        <f t="shared" si="47"/>
        <v>1.58</v>
      </c>
      <c r="P161" s="44">
        <f t="shared" si="47"/>
        <v>1.58</v>
      </c>
      <c r="Q161" s="44">
        <f t="shared" si="47"/>
        <v>1.58</v>
      </c>
      <c r="R161" s="44">
        <f t="shared" si="47"/>
        <v>1.58</v>
      </c>
      <c r="S161" s="44">
        <f t="shared" si="47"/>
        <v>1.58</v>
      </c>
      <c r="T161" s="44">
        <f t="shared" si="48"/>
        <v>1.58</v>
      </c>
      <c r="U161" s="44">
        <f t="shared" si="48"/>
        <v>1.58</v>
      </c>
      <c r="V161" s="44">
        <f t="shared" si="48"/>
        <v>1.58</v>
      </c>
      <c r="W161" s="44">
        <f t="shared" si="48"/>
        <v>1.58</v>
      </c>
      <c r="X161" s="44">
        <f t="shared" si="48"/>
        <v>1.58</v>
      </c>
      <c r="Y161" s="44">
        <f t="shared" si="48"/>
        <v>1.58</v>
      </c>
      <c r="Z161" s="44">
        <f t="shared" si="48"/>
        <v>1.58</v>
      </c>
      <c r="AA161" s="44">
        <f t="shared" si="48"/>
        <v>1.58</v>
      </c>
      <c r="AB161" s="44">
        <f t="shared" si="48"/>
        <v>1.58</v>
      </c>
      <c r="AC161" s="44">
        <f t="shared" si="48"/>
        <v>1.58</v>
      </c>
      <c r="AD161" s="44">
        <f t="shared" si="48"/>
        <v>1.58</v>
      </c>
      <c r="AE161" s="44">
        <f t="shared" si="48"/>
        <v>1.58</v>
      </c>
      <c r="AF161" s="44">
        <f t="shared" si="48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6"/>
        <v>2</v>
      </c>
      <c r="C162" s="55">
        <v>2</v>
      </c>
      <c r="D162" s="44">
        <f t="shared" si="47"/>
        <v>2</v>
      </c>
      <c r="E162" s="44">
        <f t="shared" si="47"/>
        <v>2</v>
      </c>
      <c r="F162" s="44">
        <f t="shared" si="47"/>
        <v>2</v>
      </c>
      <c r="G162" s="44">
        <f t="shared" si="47"/>
        <v>2</v>
      </c>
      <c r="H162" s="44">
        <f t="shared" si="47"/>
        <v>2</v>
      </c>
      <c r="I162" s="44">
        <f t="shared" si="47"/>
        <v>2</v>
      </c>
      <c r="J162" s="44">
        <f t="shared" si="47"/>
        <v>2</v>
      </c>
      <c r="K162" s="44">
        <f t="shared" si="47"/>
        <v>2</v>
      </c>
      <c r="L162" s="44">
        <f t="shared" si="47"/>
        <v>2</v>
      </c>
      <c r="M162" s="44">
        <f t="shared" si="47"/>
        <v>2</v>
      </c>
      <c r="N162" s="44">
        <f t="shared" si="47"/>
        <v>2</v>
      </c>
      <c r="O162" s="44">
        <f t="shared" si="47"/>
        <v>2</v>
      </c>
      <c r="P162" s="44">
        <f t="shared" si="47"/>
        <v>2</v>
      </c>
      <c r="Q162" s="44">
        <f t="shared" si="47"/>
        <v>2</v>
      </c>
      <c r="R162" s="44">
        <f t="shared" si="47"/>
        <v>2</v>
      </c>
      <c r="S162" s="44">
        <f t="shared" si="47"/>
        <v>2</v>
      </c>
      <c r="T162" s="44">
        <f t="shared" si="48"/>
        <v>2</v>
      </c>
      <c r="U162" s="44">
        <f t="shared" si="48"/>
        <v>2</v>
      </c>
      <c r="V162" s="44">
        <f t="shared" si="48"/>
        <v>2</v>
      </c>
      <c r="W162" s="44">
        <f t="shared" si="48"/>
        <v>2</v>
      </c>
      <c r="X162" s="44">
        <f t="shared" si="48"/>
        <v>2</v>
      </c>
      <c r="Y162" s="44">
        <f t="shared" si="48"/>
        <v>2</v>
      </c>
      <c r="Z162" s="44">
        <f t="shared" si="48"/>
        <v>2</v>
      </c>
      <c r="AA162" s="44">
        <f t="shared" si="48"/>
        <v>2</v>
      </c>
      <c r="AB162" s="44">
        <f t="shared" si="48"/>
        <v>2</v>
      </c>
      <c r="AC162" s="44">
        <f t="shared" si="48"/>
        <v>2</v>
      </c>
      <c r="AD162" s="44">
        <f t="shared" si="48"/>
        <v>2</v>
      </c>
      <c r="AE162" s="44">
        <f t="shared" si="48"/>
        <v>2</v>
      </c>
      <c r="AF162" s="44">
        <f t="shared" si="48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6"/>
        <v>0.47</v>
      </c>
      <c r="C163" s="55">
        <v>0.47</v>
      </c>
      <c r="D163" s="44">
        <f t="shared" si="47"/>
        <v>0.47</v>
      </c>
      <c r="E163" s="44">
        <f t="shared" si="47"/>
        <v>0.47</v>
      </c>
      <c r="F163" s="44">
        <f t="shared" si="47"/>
        <v>0.47</v>
      </c>
      <c r="G163" s="44">
        <f t="shared" si="47"/>
        <v>0.47</v>
      </c>
      <c r="H163" s="44">
        <f t="shared" si="47"/>
        <v>0.47</v>
      </c>
      <c r="I163" s="44">
        <f t="shared" si="47"/>
        <v>0.47</v>
      </c>
      <c r="J163" s="44">
        <f t="shared" si="47"/>
        <v>0.47</v>
      </c>
      <c r="K163" s="44">
        <f t="shared" si="47"/>
        <v>0.47</v>
      </c>
      <c r="L163" s="44">
        <f t="shared" si="47"/>
        <v>0.47</v>
      </c>
      <c r="M163" s="44">
        <f t="shared" si="47"/>
        <v>0.47</v>
      </c>
      <c r="N163" s="44">
        <f t="shared" si="47"/>
        <v>0.47</v>
      </c>
      <c r="O163" s="44">
        <f t="shared" si="47"/>
        <v>0.47</v>
      </c>
      <c r="P163" s="44">
        <f t="shared" si="47"/>
        <v>0.47</v>
      </c>
      <c r="Q163" s="44">
        <f t="shared" si="47"/>
        <v>0.47</v>
      </c>
      <c r="R163" s="44">
        <f t="shared" si="47"/>
        <v>0.47</v>
      </c>
      <c r="S163" s="44">
        <f t="shared" si="47"/>
        <v>0.47</v>
      </c>
      <c r="T163" s="44">
        <f t="shared" si="48"/>
        <v>0.47</v>
      </c>
      <c r="U163" s="44">
        <f t="shared" si="48"/>
        <v>0.47</v>
      </c>
      <c r="V163" s="44">
        <f t="shared" si="48"/>
        <v>0.47</v>
      </c>
      <c r="W163" s="44">
        <f t="shared" si="48"/>
        <v>0.47</v>
      </c>
      <c r="X163" s="44">
        <f t="shared" si="48"/>
        <v>0.47</v>
      </c>
      <c r="Y163" s="44">
        <f t="shared" si="48"/>
        <v>0.47</v>
      </c>
      <c r="Z163" s="44">
        <f t="shared" si="48"/>
        <v>0.47</v>
      </c>
      <c r="AA163" s="44">
        <f t="shared" si="48"/>
        <v>0.47</v>
      </c>
      <c r="AB163" s="44">
        <f t="shared" si="48"/>
        <v>0.47</v>
      </c>
      <c r="AC163" s="44">
        <f t="shared" si="48"/>
        <v>0.47</v>
      </c>
      <c r="AD163" s="44">
        <f t="shared" si="48"/>
        <v>0.47</v>
      </c>
      <c r="AE163" s="44">
        <f t="shared" si="48"/>
        <v>0.47</v>
      </c>
      <c r="AF163" s="44">
        <f t="shared" si="48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6"/>
        <v>0</v>
      </c>
      <c r="C164" s="55">
        <v>0</v>
      </c>
      <c r="D164" s="44">
        <f t="shared" si="47"/>
        <v>0</v>
      </c>
      <c r="E164" s="44">
        <f t="shared" si="47"/>
        <v>0</v>
      </c>
      <c r="F164" s="44">
        <f t="shared" si="47"/>
        <v>0</v>
      </c>
      <c r="G164" s="44">
        <f t="shared" si="47"/>
        <v>0</v>
      </c>
      <c r="H164" s="44">
        <f t="shared" si="47"/>
        <v>0</v>
      </c>
      <c r="I164" s="44">
        <f t="shared" si="47"/>
        <v>0</v>
      </c>
      <c r="J164" s="44">
        <f t="shared" si="47"/>
        <v>0</v>
      </c>
      <c r="K164" s="44">
        <f t="shared" si="47"/>
        <v>0</v>
      </c>
      <c r="L164" s="44">
        <f t="shared" si="47"/>
        <v>0</v>
      </c>
      <c r="M164" s="44">
        <f t="shared" si="47"/>
        <v>0</v>
      </c>
      <c r="N164" s="44">
        <f t="shared" si="47"/>
        <v>0</v>
      </c>
      <c r="O164" s="44">
        <f t="shared" si="47"/>
        <v>0</v>
      </c>
      <c r="P164" s="44">
        <f t="shared" si="47"/>
        <v>0</v>
      </c>
      <c r="Q164" s="44">
        <f t="shared" si="47"/>
        <v>0</v>
      </c>
      <c r="R164" s="44">
        <f t="shared" si="47"/>
        <v>0</v>
      </c>
      <c r="S164" s="44">
        <f t="shared" si="47"/>
        <v>0</v>
      </c>
      <c r="T164" s="44">
        <f t="shared" si="48"/>
        <v>0</v>
      </c>
      <c r="U164" s="44">
        <f t="shared" si="48"/>
        <v>0</v>
      </c>
      <c r="V164" s="44">
        <f t="shared" si="48"/>
        <v>0</v>
      </c>
      <c r="W164" s="44">
        <f t="shared" si="48"/>
        <v>0</v>
      </c>
      <c r="X164" s="44">
        <f t="shared" si="48"/>
        <v>0</v>
      </c>
      <c r="Y164" s="44">
        <f t="shared" si="48"/>
        <v>0</v>
      </c>
      <c r="Z164" s="44">
        <f t="shared" si="48"/>
        <v>0</v>
      </c>
      <c r="AA164" s="44">
        <f t="shared" si="48"/>
        <v>0</v>
      </c>
      <c r="AB164" s="44">
        <f t="shared" si="48"/>
        <v>0</v>
      </c>
      <c r="AC164" s="44">
        <f t="shared" si="48"/>
        <v>0</v>
      </c>
      <c r="AD164" s="44">
        <f t="shared" si="48"/>
        <v>0</v>
      </c>
      <c r="AE164" s="44">
        <f t="shared" si="48"/>
        <v>0</v>
      </c>
      <c r="AF164" s="44">
        <f t="shared" si="48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6"/>
        <v>0</v>
      </c>
      <c r="C165" s="55">
        <v>0</v>
      </c>
      <c r="D165" s="44">
        <f t="shared" si="47"/>
        <v>0</v>
      </c>
      <c r="E165" s="44">
        <f t="shared" si="47"/>
        <v>0</v>
      </c>
      <c r="F165" s="44">
        <f t="shared" si="47"/>
        <v>0</v>
      </c>
      <c r="G165" s="44">
        <f t="shared" si="47"/>
        <v>0</v>
      </c>
      <c r="H165" s="44">
        <f t="shared" si="47"/>
        <v>0</v>
      </c>
      <c r="I165" s="44">
        <f t="shared" si="47"/>
        <v>0</v>
      </c>
      <c r="J165" s="44">
        <f t="shared" si="47"/>
        <v>0</v>
      </c>
      <c r="K165" s="44">
        <f t="shared" si="47"/>
        <v>0</v>
      </c>
      <c r="L165" s="44">
        <f t="shared" si="47"/>
        <v>0</v>
      </c>
      <c r="M165" s="44">
        <f t="shared" si="47"/>
        <v>0</v>
      </c>
      <c r="N165" s="44">
        <f t="shared" si="47"/>
        <v>0</v>
      </c>
      <c r="O165" s="44">
        <f t="shared" si="47"/>
        <v>0</v>
      </c>
      <c r="P165" s="44">
        <f t="shared" si="47"/>
        <v>0</v>
      </c>
      <c r="Q165" s="44">
        <f t="shared" si="47"/>
        <v>0</v>
      </c>
      <c r="R165" s="44">
        <f t="shared" si="47"/>
        <v>0</v>
      </c>
      <c r="S165" s="44">
        <f t="shared" si="48"/>
        <v>0</v>
      </c>
      <c r="T165" s="44">
        <f t="shared" si="48"/>
        <v>0</v>
      </c>
      <c r="U165" s="44">
        <f t="shared" si="48"/>
        <v>0</v>
      </c>
      <c r="V165" s="44">
        <f t="shared" si="48"/>
        <v>0</v>
      </c>
      <c r="W165" s="44">
        <f t="shared" si="48"/>
        <v>0</v>
      </c>
      <c r="X165" s="44">
        <f t="shared" si="48"/>
        <v>0</v>
      </c>
      <c r="Y165" s="44">
        <f t="shared" si="48"/>
        <v>0</v>
      </c>
      <c r="Z165" s="44">
        <f t="shared" si="48"/>
        <v>0</v>
      </c>
      <c r="AA165" s="44">
        <f t="shared" si="48"/>
        <v>0</v>
      </c>
      <c r="AB165" s="44">
        <f t="shared" si="48"/>
        <v>0</v>
      </c>
      <c r="AC165" s="44">
        <f t="shared" si="48"/>
        <v>0</v>
      </c>
      <c r="AD165" s="44">
        <f t="shared" si="48"/>
        <v>0</v>
      </c>
      <c r="AE165" s="44">
        <f t="shared" si="48"/>
        <v>0</v>
      </c>
      <c r="AF165" s="44">
        <f t="shared" si="48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6"/>
        <v>0.8</v>
      </c>
      <c r="C166" s="55">
        <v>0.8</v>
      </c>
      <c r="D166" s="44">
        <f t="shared" si="47"/>
        <v>0.8</v>
      </c>
      <c r="E166" s="44">
        <f t="shared" si="47"/>
        <v>0.8</v>
      </c>
      <c r="F166" s="44">
        <f t="shared" si="47"/>
        <v>0.8</v>
      </c>
      <c r="G166" s="44">
        <f t="shared" si="47"/>
        <v>0.8</v>
      </c>
      <c r="H166" s="44">
        <f t="shared" si="47"/>
        <v>0.8</v>
      </c>
      <c r="I166" s="44">
        <f t="shared" si="47"/>
        <v>0.8</v>
      </c>
      <c r="J166" s="44">
        <f t="shared" si="47"/>
        <v>0.8</v>
      </c>
      <c r="K166" s="44">
        <f t="shared" si="47"/>
        <v>0.8</v>
      </c>
      <c r="L166" s="44">
        <f t="shared" si="47"/>
        <v>0.8</v>
      </c>
      <c r="M166" s="44">
        <f t="shared" si="47"/>
        <v>0.8</v>
      </c>
      <c r="N166" s="44">
        <f t="shared" si="47"/>
        <v>0.8</v>
      </c>
      <c r="O166" s="44">
        <f t="shared" si="47"/>
        <v>0.8</v>
      </c>
      <c r="P166" s="44">
        <f t="shared" si="47"/>
        <v>0.8</v>
      </c>
      <c r="Q166" s="44">
        <f t="shared" si="47"/>
        <v>0.8</v>
      </c>
      <c r="R166" s="44">
        <f t="shared" si="47"/>
        <v>0.8</v>
      </c>
      <c r="S166" s="44">
        <f t="shared" si="48"/>
        <v>0.8</v>
      </c>
      <c r="T166" s="44">
        <f t="shared" si="48"/>
        <v>0.8</v>
      </c>
      <c r="U166" s="44">
        <f t="shared" si="48"/>
        <v>0.8</v>
      </c>
      <c r="V166" s="44">
        <f t="shared" si="48"/>
        <v>0.8</v>
      </c>
      <c r="W166" s="44">
        <f t="shared" si="48"/>
        <v>0.8</v>
      </c>
      <c r="X166" s="44">
        <f t="shared" si="48"/>
        <v>0.8</v>
      </c>
      <c r="Y166" s="44">
        <f t="shared" si="48"/>
        <v>0.8</v>
      </c>
      <c r="Z166" s="44">
        <f t="shared" si="48"/>
        <v>0.8</v>
      </c>
      <c r="AA166" s="44">
        <f t="shared" si="48"/>
        <v>0.8</v>
      </c>
      <c r="AB166" s="44">
        <f t="shared" si="48"/>
        <v>0.8</v>
      </c>
      <c r="AC166" s="44">
        <f t="shared" si="48"/>
        <v>0.8</v>
      </c>
      <c r="AD166" s="44">
        <f t="shared" si="48"/>
        <v>0.8</v>
      </c>
      <c r="AE166" s="44">
        <f t="shared" si="48"/>
        <v>0.8</v>
      </c>
      <c r="AF166" s="44">
        <f t="shared" si="48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6"/>
        <v>1.5</v>
      </c>
      <c r="C167" s="55">
        <v>1.5</v>
      </c>
      <c r="D167" s="44">
        <f t="shared" si="47"/>
        <v>1.5</v>
      </c>
      <c r="E167" s="44">
        <f t="shared" si="47"/>
        <v>1.5</v>
      </c>
      <c r="F167" s="44">
        <f t="shared" si="47"/>
        <v>1.5</v>
      </c>
      <c r="G167" s="44">
        <f t="shared" si="47"/>
        <v>1.5</v>
      </c>
      <c r="H167" s="44">
        <f t="shared" si="47"/>
        <v>1.5</v>
      </c>
      <c r="I167" s="44">
        <f t="shared" si="47"/>
        <v>1.5</v>
      </c>
      <c r="J167" s="44">
        <f t="shared" si="47"/>
        <v>1.5</v>
      </c>
      <c r="K167" s="44">
        <f t="shared" si="47"/>
        <v>1.5</v>
      </c>
      <c r="L167" s="44">
        <f t="shared" si="47"/>
        <v>1.5</v>
      </c>
      <c r="M167" s="44">
        <f t="shared" si="47"/>
        <v>1.5</v>
      </c>
      <c r="N167" s="44">
        <f t="shared" si="47"/>
        <v>1.5</v>
      </c>
      <c r="O167" s="44">
        <f t="shared" si="47"/>
        <v>1.5</v>
      </c>
      <c r="P167" s="44">
        <f t="shared" si="47"/>
        <v>1.5</v>
      </c>
      <c r="Q167" s="44">
        <f t="shared" si="47"/>
        <v>1.5</v>
      </c>
      <c r="R167" s="44">
        <f t="shared" si="47"/>
        <v>1.5</v>
      </c>
      <c r="S167" s="44">
        <f t="shared" si="48"/>
        <v>1.5</v>
      </c>
      <c r="T167" s="44">
        <f t="shared" si="48"/>
        <v>1.5</v>
      </c>
      <c r="U167" s="44">
        <f t="shared" si="48"/>
        <v>1.5</v>
      </c>
      <c r="V167" s="44">
        <f t="shared" si="48"/>
        <v>1.5</v>
      </c>
      <c r="W167" s="44">
        <f t="shared" si="48"/>
        <v>1.5</v>
      </c>
      <c r="X167" s="44">
        <f t="shared" si="48"/>
        <v>1.5</v>
      </c>
      <c r="Y167" s="44">
        <f t="shared" si="48"/>
        <v>1.5</v>
      </c>
      <c r="Z167" s="44">
        <f t="shared" si="48"/>
        <v>1.5</v>
      </c>
      <c r="AA167" s="44">
        <f t="shared" si="48"/>
        <v>1.5</v>
      </c>
      <c r="AB167" s="44">
        <f t="shared" si="48"/>
        <v>1.5</v>
      </c>
      <c r="AC167" s="44">
        <f t="shared" si="48"/>
        <v>1.5</v>
      </c>
      <c r="AD167" s="44">
        <f t="shared" si="48"/>
        <v>1.5</v>
      </c>
      <c r="AE167" s="44">
        <f t="shared" si="48"/>
        <v>1.5</v>
      </c>
      <c r="AF167" s="44">
        <f t="shared" si="48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6"/>
        <v>1</v>
      </c>
      <c r="C168" s="55">
        <v>1</v>
      </c>
      <c r="D168" s="44">
        <f t="shared" si="47"/>
        <v>1</v>
      </c>
      <c r="E168" s="44">
        <f t="shared" si="47"/>
        <v>1</v>
      </c>
      <c r="F168" s="44">
        <f t="shared" si="47"/>
        <v>1</v>
      </c>
      <c r="G168" s="44">
        <f t="shared" si="47"/>
        <v>1</v>
      </c>
      <c r="H168" s="44">
        <f t="shared" si="47"/>
        <v>1</v>
      </c>
      <c r="I168" s="44">
        <f t="shared" si="47"/>
        <v>1</v>
      </c>
      <c r="J168" s="44">
        <f t="shared" si="47"/>
        <v>1</v>
      </c>
      <c r="K168" s="44">
        <f t="shared" si="47"/>
        <v>1</v>
      </c>
      <c r="L168" s="44">
        <f t="shared" si="47"/>
        <v>1</v>
      </c>
      <c r="M168" s="44">
        <f t="shared" si="47"/>
        <v>1</v>
      </c>
      <c r="N168" s="44">
        <f t="shared" si="47"/>
        <v>1</v>
      </c>
      <c r="O168" s="44">
        <f t="shared" si="47"/>
        <v>1</v>
      </c>
      <c r="P168" s="44">
        <f t="shared" si="47"/>
        <v>1</v>
      </c>
      <c r="Q168" s="44">
        <f t="shared" si="47"/>
        <v>1</v>
      </c>
      <c r="R168" s="44">
        <f t="shared" si="47"/>
        <v>1</v>
      </c>
      <c r="S168" s="44">
        <f t="shared" si="48"/>
        <v>1</v>
      </c>
      <c r="T168" s="44">
        <f t="shared" si="48"/>
        <v>1</v>
      </c>
      <c r="U168" s="44">
        <f t="shared" si="48"/>
        <v>1</v>
      </c>
      <c r="V168" s="44">
        <f t="shared" si="48"/>
        <v>1</v>
      </c>
      <c r="W168" s="44">
        <f t="shared" si="48"/>
        <v>1</v>
      </c>
      <c r="X168" s="44">
        <f t="shared" si="48"/>
        <v>1</v>
      </c>
      <c r="Y168" s="44">
        <f t="shared" si="48"/>
        <v>1</v>
      </c>
      <c r="Z168" s="44">
        <f t="shared" si="48"/>
        <v>1</v>
      </c>
      <c r="AA168" s="44">
        <f t="shared" si="48"/>
        <v>1</v>
      </c>
      <c r="AB168" s="44">
        <f t="shared" si="48"/>
        <v>1</v>
      </c>
      <c r="AC168" s="44">
        <f t="shared" si="48"/>
        <v>1</v>
      </c>
      <c r="AD168" s="44">
        <f t="shared" si="48"/>
        <v>1</v>
      </c>
      <c r="AE168" s="44">
        <f t="shared" si="48"/>
        <v>1</v>
      </c>
      <c r="AF168" s="44">
        <f t="shared" si="48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9">AF170</f>
        <v>1</v>
      </c>
      <c r="C170" s="55">
        <v>1</v>
      </c>
      <c r="D170" s="44">
        <f t="shared" ref="D170:S177" si="50">C170</f>
        <v>1</v>
      </c>
      <c r="E170" s="44">
        <f t="shared" si="50"/>
        <v>1</v>
      </c>
      <c r="F170" s="44">
        <f t="shared" si="50"/>
        <v>1</v>
      </c>
      <c r="G170" s="44">
        <f t="shared" si="50"/>
        <v>1</v>
      </c>
      <c r="H170" s="44">
        <f t="shared" si="50"/>
        <v>1</v>
      </c>
      <c r="I170" s="44">
        <f t="shared" si="50"/>
        <v>1</v>
      </c>
      <c r="J170" s="44">
        <f t="shared" si="50"/>
        <v>1</v>
      </c>
      <c r="K170" s="44">
        <f t="shared" si="50"/>
        <v>1</v>
      </c>
      <c r="L170" s="44">
        <f t="shared" si="50"/>
        <v>1</v>
      </c>
      <c r="M170" s="44">
        <f t="shared" si="50"/>
        <v>1</v>
      </c>
      <c r="N170" s="44">
        <f t="shared" si="50"/>
        <v>1</v>
      </c>
      <c r="O170" s="44">
        <f t="shared" si="50"/>
        <v>1</v>
      </c>
      <c r="P170" s="44">
        <f t="shared" si="50"/>
        <v>1</v>
      </c>
      <c r="Q170" s="44">
        <f t="shared" si="50"/>
        <v>1</v>
      </c>
      <c r="R170" s="44">
        <f t="shared" si="50"/>
        <v>1</v>
      </c>
      <c r="S170" s="44">
        <f t="shared" si="50"/>
        <v>1</v>
      </c>
      <c r="T170" s="44">
        <f t="shared" ref="S170:AF177" si="51">S170</f>
        <v>1</v>
      </c>
      <c r="U170" s="44">
        <f t="shared" si="51"/>
        <v>1</v>
      </c>
      <c r="V170" s="44">
        <f t="shared" si="51"/>
        <v>1</v>
      </c>
      <c r="W170" s="44">
        <f t="shared" si="51"/>
        <v>1</v>
      </c>
      <c r="X170" s="44">
        <f t="shared" si="51"/>
        <v>1</v>
      </c>
      <c r="Y170" s="44">
        <f t="shared" si="51"/>
        <v>1</v>
      </c>
      <c r="Z170" s="44">
        <f t="shared" si="51"/>
        <v>1</v>
      </c>
      <c r="AA170" s="44">
        <f t="shared" si="51"/>
        <v>1</v>
      </c>
      <c r="AB170" s="44">
        <f t="shared" si="51"/>
        <v>1</v>
      </c>
      <c r="AC170" s="44">
        <f t="shared" si="51"/>
        <v>1</v>
      </c>
      <c r="AD170" s="44">
        <f t="shared" si="51"/>
        <v>1</v>
      </c>
      <c r="AE170" s="44">
        <f t="shared" si="51"/>
        <v>1</v>
      </c>
      <c r="AF170" s="44">
        <f t="shared" si="51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9"/>
        <v>0.42</v>
      </c>
      <c r="C171" s="55">
        <v>0.42</v>
      </c>
      <c r="D171" s="44">
        <f t="shared" si="50"/>
        <v>0.42</v>
      </c>
      <c r="E171" s="44">
        <f t="shared" si="50"/>
        <v>0.42</v>
      </c>
      <c r="F171" s="44">
        <f t="shared" si="50"/>
        <v>0.42</v>
      </c>
      <c r="G171" s="44">
        <f t="shared" si="50"/>
        <v>0.42</v>
      </c>
      <c r="H171" s="44">
        <f t="shared" si="50"/>
        <v>0.42</v>
      </c>
      <c r="I171" s="44">
        <f t="shared" si="50"/>
        <v>0.42</v>
      </c>
      <c r="J171" s="44">
        <f t="shared" si="50"/>
        <v>0.42</v>
      </c>
      <c r="K171" s="44">
        <f t="shared" si="50"/>
        <v>0.42</v>
      </c>
      <c r="L171" s="44">
        <f t="shared" si="50"/>
        <v>0.42</v>
      </c>
      <c r="M171" s="44">
        <f t="shared" si="50"/>
        <v>0.42</v>
      </c>
      <c r="N171" s="44">
        <f t="shared" si="50"/>
        <v>0.42</v>
      </c>
      <c r="O171" s="44">
        <f t="shared" si="50"/>
        <v>0.42</v>
      </c>
      <c r="P171" s="44">
        <f t="shared" si="50"/>
        <v>0.42</v>
      </c>
      <c r="Q171" s="44">
        <f t="shared" si="50"/>
        <v>0.42</v>
      </c>
      <c r="R171" s="44">
        <f t="shared" si="50"/>
        <v>0.42</v>
      </c>
      <c r="S171" s="44">
        <f t="shared" si="51"/>
        <v>0.42</v>
      </c>
      <c r="T171" s="44">
        <f t="shared" si="51"/>
        <v>0.42</v>
      </c>
      <c r="U171" s="44">
        <f t="shared" si="51"/>
        <v>0.42</v>
      </c>
      <c r="V171" s="44">
        <f t="shared" si="51"/>
        <v>0.42</v>
      </c>
      <c r="W171" s="44">
        <f t="shared" si="51"/>
        <v>0.42</v>
      </c>
      <c r="X171" s="44">
        <f t="shared" si="51"/>
        <v>0.42</v>
      </c>
      <c r="Y171" s="44">
        <f t="shared" si="51"/>
        <v>0.42</v>
      </c>
      <c r="Z171" s="44">
        <f t="shared" si="51"/>
        <v>0.42</v>
      </c>
      <c r="AA171" s="44">
        <f t="shared" si="51"/>
        <v>0.42</v>
      </c>
      <c r="AB171" s="44">
        <f t="shared" si="51"/>
        <v>0.42</v>
      </c>
      <c r="AC171" s="44">
        <f t="shared" si="51"/>
        <v>0.42</v>
      </c>
      <c r="AD171" s="44">
        <f t="shared" si="51"/>
        <v>0.42</v>
      </c>
      <c r="AE171" s="44">
        <f t="shared" si="51"/>
        <v>0.42</v>
      </c>
      <c r="AF171" s="44">
        <f t="shared" si="51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9"/>
        <v>0.46</v>
      </c>
      <c r="C172" s="55">
        <v>0.46</v>
      </c>
      <c r="D172" s="44">
        <f t="shared" si="50"/>
        <v>0.46</v>
      </c>
      <c r="E172" s="44">
        <f t="shared" si="50"/>
        <v>0.46</v>
      </c>
      <c r="F172" s="44">
        <f t="shared" si="50"/>
        <v>0.46</v>
      </c>
      <c r="G172" s="44">
        <f t="shared" si="50"/>
        <v>0.46</v>
      </c>
      <c r="H172" s="44">
        <f t="shared" si="50"/>
        <v>0.46</v>
      </c>
      <c r="I172" s="44">
        <f t="shared" si="50"/>
        <v>0.46</v>
      </c>
      <c r="J172" s="44">
        <f t="shared" si="50"/>
        <v>0.46</v>
      </c>
      <c r="K172" s="44">
        <f t="shared" si="50"/>
        <v>0.46</v>
      </c>
      <c r="L172" s="44">
        <f t="shared" si="50"/>
        <v>0.46</v>
      </c>
      <c r="M172" s="44">
        <f t="shared" si="50"/>
        <v>0.46</v>
      </c>
      <c r="N172" s="44">
        <f t="shared" si="50"/>
        <v>0.46</v>
      </c>
      <c r="O172" s="44">
        <f t="shared" si="50"/>
        <v>0.46</v>
      </c>
      <c r="P172" s="44">
        <f t="shared" si="50"/>
        <v>0.46</v>
      </c>
      <c r="Q172" s="44">
        <f t="shared" si="50"/>
        <v>0.46</v>
      </c>
      <c r="R172" s="44">
        <f t="shared" si="50"/>
        <v>0.46</v>
      </c>
      <c r="S172" s="44">
        <f t="shared" si="51"/>
        <v>0.46</v>
      </c>
      <c r="T172" s="44">
        <f t="shared" si="51"/>
        <v>0.46</v>
      </c>
      <c r="U172" s="44">
        <f t="shared" si="51"/>
        <v>0.46</v>
      </c>
      <c r="V172" s="44">
        <f t="shared" si="51"/>
        <v>0.46</v>
      </c>
      <c r="W172" s="44">
        <f t="shared" si="51"/>
        <v>0.46</v>
      </c>
      <c r="X172" s="44">
        <f t="shared" si="51"/>
        <v>0.46</v>
      </c>
      <c r="Y172" s="44">
        <f t="shared" si="51"/>
        <v>0.46</v>
      </c>
      <c r="Z172" s="44">
        <f t="shared" si="51"/>
        <v>0.46</v>
      </c>
      <c r="AA172" s="44">
        <f t="shared" si="51"/>
        <v>0.46</v>
      </c>
      <c r="AB172" s="44">
        <f t="shared" si="51"/>
        <v>0.46</v>
      </c>
      <c r="AC172" s="44">
        <f t="shared" si="51"/>
        <v>0.46</v>
      </c>
      <c r="AD172" s="44">
        <f t="shared" si="51"/>
        <v>0.46</v>
      </c>
      <c r="AE172" s="44">
        <f t="shared" si="51"/>
        <v>0.46</v>
      </c>
      <c r="AF172" s="44">
        <f t="shared" si="51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9"/>
        <v>0.85</v>
      </c>
      <c r="C173" s="55">
        <v>0.85</v>
      </c>
      <c r="D173" s="44">
        <f t="shared" si="50"/>
        <v>0.85</v>
      </c>
      <c r="E173" s="44">
        <f t="shared" si="50"/>
        <v>0.85</v>
      </c>
      <c r="F173" s="44">
        <f t="shared" si="50"/>
        <v>0.85</v>
      </c>
      <c r="G173" s="44">
        <f t="shared" si="50"/>
        <v>0.85</v>
      </c>
      <c r="H173" s="44">
        <f t="shared" si="50"/>
        <v>0.85</v>
      </c>
      <c r="I173" s="44">
        <f t="shared" si="50"/>
        <v>0.85</v>
      </c>
      <c r="J173" s="44">
        <f t="shared" si="50"/>
        <v>0.85</v>
      </c>
      <c r="K173" s="44">
        <f t="shared" si="50"/>
        <v>0.85</v>
      </c>
      <c r="L173" s="44">
        <f t="shared" si="50"/>
        <v>0.85</v>
      </c>
      <c r="M173" s="44">
        <f t="shared" si="50"/>
        <v>0.85</v>
      </c>
      <c r="N173" s="44">
        <f t="shared" si="50"/>
        <v>0.85</v>
      </c>
      <c r="O173" s="44">
        <f t="shared" si="50"/>
        <v>0.85</v>
      </c>
      <c r="P173" s="44">
        <f t="shared" si="50"/>
        <v>0.85</v>
      </c>
      <c r="Q173" s="44">
        <f t="shared" si="50"/>
        <v>0.85</v>
      </c>
      <c r="R173" s="44">
        <f t="shared" si="50"/>
        <v>0.85</v>
      </c>
      <c r="S173" s="44">
        <f t="shared" si="51"/>
        <v>0.85</v>
      </c>
      <c r="T173" s="44">
        <f t="shared" si="51"/>
        <v>0.85</v>
      </c>
      <c r="U173" s="44">
        <f t="shared" si="51"/>
        <v>0.85</v>
      </c>
      <c r="V173" s="44">
        <f t="shared" si="51"/>
        <v>0.85</v>
      </c>
      <c r="W173" s="44">
        <f t="shared" si="51"/>
        <v>0.85</v>
      </c>
      <c r="X173" s="44">
        <f t="shared" si="51"/>
        <v>0.85</v>
      </c>
      <c r="Y173" s="44">
        <f t="shared" si="51"/>
        <v>0.85</v>
      </c>
      <c r="Z173" s="44">
        <f t="shared" si="51"/>
        <v>0.85</v>
      </c>
      <c r="AA173" s="44">
        <f t="shared" si="51"/>
        <v>0.85</v>
      </c>
      <c r="AB173" s="44">
        <f t="shared" si="51"/>
        <v>0.85</v>
      </c>
      <c r="AC173" s="44">
        <f t="shared" si="51"/>
        <v>0.85</v>
      </c>
      <c r="AD173" s="44">
        <f t="shared" si="51"/>
        <v>0.85</v>
      </c>
      <c r="AE173" s="44">
        <f t="shared" si="51"/>
        <v>0.85</v>
      </c>
      <c r="AF173" s="44">
        <f t="shared" si="51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9"/>
        <v>0.9</v>
      </c>
      <c r="C174" s="55">
        <v>0.9</v>
      </c>
      <c r="D174" s="44">
        <f t="shared" si="50"/>
        <v>0.9</v>
      </c>
      <c r="E174" s="44">
        <f t="shared" si="50"/>
        <v>0.9</v>
      </c>
      <c r="F174" s="44">
        <f t="shared" si="50"/>
        <v>0.9</v>
      </c>
      <c r="G174" s="44">
        <f t="shared" si="50"/>
        <v>0.9</v>
      </c>
      <c r="H174" s="44">
        <f t="shared" si="50"/>
        <v>0.9</v>
      </c>
      <c r="I174" s="44">
        <f t="shared" si="50"/>
        <v>0.9</v>
      </c>
      <c r="J174" s="44">
        <f t="shared" si="50"/>
        <v>0.9</v>
      </c>
      <c r="K174" s="44">
        <f t="shared" si="50"/>
        <v>0.9</v>
      </c>
      <c r="L174" s="44">
        <f t="shared" si="50"/>
        <v>0.9</v>
      </c>
      <c r="M174" s="44">
        <f t="shared" si="50"/>
        <v>0.9</v>
      </c>
      <c r="N174" s="44">
        <f t="shared" si="50"/>
        <v>0.9</v>
      </c>
      <c r="O174" s="44">
        <f t="shared" si="50"/>
        <v>0.9</v>
      </c>
      <c r="P174" s="44">
        <f t="shared" si="50"/>
        <v>0.9</v>
      </c>
      <c r="Q174" s="44">
        <f t="shared" si="50"/>
        <v>0.9</v>
      </c>
      <c r="R174" s="44">
        <f t="shared" si="50"/>
        <v>0.9</v>
      </c>
      <c r="S174" s="44">
        <f t="shared" si="51"/>
        <v>0.9</v>
      </c>
      <c r="T174" s="44">
        <f t="shared" si="51"/>
        <v>0.9</v>
      </c>
      <c r="U174" s="44">
        <f t="shared" si="51"/>
        <v>0.9</v>
      </c>
      <c r="V174" s="44">
        <f t="shared" si="51"/>
        <v>0.9</v>
      </c>
      <c r="W174" s="44">
        <f t="shared" si="51"/>
        <v>0.9</v>
      </c>
      <c r="X174" s="44">
        <f t="shared" si="51"/>
        <v>0.9</v>
      </c>
      <c r="Y174" s="44">
        <f t="shared" si="51"/>
        <v>0.9</v>
      </c>
      <c r="Z174" s="44">
        <f t="shared" si="51"/>
        <v>0.9</v>
      </c>
      <c r="AA174" s="44">
        <f t="shared" si="51"/>
        <v>0.9</v>
      </c>
      <c r="AB174" s="44">
        <f t="shared" si="51"/>
        <v>0.9</v>
      </c>
      <c r="AC174" s="44">
        <f t="shared" si="51"/>
        <v>0.9</v>
      </c>
      <c r="AD174" s="44">
        <f t="shared" si="51"/>
        <v>0.9</v>
      </c>
      <c r="AE174" s="44">
        <f t="shared" si="51"/>
        <v>0.9</v>
      </c>
      <c r="AF174" s="44">
        <f t="shared" si="51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9"/>
        <v>0.44</v>
      </c>
      <c r="C175" s="55">
        <v>0.44</v>
      </c>
      <c r="D175" s="44">
        <f t="shared" si="50"/>
        <v>0.44</v>
      </c>
      <c r="E175" s="44">
        <f t="shared" si="50"/>
        <v>0.44</v>
      </c>
      <c r="F175" s="44">
        <f t="shared" si="50"/>
        <v>0.44</v>
      </c>
      <c r="G175" s="44">
        <f t="shared" si="50"/>
        <v>0.44</v>
      </c>
      <c r="H175" s="44">
        <f t="shared" si="50"/>
        <v>0.44</v>
      </c>
      <c r="I175" s="44">
        <f t="shared" si="50"/>
        <v>0.44</v>
      </c>
      <c r="J175" s="44">
        <f t="shared" si="50"/>
        <v>0.44</v>
      </c>
      <c r="K175" s="44">
        <f t="shared" si="50"/>
        <v>0.44</v>
      </c>
      <c r="L175" s="44">
        <f t="shared" si="50"/>
        <v>0.44</v>
      </c>
      <c r="M175" s="44">
        <f t="shared" si="50"/>
        <v>0.44</v>
      </c>
      <c r="N175" s="44">
        <f t="shared" si="50"/>
        <v>0.44</v>
      </c>
      <c r="O175" s="44">
        <f t="shared" si="50"/>
        <v>0.44</v>
      </c>
      <c r="P175" s="44">
        <f t="shared" si="50"/>
        <v>0.44</v>
      </c>
      <c r="Q175" s="44">
        <f t="shared" si="50"/>
        <v>0.44</v>
      </c>
      <c r="R175" s="44">
        <f t="shared" si="50"/>
        <v>0.44</v>
      </c>
      <c r="S175" s="44">
        <f t="shared" si="51"/>
        <v>0.44</v>
      </c>
      <c r="T175" s="44">
        <f t="shared" si="51"/>
        <v>0.44</v>
      </c>
      <c r="U175" s="44">
        <f t="shared" si="51"/>
        <v>0.44</v>
      </c>
      <c r="V175" s="44">
        <f t="shared" si="51"/>
        <v>0.44</v>
      </c>
      <c r="W175" s="44">
        <f t="shared" si="51"/>
        <v>0.44</v>
      </c>
      <c r="X175" s="44">
        <f t="shared" si="51"/>
        <v>0.44</v>
      </c>
      <c r="Y175" s="44">
        <f t="shared" si="51"/>
        <v>0.44</v>
      </c>
      <c r="Z175" s="44">
        <f t="shared" si="51"/>
        <v>0.44</v>
      </c>
      <c r="AA175" s="44">
        <f t="shared" si="51"/>
        <v>0.44</v>
      </c>
      <c r="AB175" s="44">
        <f t="shared" si="51"/>
        <v>0.44</v>
      </c>
      <c r="AC175" s="44">
        <f t="shared" si="51"/>
        <v>0.44</v>
      </c>
      <c r="AD175" s="44">
        <f t="shared" si="51"/>
        <v>0.44</v>
      </c>
      <c r="AE175" s="44">
        <f t="shared" si="51"/>
        <v>0.44</v>
      </c>
      <c r="AF175" s="44">
        <f t="shared" si="51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9"/>
        <v>2.1</v>
      </c>
      <c r="C176" s="55">
        <v>2.1</v>
      </c>
      <c r="D176" s="44">
        <f t="shared" si="50"/>
        <v>2.1</v>
      </c>
      <c r="E176" s="44">
        <f t="shared" si="50"/>
        <v>2.1</v>
      </c>
      <c r="F176" s="44">
        <f t="shared" si="50"/>
        <v>2.1</v>
      </c>
      <c r="G176" s="44">
        <f t="shared" si="50"/>
        <v>2.1</v>
      </c>
      <c r="H176" s="44">
        <f t="shared" si="50"/>
        <v>2.1</v>
      </c>
      <c r="I176" s="44">
        <f t="shared" si="50"/>
        <v>2.1</v>
      </c>
      <c r="J176" s="44">
        <f t="shared" si="50"/>
        <v>2.1</v>
      </c>
      <c r="K176" s="44">
        <f t="shared" si="50"/>
        <v>2.1</v>
      </c>
      <c r="L176" s="44">
        <f t="shared" si="50"/>
        <v>2.1</v>
      </c>
      <c r="M176" s="44">
        <f t="shared" si="50"/>
        <v>2.1</v>
      </c>
      <c r="N176" s="44">
        <f t="shared" si="50"/>
        <v>2.1</v>
      </c>
      <c r="O176" s="44">
        <f t="shared" si="50"/>
        <v>2.1</v>
      </c>
      <c r="P176" s="44">
        <f t="shared" si="50"/>
        <v>2.1</v>
      </c>
      <c r="Q176" s="44">
        <f t="shared" si="50"/>
        <v>2.1</v>
      </c>
      <c r="R176" s="44">
        <f t="shared" si="50"/>
        <v>2.1</v>
      </c>
      <c r="S176" s="44">
        <f t="shared" si="51"/>
        <v>2.1</v>
      </c>
      <c r="T176" s="44">
        <f t="shared" si="51"/>
        <v>2.1</v>
      </c>
      <c r="U176" s="44">
        <f t="shared" si="51"/>
        <v>2.1</v>
      </c>
      <c r="V176" s="44">
        <f t="shared" si="51"/>
        <v>2.1</v>
      </c>
      <c r="W176" s="44">
        <f t="shared" si="51"/>
        <v>2.1</v>
      </c>
      <c r="X176" s="44">
        <f t="shared" si="51"/>
        <v>2.1</v>
      </c>
      <c r="Y176" s="44">
        <f t="shared" si="51"/>
        <v>2.1</v>
      </c>
      <c r="Z176" s="44">
        <f t="shared" si="51"/>
        <v>2.1</v>
      </c>
      <c r="AA176" s="44">
        <f t="shared" si="51"/>
        <v>2.1</v>
      </c>
      <c r="AB176" s="44">
        <f t="shared" si="51"/>
        <v>2.1</v>
      </c>
      <c r="AC176" s="44">
        <f t="shared" si="51"/>
        <v>2.1</v>
      </c>
      <c r="AD176" s="44">
        <f t="shared" si="51"/>
        <v>2.1</v>
      </c>
      <c r="AE176" s="44">
        <f t="shared" si="51"/>
        <v>2.1</v>
      </c>
      <c r="AF176" s="44">
        <f t="shared" si="51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9"/>
        <v>0.9</v>
      </c>
      <c r="C177" s="55">
        <v>0.9</v>
      </c>
      <c r="D177" s="44">
        <f t="shared" si="50"/>
        <v>0.9</v>
      </c>
      <c r="E177" s="44">
        <f t="shared" si="50"/>
        <v>0.9</v>
      </c>
      <c r="F177" s="44">
        <f t="shared" si="50"/>
        <v>0.9</v>
      </c>
      <c r="G177" s="44">
        <f t="shared" si="50"/>
        <v>0.9</v>
      </c>
      <c r="H177" s="44">
        <f t="shared" si="50"/>
        <v>0.9</v>
      </c>
      <c r="I177" s="44">
        <f t="shared" si="50"/>
        <v>0.9</v>
      </c>
      <c r="J177" s="44">
        <f t="shared" si="50"/>
        <v>0.9</v>
      </c>
      <c r="K177" s="44">
        <f t="shared" si="50"/>
        <v>0.9</v>
      </c>
      <c r="L177" s="44">
        <f t="shared" si="50"/>
        <v>0.9</v>
      </c>
      <c r="M177" s="44">
        <f t="shared" si="50"/>
        <v>0.9</v>
      </c>
      <c r="N177" s="44">
        <f t="shared" si="50"/>
        <v>0.9</v>
      </c>
      <c r="O177" s="44">
        <f t="shared" si="50"/>
        <v>0.9</v>
      </c>
      <c r="P177" s="44">
        <f t="shared" si="50"/>
        <v>0.9</v>
      </c>
      <c r="Q177" s="44">
        <f t="shared" si="50"/>
        <v>0.9</v>
      </c>
      <c r="R177" s="44">
        <f t="shared" si="50"/>
        <v>0.9</v>
      </c>
      <c r="S177" s="44">
        <f t="shared" si="51"/>
        <v>0.9</v>
      </c>
      <c r="T177" s="44">
        <f t="shared" si="51"/>
        <v>0.9</v>
      </c>
      <c r="U177" s="44">
        <f t="shared" si="51"/>
        <v>0.9</v>
      </c>
      <c r="V177" s="44">
        <f t="shared" si="51"/>
        <v>0.9</v>
      </c>
      <c r="W177" s="44">
        <f t="shared" si="51"/>
        <v>0.9</v>
      </c>
      <c r="X177" s="44">
        <f t="shared" si="51"/>
        <v>0.9</v>
      </c>
      <c r="Y177" s="44">
        <f t="shared" si="51"/>
        <v>0.9</v>
      </c>
      <c r="Z177" s="44">
        <f t="shared" si="51"/>
        <v>0.9</v>
      </c>
      <c r="AA177" s="44">
        <f t="shared" si="51"/>
        <v>0.9</v>
      </c>
      <c r="AB177" s="44">
        <f t="shared" si="51"/>
        <v>0.9</v>
      </c>
      <c r="AC177" s="44">
        <f t="shared" si="51"/>
        <v>0.9</v>
      </c>
      <c r="AD177" s="44">
        <f t="shared" si="51"/>
        <v>0.9</v>
      </c>
      <c r="AE177" s="44">
        <f t="shared" si="51"/>
        <v>0.9</v>
      </c>
      <c r="AF177" s="44">
        <f t="shared" si="51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2">AF179</f>
        <v>0.57999999999999996</v>
      </c>
      <c r="C179" s="55">
        <v>0.57999999999999996</v>
      </c>
      <c r="D179" s="44">
        <f t="shared" ref="D179:S191" si="53">C179</f>
        <v>0.57999999999999996</v>
      </c>
      <c r="E179" s="44">
        <f t="shared" si="53"/>
        <v>0.57999999999999996</v>
      </c>
      <c r="F179" s="44">
        <f t="shared" si="53"/>
        <v>0.57999999999999996</v>
      </c>
      <c r="G179" s="44">
        <f t="shared" si="53"/>
        <v>0.57999999999999996</v>
      </c>
      <c r="H179" s="44">
        <f t="shared" si="53"/>
        <v>0.57999999999999996</v>
      </c>
      <c r="I179" s="44">
        <f t="shared" si="53"/>
        <v>0.57999999999999996</v>
      </c>
      <c r="J179" s="44">
        <f t="shared" si="53"/>
        <v>0.57999999999999996</v>
      </c>
      <c r="K179" s="44">
        <f t="shared" si="53"/>
        <v>0.57999999999999996</v>
      </c>
      <c r="L179" s="44">
        <f t="shared" si="53"/>
        <v>0.57999999999999996</v>
      </c>
      <c r="M179" s="44">
        <f t="shared" si="53"/>
        <v>0.57999999999999996</v>
      </c>
      <c r="N179" s="44">
        <f t="shared" si="53"/>
        <v>0.57999999999999996</v>
      </c>
      <c r="O179" s="44">
        <f t="shared" si="53"/>
        <v>0.57999999999999996</v>
      </c>
      <c r="P179" s="44">
        <f t="shared" si="53"/>
        <v>0.57999999999999996</v>
      </c>
      <c r="Q179" s="44">
        <f t="shared" si="53"/>
        <v>0.57999999999999996</v>
      </c>
      <c r="R179" s="44">
        <f t="shared" si="53"/>
        <v>0.57999999999999996</v>
      </c>
      <c r="S179" s="44">
        <f t="shared" si="53"/>
        <v>0.57999999999999996</v>
      </c>
      <c r="T179" s="44">
        <f t="shared" ref="S179:AF191" si="54">S179</f>
        <v>0.57999999999999996</v>
      </c>
      <c r="U179" s="44">
        <f t="shared" si="54"/>
        <v>0.57999999999999996</v>
      </c>
      <c r="V179" s="44">
        <f t="shared" si="54"/>
        <v>0.57999999999999996</v>
      </c>
      <c r="W179" s="44">
        <f t="shared" si="54"/>
        <v>0.57999999999999996</v>
      </c>
      <c r="X179" s="44">
        <f t="shared" si="54"/>
        <v>0.57999999999999996</v>
      </c>
      <c r="Y179" s="44">
        <f t="shared" si="54"/>
        <v>0.57999999999999996</v>
      </c>
      <c r="Z179" s="44">
        <f t="shared" si="54"/>
        <v>0.57999999999999996</v>
      </c>
      <c r="AA179" s="44">
        <f t="shared" si="54"/>
        <v>0.57999999999999996</v>
      </c>
      <c r="AB179" s="44">
        <f t="shared" si="54"/>
        <v>0.57999999999999996</v>
      </c>
      <c r="AC179" s="44">
        <f t="shared" si="54"/>
        <v>0.57999999999999996</v>
      </c>
      <c r="AD179" s="44">
        <f t="shared" si="54"/>
        <v>0.57999999999999996</v>
      </c>
      <c r="AE179" s="44">
        <f t="shared" si="54"/>
        <v>0.57999999999999996</v>
      </c>
      <c r="AF179" s="44">
        <f t="shared" si="54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2"/>
        <v>0.8</v>
      </c>
      <c r="C180" s="55">
        <v>0.8</v>
      </c>
      <c r="D180" s="44">
        <f t="shared" si="53"/>
        <v>0.8</v>
      </c>
      <c r="E180" s="44">
        <f t="shared" si="53"/>
        <v>0.8</v>
      </c>
      <c r="F180" s="44">
        <f t="shared" si="53"/>
        <v>0.8</v>
      </c>
      <c r="G180" s="44">
        <f t="shared" si="53"/>
        <v>0.8</v>
      </c>
      <c r="H180" s="44">
        <f t="shared" si="53"/>
        <v>0.8</v>
      </c>
      <c r="I180" s="44">
        <f t="shared" si="53"/>
        <v>0.8</v>
      </c>
      <c r="J180" s="44">
        <f t="shared" si="53"/>
        <v>0.8</v>
      </c>
      <c r="K180" s="44">
        <f t="shared" si="53"/>
        <v>0.8</v>
      </c>
      <c r="L180" s="44">
        <f t="shared" si="53"/>
        <v>0.8</v>
      </c>
      <c r="M180" s="44">
        <f t="shared" si="53"/>
        <v>0.8</v>
      </c>
      <c r="N180" s="44">
        <f t="shared" si="53"/>
        <v>0.8</v>
      </c>
      <c r="O180" s="44">
        <f t="shared" si="53"/>
        <v>0.8</v>
      </c>
      <c r="P180" s="44">
        <f t="shared" si="53"/>
        <v>0.8</v>
      </c>
      <c r="Q180" s="44">
        <f t="shared" si="53"/>
        <v>0.8</v>
      </c>
      <c r="R180" s="44">
        <f t="shared" si="53"/>
        <v>0.8</v>
      </c>
      <c r="S180" s="44">
        <f t="shared" si="53"/>
        <v>0.8</v>
      </c>
      <c r="T180" s="44">
        <f t="shared" si="54"/>
        <v>0.8</v>
      </c>
      <c r="U180" s="44">
        <f t="shared" si="54"/>
        <v>0.8</v>
      </c>
      <c r="V180" s="44">
        <f t="shared" si="54"/>
        <v>0.8</v>
      </c>
      <c r="W180" s="44">
        <f t="shared" si="54"/>
        <v>0.8</v>
      </c>
      <c r="X180" s="44">
        <f t="shared" si="54"/>
        <v>0.8</v>
      </c>
      <c r="Y180" s="44">
        <f t="shared" si="54"/>
        <v>0.8</v>
      </c>
      <c r="Z180" s="44">
        <f t="shared" si="54"/>
        <v>0.8</v>
      </c>
      <c r="AA180" s="44">
        <f t="shared" si="54"/>
        <v>0.8</v>
      </c>
      <c r="AB180" s="44">
        <f t="shared" si="54"/>
        <v>0.8</v>
      </c>
      <c r="AC180" s="44">
        <f t="shared" si="54"/>
        <v>0.8</v>
      </c>
      <c r="AD180" s="44">
        <f t="shared" si="54"/>
        <v>0.8</v>
      </c>
      <c r="AE180" s="44">
        <f t="shared" si="54"/>
        <v>0.8</v>
      </c>
      <c r="AF180" s="44">
        <f t="shared" si="54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2"/>
        <v>0</v>
      </c>
      <c r="C181" s="55">
        <v>0</v>
      </c>
      <c r="D181" s="44">
        <f t="shared" si="53"/>
        <v>0</v>
      </c>
      <c r="E181" s="44">
        <f t="shared" si="53"/>
        <v>0</v>
      </c>
      <c r="F181" s="44">
        <f t="shared" si="53"/>
        <v>0</v>
      </c>
      <c r="G181" s="44">
        <f t="shared" si="53"/>
        <v>0</v>
      </c>
      <c r="H181" s="44">
        <f t="shared" si="53"/>
        <v>0</v>
      </c>
      <c r="I181" s="44">
        <f t="shared" si="53"/>
        <v>0</v>
      </c>
      <c r="J181" s="44">
        <f t="shared" si="53"/>
        <v>0</v>
      </c>
      <c r="K181" s="44">
        <f t="shared" si="53"/>
        <v>0</v>
      </c>
      <c r="L181" s="44">
        <f t="shared" si="53"/>
        <v>0</v>
      </c>
      <c r="M181" s="44">
        <f t="shared" si="53"/>
        <v>0</v>
      </c>
      <c r="N181" s="44">
        <f t="shared" si="53"/>
        <v>0</v>
      </c>
      <c r="O181" s="44">
        <f t="shared" si="53"/>
        <v>0</v>
      </c>
      <c r="P181" s="44">
        <f t="shared" si="53"/>
        <v>0</v>
      </c>
      <c r="Q181" s="44">
        <f t="shared" si="53"/>
        <v>0</v>
      </c>
      <c r="R181" s="44">
        <f t="shared" si="53"/>
        <v>0</v>
      </c>
      <c r="S181" s="44">
        <f t="shared" si="53"/>
        <v>0</v>
      </c>
      <c r="T181" s="44">
        <f t="shared" si="54"/>
        <v>0</v>
      </c>
      <c r="U181" s="44">
        <f t="shared" si="54"/>
        <v>0</v>
      </c>
      <c r="V181" s="44">
        <f t="shared" si="54"/>
        <v>0</v>
      </c>
      <c r="W181" s="44">
        <f t="shared" si="54"/>
        <v>0</v>
      </c>
      <c r="X181" s="44">
        <f t="shared" si="54"/>
        <v>0</v>
      </c>
      <c r="Y181" s="44">
        <f t="shared" si="54"/>
        <v>0</v>
      </c>
      <c r="Z181" s="44">
        <f t="shared" si="54"/>
        <v>0</v>
      </c>
      <c r="AA181" s="44">
        <f t="shared" si="54"/>
        <v>0</v>
      </c>
      <c r="AB181" s="44">
        <f t="shared" si="54"/>
        <v>0</v>
      </c>
      <c r="AC181" s="44">
        <f t="shared" si="54"/>
        <v>0</v>
      </c>
      <c r="AD181" s="44">
        <f t="shared" si="54"/>
        <v>0</v>
      </c>
      <c r="AE181" s="44">
        <f t="shared" si="54"/>
        <v>0</v>
      </c>
      <c r="AF181" s="44">
        <f t="shared" si="54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2"/>
        <v>0.6</v>
      </c>
      <c r="C182" s="55">
        <v>0.6</v>
      </c>
      <c r="D182" s="44">
        <f t="shared" si="53"/>
        <v>0.6</v>
      </c>
      <c r="E182" s="44">
        <f t="shared" si="53"/>
        <v>0.6</v>
      </c>
      <c r="F182" s="44">
        <f t="shared" si="53"/>
        <v>0.6</v>
      </c>
      <c r="G182" s="44">
        <f t="shared" si="53"/>
        <v>0.6</v>
      </c>
      <c r="H182" s="44">
        <f t="shared" si="53"/>
        <v>0.6</v>
      </c>
      <c r="I182" s="44">
        <f t="shared" si="53"/>
        <v>0.6</v>
      </c>
      <c r="J182" s="44">
        <f t="shared" si="53"/>
        <v>0.6</v>
      </c>
      <c r="K182" s="44">
        <f t="shared" si="53"/>
        <v>0.6</v>
      </c>
      <c r="L182" s="44">
        <f t="shared" si="53"/>
        <v>0.6</v>
      </c>
      <c r="M182" s="44">
        <f t="shared" si="53"/>
        <v>0.6</v>
      </c>
      <c r="N182" s="44">
        <f t="shared" si="53"/>
        <v>0.6</v>
      </c>
      <c r="O182" s="44">
        <f t="shared" si="53"/>
        <v>0.6</v>
      </c>
      <c r="P182" s="44">
        <f t="shared" si="53"/>
        <v>0.6</v>
      </c>
      <c r="Q182" s="44">
        <f t="shared" si="53"/>
        <v>0.6</v>
      </c>
      <c r="R182" s="44">
        <f t="shared" si="53"/>
        <v>0.6</v>
      </c>
      <c r="S182" s="44">
        <f t="shared" si="53"/>
        <v>0.6</v>
      </c>
      <c r="T182" s="44">
        <f t="shared" si="54"/>
        <v>0.6</v>
      </c>
      <c r="U182" s="44">
        <f t="shared" si="54"/>
        <v>0.6</v>
      </c>
      <c r="V182" s="44">
        <f t="shared" si="54"/>
        <v>0.6</v>
      </c>
      <c r="W182" s="44">
        <f t="shared" si="54"/>
        <v>0.6</v>
      </c>
      <c r="X182" s="44">
        <f t="shared" si="54"/>
        <v>0.6</v>
      </c>
      <c r="Y182" s="44">
        <f t="shared" si="54"/>
        <v>0.6</v>
      </c>
      <c r="Z182" s="44">
        <f t="shared" si="54"/>
        <v>0.6</v>
      </c>
      <c r="AA182" s="44">
        <f t="shared" si="54"/>
        <v>0.6</v>
      </c>
      <c r="AB182" s="44">
        <f t="shared" si="54"/>
        <v>0.6</v>
      </c>
      <c r="AC182" s="44">
        <f t="shared" si="54"/>
        <v>0.6</v>
      </c>
      <c r="AD182" s="44">
        <f t="shared" si="54"/>
        <v>0.6</v>
      </c>
      <c r="AE182" s="44">
        <f t="shared" si="54"/>
        <v>0.6</v>
      </c>
      <c r="AF182" s="44">
        <f t="shared" si="54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2"/>
        <v>0.6</v>
      </c>
      <c r="C183" s="55">
        <v>0.6</v>
      </c>
      <c r="D183" s="44">
        <f t="shared" si="53"/>
        <v>0.6</v>
      </c>
      <c r="E183" s="44">
        <f t="shared" si="53"/>
        <v>0.6</v>
      </c>
      <c r="F183" s="44">
        <f t="shared" si="53"/>
        <v>0.6</v>
      </c>
      <c r="G183" s="44">
        <f t="shared" si="53"/>
        <v>0.6</v>
      </c>
      <c r="H183" s="44">
        <f t="shared" si="53"/>
        <v>0.6</v>
      </c>
      <c r="I183" s="44">
        <f t="shared" si="53"/>
        <v>0.6</v>
      </c>
      <c r="J183" s="44">
        <f t="shared" si="53"/>
        <v>0.6</v>
      </c>
      <c r="K183" s="44">
        <f t="shared" si="53"/>
        <v>0.6</v>
      </c>
      <c r="L183" s="44">
        <f t="shared" si="53"/>
        <v>0.6</v>
      </c>
      <c r="M183" s="44">
        <f t="shared" si="53"/>
        <v>0.6</v>
      </c>
      <c r="N183" s="44">
        <f t="shared" si="53"/>
        <v>0.6</v>
      </c>
      <c r="O183" s="44">
        <f t="shared" si="53"/>
        <v>0.6</v>
      </c>
      <c r="P183" s="44">
        <f t="shared" si="53"/>
        <v>0.6</v>
      </c>
      <c r="Q183" s="44">
        <f t="shared" si="53"/>
        <v>0.6</v>
      </c>
      <c r="R183" s="44">
        <f t="shared" si="53"/>
        <v>0.6</v>
      </c>
      <c r="S183" s="44">
        <f t="shared" si="53"/>
        <v>0.6</v>
      </c>
      <c r="T183" s="44">
        <f t="shared" si="54"/>
        <v>0.6</v>
      </c>
      <c r="U183" s="44">
        <f t="shared" si="54"/>
        <v>0.6</v>
      </c>
      <c r="V183" s="44">
        <f t="shared" si="54"/>
        <v>0.6</v>
      </c>
      <c r="W183" s="44">
        <f t="shared" si="54"/>
        <v>0.6</v>
      </c>
      <c r="X183" s="44">
        <f t="shared" si="54"/>
        <v>0.6</v>
      </c>
      <c r="Y183" s="44">
        <f t="shared" si="54"/>
        <v>0.6</v>
      </c>
      <c r="Z183" s="44">
        <f t="shared" si="54"/>
        <v>0.6</v>
      </c>
      <c r="AA183" s="44">
        <f t="shared" si="54"/>
        <v>0.6</v>
      </c>
      <c r="AB183" s="44">
        <f t="shared" si="54"/>
        <v>0.6</v>
      </c>
      <c r="AC183" s="44">
        <f t="shared" si="54"/>
        <v>0.6</v>
      </c>
      <c r="AD183" s="44">
        <f t="shared" si="54"/>
        <v>0.6</v>
      </c>
      <c r="AE183" s="44">
        <f t="shared" si="54"/>
        <v>0.6</v>
      </c>
      <c r="AF183" s="44">
        <f t="shared" si="54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2"/>
        <v>0.35</v>
      </c>
      <c r="C184" s="55">
        <v>0.35</v>
      </c>
      <c r="D184" s="44">
        <f t="shared" si="53"/>
        <v>0.35</v>
      </c>
      <c r="E184" s="44">
        <f t="shared" si="53"/>
        <v>0.35</v>
      </c>
      <c r="F184" s="44">
        <f t="shared" si="53"/>
        <v>0.35</v>
      </c>
      <c r="G184" s="44">
        <f t="shared" si="53"/>
        <v>0.35</v>
      </c>
      <c r="H184" s="44">
        <f t="shared" si="53"/>
        <v>0.35</v>
      </c>
      <c r="I184" s="44">
        <f t="shared" si="53"/>
        <v>0.35</v>
      </c>
      <c r="J184" s="44">
        <f t="shared" si="53"/>
        <v>0.35</v>
      </c>
      <c r="K184" s="44">
        <f t="shared" si="53"/>
        <v>0.35</v>
      </c>
      <c r="L184" s="44">
        <f t="shared" si="53"/>
        <v>0.35</v>
      </c>
      <c r="M184" s="44">
        <f t="shared" si="53"/>
        <v>0.35</v>
      </c>
      <c r="N184" s="44">
        <f t="shared" si="53"/>
        <v>0.35</v>
      </c>
      <c r="O184" s="44">
        <f t="shared" si="53"/>
        <v>0.35</v>
      </c>
      <c r="P184" s="44">
        <f t="shared" si="53"/>
        <v>0.35</v>
      </c>
      <c r="Q184" s="44">
        <f t="shared" si="53"/>
        <v>0.35</v>
      </c>
      <c r="R184" s="44">
        <f t="shared" si="53"/>
        <v>0.35</v>
      </c>
      <c r="S184" s="44">
        <f t="shared" si="53"/>
        <v>0.35</v>
      </c>
      <c r="T184" s="44">
        <f t="shared" si="54"/>
        <v>0.35</v>
      </c>
      <c r="U184" s="44">
        <f t="shared" si="54"/>
        <v>0.35</v>
      </c>
      <c r="V184" s="44">
        <f t="shared" si="54"/>
        <v>0.35</v>
      </c>
      <c r="W184" s="44">
        <f t="shared" si="54"/>
        <v>0.35</v>
      </c>
      <c r="X184" s="44">
        <f t="shared" si="54"/>
        <v>0.35</v>
      </c>
      <c r="Y184" s="44">
        <f t="shared" si="54"/>
        <v>0.35</v>
      </c>
      <c r="Z184" s="44">
        <f t="shared" si="54"/>
        <v>0.35</v>
      </c>
      <c r="AA184" s="44">
        <f t="shared" si="54"/>
        <v>0.35</v>
      </c>
      <c r="AB184" s="44">
        <f t="shared" si="54"/>
        <v>0.35</v>
      </c>
      <c r="AC184" s="44">
        <f t="shared" si="54"/>
        <v>0.35</v>
      </c>
      <c r="AD184" s="44">
        <f t="shared" si="54"/>
        <v>0.35</v>
      </c>
      <c r="AE184" s="44">
        <f t="shared" si="54"/>
        <v>0.35</v>
      </c>
      <c r="AF184" s="44">
        <f t="shared" si="54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2"/>
        <v>0.28999999999999998</v>
      </c>
      <c r="C185" s="55">
        <v>0.28999999999999998</v>
      </c>
      <c r="D185" s="44">
        <f t="shared" si="53"/>
        <v>0.28999999999999998</v>
      </c>
      <c r="E185" s="44">
        <f t="shared" si="53"/>
        <v>0.28999999999999998</v>
      </c>
      <c r="F185" s="44">
        <f t="shared" si="53"/>
        <v>0.28999999999999998</v>
      </c>
      <c r="G185" s="44">
        <f t="shared" si="53"/>
        <v>0.28999999999999998</v>
      </c>
      <c r="H185" s="44">
        <f t="shared" si="53"/>
        <v>0.28999999999999998</v>
      </c>
      <c r="I185" s="44">
        <f t="shared" si="53"/>
        <v>0.28999999999999998</v>
      </c>
      <c r="J185" s="44">
        <f t="shared" si="53"/>
        <v>0.28999999999999998</v>
      </c>
      <c r="K185" s="44">
        <f t="shared" si="53"/>
        <v>0.28999999999999998</v>
      </c>
      <c r="L185" s="44">
        <f t="shared" si="53"/>
        <v>0.28999999999999998</v>
      </c>
      <c r="M185" s="44">
        <f t="shared" si="53"/>
        <v>0.28999999999999998</v>
      </c>
      <c r="N185" s="44">
        <f t="shared" si="53"/>
        <v>0.28999999999999998</v>
      </c>
      <c r="O185" s="44">
        <f t="shared" si="53"/>
        <v>0.28999999999999998</v>
      </c>
      <c r="P185" s="44">
        <f t="shared" si="53"/>
        <v>0.28999999999999998</v>
      </c>
      <c r="Q185" s="44">
        <f t="shared" si="53"/>
        <v>0.28999999999999998</v>
      </c>
      <c r="R185" s="44">
        <f t="shared" si="53"/>
        <v>0.28999999999999998</v>
      </c>
      <c r="S185" s="44">
        <f t="shared" si="53"/>
        <v>0.28999999999999998</v>
      </c>
      <c r="T185" s="44">
        <f t="shared" si="54"/>
        <v>0.28999999999999998</v>
      </c>
      <c r="U185" s="44">
        <f t="shared" si="54"/>
        <v>0.28999999999999998</v>
      </c>
      <c r="V185" s="44">
        <f t="shared" si="54"/>
        <v>0.28999999999999998</v>
      </c>
      <c r="W185" s="44">
        <f t="shared" si="54"/>
        <v>0.28999999999999998</v>
      </c>
      <c r="X185" s="44">
        <f t="shared" si="54"/>
        <v>0.28999999999999998</v>
      </c>
      <c r="Y185" s="44">
        <f t="shared" si="54"/>
        <v>0.28999999999999998</v>
      </c>
      <c r="Z185" s="44">
        <f t="shared" si="54"/>
        <v>0.28999999999999998</v>
      </c>
      <c r="AA185" s="44">
        <f t="shared" si="54"/>
        <v>0.28999999999999998</v>
      </c>
      <c r="AB185" s="44">
        <f t="shared" si="54"/>
        <v>0.28999999999999998</v>
      </c>
      <c r="AC185" s="44">
        <f t="shared" si="54"/>
        <v>0.28999999999999998</v>
      </c>
      <c r="AD185" s="44">
        <f t="shared" si="54"/>
        <v>0.28999999999999998</v>
      </c>
      <c r="AE185" s="44">
        <f t="shared" si="54"/>
        <v>0.28999999999999998</v>
      </c>
      <c r="AF185" s="44">
        <f t="shared" si="54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2"/>
        <v>0.06</v>
      </c>
      <c r="C186" s="55">
        <v>0.06</v>
      </c>
      <c r="D186" s="44">
        <f t="shared" si="53"/>
        <v>0.06</v>
      </c>
      <c r="E186" s="44">
        <f t="shared" si="53"/>
        <v>0.06</v>
      </c>
      <c r="F186" s="44">
        <f t="shared" si="53"/>
        <v>0.06</v>
      </c>
      <c r="G186" s="44">
        <f t="shared" si="53"/>
        <v>0.06</v>
      </c>
      <c r="H186" s="44">
        <f t="shared" si="53"/>
        <v>0.06</v>
      </c>
      <c r="I186" s="44">
        <f t="shared" si="53"/>
        <v>0.06</v>
      </c>
      <c r="J186" s="44">
        <f t="shared" si="53"/>
        <v>0.06</v>
      </c>
      <c r="K186" s="44">
        <f t="shared" si="53"/>
        <v>0.06</v>
      </c>
      <c r="L186" s="44">
        <f t="shared" si="53"/>
        <v>0.06</v>
      </c>
      <c r="M186" s="44">
        <f t="shared" si="53"/>
        <v>0.06</v>
      </c>
      <c r="N186" s="44">
        <f t="shared" si="53"/>
        <v>0.06</v>
      </c>
      <c r="O186" s="44">
        <f t="shared" si="53"/>
        <v>0.06</v>
      </c>
      <c r="P186" s="44">
        <f t="shared" si="53"/>
        <v>0.06</v>
      </c>
      <c r="Q186" s="44">
        <f t="shared" si="53"/>
        <v>0.06</v>
      </c>
      <c r="R186" s="44">
        <f t="shared" si="53"/>
        <v>0.06</v>
      </c>
      <c r="S186" s="44">
        <f t="shared" si="53"/>
        <v>0.06</v>
      </c>
      <c r="T186" s="44">
        <f t="shared" si="54"/>
        <v>0.06</v>
      </c>
      <c r="U186" s="44">
        <f t="shared" si="54"/>
        <v>0.06</v>
      </c>
      <c r="V186" s="44">
        <f t="shared" si="54"/>
        <v>0.06</v>
      </c>
      <c r="W186" s="44">
        <f t="shared" si="54"/>
        <v>0.06</v>
      </c>
      <c r="X186" s="44">
        <f t="shared" si="54"/>
        <v>0.06</v>
      </c>
      <c r="Y186" s="44">
        <f t="shared" si="54"/>
        <v>0.06</v>
      </c>
      <c r="Z186" s="44">
        <f t="shared" si="54"/>
        <v>0.06</v>
      </c>
      <c r="AA186" s="44">
        <f t="shared" si="54"/>
        <v>0.06</v>
      </c>
      <c r="AB186" s="44">
        <f t="shared" si="54"/>
        <v>0.06</v>
      </c>
      <c r="AC186" s="44">
        <f t="shared" si="54"/>
        <v>0.06</v>
      </c>
      <c r="AD186" s="44">
        <f t="shared" si="54"/>
        <v>0.06</v>
      </c>
      <c r="AE186" s="44">
        <f t="shared" si="54"/>
        <v>0.06</v>
      </c>
      <c r="AF186" s="44">
        <f t="shared" si="54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2"/>
        <v>0.11</v>
      </c>
      <c r="C187" s="55">
        <v>0.11</v>
      </c>
      <c r="D187" s="44">
        <f t="shared" si="53"/>
        <v>0.11</v>
      </c>
      <c r="E187" s="44">
        <f t="shared" si="53"/>
        <v>0.11</v>
      </c>
      <c r="F187" s="44">
        <f t="shared" si="53"/>
        <v>0.11</v>
      </c>
      <c r="G187" s="44">
        <f t="shared" si="53"/>
        <v>0.11</v>
      </c>
      <c r="H187" s="44">
        <f t="shared" si="53"/>
        <v>0.11</v>
      </c>
      <c r="I187" s="44">
        <f t="shared" si="53"/>
        <v>0.11</v>
      </c>
      <c r="J187" s="44">
        <f t="shared" si="53"/>
        <v>0.11</v>
      </c>
      <c r="K187" s="44">
        <f t="shared" si="53"/>
        <v>0.11</v>
      </c>
      <c r="L187" s="44">
        <f t="shared" si="53"/>
        <v>0.11</v>
      </c>
      <c r="M187" s="44">
        <f t="shared" si="53"/>
        <v>0.11</v>
      </c>
      <c r="N187" s="44">
        <f t="shared" si="53"/>
        <v>0.11</v>
      </c>
      <c r="O187" s="44">
        <f t="shared" si="53"/>
        <v>0.11</v>
      </c>
      <c r="P187" s="44">
        <f t="shared" si="53"/>
        <v>0.11</v>
      </c>
      <c r="Q187" s="44">
        <f t="shared" si="53"/>
        <v>0.11</v>
      </c>
      <c r="R187" s="44">
        <f t="shared" si="53"/>
        <v>0.11</v>
      </c>
      <c r="S187" s="44">
        <f t="shared" si="53"/>
        <v>0.11</v>
      </c>
      <c r="T187" s="44">
        <f t="shared" si="54"/>
        <v>0.11</v>
      </c>
      <c r="U187" s="44">
        <f t="shared" si="54"/>
        <v>0.11</v>
      </c>
      <c r="V187" s="44">
        <f t="shared" si="54"/>
        <v>0.11</v>
      </c>
      <c r="W187" s="44">
        <f t="shared" si="54"/>
        <v>0.11</v>
      </c>
      <c r="X187" s="44">
        <f t="shared" si="54"/>
        <v>0.11</v>
      </c>
      <c r="Y187" s="44">
        <f t="shared" si="54"/>
        <v>0.11</v>
      </c>
      <c r="Z187" s="44">
        <f t="shared" si="54"/>
        <v>0.11</v>
      </c>
      <c r="AA187" s="44">
        <f t="shared" si="54"/>
        <v>0.11</v>
      </c>
      <c r="AB187" s="44">
        <f t="shared" si="54"/>
        <v>0.11</v>
      </c>
      <c r="AC187" s="44">
        <f t="shared" si="54"/>
        <v>0.11</v>
      </c>
      <c r="AD187" s="44">
        <f t="shared" si="54"/>
        <v>0.11</v>
      </c>
      <c r="AE187" s="44">
        <f t="shared" si="54"/>
        <v>0.11</v>
      </c>
      <c r="AF187" s="44">
        <f t="shared" si="54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2"/>
        <v>0.1</v>
      </c>
      <c r="C188" s="55">
        <v>0.1</v>
      </c>
      <c r="D188" s="44">
        <f t="shared" si="53"/>
        <v>0.1</v>
      </c>
      <c r="E188" s="44">
        <f t="shared" si="53"/>
        <v>0.1</v>
      </c>
      <c r="F188" s="44">
        <f t="shared" si="53"/>
        <v>0.1</v>
      </c>
      <c r="G188" s="44">
        <f t="shared" si="53"/>
        <v>0.1</v>
      </c>
      <c r="H188" s="44">
        <f t="shared" si="53"/>
        <v>0.1</v>
      </c>
      <c r="I188" s="44">
        <f t="shared" si="53"/>
        <v>0.1</v>
      </c>
      <c r="J188" s="44">
        <f t="shared" si="53"/>
        <v>0.1</v>
      </c>
      <c r="K188" s="44">
        <f t="shared" si="53"/>
        <v>0.1</v>
      </c>
      <c r="L188" s="44">
        <f t="shared" si="53"/>
        <v>0.1</v>
      </c>
      <c r="M188" s="44">
        <f t="shared" si="53"/>
        <v>0.1</v>
      </c>
      <c r="N188" s="44">
        <f t="shared" si="53"/>
        <v>0.1</v>
      </c>
      <c r="O188" s="44">
        <f t="shared" si="53"/>
        <v>0.1</v>
      </c>
      <c r="P188" s="44">
        <f t="shared" si="53"/>
        <v>0.1</v>
      </c>
      <c r="Q188" s="44">
        <f t="shared" si="53"/>
        <v>0.1</v>
      </c>
      <c r="R188" s="44">
        <f t="shared" si="53"/>
        <v>0.1</v>
      </c>
      <c r="S188" s="44">
        <f t="shared" si="54"/>
        <v>0.1</v>
      </c>
      <c r="T188" s="44">
        <f t="shared" si="54"/>
        <v>0.1</v>
      </c>
      <c r="U188" s="44">
        <f t="shared" si="54"/>
        <v>0.1</v>
      </c>
      <c r="V188" s="44">
        <f t="shared" si="54"/>
        <v>0.1</v>
      </c>
      <c r="W188" s="44">
        <f t="shared" si="54"/>
        <v>0.1</v>
      </c>
      <c r="X188" s="44">
        <f t="shared" si="54"/>
        <v>0.1</v>
      </c>
      <c r="Y188" s="44">
        <f t="shared" si="54"/>
        <v>0.1</v>
      </c>
      <c r="Z188" s="44">
        <f t="shared" si="54"/>
        <v>0.1</v>
      </c>
      <c r="AA188" s="44">
        <f t="shared" si="54"/>
        <v>0.1</v>
      </c>
      <c r="AB188" s="44">
        <f t="shared" si="54"/>
        <v>0.1</v>
      </c>
      <c r="AC188" s="44">
        <f t="shared" si="54"/>
        <v>0.1</v>
      </c>
      <c r="AD188" s="44">
        <f t="shared" si="54"/>
        <v>0.1</v>
      </c>
      <c r="AE188" s="44">
        <f t="shared" si="54"/>
        <v>0.1</v>
      </c>
      <c r="AF188" s="44">
        <f t="shared" si="54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2"/>
        <v>0.09</v>
      </c>
      <c r="C189" s="55">
        <v>0.09</v>
      </c>
      <c r="D189" s="44">
        <f t="shared" si="53"/>
        <v>0.09</v>
      </c>
      <c r="E189" s="44">
        <f t="shared" si="53"/>
        <v>0.09</v>
      </c>
      <c r="F189" s="44">
        <f t="shared" si="53"/>
        <v>0.09</v>
      </c>
      <c r="G189" s="44">
        <f t="shared" si="53"/>
        <v>0.09</v>
      </c>
      <c r="H189" s="44">
        <f t="shared" si="53"/>
        <v>0.09</v>
      </c>
      <c r="I189" s="44">
        <f t="shared" si="53"/>
        <v>0.09</v>
      </c>
      <c r="J189" s="44">
        <f t="shared" si="53"/>
        <v>0.09</v>
      </c>
      <c r="K189" s="44">
        <f t="shared" si="53"/>
        <v>0.09</v>
      </c>
      <c r="L189" s="44">
        <f t="shared" si="53"/>
        <v>0.09</v>
      </c>
      <c r="M189" s="44">
        <f t="shared" si="53"/>
        <v>0.09</v>
      </c>
      <c r="N189" s="44">
        <f t="shared" si="53"/>
        <v>0.09</v>
      </c>
      <c r="O189" s="44">
        <f t="shared" si="53"/>
        <v>0.09</v>
      </c>
      <c r="P189" s="44">
        <f t="shared" si="53"/>
        <v>0.09</v>
      </c>
      <c r="Q189" s="44">
        <f t="shared" si="53"/>
        <v>0.09</v>
      </c>
      <c r="R189" s="44">
        <f t="shared" si="53"/>
        <v>0.09</v>
      </c>
      <c r="S189" s="44">
        <f t="shared" si="54"/>
        <v>0.09</v>
      </c>
      <c r="T189" s="44">
        <f t="shared" si="54"/>
        <v>0.09</v>
      </c>
      <c r="U189" s="44">
        <f t="shared" si="54"/>
        <v>0.09</v>
      </c>
      <c r="V189" s="44">
        <f t="shared" si="54"/>
        <v>0.09</v>
      </c>
      <c r="W189" s="44">
        <f t="shared" si="54"/>
        <v>0.09</v>
      </c>
      <c r="X189" s="44">
        <f t="shared" si="54"/>
        <v>0.09</v>
      </c>
      <c r="Y189" s="44">
        <f t="shared" si="54"/>
        <v>0.09</v>
      </c>
      <c r="Z189" s="44">
        <f t="shared" si="54"/>
        <v>0.09</v>
      </c>
      <c r="AA189" s="44">
        <f t="shared" si="54"/>
        <v>0.09</v>
      </c>
      <c r="AB189" s="44">
        <f t="shared" si="54"/>
        <v>0.09</v>
      </c>
      <c r="AC189" s="44">
        <f t="shared" si="54"/>
        <v>0.09</v>
      </c>
      <c r="AD189" s="44">
        <f t="shared" si="54"/>
        <v>0.09</v>
      </c>
      <c r="AE189" s="44">
        <f t="shared" si="54"/>
        <v>0.09</v>
      </c>
      <c r="AF189" s="44">
        <f t="shared" si="54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2"/>
        <v>0.04</v>
      </c>
      <c r="C190" s="54">
        <v>0.04</v>
      </c>
      <c r="D190" s="44">
        <f t="shared" si="53"/>
        <v>0.04</v>
      </c>
      <c r="E190" s="44">
        <f t="shared" si="53"/>
        <v>0.04</v>
      </c>
      <c r="F190" s="44">
        <f t="shared" si="53"/>
        <v>0.04</v>
      </c>
      <c r="G190" s="44">
        <f t="shared" si="53"/>
        <v>0.04</v>
      </c>
      <c r="H190" s="44">
        <f t="shared" si="53"/>
        <v>0.04</v>
      </c>
      <c r="I190" s="44">
        <f t="shared" si="53"/>
        <v>0.04</v>
      </c>
      <c r="J190" s="44">
        <f t="shared" si="53"/>
        <v>0.04</v>
      </c>
      <c r="K190" s="44">
        <f t="shared" si="53"/>
        <v>0.04</v>
      </c>
      <c r="L190" s="44">
        <f t="shared" si="53"/>
        <v>0.04</v>
      </c>
      <c r="M190" s="44">
        <f t="shared" si="53"/>
        <v>0.04</v>
      </c>
      <c r="N190" s="44">
        <f t="shared" si="53"/>
        <v>0.04</v>
      </c>
      <c r="O190" s="44">
        <f t="shared" si="53"/>
        <v>0.04</v>
      </c>
      <c r="P190" s="44">
        <f t="shared" si="53"/>
        <v>0.04</v>
      </c>
      <c r="Q190" s="44">
        <f t="shared" si="53"/>
        <v>0.04</v>
      </c>
      <c r="R190" s="44">
        <f t="shared" si="53"/>
        <v>0.04</v>
      </c>
      <c r="S190" s="44">
        <f t="shared" si="54"/>
        <v>0.04</v>
      </c>
      <c r="T190" s="44">
        <f t="shared" si="54"/>
        <v>0.04</v>
      </c>
      <c r="U190" s="44">
        <f t="shared" si="54"/>
        <v>0.04</v>
      </c>
      <c r="V190" s="44">
        <f t="shared" si="54"/>
        <v>0.04</v>
      </c>
      <c r="W190" s="44">
        <f t="shared" si="54"/>
        <v>0.04</v>
      </c>
      <c r="X190" s="44">
        <f t="shared" si="54"/>
        <v>0.04</v>
      </c>
      <c r="Y190" s="44">
        <f t="shared" si="54"/>
        <v>0.04</v>
      </c>
      <c r="Z190" s="44">
        <f t="shared" si="54"/>
        <v>0.04</v>
      </c>
      <c r="AA190" s="44">
        <f t="shared" si="54"/>
        <v>0.04</v>
      </c>
      <c r="AB190" s="44">
        <f t="shared" si="54"/>
        <v>0.04</v>
      </c>
      <c r="AC190" s="44">
        <f t="shared" si="54"/>
        <v>0.04</v>
      </c>
      <c r="AD190" s="44">
        <f t="shared" si="54"/>
        <v>0.04</v>
      </c>
      <c r="AE190" s="44">
        <f t="shared" si="54"/>
        <v>0.04</v>
      </c>
      <c r="AF190" s="44">
        <f t="shared" si="54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2"/>
        <v>2.3E-2</v>
      </c>
      <c r="C191" s="54">
        <v>2.3E-2</v>
      </c>
      <c r="D191" s="44">
        <f>C191</f>
        <v>2.3E-2</v>
      </c>
      <c r="E191" s="44">
        <f t="shared" si="53"/>
        <v>2.3E-2</v>
      </c>
      <c r="F191" s="44">
        <f t="shared" si="53"/>
        <v>2.3E-2</v>
      </c>
      <c r="G191" s="44">
        <f t="shared" si="53"/>
        <v>2.3E-2</v>
      </c>
      <c r="H191" s="44">
        <f t="shared" si="53"/>
        <v>2.3E-2</v>
      </c>
      <c r="I191" s="44">
        <f t="shared" si="53"/>
        <v>2.3E-2</v>
      </c>
      <c r="J191" s="44">
        <f t="shared" si="53"/>
        <v>2.3E-2</v>
      </c>
      <c r="K191" s="44">
        <f t="shared" si="53"/>
        <v>2.3E-2</v>
      </c>
      <c r="L191" s="44">
        <f t="shared" si="53"/>
        <v>2.3E-2</v>
      </c>
      <c r="M191" s="44">
        <f t="shared" si="53"/>
        <v>2.3E-2</v>
      </c>
      <c r="N191" s="44">
        <f t="shared" si="53"/>
        <v>2.3E-2</v>
      </c>
      <c r="O191" s="44">
        <f t="shared" si="53"/>
        <v>2.3E-2</v>
      </c>
      <c r="P191" s="44">
        <f t="shared" si="53"/>
        <v>2.3E-2</v>
      </c>
      <c r="Q191" s="44">
        <f t="shared" si="53"/>
        <v>2.3E-2</v>
      </c>
      <c r="R191" s="44">
        <f t="shared" si="53"/>
        <v>2.3E-2</v>
      </c>
      <c r="S191" s="44">
        <f t="shared" si="54"/>
        <v>2.3E-2</v>
      </c>
      <c r="T191" s="44">
        <f t="shared" si="54"/>
        <v>2.3E-2</v>
      </c>
      <c r="U191" s="44">
        <f t="shared" si="54"/>
        <v>2.3E-2</v>
      </c>
      <c r="V191" s="44">
        <f t="shared" si="54"/>
        <v>2.3E-2</v>
      </c>
      <c r="W191" s="44">
        <f t="shared" si="54"/>
        <v>2.3E-2</v>
      </c>
      <c r="X191" s="44">
        <f t="shared" si="54"/>
        <v>2.3E-2</v>
      </c>
      <c r="Y191" s="44">
        <f t="shared" si="54"/>
        <v>2.3E-2</v>
      </c>
      <c r="Z191" s="44">
        <f t="shared" si="54"/>
        <v>2.3E-2</v>
      </c>
      <c r="AA191" s="44">
        <f t="shared" si="54"/>
        <v>2.3E-2</v>
      </c>
      <c r="AB191" s="44">
        <f t="shared" si="54"/>
        <v>2.3E-2</v>
      </c>
      <c r="AC191" s="44">
        <f t="shared" si="54"/>
        <v>2.3E-2</v>
      </c>
      <c r="AD191" s="44">
        <f t="shared" si="54"/>
        <v>2.3E-2</v>
      </c>
      <c r="AE191" s="44">
        <f t="shared" si="54"/>
        <v>2.3E-2</v>
      </c>
      <c r="AF191" s="44">
        <f t="shared" si="54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5">SUM(C102:C191)</f>
        <v>194.70600000000002</v>
      </c>
      <c r="D192" s="51">
        <f t="shared" si="55"/>
        <v>194.70600000000002</v>
      </c>
      <c r="E192" s="51">
        <f t="shared" si="55"/>
        <v>194.70600000000002</v>
      </c>
      <c r="F192" s="51">
        <f t="shared" si="55"/>
        <v>194.70600000000002</v>
      </c>
      <c r="G192" s="51">
        <f t="shared" si="55"/>
        <v>194.70600000000002</v>
      </c>
      <c r="H192" s="51">
        <f t="shared" si="55"/>
        <v>194.70600000000002</v>
      </c>
      <c r="I192" s="51">
        <f t="shared" si="55"/>
        <v>194.70600000000002</v>
      </c>
      <c r="J192" s="51">
        <f t="shared" si="55"/>
        <v>192.10600000000005</v>
      </c>
      <c r="K192" s="51">
        <f t="shared" si="55"/>
        <v>192.10600000000005</v>
      </c>
      <c r="L192" s="51">
        <f t="shared" si="55"/>
        <v>192.10600000000005</v>
      </c>
      <c r="M192" s="51">
        <f t="shared" si="55"/>
        <v>192.10600000000005</v>
      </c>
      <c r="N192" s="51">
        <f t="shared" si="55"/>
        <v>192.10600000000005</v>
      </c>
      <c r="O192" s="51">
        <f t="shared" si="55"/>
        <v>192.10600000000005</v>
      </c>
      <c r="P192" s="51">
        <f t="shared" si="55"/>
        <v>192.10600000000005</v>
      </c>
      <c r="Q192" s="51">
        <f t="shared" si="55"/>
        <v>192.10600000000005</v>
      </c>
      <c r="R192" s="51">
        <f t="shared" si="55"/>
        <v>192.10600000000005</v>
      </c>
      <c r="S192" s="51">
        <f t="shared" si="55"/>
        <v>192.10600000000005</v>
      </c>
      <c r="T192" s="51">
        <f t="shared" si="55"/>
        <v>192.10600000000005</v>
      </c>
      <c r="U192" s="51">
        <f t="shared" si="55"/>
        <v>192.10600000000005</v>
      </c>
      <c r="V192" s="51">
        <f t="shared" si="55"/>
        <v>192.10600000000005</v>
      </c>
      <c r="W192" s="51">
        <f t="shared" si="55"/>
        <v>192.10600000000005</v>
      </c>
      <c r="X192" s="51">
        <f t="shared" si="55"/>
        <v>192.10600000000005</v>
      </c>
      <c r="Y192" s="51">
        <f t="shared" si="55"/>
        <v>192.10600000000005</v>
      </c>
      <c r="Z192" s="51">
        <f t="shared" si="55"/>
        <v>192.10600000000005</v>
      </c>
      <c r="AA192" s="51">
        <f t="shared" si="55"/>
        <v>192.10600000000005</v>
      </c>
      <c r="AB192" s="51">
        <f t="shared" si="55"/>
        <v>192.10600000000005</v>
      </c>
      <c r="AC192" s="51">
        <f t="shared" si="55"/>
        <v>192.10600000000005</v>
      </c>
      <c r="AD192" s="51">
        <f t="shared" si="55"/>
        <v>192.10600000000005</v>
      </c>
      <c r="AE192" s="51">
        <f t="shared" si="55"/>
        <v>192.10600000000005</v>
      </c>
      <c r="AF192" s="51">
        <f t="shared" si="55"/>
        <v>192.10600000000005</v>
      </c>
      <c r="AG192" s="50">
        <f t="shared" si="55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6">AF194</f>
        <v>0.3</v>
      </c>
      <c r="C194" s="47">
        <v>0.3</v>
      </c>
      <c r="D194" s="47">
        <f t="shared" ref="D194:S199" si="57">C194</f>
        <v>0.3</v>
      </c>
      <c r="E194" s="47">
        <f t="shared" si="57"/>
        <v>0.3</v>
      </c>
      <c r="F194" s="47">
        <f t="shared" si="57"/>
        <v>0.3</v>
      </c>
      <c r="G194" s="47">
        <f t="shared" si="57"/>
        <v>0.3</v>
      </c>
      <c r="H194" s="47">
        <f t="shared" si="57"/>
        <v>0.3</v>
      </c>
      <c r="I194" s="47">
        <f t="shared" si="57"/>
        <v>0.3</v>
      </c>
      <c r="J194" s="47">
        <f t="shared" si="57"/>
        <v>0.3</v>
      </c>
      <c r="K194" s="47">
        <f t="shared" si="57"/>
        <v>0.3</v>
      </c>
      <c r="L194" s="47">
        <f t="shared" si="57"/>
        <v>0.3</v>
      </c>
      <c r="M194" s="47">
        <f t="shared" si="57"/>
        <v>0.3</v>
      </c>
      <c r="N194" s="47">
        <f t="shared" si="57"/>
        <v>0.3</v>
      </c>
      <c r="O194" s="47">
        <f t="shared" si="57"/>
        <v>0.3</v>
      </c>
      <c r="P194" s="47">
        <f t="shared" si="57"/>
        <v>0.3</v>
      </c>
      <c r="Q194" s="47">
        <f t="shared" si="57"/>
        <v>0.3</v>
      </c>
      <c r="R194" s="47">
        <f t="shared" si="57"/>
        <v>0.3</v>
      </c>
      <c r="S194" s="47">
        <f t="shared" si="57"/>
        <v>0.3</v>
      </c>
      <c r="T194" s="47">
        <f t="shared" ref="T194:AF199" si="58">S194</f>
        <v>0.3</v>
      </c>
      <c r="U194" s="47">
        <f t="shared" si="58"/>
        <v>0.3</v>
      </c>
      <c r="V194" s="47">
        <f t="shared" si="58"/>
        <v>0.3</v>
      </c>
      <c r="W194" s="47">
        <f t="shared" si="58"/>
        <v>0.3</v>
      </c>
      <c r="X194" s="47">
        <f t="shared" si="58"/>
        <v>0.3</v>
      </c>
      <c r="Y194" s="47">
        <f t="shared" si="58"/>
        <v>0.3</v>
      </c>
      <c r="Z194" s="47">
        <f t="shared" si="58"/>
        <v>0.3</v>
      </c>
      <c r="AA194" s="47">
        <f t="shared" si="58"/>
        <v>0.3</v>
      </c>
      <c r="AB194" s="47">
        <f t="shared" si="58"/>
        <v>0.3</v>
      </c>
      <c r="AC194" s="47">
        <f t="shared" si="58"/>
        <v>0.3</v>
      </c>
      <c r="AD194" s="47">
        <f t="shared" si="58"/>
        <v>0.3</v>
      </c>
      <c r="AE194" s="47">
        <f t="shared" si="58"/>
        <v>0.3</v>
      </c>
      <c r="AF194" s="47">
        <f t="shared" si="58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6"/>
        <v>0.4</v>
      </c>
      <c r="C195" s="44">
        <v>0.4</v>
      </c>
      <c r="D195" s="44">
        <f t="shared" si="57"/>
        <v>0.4</v>
      </c>
      <c r="E195" s="44">
        <f t="shared" si="57"/>
        <v>0.4</v>
      </c>
      <c r="F195" s="44">
        <f t="shared" si="57"/>
        <v>0.4</v>
      </c>
      <c r="G195" s="44">
        <f t="shared" si="57"/>
        <v>0.4</v>
      </c>
      <c r="H195" s="44">
        <f t="shared" si="57"/>
        <v>0.4</v>
      </c>
      <c r="I195" s="44">
        <f t="shared" si="57"/>
        <v>0.4</v>
      </c>
      <c r="J195" s="44">
        <f t="shared" si="57"/>
        <v>0.4</v>
      </c>
      <c r="K195" s="44">
        <f t="shared" si="57"/>
        <v>0.4</v>
      </c>
      <c r="L195" s="44">
        <f t="shared" si="57"/>
        <v>0.4</v>
      </c>
      <c r="M195" s="44">
        <f t="shared" si="57"/>
        <v>0.4</v>
      </c>
      <c r="N195" s="44">
        <f t="shared" si="57"/>
        <v>0.4</v>
      </c>
      <c r="O195" s="44">
        <f t="shared" si="57"/>
        <v>0.4</v>
      </c>
      <c r="P195" s="44">
        <f t="shared" si="57"/>
        <v>0.4</v>
      </c>
      <c r="Q195" s="44">
        <f t="shared" si="57"/>
        <v>0.4</v>
      </c>
      <c r="R195" s="44">
        <f t="shared" si="57"/>
        <v>0.4</v>
      </c>
      <c r="S195" s="44">
        <f t="shared" si="57"/>
        <v>0.4</v>
      </c>
      <c r="T195" s="44">
        <f t="shared" si="58"/>
        <v>0.4</v>
      </c>
      <c r="U195" s="44">
        <f t="shared" si="58"/>
        <v>0.4</v>
      </c>
      <c r="V195" s="44">
        <f t="shared" si="58"/>
        <v>0.4</v>
      </c>
      <c r="W195" s="44">
        <f>V195</f>
        <v>0.4</v>
      </c>
      <c r="X195" s="44">
        <f>W195</f>
        <v>0.4</v>
      </c>
      <c r="Y195" s="44">
        <f t="shared" si="58"/>
        <v>0.4</v>
      </c>
      <c r="Z195" s="44">
        <f t="shared" si="58"/>
        <v>0.4</v>
      </c>
      <c r="AA195" s="44">
        <f t="shared" si="58"/>
        <v>0.4</v>
      </c>
      <c r="AB195" s="44">
        <f t="shared" si="58"/>
        <v>0.4</v>
      </c>
      <c r="AC195" s="44">
        <f t="shared" si="58"/>
        <v>0.4</v>
      </c>
      <c r="AD195" s="44">
        <f t="shared" si="58"/>
        <v>0.4</v>
      </c>
      <c r="AE195" s="44">
        <f t="shared" si="58"/>
        <v>0.4</v>
      </c>
      <c r="AF195" s="44">
        <f t="shared" si="58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6"/>
        <v>1.5</v>
      </c>
      <c r="C196" s="44">
        <v>1.5</v>
      </c>
      <c r="D196" s="44">
        <f t="shared" si="57"/>
        <v>1.5</v>
      </c>
      <c r="E196" s="44">
        <f t="shared" si="57"/>
        <v>1.5</v>
      </c>
      <c r="F196" s="44">
        <f t="shared" si="57"/>
        <v>1.5</v>
      </c>
      <c r="G196" s="44">
        <f t="shared" si="57"/>
        <v>1.5</v>
      </c>
      <c r="H196" s="44">
        <f t="shared" si="57"/>
        <v>1.5</v>
      </c>
      <c r="I196" s="44">
        <f t="shared" si="57"/>
        <v>1.5</v>
      </c>
      <c r="J196" s="44">
        <f t="shared" si="57"/>
        <v>1.5</v>
      </c>
      <c r="K196" s="44">
        <f t="shared" si="57"/>
        <v>1.5</v>
      </c>
      <c r="L196" s="44">
        <f t="shared" si="57"/>
        <v>1.5</v>
      </c>
      <c r="M196" s="44">
        <f t="shared" si="57"/>
        <v>1.5</v>
      </c>
      <c r="N196" s="44">
        <f t="shared" si="57"/>
        <v>1.5</v>
      </c>
      <c r="O196" s="44">
        <f t="shared" si="57"/>
        <v>1.5</v>
      </c>
      <c r="P196" s="44">
        <f t="shared" si="57"/>
        <v>1.5</v>
      </c>
      <c r="Q196" s="44">
        <f t="shared" si="57"/>
        <v>1.5</v>
      </c>
      <c r="R196" s="44">
        <f t="shared" si="57"/>
        <v>1.5</v>
      </c>
      <c r="S196" s="44">
        <f t="shared" si="57"/>
        <v>1.5</v>
      </c>
      <c r="T196" s="44">
        <f t="shared" si="58"/>
        <v>1.5</v>
      </c>
      <c r="U196" s="44">
        <f t="shared" si="58"/>
        <v>1.5</v>
      </c>
      <c r="V196" s="44">
        <f t="shared" si="58"/>
        <v>1.5</v>
      </c>
      <c r="W196" s="44">
        <f t="shared" si="58"/>
        <v>1.5</v>
      </c>
      <c r="X196" s="44">
        <f t="shared" si="58"/>
        <v>1.5</v>
      </c>
      <c r="Y196" s="44">
        <f t="shared" si="58"/>
        <v>1.5</v>
      </c>
      <c r="Z196" s="44">
        <f t="shared" si="58"/>
        <v>1.5</v>
      </c>
      <c r="AA196" s="44">
        <f t="shared" si="58"/>
        <v>1.5</v>
      </c>
      <c r="AB196" s="44">
        <f t="shared" si="58"/>
        <v>1.5</v>
      </c>
      <c r="AC196" s="44">
        <f t="shared" si="58"/>
        <v>1.5</v>
      </c>
      <c r="AD196" s="44">
        <f t="shared" si="58"/>
        <v>1.5</v>
      </c>
      <c r="AE196" s="44">
        <f t="shared" si="58"/>
        <v>1.5</v>
      </c>
      <c r="AF196" s="44">
        <f t="shared" si="58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6"/>
        <v>0.3</v>
      </c>
      <c r="C197" s="44">
        <v>0.3</v>
      </c>
      <c r="D197" s="44">
        <f t="shared" si="57"/>
        <v>0.3</v>
      </c>
      <c r="E197" s="44">
        <f t="shared" si="57"/>
        <v>0.3</v>
      </c>
      <c r="F197" s="44">
        <f t="shared" si="57"/>
        <v>0.3</v>
      </c>
      <c r="G197" s="44">
        <f t="shared" si="57"/>
        <v>0.3</v>
      </c>
      <c r="H197" s="44">
        <f t="shared" si="57"/>
        <v>0.3</v>
      </c>
      <c r="I197" s="44">
        <f t="shared" si="57"/>
        <v>0.3</v>
      </c>
      <c r="J197" s="44">
        <f t="shared" si="57"/>
        <v>0.3</v>
      </c>
      <c r="K197" s="44">
        <f t="shared" si="57"/>
        <v>0.3</v>
      </c>
      <c r="L197" s="44">
        <f t="shared" si="57"/>
        <v>0.3</v>
      </c>
      <c r="M197" s="44">
        <f t="shared" si="57"/>
        <v>0.3</v>
      </c>
      <c r="N197" s="44">
        <f t="shared" si="57"/>
        <v>0.3</v>
      </c>
      <c r="O197" s="44">
        <f t="shared" si="57"/>
        <v>0.3</v>
      </c>
      <c r="P197" s="44">
        <f t="shared" si="57"/>
        <v>0.3</v>
      </c>
      <c r="Q197" s="44">
        <f t="shared" si="57"/>
        <v>0.3</v>
      </c>
      <c r="R197" s="44">
        <f t="shared" si="57"/>
        <v>0.3</v>
      </c>
      <c r="S197" s="44">
        <f t="shared" si="57"/>
        <v>0.3</v>
      </c>
      <c r="T197" s="44">
        <f t="shared" si="58"/>
        <v>0.3</v>
      </c>
      <c r="U197" s="44">
        <f t="shared" si="58"/>
        <v>0.3</v>
      </c>
      <c r="V197" s="44">
        <f t="shared" si="58"/>
        <v>0.3</v>
      </c>
      <c r="W197" s="44">
        <f t="shared" si="58"/>
        <v>0.3</v>
      </c>
      <c r="X197" s="44">
        <f t="shared" si="58"/>
        <v>0.3</v>
      </c>
      <c r="Y197" s="44">
        <f t="shared" si="58"/>
        <v>0.3</v>
      </c>
      <c r="Z197" s="44">
        <f t="shared" si="58"/>
        <v>0.3</v>
      </c>
      <c r="AA197" s="44">
        <f t="shared" si="58"/>
        <v>0.3</v>
      </c>
      <c r="AB197" s="44">
        <f t="shared" si="58"/>
        <v>0.3</v>
      </c>
      <c r="AC197" s="44">
        <f t="shared" si="58"/>
        <v>0.3</v>
      </c>
      <c r="AD197" s="44">
        <f t="shared" si="58"/>
        <v>0.3</v>
      </c>
      <c r="AE197" s="44">
        <f t="shared" si="58"/>
        <v>0.3</v>
      </c>
      <c r="AF197" s="44">
        <f t="shared" si="58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6"/>
        <v>0.4</v>
      </c>
      <c r="C198" s="44">
        <v>0.4</v>
      </c>
      <c r="D198" s="44">
        <f t="shared" si="57"/>
        <v>0.4</v>
      </c>
      <c r="E198" s="44">
        <f t="shared" si="57"/>
        <v>0.4</v>
      </c>
      <c r="F198" s="44">
        <f t="shared" si="57"/>
        <v>0.4</v>
      </c>
      <c r="G198" s="44">
        <f t="shared" si="57"/>
        <v>0.4</v>
      </c>
      <c r="H198" s="44">
        <f t="shared" si="57"/>
        <v>0.4</v>
      </c>
      <c r="I198" s="44">
        <f t="shared" si="57"/>
        <v>0.4</v>
      </c>
      <c r="J198" s="44">
        <f t="shared" si="57"/>
        <v>0.4</v>
      </c>
      <c r="K198" s="44">
        <f t="shared" si="57"/>
        <v>0.4</v>
      </c>
      <c r="L198" s="44">
        <f t="shared" si="57"/>
        <v>0.4</v>
      </c>
      <c r="M198" s="44">
        <f t="shared" si="57"/>
        <v>0.4</v>
      </c>
      <c r="N198" s="44">
        <f t="shared" si="57"/>
        <v>0.4</v>
      </c>
      <c r="O198" s="44">
        <f t="shared" si="57"/>
        <v>0.4</v>
      </c>
      <c r="P198" s="44">
        <f t="shared" si="57"/>
        <v>0.4</v>
      </c>
      <c r="Q198" s="44">
        <f t="shared" si="57"/>
        <v>0.4</v>
      </c>
      <c r="R198" s="44">
        <f t="shared" si="57"/>
        <v>0.4</v>
      </c>
      <c r="S198" s="44">
        <f t="shared" si="57"/>
        <v>0.4</v>
      </c>
      <c r="T198" s="44">
        <f t="shared" si="58"/>
        <v>0.4</v>
      </c>
      <c r="U198" s="44">
        <f t="shared" si="58"/>
        <v>0.4</v>
      </c>
      <c r="V198" s="44">
        <f t="shared" si="58"/>
        <v>0.4</v>
      </c>
      <c r="W198" s="44">
        <f t="shared" si="58"/>
        <v>0.4</v>
      </c>
      <c r="X198" s="44">
        <f t="shared" si="58"/>
        <v>0.4</v>
      </c>
      <c r="Y198" s="44">
        <f t="shared" si="58"/>
        <v>0.4</v>
      </c>
      <c r="Z198" s="44">
        <f t="shared" si="58"/>
        <v>0.4</v>
      </c>
      <c r="AA198" s="44">
        <f t="shared" si="58"/>
        <v>0.4</v>
      </c>
      <c r="AB198" s="44">
        <f t="shared" si="58"/>
        <v>0.4</v>
      </c>
      <c r="AC198" s="44">
        <f t="shared" si="58"/>
        <v>0.4</v>
      </c>
      <c r="AD198" s="44">
        <f t="shared" si="58"/>
        <v>0.4</v>
      </c>
      <c r="AE198" s="44">
        <f t="shared" si="58"/>
        <v>0.4</v>
      </c>
      <c r="AF198" s="44">
        <f t="shared" si="58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6"/>
        <v>0.64</v>
      </c>
      <c r="C199" s="40">
        <v>0.64</v>
      </c>
      <c r="D199" s="40">
        <f t="shared" si="57"/>
        <v>0.64</v>
      </c>
      <c r="E199" s="40">
        <f t="shared" si="57"/>
        <v>0.64</v>
      </c>
      <c r="F199" s="40">
        <f t="shared" si="57"/>
        <v>0.64</v>
      </c>
      <c r="G199" s="40">
        <f t="shared" si="57"/>
        <v>0.64</v>
      </c>
      <c r="H199" s="40">
        <f t="shared" si="57"/>
        <v>0.64</v>
      </c>
      <c r="I199" s="40">
        <f t="shared" si="57"/>
        <v>0.64</v>
      </c>
      <c r="J199" s="40">
        <f t="shared" si="57"/>
        <v>0.64</v>
      </c>
      <c r="K199" s="40">
        <f t="shared" si="57"/>
        <v>0.64</v>
      </c>
      <c r="L199" s="40">
        <f t="shared" si="57"/>
        <v>0.64</v>
      </c>
      <c r="M199" s="40">
        <f t="shared" si="57"/>
        <v>0.64</v>
      </c>
      <c r="N199" s="40">
        <f t="shared" si="57"/>
        <v>0.64</v>
      </c>
      <c r="O199" s="40">
        <f t="shared" si="57"/>
        <v>0.64</v>
      </c>
      <c r="P199" s="40">
        <f t="shared" si="57"/>
        <v>0.64</v>
      </c>
      <c r="Q199" s="40">
        <f t="shared" si="57"/>
        <v>0.64</v>
      </c>
      <c r="R199" s="40">
        <f t="shared" si="57"/>
        <v>0.64</v>
      </c>
      <c r="S199" s="40">
        <f t="shared" si="57"/>
        <v>0.64</v>
      </c>
      <c r="T199" s="40">
        <f t="shared" si="58"/>
        <v>0.64</v>
      </c>
      <c r="U199" s="40">
        <f t="shared" si="58"/>
        <v>0.64</v>
      </c>
      <c r="V199" s="40">
        <f t="shared" si="58"/>
        <v>0.64</v>
      </c>
      <c r="W199" s="40">
        <f t="shared" si="58"/>
        <v>0.64</v>
      </c>
      <c r="X199" s="40">
        <f t="shared" si="58"/>
        <v>0.64</v>
      </c>
      <c r="Y199" s="40">
        <f t="shared" si="58"/>
        <v>0.64</v>
      </c>
      <c r="Z199" s="40">
        <f t="shared" si="58"/>
        <v>0.64</v>
      </c>
      <c r="AA199" s="40">
        <f t="shared" si="58"/>
        <v>0.64</v>
      </c>
      <c r="AB199" s="40">
        <f t="shared" si="58"/>
        <v>0.64</v>
      </c>
      <c r="AC199" s="40">
        <f t="shared" si="58"/>
        <v>0.64</v>
      </c>
      <c r="AD199" s="40">
        <f t="shared" si="58"/>
        <v>0.64</v>
      </c>
      <c r="AE199" s="40">
        <f t="shared" si="58"/>
        <v>0.64</v>
      </c>
      <c r="AF199" s="40">
        <f t="shared" si="58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9">SUM(D194:D199)</f>
        <v>3.54</v>
      </c>
      <c r="E200" s="37">
        <f t="shared" si="59"/>
        <v>3.54</v>
      </c>
      <c r="F200" s="37">
        <f t="shared" si="59"/>
        <v>3.54</v>
      </c>
      <c r="G200" s="37">
        <f t="shared" si="59"/>
        <v>3.54</v>
      </c>
      <c r="H200" s="37">
        <f t="shared" si="59"/>
        <v>3.54</v>
      </c>
      <c r="I200" s="37">
        <f t="shared" si="59"/>
        <v>3.54</v>
      </c>
      <c r="J200" s="37">
        <f t="shared" si="59"/>
        <v>3.54</v>
      </c>
      <c r="K200" s="37">
        <f t="shared" si="59"/>
        <v>3.54</v>
      </c>
      <c r="L200" s="37">
        <f t="shared" si="59"/>
        <v>3.54</v>
      </c>
      <c r="M200" s="37">
        <f>SUM(M194:M199)</f>
        <v>3.54</v>
      </c>
      <c r="N200" s="37">
        <f t="shared" ref="N200:S200" si="60">SUM(N194:N199)</f>
        <v>3.54</v>
      </c>
      <c r="O200" s="37">
        <f t="shared" si="60"/>
        <v>3.54</v>
      </c>
      <c r="P200" s="37">
        <f t="shared" si="60"/>
        <v>3.54</v>
      </c>
      <c r="Q200" s="37">
        <f t="shared" si="60"/>
        <v>3.54</v>
      </c>
      <c r="R200" s="37">
        <f t="shared" si="60"/>
        <v>3.54</v>
      </c>
      <c r="S200" s="37">
        <f t="shared" si="60"/>
        <v>3.54</v>
      </c>
      <c r="T200" s="37">
        <f>SUM(T194:T199)</f>
        <v>3.54</v>
      </c>
      <c r="U200" s="37">
        <f t="shared" ref="U200:AG200" si="61">SUM(U194:U199)</f>
        <v>3.54</v>
      </c>
      <c r="V200" s="37">
        <f t="shared" si="61"/>
        <v>3.54</v>
      </c>
      <c r="W200" s="37">
        <f t="shared" si="61"/>
        <v>3.54</v>
      </c>
      <c r="X200" s="37">
        <f t="shared" si="61"/>
        <v>3.54</v>
      </c>
      <c r="Y200" s="37">
        <f t="shared" si="61"/>
        <v>3.54</v>
      </c>
      <c r="Z200" s="37">
        <f t="shared" si="61"/>
        <v>3.54</v>
      </c>
      <c r="AA200" s="37">
        <f t="shared" si="61"/>
        <v>3.54</v>
      </c>
      <c r="AB200" s="37">
        <f t="shared" si="61"/>
        <v>3.54</v>
      </c>
      <c r="AC200" s="37">
        <f t="shared" si="61"/>
        <v>3.54</v>
      </c>
      <c r="AD200" s="37">
        <f t="shared" si="61"/>
        <v>3.54</v>
      </c>
      <c r="AE200" s="37">
        <f t="shared" si="61"/>
        <v>3.54</v>
      </c>
      <c r="AF200" s="37">
        <f t="shared" si="61"/>
        <v>3.54</v>
      </c>
      <c r="AG200" s="36">
        <f t="shared" si="61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1077.6400000000001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4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2078/12/4)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2078/12/4)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2">B75</f>
        <v>967.86</v>
      </c>
      <c r="U214" s="9">
        <f t="shared" si="62"/>
        <v>947.84999999999991</v>
      </c>
      <c r="V214" s="9">
        <f t="shared" si="62"/>
        <v>937.38</v>
      </c>
      <c r="W214" s="9">
        <f t="shared" si="62"/>
        <v>910.01</v>
      </c>
      <c r="X214" s="9">
        <f t="shared" si="62"/>
        <v>918.81</v>
      </c>
      <c r="Y214" s="9">
        <f t="shared" si="62"/>
        <v>930.36</v>
      </c>
      <c r="Z214" s="9">
        <f t="shared" si="62"/>
        <v>933.04</v>
      </c>
      <c r="AA214" s="9">
        <f t="shared" si="62"/>
        <v>986.29</v>
      </c>
      <c r="AB214" s="9">
        <f t="shared" si="62"/>
        <v>1035.8800000000001</v>
      </c>
      <c r="AC214" s="9">
        <f t="shared" si="62"/>
        <v>1044.3400000000001</v>
      </c>
      <c r="AD214" s="9">
        <f t="shared" si="62"/>
        <v>1067.44</v>
      </c>
      <c r="AE214" s="9">
        <f t="shared" si="62"/>
        <v>1077.6400000000001</v>
      </c>
      <c r="AF214" s="9">
        <f t="shared" si="62"/>
        <v>1017.64</v>
      </c>
      <c r="AG214" s="9">
        <f t="shared" si="62"/>
        <v>1012.1400000000001</v>
      </c>
      <c r="AH214" s="9">
        <f t="shared" si="62"/>
        <v>1029.74</v>
      </c>
      <c r="AI214" s="9">
        <f t="shared" si="62"/>
        <v>1007.87</v>
      </c>
      <c r="AJ214" s="9">
        <f t="shared" si="62"/>
        <v>1002.84</v>
      </c>
      <c r="AK214" s="9">
        <f t="shared" si="62"/>
        <v>1013.44</v>
      </c>
      <c r="AL214" s="9">
        <f t="shared" si="62"/>
        <v>997.64</v>
      </c>
      <c r="AM214" s="9">
        <f t="shared" si="62"/>
        <v>1231.04</v>
      </c>
      <c r="AN214" s="9">
        <f t="shared" si="62"/>
        <v>1261.44</v>
      </c>
      <c r="AO214" s="9">
        <f t="shared" si="62"/>
        <v>1346.3400000000001</v>
      </c>
      <c r="AP214" s="9">
        <f t="shared" si="62"/>
        <v>1369.54</v>
      </c>
      <c r="AQ214" s="9">
        <f t="shared" si="62"/>
        <v>1435.04</v>
      </c>
      <c r="AR214" s="9">
        <f t="shared" si="62"/>
        <v>1601.3400000000001</v>
      </c>
      <c r="AS214" s="9">
        <f t="shared" si="62"/>
        <v>1519.0400000000002</v>
      </c>
      <c r="AT214" s="9">
        <f t="shared" si="62"/>
        <v>1467.0400000000002</v>
      </c>
      <c r="AU214" s="9">
        <f t="shared" si="62"/>
        <v>1436.3400000000001</v>
      </c>
      <c r="AV214" s="9">
        <f t="shared" si="62"/>
        <v>1378.54</v>
      </c>
      <c r="AW214" s="9">
        <f t="shared" si="62"/>
        <v>1273.0400000000002</v>
      </c>
      <c r="AX214" s="9">
        <f t="shared" si="62"/>
        <v>1199.7400000000002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3">C199</f>
        <v>0.64</v>
      </c>
      <c r="C235" s="4">
        <f t="shared" si="63"/>
        <v>0.64</v>
      </c>
      <c r="D235" s="4">
        <f t="shared" si="63"/>
        <v>0.64</v>
      </c>
      <c r="E235" s="4">
        <f t="shared" si="63"/>
        <v>0.64</v>
      </c>
      <c r="F235" s="4">
        <f t="shared" si="63"/>
        <v>0.64</v>
      </c>
      <c r="G235" s="4">
        <f t="shared" si="63"/>
        <v>0.64</v>
      </c>
      <c r="H235" s="4">
        <f t="shared" si="63"/>
        <v>0.64</v>
      </c>
      <c r="I235" s="4">
        <f t="shared" si="63"/>
        <v>0.64</v>
      </c>
      <c r="J235" s="4">
        <f t="shared" si="63"/>
        <v>0.64</v>
      </c>
      <c r="K235" s="4">
        <f t="shared" si="63"/>
        <v>0.64</v>
      </c>
      <c r="L235" s="4">
        <f t="shared" si="63"/>
        <v>0.64</v>
      </c>
      <c r="M235" s="4">
        <f t="shared" si="63"/>
        <v>0.64</v>
      </c>
      <c r="N235" s="4">
        <f t="shared" si="63"/>
        <v>0.64</v>
      </c>
      <c r="O235" s="4">
        <f t="shared" si="63"/>
        <v>0.64</v>
      </c>
      <c r="P235" s="4">
        <f t="shared" si="63"/>
        <v>0.64</v>
      </c>
      <c r="Q235" s="4">
        <f t="shared" si="63"/>
        <v>0.64</v>
      </c>
      <c r="R235" s="4">
        <f t="shared" si="63"/>
        <v>0.64</v>
      </c>
      <c r="S235" s="4">
        <f t="shared" si="63"/>
        <v>0.64</v>
      </c>
      <c r="T235" s="4">
        <f t="shared" si="63"/>
        <v>0.64</v>
      </c>
      <c r="U235" s="4">
        <f t="shared" si="63"/>
        <v>0.64</v>
      </c>
      <c r="V235" s="4">
        <f t="shared" si="63"/>
        <v>0.64</v>
      </c>
      <c r="W235" s="4">
        <f t="shared" si="63"/>
        <v>0.64</v>
      </c>
      <c r="X235" s="4">
        <f t="shared" si="63"/>
        <v>0.64</v>
      </c>
      <c r="Y235" s="4">
        <f t="shared" si="63"/>
        <v>0.64</v>
      </c>
      <c r="Z235" s="4">
        <f t="shared" si="63"/>
        <v>0.64</v>
      </c>
      <c r="AA235" s="4">
        <f t="shared" si="63"/>
        <v>0.64</v>
      </c>
      <c r="AB235" s="4">
        <f t="shared" si="63"/>
        <v>0.64</v>
      </c>
      <c r="AC235" s="4">
        <f t="shared" si="63"/>
        <v>0.64</v>
      </c>
      <c r="AD235" s="4">
        <f t="shared" si="63"/>
        <v>0.64</v>
      </c>
      <c r="AE235" s="4">
        <f t="shared" si="63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4">IF(C203&lt;100,"",C203-520)</f>
        <v/>
      </c>
      <c r="D236" s="3" t="str">
        <f t="shared" si="64"/>
        <v/>
      </c>
      <c r="E236" s="3" t="str">
        <f t="shared" si="64"/>
        <v/>
      </c>
      <c r="F236" s="3" t="str">
        <f t="shared" si="64"/>
        <v/>
      </c>
      <c r="G236" s="3" t="str">
        <f t="shared" si="64"/>
        <v/>
      </c>
      <c r="H236" s="3" t="str">
        <f t="shared" si="64"/>
        <v/>
      </c>
      <c r="I236" s="3" t="str">
        <f t="shared" si="64"/>
        <v/>
      </c>
      <c r="J236" s="3" t="str">
        <f t="shared" si="64"/>
        <v/>
      </c>
      <c r="K236" s="3" t="str">
        <f t="shared" si="64"/>
        <v/>
      </c>
      <c r="L236" s="3" t="str">
        <f t="shared" si="64"/>
        <v/>
      </c>
      <c r="M236" s="3" t="str">
        <f t="shared" si="64"/>
        <v/>
      </c>
      <c r="N236" s="3" t="str">
        <f t="shared" si="64"/>
        <v/>
      </c>
      <c r="O236" s="3" t="str">
        <f t="shared" si="64"/>
        <v/>
      </c>
      <c r="P236" s="3" t="str">
        <f t="shared" si="64"/>
        <v/>
      </c>
      <c r="Q236" s="3" t="str">
        <f t="shared" si="64"/>
        <v/>
      </c>
      <c r="R236" s="3" t="str">
        <f t="shared" si="64"/>
        <v/>
      </c>
      <c r="S236" s="3" t="str">
        <f t="shared" si="64"/>
        <v/>
      </c>
      <c r="T236" s="3" t="str">
        <f t="shared" si="64"/>
        <v/>
      </c>
      <c r="U236" s="3" t="str">
        <f t="shared" si="64"/>
        <v/>
      </c>
      <c r="V236" s="3" t="str">
        <f t="shared" si="64"/>
        <v/>
      </c>
      <c r="W236" s="3" t="str">
        <f t="shared" si="64"/>
        <v/>
      </c>
      <c r="X236" s="3" t="str">
        <f t="shared" si="64"/>
        <v/>
      </c>
      <c r="Y236" s="3" t="str">
        <f t="shared" si="64"/>
        <v/>
      </c>
      <c r="Z236" s="3" t="str">
        <f t="shared" si="64"/>
        <v/>
      </c>
      <c r="AA236" s="3" t="str">
        <f t="shared" si="64"/>
        <v/>
      </c>
      <c r="AB236" s="3" t="str">
        <f t="shared" si="64"/>
        <v/>
      </c>
      <c r="AC236" s="3" t="str">
        <f t="shared" si="64"/>
        <v/>
      </c>
      <c r="AD236" s="3" t="str">
        <f t="shared" si="64"/>
        <v/>
      </c>
      <c r="AE236" s="3" t="str">
        <f t="shared" si="64"/>
        <v/>
      </c>
      <c r="AF236" s="3" t="str">
        <f t="shared" si="64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5">IF(B204&lt;100,"",B204-620)</f>
        <v/>
      </c>
      <c r="C237" s="3" t="str">
        <f t="shared" si="65"/>
        <v/>
      </c>
      <c r="D237" s="3" t="str">
        <f t="shared" si="65"/>
        <v/>
      </c>
      <c r="E237" s="3" t="str">
        <f t="shared" si="65"/>
        <v/>
      </c>
      <c r="F237" s="3" t="str">
        <f t="shared" si="65"/>
        <v/>
      </c>
      <c r="G237" s="3" t="str">
        <f t="shared" si="65"/>
        <v/>
      </c>
      <c r="H237" s="3" t="str">
        <f t="shared" si="65"/>
        <v/>
      </c>
      <c r="I237" s="3" t="str">
        <f t="shared" si="65"/>
        <v/>
      </c>
      <c r="J237" s="3" t="str">
        <f t="shared" si="65"/>
        <v/>
      </c>
      <c r="K237" s="3" t="str">
        <f t="shared" si="65"/>
        <v/>
      </c>
      <c r="L237" s="3" t="str">
        <f t="shared" si="65"/>
        <v/>
      </c>
      <c r="M237" s="3" t="str">
        <f t="shared" si="65"/>
        <v/>
      </c>
      <c r="N237" s="3" t="str">
        <f t="shared" si="65"/>
        <v/>
      </c>
      <c r="O237" s="3" t="str">
        <f t="shared" si="65"/>
        <v/>
      </c>
      <c r="P237" s="3" t="str">
        <f t="shared" si="65"/>
        <v/>
      </c>
      <c r="Q237" s="3" t="str">
        <f t="shared" si="65"/>
        <v/>
      </c>
      <c r="R237" s="3" t="str">
        <f t="shared" si="65"/>
        <v/>
      </c>
      <c r="S237" s="3" t="str">
        <f t="shared" si="65"/>
        <v/>
      </c>
      <c r="T237" s="3" t="str">
        <f t="shared" si="65"/>
        <v/>
      </c>
      <c r="U237" s="3" t="str">
        <f t="shared" si="65"/>
        <v/>
      </c>
      <c r="V237" s="3" t="str">
        <f t="shared" si="65"/>
        <v/>
      </c>
      <c r="W237" s="3" t="str">
        <f t="shared" si="65"/>
        <v/>
      </c>
      <c r="X237" s="3" t="str">
        <f t="shared" si="65"/>
        <v/>
      </c>
      <c r="Y237" s="3" t="str">
        <f t="shared" si="65"/>
        <v/>
      </c>
      <c r="Z237" s="3" t="str">
        <f t="shared" si="65"/>
        <v/>
      </c>
      <c r="AA237" s="3" t="str">
        <f t="shared" si="65"/>
        <v/>
      </c>
      <c r="AB237" s="3" t="str">
        <f t="shared" si="65"/>
        <v/>
      </c>
      <c r="AC237" s="3" t="str">
        <f t="shared" si="65"/>
        <v/>
      </c>
      <c r="AD237" s="3" t="str">
        <f t="shared" si="65"/>
        <v/>
      </c>
      <c r="AE237" s="3" t="str">
        <f t="shared" si="65"/>
        <v/>
      </c>
      <c r="AF237" s="3" t="str">
        <f t="shared" si="65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6">IF(B205&lt;100,"",B205-330)</f>
        <v/>
      </c>
      <c r="C238" s="3" t="str">
        <f t="shared" si="66"/>
        <v/>
      </c>
      <c r="D238" s="3" t="str">
        <f t="shared" si="66"/>
        <v/>
      </c>
      <c r="E238" s="3" t="str">
        <f t="shared" si="66"/>
        <v/>
      </c>
      <c r="F238" s="3" t="str">
        <f t="shared" si="66"/>
        <v/>
      </c>
      <c r="G238" s="3" t="str">
        <f t="shared" si="66"/>
        <v/>
      </c>
      <c r="H238" s="3" t="str">
        <f t="shared" si="66"/>
        <v/>
      </c>
      <c r="I238" s="3" t="str">
        <f t="shared" si="66"/>
        <v/>
      </c>
      <c r="J238" s="3" t="str">
        <f t="shared" si="66"/>
        <v/>
      </c>
      <c r="K238" s="3" t="str">
        <f t="shared" si="66"/>
        <v/>
      </c>
      <c r="L238" s="3" t="str">
        <f t="shared" si="66"/>
        <v/>
      </c>
      <c r="M238" s="3" t="str">
        <f t="shared" si="66"/>
        <v/>
      </c>
      <c r="N238" s="3" t="str">
        <f t="shared" si="66"/>
        <v/>
      </c>
      <c r="O238" s="3" t="str">
        <f t="shared" si="66"/>
        <v/>
      </c>
      <c r="P238" s="3" t="str">
        <f t="shared" si="66"/>
        <v/>
      </c>
      <c r="Q238" s="3" t="str">
        <f t="shared" si="66"/>
        <v/>
      </c>
      <c r="R238" s="3" t="str">
        <f t="shared" si="66"/>
        <v/>
      </c>
      <c r="S238" s="3" t="str">
        <f t="shared" si="66"/>
        <v/>
      </c>
      <c r="T238" s="3" t="str">
        <f t="shared" si="66"/>
        <v/>
      </c>
      <c r="U238" s="3" t="str">
        <f t="shared" si="66"/>
        <v/>
      </c>
      <c r="V238" s="3" t="str">
        <f t="shared" si="66"/>
        <v/>
      </c>
      <c r="W238" s="3" t="str">
        <f t="shared" si="66"/>
        <v/>
      </c>
      <c r="X238" s="3" t="str">
        <f t="shared" si="66"/>
        <v/>
      </c>
      <c r="Y238" s="3" t="str">
        <f t="shared" si="66"/>
        <v/>
      </c>
      <c r="Z238" s="3" t="str">
        <f t="shared" si="66"/>
        <v/>
      </c>
      <c r="AA238" s="3" t="str">
        <f t="shared" si="66"/>
        <v/>
      </c>
      <c r="AB238" s="3" t="str">
        <f t="shared" si="66"/>
        <v/>
      </c>
      <c r="AC238" s="3" t="str">
        <f t="shared" si="66"/>
        <v/>
      </c>
      <c r="AD238" s="3" t="str">
        <f t="shared" si="66"/>
        <v/>
      </c>
      <c r="AE238" s="3" t="str">
        <f t="shared" si="66"/>
        <v/>
      </c>
      <c r="AF238" s="3" t="str">
        <f t="shared" si="66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7">IF(C206&lt;100,"",C206-1500)</f>
        <v/>
      </c>
      <c r="D239" s="3" t="str">
        <f t="shared" si="67"/>
        <v/>
      </c>
      <c r="E239" s="3" t="str">
        <f t="shared" si="67"/>
        <v/>
      </c>
      <c r="F239" s="3" t="str">
        <f t="shared" si="67"/>
        <v/>
      </c>
      <c r="G239" s="3" t="str">
        <f t="shared" si="67"/>
        <v/>
      </c>
      <c r="H239" s="3" t="str">
        <f t="shared" si="67"/>
        <v/>
      </c>
      <c r="I239" s="3" t="str">
        <f t="shared" si="67"/>
        <v/>
      </c>
      <c r="J239" s="3" t="str">
        <f t="shared" si="67"/>
        <v/>
      </c>
      <c r="K239" s="3" t="str">
        <f t="shared" si="67"/>
        <v/>
      </c>
      <c r="L239" s="3" t="str">
        <f t="shared" si="67"/>
        <v/>
      </c>
      <c r="M239" s="3" t="str">
        <f t="shared" si="67"/>
        <v/>
      </c>
      <c r="N239" s="3" t="str">
        <f t="shared" si="67"/>
        <v/>
      </c>
      <c r="O239" s="3" t="str">
        <f t="shared" si="67"/>
        <v/>
      </c>
      <c r="P239" s="3" t="str">
        <f t="shared" si="67"/>
        <v/>
      </c>
      <c r="Q239" s="3" t="str">
        <f t="shared" si="67"/>
        <v/>
      </c>
      <c r="R239" s="3" t="str">
        <f t="shared" si="67"/>
        <v/>
      </c>
      <c r="S239" s="3" t="str">
        <f t="shared" si="67"/>
        <v/>
      </c>
      <c r="T239" s="3" t="str">
        <f t="shared" si="67"/>
        <v/>
      </c>
      <c r="U239" s="3" t="str">
        <f t="shared" si="67"/>
        <v/>
      </c>
      <c r="V239" s="3" t="str">
        <f t="shared" si="67"/>
        <v/>
      </c>
      <c r="W239" s="3" t="str">
        <f t="shared" si="67"/>
        <v/>
      </c>
      <c r="X239" s="3" t="str">
        <f t="shared" si="67"/>
        <v/>
      </c>
      <c r="Y239" s="3" t="str">
        <f t="shared" si="67"/>
        <v/>
      </c>
      <c r="Z239" s="3" t="str">
        <f t="shared" si="67"/>
        <v/>
      </c>
      <c r="AA239" s="3" t="str">
        <f t="shared" si="67"/>
        <v/>
      </c>
      <c r="AB239" s="3" t="str">
        <f t="shared" si="67"/>
        <v/>
      </c>
      <c r="AC239" s="3" t="str">
        <f t="shared" si="67"/>
        <v/>
      </c>
      <c r="AD239" s="3" t="str">
        <f t="shared" si="67"/>
        <v/>
      </c>
      <c r="AE239" s="3" t="str">
        <f t="shared" si="67"/>
        <v/>
      </c>
      <c r="AF239" s="3" t="str">
        <f t="shared" si="67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P39:R39 M39:O42 P40:Q42 R40:T41 M58:W59 X85:Y91 AB81:AF81 B81:R81 C56:Y56 B82:Y83 D194:AF200 B194:B200 C68:Y72 B84:B91 B73:Y80 B9:AF10 B192:AF192 AF57:AF59 B53:B72 AG73 B94:B100 U213:AF213 C53:C55 E57:L59 C57:D61 J60:N60 J61:M61 E60:I61 C63:J67 K65:K67 M62:M67 N61:N67 M12:R14 R42 O60:Y67 M37:U37 AA53:AF56 AA82:AF83 AA85:AD91 AB94:AF100 AA11:AF11 AB40:AF41 U40:Y42 S13:Y14 M16:Y32 M11:Y11 B36:Y36 N45:Y48 M53:Y55 AA60:AF80 AE84:AF91">
    <cfRule type="expression" dxfId="7990" priority="331">
      <formula>B$9&gt;=20/24</formula>
    </cfRule>
    <cfRule type="expression" dxfId="7989" priority="332">
      <formula>AND(B$9&gt;=14/24,B$9&lt;20/24)</formula>
    </cfRule>
    <cfRule type="expression" dxfId="7988" priority="333">
      <formula>AND(B$9&gt;=8/24,B$9&lt;14/24)</formula>
    </cfRule>
    <cfRule type="expression" dxfId="7987" priority="334">
      <formula>B$9&lt;8/24</formula>
    </cfRule>
  </conditionalFormatting>
  <conditionalFormatting sqref="AL4:AL6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986" priority="326">
      <formula>M$9&gt;=20/24</formula>
    </cfRule>
    <cfRule type="expression" dxfId="7985" priority="327">
      <formula>AND(M$9&gt;=14/24,M$9&lt;20/24)</formula>
    </cfRule>
    <cfRule type="expression" dxfId="7984" priority="328">
      <formula>AND(M$9&gt;=8/24,M$9&lt;14/24)</formula>
    </cfRule>
    <cfRule type="expression" dxfId="7983" priority="329">
      <formula>M$9&lt;8/24</formula>
    </cfRule>
  </conditionalFormatting>
  <conditionalFormatting sqref="M43:R43">
    <cfRule type="expression" dxfId="7982" priority="322">
      <formula>M$9&gt;=20/24</formula>
    </cfRule>
    <cfRule type="expression" dxfId="7981" priority="323">
      <formula>AND(M$9&gt;=14/24,M$9&lt;20/24)</formula>
    </cfRule>
    <cfRule type="expression" dxfId="7980" priority="324">
      <formula>AND(M$9&gt;=8/24,M$9&lt;14/24)</formula>
    </cfRule>
    <cfRule type="expression" dxfId="7979" priority="325">
      <formula>M$9&lt;8/24</formula>
    </cfRule>
  </conditionalFormatting>
  <conditionalFormatting sqref="AB39:AF39 S39:Y39">
    <cfRule type="expression" dxfId="7978" priority="314">
      <formula>S$9&gt;=20/24</formula>
    </cfRule>
    <cfRule type="expression" dxfId="7977" priority="315">
      <formula>AND(S$9&gt;=14/24,S$9&lt;20/24)</formula>
    </cfRule>
    <cfRule type="expression" dxfId="7976" priority="316">
      <formula>AND(S$9&gt;=8/24,S$9&lt;14/24)</formula>
    </cfRule>
    <cfRule type="expression" dxfId="7975" priority="317">
      <formula>S$9&lt;8/24</formula>
    </cfRule>
  </conditionalFormatting>
  <conditionalFormatting sqref="S57:Y57 AA57:AE57">
    <cfRule type="expression" dxfId="7974" priority="310">
      <formula>S$9&gt;=20/24</formula>
    </cfRule>
    <cfRule type="expression" dxfId="7973" priority="311">
      <formula>AND(S$9&gt;=14/24,S$9&lt;20/24)</formula>
    </cfRule>
    <cfRule type="expression" dxfId="7972" priority="312">
      <formula>AND(S$9&gt;=8/24,S$9&lt;14/24)</formula>
    </cfRule>
    <cfRule type="expression" dxfId="7971" priority="313">
      <formula>S$9&lt;8/24</formula>
    </cfRule>
  </conditionalFormatting>
  <conditionalFormatting sqref="S81:Y81 AA81">
    <cfRule type="expression" dxfId="7970" priority="306">
      <formula>S$9&gt;=20/24</formula>
    </cfRule>
    <cfRule type="expression" dxfId="7969" priority="307">
      <formula>AND(S$9&gt;=14/24,S$9&lt;20/24)</formula>
    </cfRule>
    <cfRule type="expression" dxfId="7968" priority="308">
      <formula>AND(S$9&gt;=8/24,S$9&lt;14/24)</formula>
    </cfRule>
    <cfRule type="expression" dxfId="7967" priority="309">
      <formula>S$9&lt;8/24</formula>
    </cfRule>
  </conditionalFormatting>
  <conditionalFormatting sqref="U84:Y84 AA84:AD84">
    <cfRule type="expression" dxfId="7966" priority="302">
      <formula>U$9&gt;=20/24</formula>
    </cfRule>
    <cfRule type="expression" dxfId="7965" priority="303">
      <formula>AND(U$9&gt;=14/24,U$9&lt;20/24)</formula>
    </cfRule>
    <cfRule type="expression" dxfId="7964" priority="304">
      <formula>AND(U$9&gt;=8/24,U$9&lt;14/24)</formula>
    </cfRule>
    <cfRule type="expression" dxfId="7963" priority="305">
      <formula>U$9&lt;8/24</formula>
    </cfRule>
  </conditionalFormatting>
  <conditionalFormatting sqref="M35:Y35">
    <cfRule type="expression" dxfId="7962" priority="298">
      <formula>M$9&gt;=20/24</formula>
    </cfRule>
    <cfRule type="expression" dxfId="7961" priority="299">
      <formula>AND(M$9&gt;=14/24,M$9&lt;20/24)</formula>
    </cfRule>
    <cfRule type="expression" dxfId="7960" priority="300">
      <formula>AND(M$9&gt;=8/24,M$9&lt;14/24)</formula>
    </cfRule>
    <cfRule type="expression" dxfId="7959" priority="301">
      <formula>M$9&lt;8/24</formula>
    </cfRule>
  </conditionalFormatting>
  <conditionalFormatting sqref="M49:Y49">
    <cfRule type="expression" dxfId="7958" priority="294">
      <formula>M$9&gt;=20/24</formula>
    </cfRule>
    <cfRule type="expression" dxfId="7957" priority="295">
      <formula>AND(M$9&gt;=14/24,M$9&lt;20/24)</formula>
    </cfRule>
    <cfRule type="expression" dxfId="7956" priority="296">
      <formula>AND(M$9&gt;=8/24,M$9&lt;14/24)</formula>
    </cfRule>
    <cfRule type="expression" dxfId="7955" priority="297">
      <formula>M$9&lt;8/24</formula>
    </cfRule>
  </conditionalFormatting>
  <conditionalFormatting sqref="M50:Y50">
    <cfRule type="expression" dxfId="7954" priority="290">
      <formula>M$9&gt;=20/24</formula>
    </cfRule>
    <cfRule type="expression" dxfId="7953" priority="291">
      <formula>AND(M$9&gt;=14/24,M$9&lt;20/24)</formula>
    </cfRule>
    <cfRule type="expression" dxfId="7952" priority="292">
      <formula>AND(M$9&gt;=8/24,M$9&lt;14/24)</formula>
    </cfRule>
    <cfRule type="expression" dxfId="7951" priority="293">
      <formula>M$9&lt;8/24</formula>
    </cfRule>
  </conditionalFormatting>
  <conditionalFormatting sqref="M45:Y48">
    <cfRule type="expression" dxfId="7950" priority="286">
      <formula>M$9&gt;=20/24</formula>
    </cfRule>
    <cfRule type="expression" dxfId="7949" priority="287">
      <formula>AND(M$9&gt;=14/24,M$9&lt;20/24)</formula>
    </cfRule>
    <cfRule type="expression" dxfId="7948" priority="288">
      <formula>AND(M$9&gt;=8/24,M$9&lt;14/24)</formula>
    </cfRule>
    <cfRule type="expression" dxfId="7947" priority="289">
      <formula>M$9&lt;8/24</formula>
    </cfRule>
  </conditionalFormatting>
  <conditionalFormatting sqref="V37:Y37">
    <cfRule type="expression" dxfId="7946" priority="282">
      <formula>V$9&gt;=20/24</formula>
    </cfRule>
    <cfRule type="expression" dxfId="7945" priority="283">
      <formula>AND(V$9&gt;=14/24,V$9&lt;20/24)</formula>
    </cfRule>
    <cfRule type="expression" dxfId="7944" priority="284">
      <formula>AND(V$9&gt;=8/24,V$9&lt;14/24)</formula>
    </cfRule>
    <cfRule type="expression" dxfId="7943" priority="285">
      <formula>V$9&lt;8/24</formula>
    </cfRule>
  </conditionalFormatting>
  <conditionalFormatting sqref="T43:Y43 S42:X43 S45:Y48">
    <cfRule type="expression" dxfId="7942" priority="274">
      <formula>S$9&gt;=20/24</formula>
    </cfRule>
    <cfRule type="expression" dxfId="7941" priority="275">
      <formula>AND(S$9&gt;=14/24,S$9&lt;20/24)</formula>
    </cfRule>
    <cfRule type="expression" dxfId="7940" priority="276">
      <formula>AND(S$9&gt;=8/24,S$9&lt;14/24)</formula>
    </cfRule>
    <cfRule type="expression" dxfId="7939" priority="277">
      <formula>S$9&lt;8/24</formula>
    </cfRule>
  </conditionalFormatting>
  <conditionalFormatting sqref="S49:Y49">
    <cfRule type="expression" dxfId="7938" priority="270">
      <formula>S$9&gt;=20/24</formula>
    </cfRule>
    <cfRule type="expression" dxfId="7937" priority="271">
      <formula>AND(S$9&gt;=14/24,S$9&lt;20/24)</formula>
    </cfRule>
    <cfRule type="expression" dxfId="7936" priority="272">
      <formula>AND(S$9&gt;=8/24,S$9&lt;14/24)</formula>
    </cfRule>
    <cfRule type="expression" dxfId="7935" priority="273">
      <formula>S$9&lt;8/24</formula>
    </cfRule>
  </conditionalFormatting>
  <conditionalFormatting sqref="S50:Y50">
    <cfRule type="expression" dxfId="7934" priority="266">
      <formula>S$9&gt;=20/24</formula>
    </cfRule>
    <cfRule type="expression" dxfId="7933" priority="267">
      <formula>AND(S$9&gt;=14/24,S$9&lt;20/24)</formula>
    </cfRule>
    <cfRule type="expression" dxfId="7932" priority="268">
      <formula>AND(S$9&gt;=8/24,S$9&lt;14/24)</formula>
    </cfRule>
    <cfRule type="expression" dxfId="7931" priority="269">
      <formula>S$9&lt;8/24</formula>
    </cfRule>
  </conditionalFormatting>
  <conditionalFormatting sqref="K62:L64 C62:J62 L65:L67">
    <cfRule type="expression" dxfId="7930" priority="258">
      <formula>C$9&gt;=20/24</formula>
    </cfRule>
    <cfRule type="expression" dxfId="7929" priority="259">
      <formula>AND(C$9&gt;=14/24,C$9&lt;20/24)</formula>
    </cfRule>
    <cfRule type="expression" dxfId="7928" priority="260">
      <formula>AND(C$9&gt;=8/24,C$9&lt;14/24)</formula>
    </cfRule>
    <cfRule type="expression" dxfId="7927" priority="261">
      <formula>C$9&lt;8/24</formula>
    </cfRule>
  </conditionalFormatting>
  <conditionalFormatting sqref="U94:Y97 AA94:AA97">
    <cfRule type="expression" dxfId="7926" priority="254">
      <formula>U$9&gt;=20/24</formula>
    </cfRule>
    <cfRule type="expression" dxfId="7925" priority="255">
      <formula>AND(U$9&gt;=14/24,U$9&lt;20/24)</formula>
    </cfRule>
    <cfRule type="expression" dxfId="7924" priority="256">
      <formula>AND(U$9&gt;=8/24,U$9&lt;14/24)</formula>
    </cfRule>
    <cfRule type="expression" dxfId="7923" priority="257">
      <formula>U$9&lt;8/24</formula>
    </cfRule>
  </conditionalFormatting>
  <conditionalFormatting sqref="AG51 B11:D15 E12:L15 M12:R14 AA11:AF11 AA38:AF38 S13:Y14 B16:Y32 E11:Y11 B34:Y56 AA51:AF56 AB39:AF41">
    <cfRule type="expression" dxfId="7922" priority="253">
      <formula>B11&gt;$AG11</formula>
    </cfRule>
  </conditionalFormatting>
  <conditionalFormatting sqref="A101:A157 A84:A97 A11:A14 A16:A32 A45:A72 A80:A82 A74:A78 A35:A43 A170:A200">
    <cfRule type="expression" dxfId="7921" priority="252">
      <formula>$AH11=0</formula>
    </cfRule>
  </conditionalFormatting>
  <conditionalFormatting sqref="U98:Y98 AA98">
    <cfRule type="expression" dxfId="7920" priority="248">
      <formula>U$9&gt;=20/24</formula>
    </cfRule>
    <cfRule type="expression" dxfId="7919" priority="249">
      <formula>AND(U$9&gt;=14/24,U$9&lt;20/24)</formula>
    </cfRule>
    <cfRule type="expression" dxfId="7918" priority="250">
      <formula>AND(U$9&gt;=8/24,U$9&lt;14/24)</formula>
    </cfRule>
    <cfRule type="expression" dxfId="7917" priority="251">
      <formula>U$9&lt;8/24</formula>
    </cfRule>
  </conditionalFormatting>
  <conditionalFormatting sqref="A98">
    <cfRule type="expression" dxfId="7916" priority="247">
      <formula>$AH98=0</formula>
    </cfRule>
  </conditionalFormatting>
  <conditionalFormatting sqref="AL32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M34:Y34">
    <cfRule type="expression" dxfId="7915" priority="226">
      <formula>M$9&gt;=20/24</formula>
    </cfRule>
    <cfRule type="expression" dxfId="7914" priority="227">
      <formula>AND(M$9&gt;=14/24,M$9&lt;20/24)</formula>
    </cfRule>
    <cfRule type="expression" dxfId="7913" priority="228">
      <formula>AND(M$9&gt;=8/24,M$9&lt;14/24)</formula>
    </cfRule>
    <cfRule type="expression" dxfId="7912" priority="229">
      <formula>M$9&lt;8/24</formula>
    </cfRule>
  </conditionalFormatting>
  <conditionalFormatting sqref="A34">
    <cfRule type="expression" dxfId="7911" priority="221">
      <formula>$AH34=0</formula>
    </cfRule>
  </conditionalFormatting>
  <conditionalFormatting sqref="A83">
    <cfRule type="expression" dxfId="7910" priority="220">
      <formula>$AH83=0</formula>
    </cfRule>
  </conditionalFormatting>
  <conditionalFormatting sqref="M15:Y15">
    <cfRule type="expression" dxfId="7909" priority="212">
      <formula>M$9&gt;=20/24</formula>
    </cfRule>
    <cfRule type="expression" dxfId="7908" priority="213">
      <formula>AND(M$9&gt;=14/24,M$9&lt;20/24)</formula>
    </cfRule>
    <cfRule type="expression" dxfId="7907" priority="214">
      <formula>AND(M$9&gt;=8/24,M$9&lt;14/24)</formula>
    </cfRule>
    <cfRule type="expression" dxfId="7906" priority="215">
      <formula>M$9&lt;8/24</formula>
    </cfRule>
  </conditionalFormatting>
  <conditionalFormatting sqref="M15:Y15">
    <cfRule type="expression" dxfId="7905" priority="211">
      <formula>M15&gt;$AG15</formula>
    </cfRule>
  </conditionalFormatting>
  <conditionalFormatting sqref="A15">
    <cfRule type="expression" dxfId="7904" priority="210">
      <formula>$AH15=0</formula>
    </cfRule>
  </conditionalFormatting>
  <conditionalFormatting sqref="A164:A169">
    <cfRule type="expression" dxfId="7903" priority="209">
      <formula>$AH164=0</formula>
    </cfRule>
  </conditionalFormatting>
  <conditionalFormatting sqref="A158:A163">
    <cfRule type="expression" dxfId="7902" priority="208">
      <formula>$AH158=0</formula>
    </cfRule>
  </conditionalFormatting>
  <conditionalFormatting sqref="M44:Y44">
    <cfRule type="expression" dxfId="7901" priority="200">
      <formula>M$9&gt;=20/24</formula>
    </cfRule>
    <cfRule type="expression" dxfId="7900" priority="201">
      <formula>AND(M$9&gt;=14/24,M$9&lt;20/24)</formula>
    </cfRule>
    <cfRule type="expression" dxfId="7899" priority="202">
      <formula>AND(M$9&gt;=8/24,M$9&lt;14/24)</formula>
    </cfRule>
    <cfRule type="expression" dxfId="7898" priority="203">
      <formula>M$9&lt;8/24</formula>
    </cfRule>
  </conditionalFormatting>
  <conditionalFormatting sqref="S44:Y44">
    <cfRule type="expression" dxfId="7897" priority="196">
      <formula>S$9&gt;=20/24</formula>
    </cfRule>
    <cfRule type="expression" dxfId="7896" priority="197">
      <formula>AND(S$9&gt;=14/24,S$9&lt;20/24)</formula>
    </cfRule>
    <cfRule type="expression" dxfId="7895" priority="198">
      <formula>AND(S$9&gt;=8/24,S$9&lt;14/24)</formula>
    </cfRule>
    <cfRule type="expression" dxfId="7894" priority="199">
      <formula>S$9&lt;8/24</formula>
    </cfRule>
  </conditionalFormatting>
  <conditionalFormatting sqref="A44">
    <cfRule type="expression" dxfId="7893" priority="195">
      <formula>$AH44=0</formula>
    </cfRule>
  </conditionalFormatting>
  <conditionalFormatting sqref="A79">
    <cfRule type="expression" dxfId="7892" priority="194">
      <formula>$AH79=0</formula>
    </cfRule>
  </conditionalFormatting>
  <conditionalFormatting sqref="A73">
    <cfRule type="expression" dxfId="7891" priority="193">
      <formula>$AH73=0</formula>
    </cfRule>
  </conditionalFormatting>
  <conditionalFormatting sqref="AL34:AL35 AL7:AL31">
    <cfRule type="iconSet" priority="337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7890" priority="185">
      <formula>U$9&gt;=20/24</formula>
    </cfRule>
    <cfRule type="expression" dxfId="7889" priority="186">
      <formula>AND(U$9&gt;=14/24,U$9&lt;20/24)</formula>
    </cfRule>
    <cfRule type="expression" dxfId="7888" priority="187">
      <formula>AND(U$9&gt;=8/24,U$9&lt;14/24)</formula>
    </cfRule>
    <cfRule type="expression" dxfId="7887" priority="188">
      <formula>U$9&lt;8/24</formula>
    </cfRule>
  </conditionalFormatting>
  <conditionalFormatting sqref="S85:T91 C84:R91">
    <cfRule type="expression" dxfId="7886" priority="181">
      <formula>C$9&gt;=20/24</formula>
    </cfRule>
    <cfRule type="expression" dxfId="7885" priority="182">
      <formula>AND(C$9&gt;=14/24,C$9&lt;20/24)</formula>
    </cfRule>
    <cfRule type="expression" dxfId="7884" priority="183">
      <formula>AND(C$9&gt;=8/24,C$9&lt;14/24)</formula>
    </cfRule>
    <cfRule type="expression" dxfId="7883" priority="184">
      <formula>C$9&lt;8/24</formula>
    </cfRule>
  </conditionalFormatting>
  <conditionalFormatting sqref="S84:T84">
    <cfRule type="expression" dxfId="7882" priority="177">
      <formula>S$9&gt;=20/24</formula>
    </cfRule>
    <cfRule type="expression" dxfId="7881" priority="178">
      <formula>AND(S$9&gt;=14/24,S$9&lt;20/24)</formula>
    </cfRule>
    <cfRule type="expression" dxfId="7880" priority="179">
      <formula>AND(S$9&gt;=8/24,S$9&lt;14/24)</formula>
    </cfRule>
    <cfRule type="expression" dxfId="7879" priority="180">
      <formula>S$9&lt;8/24</formula>
    </cfRule>
  </conditionalFormatting>
  <conditionalFormatting sqref="E94:F94 E95:M97 C94:D97">
    <cfRule type="expression" dxfId="7878" priority="173">
      <formula>C$9&gt;=20/24</formula>
    </cfRule>
    <cfRule type="expression" dxfId="7877" priority="174">
      <formula>AND(C$9&gt;=14/24,C$9&lt;20/24)</formula>
    </cfRule>
    <cfRule type="expression" dxfId="7876" priority="175">
      <formula>AND(C$9&gt;=8/24,C$9&lt;14/24)</formula>
    </cfRule>
    <cfRule type="expression" dxfId="7875" priority="176">
      <formula>C$9&lt;8/24</formula>
    </cfRule>
  </conditionalFormatting>
  <conditionalFormatting sqref="N95:R97 O94:R94">
    <cfRule type="expression" dxfId="7874" priority="169">
      <formula>N$9&gt;=20/24</formula>
    </cfRule>
    <cfRule type="expression" dxfId="7873" priority="170">
      <formula>AND(N$9&gt;=14/24,N$9&lt;20/24)</formula>
    </cfRule>
    <cfRule type="expression" dxfId="7872" priority="171">
      <formula>AND(N$9&gt;=8/24,N$9&lt;14/24)</formula>
    </cfRule>
    <cfRule type="expression" dxfId="7871" priority="172">
      <formula>N$9&lt;8/24</formula>
    </cfRule>
  </conditionalFormatting>
  <conditionalFormatting sqref="S94:T97">
    <cfRule type="expression" dxfId="7870" priority="165">
      <formula>S$9&gt;=20/24</formula>
    </cfRule>
    <cfRule type="expression" dxfId="7869" priority="166">
      <formula>AND(S$9&gt;=14/24,S$9&lt;20/24)</formula>
    </cfRule>
    <cfRule type="expression" dxfId="7868" priority="167">
      <formula>AND(S$9&gt;=8/24,S$9&lt;14/24)</formula>
    </cfRule>
    <cfRule type="expression" dxfId="7867" priority="168">
      <formula>S$9&lt;8/24</formula>
    </cfRule>
  </conditionalFormatting>
  <conditionalFormatting sqref="C98:M98">
    <cfRule type="expression" dxfId="7866" priority="161">
      <formula>C$9&gt;=20/24</formula>
    </cfRule>
    <cfRule type="expression" dxfId="7865" priority="162">
      <formula>AND(C$9&gt;=14/24,C$9&lt;20/24)</formula>
    </cfRule>
    <cfRule type="expression" dxfId="7864" priority="163">
      <formula>AND(C$9&gt;=8/24,C$9&lt;14/24)</formula>
    </cfRule>
    <cfRule type="expression" dxfId="7863" priority="164">
      <formula>C$9&lt;8/24</formula>
    </cfRule>
  </conditionalFormatting>
  <conditionalFormatting sqref="N98:R98">
    <cfRule type="expression" dxfId="7862" priority="157">
      <formula>N$9&gt;=20/24</formula>
    </cfRule>
    <cfRule type="expression" dxfId="7861" priority="158">
      <formula>AND(N$9&gt;=14/24,N$9&lt;20/24)</formula>
    </cfRule>
    <cfRule type="expression" dxfId="7860" priority="159">
      <formula>AND(N$9&gt;=8/24,N$9&lt;14/24)</formula>
    </cfRule>
    <cfRule type="expression" dxfId="7859" priority="160">
      <formula>N$9&lt;8/24</formula>
    </cfRule>
  </conditionalFormatting>
  <conditionalFormatting sqref="S98:T98">
    <cfRule type="expression" dxfId="7858" priority="153">
      <formula>S$9&gt;=20/24</formula>
    </cfRule>
    <cfRule type="expression" dxfId="7857" priority="154">
      <formula>AND(S$9&gt;=14/24,S$9&lt;20/24)</formula>
    </cfRule>
    <cfRule type="expression" dxfId="7856" priority="155">
      <formula>AND(S$9&gt;=8/24,S$9&lt;14/24)</formula>
    </cfRule>
    <cfRule type="expression" dxfId="7855" priority="156">
      <formula>S$9&lt;8/24</formula>
    </cfRule>
  </conditionalFormatting>
  <conditionalFormatting sqref="M94:N94">
    <cfRule type="expression" dxfId="7854" priority="149">
      <formula>M$9&gt;=20/24</formula>
    </cfRule>
    <cfRule type="expression" dxfId="7853" priority="150">
      <formula>AND(M$9&gt;=14/24,M$9&lt;20/24)</formula>
    </cfRule>
    <cfRule type="expression" dxfId="7852" priority="151">
      <formula>AND(M$9&gt;=8/24,M$9&lt;14/24)</formula>
    </cfRule>
    <cfRule type="expression" dxfId="7851" priority="152">
      <formula>M$9&lt;8/24</formula>
    </cfRule>
  </conditionalFormatting>
  <conditionalFormatting sqref="G94:L94">
    <cfRule type="expression" dxfId="7850" priority="145">
      <formula>G$9&gt;=20/24</formula>
    </cfRule>
    <cfRule type="expression" dxfId="7849" priority="146">
      <formula>AND(G$9&gt;=14/24,G$9&lt;20/24)</formula>
    </cfRule>
    <cfRule type="expression" dxfId="7848" priority="147">
      <formula>AND(G$9&gt;=8/24,G$9&lt;14/24)</formula>
    </cfRule>
    <cfRule type="expression" dxfId="7847" priority="148">
      <formula>G$9&lt;8/24</formula>
    </cfRule>
  </conditionalFormatting>
  <conditionalFormatting sqref="U94:W94">
    <cfRule type="expression" dxfId="7846" priority="141">
      <formula>U$9&gt;=20/24</formula>
    </cfRule>
    <cfRule type="expression" dxfId="7845" priority="142">
      <formula>AND(U$9&gt;=14/24,U$9&lt;20/24)</formula>
    </cfRule>
    <cfRule type="expression" dxfId="7844" priority="143">
      <formula>AND(U$9&gt;=8/24,U$9&lt;14/24)</formula>
    </cfRule>
    <cfRule type="expression" dxfId="7843" priority="144">
      <formula>U$9&lt;8/24</formula>
    </cfRule>
  </conditionalFormatting>
  <conditionalFormatting sqref="N94:T94">
    <cfRule type="expression" dxfId="7842" priority="137">
      <formula>N$9&gt;=20/24</formula>
    </cfRule>
    <cfRule type="expression" dxfId="7841" priority="138">
      <formula>AND(N$9&gt;=14/24,N$9&lt;20/24)</formula>
    </cfRule>
    <cfRule type="expression" dxfId="7840" priority="139">
      <formula>AND(N$9&gt;=8/24,N$9&lt;14/24)</formula>
    </cfRule>
    <cfRule type="expression" dxfId="7839" priority="140">
      <formula>N$9&lt;8/24</formula>
    </cfRule>
  </conditionalFormatting>
  <conditionalFormatting sqref="U99:Y100 AA99:AA100">
    <cfRule type="expression" dxfId="7838" priority="133">
      <formula>U$9&gt;=20/24</formula>
    </cfRule>
    <cfRule type="expression" dxfId="7837" priority="134">
      <formula>AND(U$9&gt;=14/24,U$9&lt;20/24)</formula>
    </cfRule>
    <cfRule type="expression" dxfId="7836" priority="135">
      <formula>AND(U$9&gt;=8/24,U$9&lt;14/24)</formula>
    </cfRule>
    <cfRule type="expression" dxfId="7835" priority="136">
      <formula>U$9&lt;8/24</formula>
    </cfRule>
  </conditionalFormatting>
  <conditionalFormatting sqref="C99:M100">
    <cfRule type="expression" dxfId="7834" priority="129">
      <formula>C$9&gt;=20/24</formula>
    </cfRule>
    <cfRule type="expression" dxfId="7833" priority="130">
      <formula>AND(C$9&gt;=14/24,C$9&lt;20/24)</formula>
    </cfRule>
    <cfRule type="expression" dxfId="7832" priority="131">
      <formula>AND(C$9&gt;=8/24,C$9&lt;14/24)</formula>
    </cfRule>
    <cfRule type="expression" dxfId="7831" priority="132">
      <formula>C$9&lt;8/24</formula>
    </cfRule>
  </conditionalFormatting>
  <conditionalFormatting sqref="N99:R100">
    <cfRule type="expression" dxfId="7830" priority="125">
      <formula>N$9&gt;=20/24</formula>
    </cfRule>
    <cfRule type="expression" dxfId="7829" priority="126">
      <formula>AND(N$9&gt;=14/24,N$9&lt;20/24)</formula>
    </cfRule>
    <cfRule type="expression" dxfId="7828" priority="127">
      <formula>AND(N$9&gt;=8/24,N$9&lt;14/24)</formula>
    </cfRule>
    <cfRule type="expression" dxfId="7827" priority="128">
      <formula>N$9&lt;8/24</formula>
    </cfRule>
  </conditionalFormatting>
  <conditionalFormatting sqref="S99:T100">
    <cfRule type="expression" dxfId="7826" priority="121">
      <formula>S$9&gt;=20/24</formula>
    </cfRule>
    <cfRule type="expression" dxfId="7825" priority="122">
      <formula>AND(S$9&gt;=14/24,S$9&lt;20/24)</formula>
    </cfRule>
    <cfRule type="expression" dxfId="7824" priority="123">
      <formula>AND(S$9&gt;=8/24,S$9&lt;14/24)</formula>
    </cfRule>
    <cfRule type="expression" dxfId="7823" priority="124">
      <formula>S$9&lt;8/24</formula>
    </cfRule>
  </conditionalFormatting>
  <conditionalFormatting sqref="S12:Y12">
    <cfRule type="expression" dxfId="7822" priority="117">
      <formula>S$9&gt;=20/24</formula>
    </cfRule>
    <cfRule type="expression" dxfId="7821" priority="118">
      <formula>AND(S$9&gt;=14/24,S$9&lt;20/24)</formula>
    </cfRule>
    <cfRule type="expression" dxfId="7820" priority="119">
      <formula>AND(S$9&gt;=8/24,S$9&lt;14/24)</formula>
    </cfRule>
    <cfRule type="expression" dxfId="7819" priority="120">
      <formula>S$9&lt;8/24</formula>
    </cfRule>
  </conditionalFormatting>
  <conditionalFormatting sqref="S12:Y12">
    <cfRule type="expression" dxfId="7818" priority="109">
      <formula>S$9&gt;=20/24</formula>
    </cfRule>
    <cfRule type="expression" dxfId="7817" priority="110">
      <formula>AND(S$9&gt;=14/24,S$9&lt;20/24)</formula>
    </cfRule>
    <cfRule type="expression" dxfId="7816" priority="111">
      <formula>AND(S$9&gt;=8/24,S$9&lt;14/24)</formula>
    </cfRule>
    <cfRule type="expression" dxfId="7815" priority="112">
      <formula>S$9&lt;8/24</formula>
    </cfRule>
  </conditionalFormatting>
  <conditionalFormatting sqref="AB58:AE59">
    <cfRule type="expression" dxfId="7814" priority="105">
      <formula>AB$9&gt;=20/24</formula>
    </cfRule>
    <cfRule type="expression" dxfId="7813" priority="106">
      <formula>AND(AB$9&gt;=14/24,AB$9&lt;20/24)</formula>
    </cfRule>
    <cfRule type="expression" dxfId="7812" priority="107">
      <formula>AND(AB$9&gt;=8/24,AB$9&lt;14/24)</formula>
    </cfRule>
    <cfRule type="expression" dxfId="7811" priority="108">
      <formula>AB$9&lt;8/24</formula>
    </cfRule>
  </conditionalFormatting>
  <conditionalFormatting sqref="AL33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810" priority="338">
      <formula>C$9&gt;=20/24</formula>
    </cfRule>
    <cfRule type="expression" dxfId="7809" priority="339">
      <formula>AND(C$9&gt;=14/24,C$9&lt;20/24)</formula>
    </cfRule>
    <cfRule type="expression" dxfId="7808" priority="340">
      <formula>AND(C$9&gt;=8/24,C$9&lt;14/24)</formula>
    </cfRule>
    <cfRule type="expression" dxfId="7807" priority="341">
      <formula>C$9&lt;8/24</formula>
    </cfRule>
  </conditionalFormatting>
  <conditionalFormatting sqref="A201">
    <cfRule type="expression" dxfId="7806" priority="342">
      <formula>$AH201=0</formula>
    </cfRule>
  </conditionalFormatting>
  <conditionalFormatting sqref="AG213">
    <cfRule type="expression" dxfId="7805" priority="343">
      <formula>B$9&gt;=20/24</formula>
    </cfRule>
    <cfRule type="expression" dxfId="7804" priority="344">
      <formula>AND(B$9&gt;=14/24,B$9&lt;20/24)</formula>
    </cfRule>
    <cfRule type="expression" dxfId="7803" priority="345">
      <formula>AND(B$9&gt;=8/24,B$9&lt;14/24)</formula>
    </cfRule>
    <cfRule type="expression" dxfId="7802" priority="346">
      <formula>B$9&lt;8/24</formula>
    </cfRule>
  </conditionalFormatting>
  <conditionalFormatting sqref="S8">
    <cfRule type="expression" dxfId="7801" priority="99">
      <formula>U$9&gt;=20/24</formula>
    </cfRule>
    <cfRule type="expression" dxfId="7800" priority="100">
      <formula>AND(U$9&gt;=14/24,U$9&lt;20/24)</formula>
    </cfRule>
    <cfRule type="expression" dxfId="7799" priority="101">
      <formula>AND(U$9&gt;=8/24,U$9&lt;14/24)</formula>
    </cfRule>
    <cfRule type="expression" dxfId="7798" priority="102">
      <formula>U$9&lt;8/24</formula>
    </cfRule>
  </conditionalFormatting>
  <conditionalFormatting sqref="AB8">
    <cfRule type="expression" dxfId="7797" priority="95">
      <formula>AD$9&gt;=20/24</formula>
    </cfRule>
    <cfRule type="expression" dxfId="7796" priority="96">
      <formula>AND(AD$9&gt;=14/24,AD$9&lt;20/24)</formula>
    </cfRule>
    <cfRule type="expression" dxfId="7795" priority="97">
      <formula>AND(AD$9&gt;=8/24,AD$9&lt;14/24)</formula>
    </cfRule>
    <cfRule type="expression" dxfId="7794" priority="98">
      <formula>AD$9&lt;8/24</formula>
    </cfRule>
  </conditionalFormatting>
  <conditionalFormatting sqref="AH213:AX213">
    <cfRule type="expression" dxfId="7793" priority="347">
      <formula>AG$9&gt;=20/24</formula>
    </cfRule>
    <cfRule type="expression" dxfId="7792" priority="348">
      <formula>AND(AG$9&gt;=14/24,AG$9&lt;20/24)</formula>
    </cfRule>
    <cfRule type="expression" dxfId="7791" priority="349">
      <formula>AND(AG$9&gt;=8/24,AG$9&lt;14/24)</formula>
    </cfRule>
    <cfRule type="expression" dxfId="7790" priority="350">
      <formula>AG$9&lt;8/24</formula>
    </cfRule>
  </conditionalFormatting>
  <conditionalFormatting sqref="T213">
    <cfRule type="expression" dxfId="7789" priority="351">
      <formula>AX$9&gt;=20/24</formula>
    </cfRule>
    <cfRule type="expression" dxfId="7788" priority="352">
      <formula>AND(AX$9&gt;=14/24,AX$9&lt;20/24)</formula>
    </cfRule>
    <cfRule type="expression" dxfId="7787" priority="353">
      <formula>AND(AX$9&gt;=8/24,AX$9&lt;14/24)</formula>
    </cfRule>
    <cfRule type="expression" dxfId="7786" priority="354">
      <formula>AX$9&lt;8/24</formula>
    </cfRule>
  </conditionalFormatting>
  <conditionalFormatting sqref="A99:A100">
    <cfRule type="expression" dxfId="7785" priority="94">
      <formula>$AH99=0</formula>
    </cfRule>
  </conditionalFormatting>
  <conditionalFormatting sqref="M33:Y33">
    <cfRule type="expression" dxfId="7784" priority="90">
      <formula>M$9&gt;=20/24</formula>
    </cfRule>
    <cfRule type="expression" dxfId="7783" priority="91">
      <formula>AND(M$9&gt;=14/24,M$9&lt;20/24)</formula>
    </cfRule>
    <cfRule type="expression" dxfId="7782" priority="92">
      <formula>AND(M$9&gt;=8/24,M$9&lt;14/24)</formula>
    </cfRule>
    <cfRule type="expression" dxfId="7781" priority="93">
      <formula>M$9&lt;8/24</formula>
    </cfRule>
  </conditionalFormatting>
  <conditionalFormatting sqref="B33:Y33">
    <cfRule type="expression" dxfId="7780" priority="81">
      <formula>B33&gt;$AG33</formula>
    </cfRule>
  </conditionalFormatting>
  <conditionalFormatting sqref="Z53:Z56 Z85:Z91 Z60:Z80 Z82:Z83 Z11:Z37 Z40:AA43 AA12:AF36 AB42:AF43">
    <cfRule type="expression" dxfId="7779" priority="71">
      <formula>Z$9&gt;=20/24</formula>
    </cfRule>
    <cfRule type="expression" dxfId="7778" priority="72">
      <formula>AND(Z$9&gt;=14/24,Z$9&lt;20/24)</formula>
    </cfRule>
    <cfRule type="expression" dxfId="7777" priority="73">
      <formula>AND(Z$9&gt;=8/24,Z$9&lt;14/24)</formula>
    </cfRule>
    <cfRule type="expression" dxfId="7776" priority="74">
      <formula>Z$9&lt;8/24</formula>
    </cfRule>
  </conditionalFormatting>
  <conditionalFormatting sqref="Z39:AA39">
    <cfRule type="expression" dxfId="7775" priority="63">
      <formula>Z$9&gt;=20/24</formula>
    </cfRule>
    <cfRule type="expression" dxfId="7774" priority="64">
      <formula>AND(Z$9&gt;=14/24,Z$9&lt;20/24)</formula>
    </cfRule>
    <cfRule type="expression" dxfId="7773" priority="65">
      <formula>AND(Z$9&gt;=8/24,Z$9&lt;14/24)</formula>
    </cfRule>
    <cfRule type="expression" dxfId="7772" priority="66">
      <formula>Z$9&lt;8/24</formula>
    </cfRule>
  </conditionalFormatting>
  <conditionalFormatting sqref="Z57">
    <cfRule type="expression" dxfId="7771" priority="59">
      <formula>Z$9&gt;=20/24</formula>
    </cfRule>
    <cfRule type="expression" dxfId="7770" priority="60">
      <formula>AND(Z$9&gt;=14/24,Z$9&lt;20/24)</formula>
    </cfRule>
    <cfRule type="expression" dxfId="7769" priority="61">
      <formula>AND(Z$9&gt;=8/24,Z$9&lt;14/24)</formula>
    </cfRule>
    <cfRule type="expression" dxfId="7768" priority="62">
      <formula>Z$9&lt;8/24</formula>
    </cfRule>
  </conditionalFormatting>
  <conditionalFormatting sqref="Z81">
    <cfRule type="expression" dxfId="7767" priority="55">
      <formula>Z$9&gt;=20/24</formula>
    </cfRule>
    <cfRule type="expression" dxfId="7766" priority="56">
      <formula>AND(Z$9&gt;=14/24,Z$9&lt;20/24)</formula>
    </cfRule>
    <cfRule type="expression" dxfId="7765" priority="57">
      <formula>AND(Z$9&gt;=8/24,Z$9&lt;14/24)</formula>
    </cfRule>
    <cfRule type="expression" dxfId="7764" priority="58">
      <formula>Z$9&lt;8/24</formula>
    </cfRule>
  </conditionalFormatting>
  <conditionalFormatting sqref="Z84">
    <cfRule type="expression" dxfId="7763" priority="51">
      <formula>Z$9&gt;=20/24</formula>
    </cfRule>
    <cfRule type="expression" dxfId="7762" priority="52">
      <formula>AND(Z$9&gt;=14/24,Z$9&lt;20/24)</formula>
    </cfRule>
    <cfRule type="expression" dxfId="7761" priority="53">
      <formula>AND(Z$9&gt;=8/24,Z$9&lt;14/24)</formula>
    </cfRule>
    <cfRule type="expression" dxfId="7760" priority="54">
      <formula>Z$9&lt;8/24</formula>
    </cfRule>
  </conditionalFormatting>
  <conditionalFormatting sqref="AA37:AF37">
    <cfRule type="expression" dxfId="7759" priority="47">
      <formula>AA$9&gt;=20/24</formula>
    </cfRule>
    <cfRule type="expression" dxfId="7758" priority="48">
      <formula>AND(AA$9&gt;=14/24,AA$9&lt;20/24)</formula>
    </cfRule>
    <cfRule type="expression" dxfId="7757" priority="49">
      <formula>AND(AA$9&gt;=8/24,AA$9&lt;14/24)</formula>
    </cfRule>
    <cfRule type="expression" dxfId="7756" priority="50">
      <formula>AA$9&lt;8/24</formula>
    </cfRule>
  </conditionalFormatting>
  <conditionalFormatting sqref="Z45:AF48">
    <cfRule type="expression" dxfId="7755" priority="39">
      <formula>Z$9&gt;=20/24</formula>
    </cfRule>
    <cfRule type="expression" dxfId="7754" priority="40">
      <formula>AND(Z$9&gt;=14/24,Z$9&lt;20/24)</formula>
    </cfRule>
    <cfRule type="expression" dxfId="7753" priority="41">
      <formula>AND(Z$9&gt;=8/24,Z$9&lt;14/24)</formula>
    </cfRule>
    <cfRule type="expression" dxfId="7752" priority="42">
      <formula>Z$9&lt;8/24</formula>
    </cfRule>
  </conditionalFormatting>
  <conditionalFormatting sqref="Z49:AF49">
    <cfRule type="expression" dxfId="7751" priority="35">
      <formula>Z$9&gt;=20/24</formula>
    </cfRule>
    <cfRule type="expression" dxfId="7750" priority="36">
      <formula>AND(Z$9&gt;=14/24,Z$9&lt;20/24)</formula>
    </cfRule>
    <cfRule type="expression" dxfId="7749" priority="37">
      <formula>AND(Z$9&gt;=8/24,Z$9&lt;14/24)</formula>
    </cfRule>
    <cfRule type="expression" dxfId="7748" priority="38">
      <formula>Z$9&lt;8/24</formula>
    </cfRule>
  </conditionalFormatting>
  <conditionalFormatting sqref="Z50:AF50">
    <cfRule type="expression" dxfId="7747" priority="31">
      <formula>Z$9&gt;=20/24</formula>
    </cfRule>
    <cfRule type="expression" dxfId="7746" priority="32">
      <formula>AND(Z$9&gt;=14/24,Z$9&lt;20/24)</formula>
    </cfRule>
    <cfRule type="expression" dxfId="7745" priority="33">
      <formula>AND(Z$9&gt;=8/24,Z$9&lt;14/24)</formula>
    </cfRule>
    <cfRule type="expression" dxfId="7744" priority="34">
      <formula>Z$9&lt;8/24</formula>
    </cfRule>
  </conditionalFormatting>
  <conditionalFormatting sqref="Z94:Z97">
    <cfRule type="expression" dxfId="7743" priority="27">
      <formula>Z$9&gt;=20/24</formula>
    </cfRule>
    <cfRule type="expression" dxfId="7742" priority="28">
      <formula>AND(Z$9&gt;=14/24,Z$9&lt;20/24)</formula>
    </cfRule>
    <cfRule type="expression" dxfId="7741" priority="29">
      <formula>AND(Z$9&gt;=8/24,Z$9&lt;14/24)</formula>
    </cfRule>
    <cfRule type="expression" dxfId="7740" priority="30">
      <formula>Z$9&lt;8/24</formula>
    </cfRule>
  </conditionalFormatting>
  <conditionalFormatting sqref="Z11:Z56 AA39:AA50 AA12:AF37 AB42:AF50">
    <cfRule type="expression" dxfId="7739" priority="26">
      <formula>Z11&gt;$AG11</formula>
    </cfRule>
  </conditionalFormatting>
  <conditionalFormatting sqref="Z98">
    <cfRule type="expression" dxfId="7738" priority="22">
      <formula>Z$9&gt;=20/24</formula>
    </cfRule>
    <cfRule type="expression" dxfId="7737" priority="23">
      <formula>AND(Z$9&gt;=14/24,Z$9&lt;20/24)</formula>
    </cfRule>
    <cfRule type="expression" dxfId="7736" priority="24">
      <formula>AND(Z$9&gt;=8/24,Z$9&lt;14/24)</formula>
    </cfRule>
    <cfRule type="expression" dxfId="7735" priority="25">
      <formula>Z$9&lt;8/24</formula>
    </cfRule>
  </conditionalFormatting>
  <conditionalFormatting sqref="Z44:AF44">
    <cfRule type="expression" dxfId="7734" priority="10">
      <formula>Z$9&gt;=20/24</formula>
    </cfRule>
    <cfRule type="expression" dxfId="7733" priority="11">
      <formula>AND(Z$9&gt;=14/24,Z$9&lt;20/24)</formula>
    </cfRule>
    <cfRule type="expression" dxfId="7732" priority="12">
      <formula>AND(Z$9&gt;=8/24,Z$9&lt;14/24)</formula>
    </cfRule>
    <cfRule type="expression" dxfId="7731" priority="13">
      <formula>Z$9&lt;8/24</formula>
    </cfRule>
  </conditionalFormatting>
  <conditionalFormatting sqref="Z99:Z100">
    <cfRule type="expression" dxfId="7730" priority="6">
      <formula>Z$9&gt;=20/24</formula>
    </cfRule>
    <cfRule type="expression" dxfId="7729" priority="7">
      <formula>AND(Z$9&gt;=14/24,Z$9&lt;20/24)</formula>
    </cfRule>
    <cfRule type="expression" dxfId="7728" priority="8">
      <formula>AND(Z$9&gt;=8/24,Z$9&lt;14/24)</formula>
    </cfRule>
    <cfRule type="expression" dxfId="7727" priority="9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4" id="{8538F02D-B122-40C7-ACF4-5A7AFACCEC6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CJ472"/>
  <sheetViews>
    <sheetView zoomScale="90" zoomScaleNormal="90" workbookViewId="0">
      <pane xSplit="1" ySplit="10" topLeftCell="B11" activePane="bottomRight" state="frozen"/>
      <selection activeCell="AK51" sqref="AK51"/>
      <selection pane="topRight" activeCell="AK51" sqref="AK51"/>
      <selection pane="bottomLeft" activeCell="AK51" sqref="AK51"/>
      <selection pane="bottomRight" activeCell="P7" sqref="P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2078/12/5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89.1</v>
      </c>
      <c r="C5" s="157">
        <f t="shared" si="0"/>
        <v>71</v>
      </c>
      <c r="D5" s="157">
        <f t="shared" si="0"/>
        <v>293.39999999999998</v>
      </c>
      <c r="E5" s="157">
        <f t="shared" si="0"/>
        <v>291</v>
      </c>
      <c r="F5" s="157">
        <f t="shared" si="0"/>
        <v>261</v>
      </c>
      <c r="G5" s="157">
        <f t="shared" si="0"/>
        <v>53</v>
      </c>
      <c r="H5" s="157">
        <f t="shared" si="0"/>
        <v>38</v>
      </c>
      <c r="I5" s="157">
        <f t="shared" si="0"/>
        <v>65</v>
      </c>
      <c r="J5" s="157">
        <f t="shared" si="0"/>
        <v>65</v>
      </c>
      <c r="K5" s="157">
        <f t="shared" si="0"/>
        <v>60</v>
      </c>
      <c r="L5" s="157">
        <f t="shared" si="0"/>
        <v>70.599999999999994</v>
      </c>
      <c r="M5" s="157">
        <f t="shared" si="0"/>
        <v>172</v>
      </c>
      <c r="N5" s="157">
        <f t="shared" si="0"/>
        <v>187</v>
      </c>
      <c r="O5" s="157">
        <f t="shared" si="0"/>
        <v>23.5</v>
      </c>
      <c r="P5" s="157">
        <f t="shared" si="0"/>
        <v>142.1</v>
      </c>
      <c r="Q5" s="157">
        <f t="shared" si="0"/>
        <v>198.5</v>
      </c>
      <c r="R5" s="157">
        <f t="shared" si="0"/>
        <v>314</v>
      </c>
      <c r="S5" s="157">
        <f t="shared" si="0"/>
        <v>314.3</v>
      </c>
      <c r="T5" s="157">
        <f t="shared" si="0"/>
        <v>233.2</v>
      </c>
      <c r="U5" s="157">
        <f t="shared" si="0"/>
        <v>278</v>
      </c>
      <c r="V5" s="157">
        <f t="shared" si="0"/>
        <v>302.7</v>
      </c>
      <c r="W5" s="157">
        <f t="shared" si="0"/>
        <v>284.89999999999998</v>
      </c>
      <c r="X5" s="157">
        <f t="shared" si="0"/>
        <v>310</v>
      </c>
      <c r="Y5" s="157">
        <f t="shared" si="0"/>
        <v>306.10000000000002</v>
      </c>
      <c r="Z5" s="157">
        <f t="shared" si="0"/>
        <v>299.8</v>
      </c>
      <c r="AA5" s="157">
        <f t="shared" si="0"/>
        <v>289.2</v>
      </c>
      <c r="AB5" s="157">
        <f t="shared" si="0"/>
        <v>290.3</v>
      </c>
      <c r="AC5" s="157">
        <f t="shared" si="0"/>
        <v>270.5</v>
      </c>
      <c r="AD5" s="157">
        <f t="shared" si="0"/>
        <v>229.7</v>
      </c>
      <c r="AE5" s="157">
        <f t="shared" si="0"/>
        <v>287.7</v>
      </c>
      <c r="AF5" s="157">
        <f>B68</f>
        <v>72.599999999999994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1113MW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Load=846</v>
      </c>
      <c r="B7" s="146">
        <f>B75</f>
        <v>899</v>
      </c>
      <c r="C7" s="146">
        <f t="shared" ref="C7:AF7" si="1">C75</f>
        <v>892</v>
      </c>
      <c r="D7" s="146">
        <f t="shared" si="1"/>
        <v>870</v>
      </c>
      <c r="E7" s="146">
        <f t="shared" si="1"/>
        <v>858</v>
      </c>
      <c r="F7" s="146">
        <f t="shared" si="1"/>
        <v>846</v>
      </c>
      <c r="G7" s="146">
        <f t="shared" si="1"/>
        <v>876</v>
      </c>
      <c r="H7" s="146">
        <f t="shared" si="1"/>
        <v>892</v>
      </c>
      <c r="I7" s="146">
        <f t="shared" si="1"/>
        <v>911</v>
      </c>
      <c r="J7" s="146">
        <f t="shared" si="1"/>
        <v>974</v>
      </c>
      <c r="K7" s="146">
        <f t="shared" si="1"/>
        <v>1036</v>
      </c>
      <c r="L7" s="146">
        <f t="shared" si="1"/>
        <v>1091</v>
      </c>
      <c r="M7" s="146">
        <f t="shared" si="1"/>
        <v>1113</v>
      </c>
      <c r="N7" s="146">
        <f t="shared" si="1"/>
        <v>1055</v>
      </c>
      <c r="O7" s="146">
        <f t="shared" si="1"/>
        <v>1086</v>
      </c>
      <c r="P7" s="146">
        <f t="shared" si="1"/>
        <v>1066</v>
      </c>
      <c r="Q7" s="146">
        <f t="shared" si="1"/>
        <v>1085</v>
      </c>
      <c r="R7" s="146">
        <f t="shared" si="1"/>
        <v>1076</v>
      </c>
      <c r="S7" s="146">
        <f t="shared" si="1"/>
        <v>1074</v>
      </c>
      <c r="T7" s="146">
        <f t="shared" si="1"/>
        <v>1085</v>
      </c>
      <c r="U7" s="146">
        <f t="shared" si="1"/>
        <v>972</v>
      </c>
      <c r="V7" s="146">
        <f t="shared" si="1"/>
        <v>1128</v>
      </c>
      <c r="W7" s="146">
        <f t="shared" si="1"/>
        <v>1094</v>
      </c>
      <c r="X7" s="146">
        <f t="shared" si="1"/>
        <v>1191</v>
      </c>
      <c r="Y7" s="146">
        <f t="shared" si="1"/>
        <v>1293</v>
      </c>
      <c r="Z7" s="146">
        <f t="shared" si="1"/>
        <v>1422</v>
      </c>
      <c r="AA7" s="146">
        <f t="shared" si="1"/>
        <v>1391</v>
      </c>
      <c r="AB7" s="146">
        <f t="shared" si="1"/>
        <v>1334</v>
      </c>
      <c r="AC7" s="146">
        <f t="shared" si="1"/>
        <v>1321</v>
      </c>
      <c r="AD7" s="146">
        <f t="shared" si="1"/>
        <v>1249</v>
      </c>
      <c r="AE7" s="146">
        <f t="shared" si="1"/>
        <v>1143</v>
      </c>
      <c r="AF7" s="146">
        <f t="shared" si="1"/>
        <v>1050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146</v>
      </c>
      <c r="C11" s="127">
        <v>125</v>
      </c>
      <c r="D11" s="127">
        <v>120</v>
      </c>
      <c r="E11" s="127">
        <v>12</v>
      </c>
      <c r="F11" s="127">
        <v>12</v>
      </c>
      <c r="G11" s="127">
        <v>24</v>
      </c>
      <c r="H11" s="127">
        <v>160</v>
      </c>
      <c r="I11" s="127">
        <v>160</v>
      </c>
      <c r="J11" s="127">
        <v>160</v>
      </c>
      <c r="K11" s="127">
        <v>200</v>
      </c>
      <c r="L11" s="127">
        <v>220</v>
      </c>
      <c r="M11" s="103">
        <v>230</v>
      </c>
      <c r="N11" s="103">
        <v>80</v>
      </c>
      <c r="O11" s="103">
        <v>100</v>
      </c>
      <c r="P11" s="103">
        <v>240</v>
      </c>
      <c r="Q11" s="103">
        <v>150</v>
      </c>
      <c r="R11" s="135">
        <v>100</v>
      </c>
      <c r="S11" s="103">
        <v>45</v>
      </c>
      <c r="T11" s="103">
        <v>45</v>
      </c>
      <c r="U11" s="103">
        <v>45</v>
      </c>
      <c r="V11" s="103">
        <v>160</v>
      </c>
      <c r="W11" s="103">
        <v>120</v>
      </c>
      <c r="X11" s="103">
        <v>170</v>
      </c>
      <c r="Y11" s="103">
        <v>170</v>
      </c>
      <c r="Z11" s="103">
        <v>260</v>
      </c>
      <c r="AA11" s="103">
        <v>240</v>
      </c>
      <c r="AB11" s="103">
        <v>200</v>
      </c>
      <c r="AC11" s="103">
        <v>200</v>
      </c>
      <c r="AD11" s="103">
        <v>160</v>
      </c>
      <c r="AE11" s="103">
        <v>130</v>
      </c>
      <c r="AF11" s="103">
        <v>60</v>
      </c>
      <c r="AG11" s="54">
        <v>456</v>
      </c>
      <c r="AH11" s="21">
        <f>MAX(B11:AF11)</f>
        <v>260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31</v>
      </c>
      <c r="C12" s="127">
        <v>31</v>
      </c>
      <c r="D12" s="127">
        <v>31</v>
      </c>
      <c r="E12" s="127">
        <v>31</v>
      </c>
      <c r="F12" s="127">
        <v>31</v>
      </c>
      <c r="G12" s="127">
        <v>31</v>
      </c>
      <c r="H12" s="127">
        <v>31</v>
      </c>
      <c r="I12" s="127">
        <v>31</v>
      </c>
      <c r="J12" s="127">
        <v>31</v>
      </c>
      <c r="K12" s="127">
        <v>31</v>
      </c>
      <c r="L12" s="127">
        <v>31</v>
      </c>
      <c r="M12" s="127">
        <v>31</v>
      </c>
      <c r="N12" s="127">
        <v>31</v>
      </c>
      <c r="O12" s="127">
        <v>31</v>
      </c>
      <c r="P12" s="127">
        <v>31</v>
      </c>
      <c r="Q12" s="127">
        <v>31</v>
      </c>
      <c r="R12" s="127">
        <v>31</v>
      </c>
      <c r="S12" s="77">
        <v>31</v>
      </c>
      <c r="T12" s="77">
        <v>31</v>
      </c>
      <c r="U12" s="77">
        <v>31</v>
      </c>
      <c r="V12" s="77">
        <v>31</v>
      </c>
      <c r="W12" s="77">
        <v>31</v>
      </c>
      <c r="X12" s="77">
        <v>31</v>
      </c>
      <c r="Y12" s="77">
        <v>31</v>
      </c>
      <c r="Z12" s="77">
        <v>31</v>
      </c>
      <c r="AA12" s="103">
        <v>31</v>
      </c>
      <c r="AB12" s="103">
        <v>31</v>
      </c>
      <c r="AC12" s="103">
        <v>31</v>
      </c>
      <c r="AD12" s="103">
        <v>31</v>
      </c>
      <c r="AE12" s="103">
        <v>31</v>
      </c>
      <c r="AF12" s="103">
        <v>31</v>
      </c>
      <c r="AG12" s="134">
        <v>60</v>
      </c>
      <c r="AH12" s="21">
        <f t="shared" ref="AH12:AH75" si="2">MAX(B12:AF12)</f>
        <v>31</v>
      </c>
      <c r="AI12" s="20">
        <f t="shared" ref="AI12:AI75" si="3">MIN(B12:AF12)</f>
        <v>31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17.5</v>
      </c>
      <c r="C13" s="127">
        <v>17.5</v>
      </c>
      <c r="D13" s="127">
        <v>18</v>
      </c>
      <c r="E13" s="127">
        <v>18</v>
      </c>
      <c r="F13" s="127">
        <v>18</v>
      </c>
      <c r="G13" s="127">
        <v>18</v>
      </c>
      <c r="H13" s="127">
        <v>18</v>
      </c>
      <c r="I13" s="127">
        <v>18</v>
      </c>
      <c r="J13" s="127">
        <v>18</v>
      </c>
      <c r="K13" s="127">
        <v>18</v>
      </c>
      <c r="L13" s="127">
        <v>18</v>
      </c>
      <c r="M13" s="127">
        <v>19.2</v>
      </c>
      <c r="N13" s="127">
        <v>19.100000000000001</v>
      </c>
      <c r="O13" s="127">
        <v>19.100000000000001</v>
      </c>
      <c r="P13" s="127">
        <v>19.100000000000001</v>
      </c>
      <c r="Q13" s="127">
        <v>19.100000000000001</v>
      </c>
      <c r="R13" s="127">
        <v>17.8</v>
      </c>
      <c r="S13" s="127">
        <v>17.3</v>
      </c>
      <c r="T13" s="127">
        <v>17.3</v>
      </c>
      <c r="U13" s="127">
        <v>17.3</v>
      </c>
      <c r="V13" s="127">
        <v>17.3</v>
      </c>
      <c r="W13" s="127">
        <v>17.3</v>
      </c>
      <c r="X13" s="127">
        <v>17.3</v>
      </c>
      <c r="Y13" s="127">
        <v>17.3</v>
      </c>
      <c r="Z13" s="127">
        <v>17.3</v>
      </c>
      <c r="AA13" s="103">
        <v>17.3</v>
      </c>
      <c r="AB13" s="103">
        <v>16.600000000000001</v>
      </c>
      <c r="AC13" s="103">
        <v>16.8</v>
      </c>
      <c r="AD13" s="103">
        <v>16.600000000000001</v>
      </c>
      <c r="AE13" s="103">
        <v>16.600000000000001</v>
      </c>
      <c r="AF13" s="103">
        <v>18.100000000000001</v>
      </c>
      <c r="AG13" s="134">
        <v>52.4</v>
      </c>
      <c r="AH13" s="21">
        <f t="shared" si="2"/>
        <v>19.2</v>
      </c>
      <c r="AI13" s="20">
        <f t="shared" si="3"/>
        <v>16.600000000000001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25.5</v>
      </c>
      <c r="C14" s="127">
        <v>25.5</v>
      </c>
      <c r="D14" s="127">
        <v>25.5</v>
      </c>
      <c r="E14" s="127">
        <v>25.5</v>
      </c>
      <c r="F14" s="127">
        <v>25.5</v>
      </c>
      <c r="G14" s="127">
        <v>25.5</v>
      </c>
      <c r="H14" s="127">
        <v>25.5</v>
      </c>
      <c r="I14" s="127">
        <v>25.5</v>
      </c>
      <c r="J14" s="127">
        <v>25.5</v>
      </c>
      <c r="K14" s="127">
        <v>25.5</v>
      </c>
      <c r="L14" s="127">
        <v>25.5</v>
      </c>
      <c r="M14" s="103">
        <v>25.4</v>
      </c>
      <c r="N14" s="103">
        <v>25.2</v>
      </c>
      <c r="O14" s="103">
        <v>25.2</v>
      </c>
      <c r="P14" s="103">
        <v>25.2</v>
      </c>
      <c r="Q14" s="103">
        <v>25.6</v>
      </c>
      <c r="R14" s="103">
        <v>25.4</v>
      </c>
      <c r="S14" s="103">
        <v>25.4</v>
      </c>
      <c r="T14" s="103">
        <v>25.4</v>
      </c>
      <c r="U14" s="103">
        <v>25.4</v>
      </c>
      <c r="V14" s="103">
        <v>25.4</v>
      </c>
      <c r="W14" s="103">
        <v>25.4</v>
      </c>
      <c r="X14" s="103">
        <v>25.4</v>
      </c>
      <c r="Y14" s="103">
        <v>25.4</v>
      </c>
      <c r="Z14" s="103">
        <v>25.4</v>
      </c>
      <c r="AA14" s="103">
        <v>25.4</v>
      </c>
      <c r="AB14" s="103">
        <v>25.5</v>
      </c>
      <c r="AC14" s="103">
        <v>25.5</v>
      </c>
      <c r="AD14" s="103">
        <v>25.5</v>
      </c>
      <c r="AE14" s="103">
        <v>25.5</v>
      </c>
      <c r="AF14" s="103">
        <v>25.3</v>
      </c>
      <c r="AG14" s="134">
        <v>50</v>
      </c>
      <c r="AH14" s="21">
        <f t="shared" si="2"/>
        <v>25.6</v>
      </c>
      <c r="AI14" s="20">
        <f t="shared" si="3"/>
        <v>25.2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23.1</v>
      </c>
      <c r="C15" s="123">
        <v>23.1</v>
      </c>
      <c r="D15" s="123">
        <v>23.1</v>
      </c>
      <c r="E15" s="123">
        <v>23.1</v>
      </c>
      <c r="F15" s="123">
        <v>23.1</v>
      </c>
      <c r="G15" s="123">
        <v>23.1</v>
      </c>
      <c r="H15" s="123">
        <v>23.1</v>
      </c>
      <c r="I15" s="123">
        <v>23.1</v>
      </c>
      <c r="J15" s="123">
        <v>23.1</v>
      </c>
      <c r="K15" s="123">
        <v>23.1</v>
      </c>
      <c r="L15" s="123">
        <v>23.1</v>
      </c>
      <c r="M15" s="103">
        <v>23</v>
      </c>
      <c r="N15" s="103">
        <v>23</v>
      </c>
      <c r="O15" s="103">
        <v>23</v>
      </c>
      <c r="P15" s="103">
        <v>23</v>
      </c>
      <c r="Q15" s="103">
        <v>23</v>
      </c>
      <c r="R15" s="103">
        <v>23</v>
      </c>
      <c r="S15" s="103">
        <v>23</v>
      </c>
      <c r="T15" s="103">
        <v>23</v>
      </c>
      <c r="U15" s="103">
        <v>23</v>
      </c>
      <c r="V15" s="103">
        <v>23</v>
      </c>
      <c r="W15" s="103">
        <v>23</v>
      </c>
      <c r="X15" s="103">
        <v>23</v>
      </c>
      <c r="Y15" s="103">
        <v>23</v>
      </c>
      <c r="Z15" s="103">
        <v>23</v>
      </c>
      <c r="AA15" s="103">
        <v>23</v>
      </c>
      <c r="AB15" s="103">
        <v>23</v>
      </c>
      <c r="AC15" s="103">
        <v>23.1</v>
      </c>
      <c r="AD15" s="103">
        <v>23</v>
      </c>
      <c r="AE15" s="103">
        <v>23</v>
      </c>
      <c r="AF15" s="103">
        <v>23.1</v>
      </c>
      <c r="AG15" s="108">
        <v>45</v>
      </c>
      <c r="AH15" s="21">
        <f t="shared" si="2"/>
        <v>23.1</v>
      </c>
      <c r="AI15" s="20">
        <f t="shared" si="3"/>
        <v>23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12</v>
      </c>
      <c r="C16" s="127">
        <v>12</v>
      </c>
      <c r="D16" s="127">
        <v>12</v>
      </c>
      <c r="E16" s="127">
        <v>12</v>
      </c>
      <c r="F16" s="127">
        <v>12</v>
      </c>
      <c r="G16" s="127">
        <v>12</v>
      </c>
      <c r="H16" s="127">
        <v>12</v>
      </c>
      <c r="I16" s="127">
        <v>12</v>
      </c>
      <c r="J16" s="127">
        <v>12</v>
      </c>
      <c r="K16" s="127">
        <v>12</v>
      </c>
      <c r="L16" s="127">
        <v>12</v>
      </c>
      <c r="M16" s="103">
        <v>12</v>
      </c>
      <c r="N16" s="103">
        <v>12</v>
      </c>
      <c r="O16" s="103">
        <v>12</v>
      </c>
      <c r="P16" s="103">
        <v>12</v>
      </c>
      <c r="Q16" s="103">
        <v>12</v>
      </c>
      <c r="R16" s="103">
        <v>12</v>
      </c>
      <c r="S16" s="103">
        <v>12</v>
      </c>
      <c r="T16" s="103">
        <v>12</v>
      </c>
      <c r="U16" s="103">
        <v>12</v>
      </c>
      <c r="V16" s="103">
        <v>12</v>
      </c>
      <c r="W16" s="103">
        <v>12</v>
      </c>
      <c r="X16" s="103">
        <v>12</v>
      </c>
      <c r="Y16" s="103">
        <v>12</v>
      </c>
      <c r="Z16" s="103">
        <v>12</v>
      </c>
      <c r="AA16" s="103">
        <v>12</v>
      </c>
      <c r="AB16" s="103">
        <v>12</v>
      </c>
      <c r="AC16" s="103">
        <v>12</v>
      </c>
      <c r="AD16" s="103">
        <v>12</v>
      </c>
      <c r="AE16" s="103">
        <v>12</v>
      </c>
      <c r="AF16" s="103">
        <v>12</v>
      </c>
      <c r="AG16" s="134">
        <v>45</v>
      </c>
      <c r="AH16" s="21">
        <f t="shared" si="2"/>
        <v>12</v>
      </c>
      <c r="AI16" s="20">
        <f t="shared" si="3"/>
        <v>12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13.2</v>
      </c>
      <c r="C19" s="127">
        <v>13.2</v>
      </c>
      <c r="D19" s="127">
        <v>13.2</v>
      </c>
      <c r="E19" s="127">
        <v>13.2</v>
      </c>
      <c r="F19" s="127">
        <v>13.2</v>
      </c>
      <c r="G19" s="127">
        <v>13.2</v>
      </c>
      <c r="H19" s="127">
        <v>13.2</v>
      </c>
      <c r="I19" s="127">
        <v>13.2</v>
      </c>
      <c r="J19" s="127">
        <v>13.2</v>
      </c>
      <c r="K19" s="127">
        <v>13.2</v>
      </c>
      <c r="L19" s="127">
        <v>13.2</v>
      </c>
      <c r="M19" s="103">
        <v>13.2</v>
      </c>
      <c r="N19" s="103">
        <v>13.2</v>
      </c>
      <c r="O19" s="103">
        <v>13.2</v>
      </c>
      <c r="P19" s="103">
        <v>13.2</v>
      </c>
      <c r="Q19" s="103">
        <v>11.9</v>
      </c>
      <c r="R19" s="103">
        <v>12.5</v>
      </c>
      <c r="S19" s="103">
        <v>12.5</v>
      </c>
      <c r="T19" s="103">
        <v>12.5</v>
      </c>
      <c r="U19" s="103">
        <v>12.5</v>
      </c>
      <c r="V19" s="103">
        <v>12.5</v>
      </c>
      <c r="W19" s="103">
        <v>12.5</v>
      </c>
      <c r="X19" s="103">
        <v>12.5</v>
      </c>
      <c r="Y19" s="103">
        <v>12.5</v>
      </c>
      <c r="Z19" s="103">
        <v>12.5</v>
      </c>
      <c r="AA19" s="103">
        <v>12.5</v>
      </c>
      <c r="AB19" s="103">
        <v>13.2</v>
      </c>
      <c r="AC19" s="103">
        <v>13.2</v>
      </c>
      <c r="AD19" s="103">
        <v>13.2</v>
      </c>
      <c r="AE19" s="103">
        <v>13.2</v>
      </c>
      <c r="AF19" s="103">
        <v>13.2</v>
      </c>
      <c r="AG19" s="134">
        <v>30</v>
      </c>
      <c r="AH19" s="21">
        <f t="shared" si="2"/>
        <v>13.2</v>
      </c>
      <c r="AI19" s="20">
        <f t="shared" si="3"/>
        <v>11.9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8</v>
      </c>
      <c r="C20" s="127">
        <v>8</v>
      </c>
      <c r="D20" s="127">
        <v>8</v>
      </c>
      <c r="E20" s="127">
        <v>8</v>
      </c>
      <c r="F20" s="127">
        <v>8</v>
      </c>
      <c r="G20" s="127">
        <v>8</v>
      </c>
      <c r="H20" s="127">
        <v>8</v>
      </c>
      <c r="I20" s="127">
        <v>8</v>
      </c>
      <c r="J20" s="127">
        <v>8</v>
      </c>
      <c r="K20" s="127">
        <v>8</v>
      </c>
      <c r="L20" s="127">
        <v>8</v>
      </c>
      <c r="M20" s="103">
        <v>8</v>
      </c>
      <c r="N20" s="103">
        <v>8</v>
      </c>
      <c r="O20" s="103">
        <v>8</v>
      </c>
      <c r="P20" s="103">
        <v>8</v>
      </c>
      <c r="Q20" s="103">
        <v>8</v>
      </c>
      <c r="R20" s="103">
        <v>8</v>
      </c>
      <c r="S20" s="103">
        <v>8</v>
      </c>
      <c r="T20" s="103">
        <v>8</v>
      </c>
      <c r="U20" s="103">
        <v>8</v>
      </c>
      <c r="V20" s="103">
        <v>8</v>
      </c>
      <c r="W20" s="103">
        <v>8</v>
      </c>
      <c r="X20" s="103">
        <v>8</v>
      </c>
      <c r="Y20" s="103">
        <v>8</v>
      </c>
      <c r="Z20" s="103">
        <v>8</v>
      </c>
      <c r="AA20" s="103">
        <v>8</v>
      </c>
      <c r="AB20" s="103">
        <v>8</v>
      </c>
      <c r="AC20" s="103">
        <v>8</v>
      </c>
      <c r="AD20" s="103">
        <v>8</v>
      </c>
      <c r="AE20" s="103">
        <v>8</v>
      </c>
      <c r="AF20" s="103">
        <v>8</v>
      </c>
      <c r="AG20" s="134">
        <v>27</v>
      </c>
      <c r="AH20" s="21">
        <f t="shared" si="2"/>
        <v>8</v>
      </c>
      <c r="AI20" s="20">
        <f t="shared" si="3"/>
        <v>8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11.6</v>
      </c>
      <c r="C22" s="127">
        <v>11.6</v>
      </c>
      <c r="D22" s="127">
        <v>12</v>
      </c>
      <c r="E22" s="127">
        <v>12</v>
      </c>
      <c r="F22" s="127">
        <v>12</v>
      </c>
      <c r="G22" s="127">
        <v>12</v>
      </c>
      <c r="H22" s="127">
        <v>12</v>
      </c>
      <c r="I22" s="127">
        <v>12</v>
      </c>
      <c r="J22" s="127">
        <v>12</v>
      </c>
      <c r="K22" s="127">
        <v>12</v>
      </c>
      <c r="L22" s="127">
        <v>12</v>
      </c>
      <c r="M22" s="103">
        <v>11.8</v>
      </c>
      <c r="N22" s="103">
        <v>11.5</v>
      </c>
      <c r="O22" s="103">
        <v>11.5</v>
      </c>
      <c r="P22" s="103">
        <v>11.5</v>
      </c>
      <c r="Q22" s="103">
        <v>12.4</v>
      </c>
      <c r="R22" s="103">
        <v>11.7</v>
      </c>
      <c r="S22" s="103">
        <v>12.9</v>
      </c>
      <c r="T22" s="103">
        <v>12.9</v>
      </c>
      <c r="U22" s="103">
        <v>12.9</v>
      </c>
      <c r="V22" s="103">
        <v>12.9</v>
      </c>
      <c r="W22" s="103">
        <v>12.9</v>
      </c>
      <c r="X22" s="103">
        <v>12.9</v>
      </c>
      <c r="Y22" s="103">
        <v>12.9</v>
      </c>
      <c r="Z22" s="103">
        <v>12.9</v>
      </c>
      <c r="AA22" s="103">
        <v>12.9</v>
      </c>
      <c r="AB22" s="103">
        <v>12.3</v>
      </c>
      <c r="AC22" s="103">
        <v>12.3</v>
      </c>
      <c r="AD22" s="103">
        <v>12.3</v>
      </c>
      <c r="AE22" s="103">
        <v>12.3</v>
      </c>
      <c r="AF22" s="103">
        <v>12.3</v>
      </c>
      <c r="AG22" s="134">
        <v>25</v>
      </c>
      <c r="AH22" s="21">
        <f t="shared" si="2"/>
        <v>12.9</v>
      </c>
      <c r="AI22" s="20">
        <f t="shared" si="3"/>
        <v>11.5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8</v>
      </c>
      <c r="C24" s="127">
        <v>8</v>
      </c>
      <c r="D24" s="127">
        <v>8</v>
      </c>
      <c r="E24" s="127">
        <v>8</v>
      </c>
      <c r="F24" s="127">
        <v>8</v>
      </c>
      <c r="G24" s="127">
        <v>8</v>
      </c>
      <c r="H24" s="127">
        <v>8</v>
      </c>
      <c r="I24" s="127">
        <v>8</v>
      </c>
      <c r="J24" s="127">
        <v>7</v>
      </c>
      <c r="K24" s="127">
        <v>7</v>
      </c>
      <c r="L24" s="127">
        <v>7</v>
      </c>
      <c r="M24" s="103">
        <v>8.6</v>
      </c>
      <c r="N24" s="103">
        <v>8.3000000000000007</v>
      </c>
      <c r="O24" s="103">
        <v>8.3000000000000007</v>
      </c>
      <c r="P24" s="103">
        <v>8.3000000000000007</v>
      </c>
      <c r="Q24" s="103">
        <v>6.3</v>
      </c>
      <c r="R24" s="103">
        <v>6.9</v>
      </c>
      <c r="S24" s="103">
        <v>6</v>
      </c>
      <c r="T24" s="103">
        <v>6</v>
      </c>
      <c r="U24" s="103">
        <v>6</v>
      </c>
      <c r="V24" s="103">
        <v>6</v>
      </c>
      <c r="W24" s="103">
        <v>6</v>
      </c>
      <c r="X24" s="103">
        <v>6</v>
      </c>
      <c r="Y24" s="103">
        <v>6</v>
      </c>
      <c r="Z24" s="103">
        <v>6</v>
      </c>
      <c r="AA24" s="103">
        <v>6</v>
      </c>
      <c r="AB24" s="103">
        <v>6.3</v>
      </c>
      <c r="AC24" s="103">
        <v>6.3</v>
      </c>
      <c r="AD24" s="103">
        <v>6.3</v>
      </c>
      <c r="AE24" s="103">
        <v>8</v>
      </c>
      <c r="AF24" s="103">
        <v>9.5</v>
      </c>
      <c r="AG24" s="134">
        <v>25</v>
      </c>
      <c r="AH24" s="21">
        <f t="shared" si="2"/>
        <v>9.5</v>
      </c>
      <c r="AI24" s="20">
        <f t="shared" si="3"/>
        <v>6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4.5</v>
      </c>
      <c r="C28" s="127">
        <v>4.5</v>
      </c>
      <c r="D28" s="127">
        <v>4.5</v>
      </c>
      <c r="E28" s="127">
        <v>4.5</v>
      </c>
      <c r="F28" s="127">
        <v>4.5</v>
      </c>
      <c r="G28" s="127">
        <v>4.5</v>
      </c>
      <c r="H28" s="127">
        <v>4.5</v>
      </c>
      <c r="I28" s="127">
        <v>4.5</v>
      </c>
      <c r="J28" s="127">
        <v>4.5</v>
      </c>
      <c r="K28" s="127">
        <v>4.5</v>
      </c>
      <c r="L28" s="127">
        <v>4.5</v>
      </c>
      <c r="M28" s="103">
        <v>4.5</v>
      </c>
      <c r="N28" s="103">
        <v>4.5</v>
      </c>
      <c r="O28" s="103">
        <v>4.5</v>
      </c>
      <c r="P28" s="103">
        <v>4.5</v>
      </c>
      <c r="Q28" s="103">
        <v>4.5</v>
      </c>
      <c r="R28" s="103">
        <v>4.5</v>
      </c>
      <c r="S28" s="103">
        <v>4.5</v>
      </c>
      <c r="T28" s="103">
        <v>4.5</v>
      </c>
      <c r="U28" s="103">
        <v>4.5</v>
      </c>
      <c r="V28" s="103">
        <v>4.5</v>
      </c>
      <c r="W28" s="103">
        <v>4.5</v>
      </c>
      <c r="X28" s="103">
        <v>4.5</v>
      </c>
      <c r="Y28" s="103">
        <v>4.5</v>
      </c>
      <c r="Z28" s="103">
        <v>4.5</v>
      </c>
      <c r="AA28" s="103">
        <v>4.5</v>
      </c>
      <c r="AB28" s="103">
        <v>4.5</v>
      </c>
      <c r="AC28" s="103">
        <v>4.5</v>
      </c>
      <c r="AD28" s="103">
        <v>4.5</v>
      </c>
      <c r="AE28" s="103">
        <v>4.5</v>
      </c>
      <c r="AF28" s="103">
        <v>4.5</v>
      </c>
      <c r="AG28" s="134">
        <v>22.2</v>
      </c>
      <c r="AH28" s="21">
        <f t="shared" si="2"/>
        <v>4.5</v>
      </c>
      <c r="AI28" s="20">
        <f t="shared" si="3"/>
        <v>4.5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4.8</v>
      </c>
      <c r="C34" s="123">
        <v>4.8</v>
      </c>
      <c r="D34" s="123">
        <v>4.8</v>
      </c>
      <c r="E34" s="123">
        <v>4.8</v>
      </c>
      <c r="F34" s="123">
        <v>4.8</v>
      </c>
      <c r="G34" s="123">
        <v>4.8</v>
      </c>
      <c r="H34" s="123">
        <v>4.8</v>
      </c>
      <c r="I34" s="123">
        <v>4.8</v>
      </c>
      <c r="J34" s="123">
        <v>4.8</v>
      </c>
      <c r="K34" s="123">
        <v>4.8</v>
      </c>
      <c r="L34" s="123">
        <v>4.8</v>
      </c>
      <c r="M34" s="103">
        <v>4.8</v>
      </c>
      <c r="N34" s="103">
        <v>4.8</v>
      </c>
      <c r="O34" s="103">
        <v>4.8</v>
      </c>
      <c r="P34" s="103">
        <v>4.8</v>
      </c>
      <c r="Q34" s="103">
        <v>4.8</v>
      </c>
      <c r="R34" s="103">
        <v>4.8</v>
      </c>
      <c r="S34" s="103">
        <v>4.8</v>
      </c>
      <c r="T34" s="103">
        <v>4.8</v>
      </c>
      <c r="U34" s="103">
        <v>4.8</v>
      </c>
      <c r="V34" s="103">
        <v>4.8</v>
      </c>
      <c r="W34" s="103">
        <v>4.8</v>
      </c>
      <c r="X34" s="103">
        <v>4.8</v>
      </c>
      <c r="Y34" s="103">
        <v>4.8</v>
      </c>
      <c r="Z34" s="103">
        <v>4.8</v>
      </c>
      <c r="AA34" s="103">
        <v>4.8</v>
      </c>
      <c r="AB34" s="103">
        <v>4.8</v>
      </c>
      <c r="AC34" s="103">
        <v>4.8</v>
      </c>
      <c r="AD34" s="103">
        <v>4.8</v>
      </c>
      <c r="AE34" s="103">
        <v>4.8</v>
      </c>
      <c r="AF34" s="103">
        <v>4.8</v>
      </c>
      <c r="AG34" s="106">
        <v>20</v>
      </c>
      <c r="AH34" s="21">
        <f t="shared" si="2"/>
        <v>4.8</v>
      </c>
      <c r="AI34" s="20">
        <f t="shared" si="3"/>
        <v>4.8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9</v>
      </c>
      <c r="M35" s="103">
        <v>9</v>
      </c>
      <c r="N35" s="103">
        <v>9</v>
      </c>
      <c r="O35" s="103">
        <v>9</v>
      </c>
      <c r="P35" s="103">
        <v>9</v>
      </c>
      <c r="Q35" s="103">
        <v>9</v>
      </c>
      <c r="R35" s="103">
        <v>9</v>
      </c>
      <c r="S35" s="103">
        <v>9</v>
      </c>
      <c r="T35" s="103">
        <v>9</v>
      </c>
      <c r="U35" s="103">
        <v>9</v>
      </c>
      <c r="V35" s="103">
        <v>9</v>
      </c>
      <c r="W35" s="103">
        <v>9</v>
      </c>
      <c r="X35" s="103">
        <v>9</v>
      </c>
      <c r="Y35" s="103">
        <v>9</v>
      </c>
      <c r="Z35" s="103">
        <v>9</v>
      </c>
      <c r="AA35" s="103">
        <v>9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9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03">
        <v>160</v>
      </c>
      <c r="AB36" s="103">
        <v>160</v>
      </c>
      <c r="AC36" s="103">
        <v>160</v>
      </c>
      <c r="AD36" s="103">
        <v>160</v>
      </c>
      <c r="AE36" s="103">
        <v>160</v>
      </c>
      <c r="AF36" s="10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27.3</v>
      </c>
      <c r="C37" s="123">
        <v>27.3</v>
      </c>
      <c r="D37" s="123">
        <v>28.6</v>
      </c>
      <c r="E37" s="123">
        <v>28.6</v>
      </c>
      <c r="F37" s="123">
        <v>29.2</v>
      </c>
      <c r="G37" s="123">
        <v>29.2</v>
      </c>
      <c r="H37" s="123">
        <v>29.2</v>
      </c>
      <c r="I37" s="123">
        <v>28.4</v>
      </c>
      <c r="J37" s="123">
        <v>28.4</v>
      </c>
      <c r="K37" s="123">
        <v>29</v>
      </c>
      <c r="L37" s="123">
        <v>28.5</v>
      </c>
      <c r="M37" s="128">
        <v>28.8</v>
      </c>
      <c r="N37" s="128">
        <v>26.7</v>
      </c>
      <c r="O37" s="128">
        <v>26.7</v>
      </c>
      <c r="P37" s="128">
        <v>29</v>
      </c>
      <c r="Q37" s="128">
        <v>27.4</v>
      </c>
      <c r="R37" s="128">
        <v>27.5</v>
      </c>
      <c r="S37" s="128">
        <v>27.5</v>
      </c>
      <c r="T37" s="128">
        <v>27.7</v>
      </c>
      <c r="U37" s="128">
        <v>26</v>
      </c>
      <c r="V37" s="128">
        <v>24</v>
      </c>
      <c r="W37" s="128">
        <v>24</v>
      </c>
      <c r="X37" s="128">
        <v>24.3</v>
      </c>
      <c r="Y37" s="128">
        <v>22</v>
      </c>
      <c r="Z37" s="128">
        <v>21.3</v>
      </c>
      <c r="AA37" s="128">
        <v>22</v>
      </c>
      <c r="AB37" s="128">
        <v>22.1</v>
      </c>
      <c r="AC37" s="128">
        <v>22.7</v>
      </c>
      <c r="AD37" s="128">
        <v>26</v>
      </c>
      <c r="AE37" s="128">
        <v>26.8</v>
      </c>
      <c r="AF37" s="128">
        <v>25.6</v>
      </c>
      <c r="AG37" s="106">
        <v>240</v>
      </c>
      <c r="AH37" s="21">
        <f t="shared" si="2"/>
        <v>29.2</v>
      </c>
      <c r="AI37" s="20">
        <f t="shared" si="3"/>
        <v>21.3</v>
      </c>
      <c r="AK37" s="42"/>
    </row>
    <row r="38" spans="1:88" ht="15.75" thickBot="1" x14ac:dyDescent="0.3">
      <c r="A38" s="100" t="s">
        <v>173</v>
      </c>
      <c r="B38" s="99">
        <v>526.5</v>
      </c>
      <c r="C38" s="99">
        <v>505.5</v>
      </c>
      <c r="D38" s="99">
        <v>501.4</v>
      </c>
      <c r="E38" s="99">
        <v>393.4</v>
      </c>
      <c r="F38" s="99">
        <v>393.4</v>
      </c>
      <c r="G38" s="99">
        <v>405.4</v>
      </c>
      <c r="H38" s="99">
        <v>541.4</v>
      </c>
      <c r="I38" s="99">
        <v>541.4</v>
      </c>
      <c r="J38" s="99">
        <v>540.4</v>
      </c>
      <c r="K38" s="99">
        <v>580.4</v>
      </c>
      <c r="L38" s="99">
        <v>609.4</v>
      </c>
      <c r="M38" s="99">
        <v>621.79999999999995</v>
      </c>
      <c r="N38" s="99">
        <v>470.9</v>
      </c>
      <c r="O38" s="99">
        <v>490.9</v>
      </c>
      <c r="P38" s="99">
        <v>630.9</v>
      </c>
      <c r="Q38" s="99">
        <v>538.9</v>
      </c>
      <c r="R38" s="99">
        <v>487.9</v>
      </c>
      <c r="S38" s="99">
        <v>432.7</v>
      </c>
      <c r="T38" s="99">
        <v>432.7</v>
      </c>
      <c r="U38" s="99">
        <v>432.7</v>
      </c>
      <c r="V38" s="99">
        <v>547.70000000000005</v>
      </c>
      <c r="W38" s="99">
        <v>507.7</v>
      </c>
      <c r="X38" s="99">
        <v>557.70000000000005</v>
      </c>
      <c r="Y38" s="99">
        <v>557.70000000000005</v>
      </c>
      <c r="Z38" s="99">
        <v>647.70000000000005</v>
      </c>
      <c r="AA38" s="99">
        <v>627.70000000000005</v>
      </c>
      <c r="AB38" s="99">
        <v>578.5</v>
      </c>
      <c r="AC38" s="99">
        <v>578.79999999999995</v>
      </c>
      <c r="AD38" s="99">
        <v>538.5</v>
      </c>
      <c r="AE38" s="99">
        <v>510.2</v>
      </c>
      <c r="AF38" s="99">
        <v>443.1</v>
      </c>
      <c r="AG38" s="106">
        <f>SUM(AG11:AG37)</f>
        <v>1492.8299999999997</v>
      </c>
      <c r="AH38" s="21">
        <f t="shared" si="2"/>
        <v>647.70000000000005</v>
      </c>
      <c r="AI38" s="20">
        <f t="shared" si="3"/>
        <v>393.4</v>
      </c>
      <c r="AK38" s="42"/>
    </row>
    <row r="39" spans="1:88" x14ac:dyDescent="0.25">
      <c r="A39" s="109" t="s">
        <v>172</v>
      </c>
      <c r="B39" s="127">
        <v>97</v>
      </c>
      <c r="C39" s="123">
        <v>97</v>
      </c>
      <c r="D39" s="123">
        <v>97</v>
      </c>
      <c r="E39" s="123">
        <v>0</v>
      </c>
      <c r="F39" s="123">
        <v>0</v>
      </c>
      <c r="G39" s="123">
        <v>40.700000000000003</v>
      </c>
      <c r="H39" s="123">
        <v>112</v>
      </c>
      <c r="I39" s="123">
        <v>126</v>
      </c>
      <c r="J39" s="123">
        <v>133</v>
      </c>
      <c r="K39" s="123">
        <v>145</v>
      </c>
      <c r="L39" s="123">
        <v>145</v>
      </c>
      <c r="M39" s="103">
        <v>143.4</v>
      </c>
      <c r="N39" s="103">
        <v>143.4</v>
      </c>
      <c r="O39" s="103">
        <v>143.4</v>
      </c>
      <c r="P39" s="103">
        <v>143.4</v>
      </c>
      <c r="Q39" s="103">
        <v>143.1</v>
      </c>
      <c r="R39" s="103">
        <v>143.30000000000001</v>
      </c>
      <c r="S39" s="103">
        <v>120.9</v>
      </c>
      <c r="T39" s="103">
        <v>121.3</v>
      </c>
      <c r="U39" s="103">
        <v>111.7</v>
      </c>
      <c r="V39" s="103">
        <v>120</v>
      </c>
      <c r="W39" s="103">
        <v>101.3</v>
      </c>
      <c r="X39" s="103">
        <v>122.3</v>
      </c>
      <c r="Y39" s="103">
        <v>145</v>
      </c>
      <c r="Z39" s="103">
        <v>145</v>
      </c>
      <c r="AA39" s="103">
        <v>144.69999999999999</v>
      </c>
      <c r="AB39" s="103">
        <v>144.5</v>
      </c>
      <c r="AC39" s="103">
        <v>130.5</v>
      </c>
      <c r="AD39" s="103">
        <v>121.1</v>
      </c>
      <c r="AE39" s="103">
        <v>101.2</v>
      </c>
      <c r="AF39" s="103">
        <v>70</v>
      </c>
      <c r="AG39" s="108">
        <v>144</v>
      </c>
      <c r="AH39" s="21">
        <f t="shared" si="2"/>
        <v>145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35</v>
      </c>
      <c r="C40" s="123">
        <v>35</v>
      </c>
      <c r="D40" s="123">
        <v>35</v>
      </c>
      <c r="E40" s="123">
        <v>35</v>
      </c>
      <c r="F40" s="123">
        <v>42</v>
      </c>
      <c r="G40" s="123">
        <v>49.4</v>
      </c>
      <c r="H40" s="123">
        <v>66</v>
      </c>
      <c r="I40" s="123">
        <v>66</v>
      </c>
      <c r="J40" s="123">
        <v>50</v>
      </c>
      <c r="K40" s="123">
        <v>60</v>
      </c>
      <c r="L40" s="123">
        <v>69</v>
      </c>
      <c r="M40" s="73">
        <v>69.099999999999994</v>
      </c>
      <c r="N40" s="73">
        <v>69.599999999999994</v>
      </c>
      <c r="O40" s="73">
        <v>65.2</v>
      </c>
      <c r="P40" s="73">
        <v>69.2</v>
      </c>
      <c r="Q40" s="73">
        <v>69.599999999999994</v>
      </c>
      <c r="R40" s="73">
        <v>69.7</v>
      </c>
      <c r="S40" s="73">
        <v>50.5</v>
      </c>
      <c r="T40" s="73">
        <v>52.3</v>
      </c>
      <c r="U40" s="73">
        <v>43.5</v>
      </c>
      <c r="V40" s="73">
        <v>25.4</v>
      </c>
      <c r="W40" s="73">
        <v>25.4</v>
      </c>
      <c r="X40" s="73">
        <v>51.5</v>
      </c>
      <c r="Y40" s="73">
        <v>45.5</v>
      </c>
      <c r="Z40" s="73">
        <v>69.7</v>
      </c>
      <c r="AA40" s="73">
        <v>69.7</v>
      </c>
      <c r="AB40" s="73">
        <v>70.2</v>
      </c>
      <c r="AC40" s="73">
        <v>70.2</v>
      </c>
      <c r="AD40" s="73">
        <v>69</v>
      </c>
      <c r="AE40" s="73">
        <v>60</v>
      </c>
      <c r="AF40" s="73">
        <v>35</v>
      </c>
      <c r="AG40" s="106">
        <v>70</v>
      </c>
      <c r="AH40" s="21">
        <f t="shared" si="2"/>
        <v>70.2</v>
      </c>
      <c r="AI40" s="20">
        <f t="shared" si="3"/>
        <v>25.4</v>
      </c>
      <c r="AK40" s="42"/>
    </row>
    <row r="41" spans="1:88" x14ac:dyDescent="0.25">
      <c r="A41" s="107" t="s">
        <v>170</v>
      </c>
      <c r="B41" s="123">
        <v>45.3</v>
      </c>
      <c r="C41" s="123">
        <v>46.3</v>
      </c>
      <c r="D41" s="123">
        <v>46</v>
      </c>
      <c r="E41" s="123">
        <v>16</v>
      </c>
      <c r="F41" s="123">
        <v>0</v>
      </c>
      <c r="G41" s="123">
        <v>0</v>
      </c>
      <c r="H41" s="123">
        <v>0</v>
      </c>
      <c r="I41" s="123">
        <v>0</v>
      </c>
      <c r="J41" s="123">
        <v>46</v>
      </c>
      <c r="K41" s="123">
        <v>46</v>
      </c>
      <c r="L41" s="123">
        <v>60</v>
      </c>
      <c r="M41" s="73">
        <v>61.9</v>
      </c>
      <c r="N41" s="73">
        <v>61.7</v>
      </c>
      <c r="O41" s="73">
        <v>61.7</v>
      </c>
      <c r="P41" s="73">
        <v>61.7</v>
      </c>
      <c r="Q41" s="73">
        <v>60.8</v>
      </c>
      <c r="R41" s="73">
        <v>68.599999999999994</v>
      </c>
      <c r="S41" s="73">
        <v>51</v>
      </c>
      <c r="T41" s="73">
        <v>59.2</v>
      </c>
      <c r="U41" s="73">
        <v>44.2</v>
      </c>
      <c r="V41" s="73">
        <v>36.200000000000003</v>
      </c>
      <c r="W41" s="73">
        <v>36.200000000000003</v>
      </c>
      <c r="X41" s="73">
        <v>47.2</v>
      </c>
      <c r="Y41" s="73">
        <v>63.5</v>
      </c>
      <c r="Z41" s="73">
        <v>67.099999999999994</v>
      </c>
      <c r="AA41" s="73">
        <v>67.099999999999994</v>
      </c>
      <c r="AB41" s="73">
        <v>67.900000000000006</v>
      </c>
      <c r="AC41" s="73">
        <v>68.8</v>
      </c>
      <c r="AD41" s="73">
        <v>68.5</v>
      </c>
      <c r="AE41" s="73">
        <v>68.400000000000006</v>
      </c>
      <c r="AF41" s="73">
        <v>51.3</v>
      </c>
      <c r="AG41" s="106">
        <v>69</v>
      </c>
      <c r="AH41" s="21">
        <f t="shared" si="2"/>
        <v>68.8</v>
      </c>
      <c r="AI41" s="20">
        <f t="shared" si="3"/>
        <v>0</v>
      </c>
      <c r="AK41" s="42"/>
    </row>
    <row r="42" spans="1:88" x14ac:dyDescent="0.25">
      <c r="A42" s="107" t="s">
        <v>169</v>
      </c>
      <c r="B42" s="123">
        <v>60.4</v>
      </c>
      <c r="C42" s="12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73">
        <v>60.9</v>
      </c>
      <c r="N42" s="73">
        <v>60.9</v>
      </c>
      <c r="O42" s="73">
        <v>60.9</v>
      </c>
      <c r="P42" s="73">
        <v>60.9</v>
      </c>
      <c r="Q42" s="73">
        <v>60.9</v>
      </c>
      <c r="R42" s="73">
        <v>60.7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60.2</v>
      </c>
      <c r="AC42" s="73">
        <v>58.5</v>
      </c>
      <c r="AD42" s="73">
        <v>58.5</v>
      </c>
      <c r="AE42" s="73">
        <v>58.7</v>
      </c>
      <c r="AF42" s="73">
        <v>60.4</v>
      </c>
      <c r="AG42" s="106">
        <v>60</v>
      </c>
      <c r="AH42" s="21">
        <f t="shared" si="2"/>
        <v>60.9</v>
      </c>
      <c r="AI42" s="20">
        <f t="shared" si="3"/>
        <v>58.5</v>
      </c>
      <c r="AK42" s="42"/>
    </row>
    <row r="43" spans="1:88" x14ac:dyDescent="0.25">
      <c r="A43" s="107" t="s">
        <v>168</v>
      </c>
      <c r="B43" s="123">
        <v>13.8</v>
      </c>
      <c r="C43" s="123">
        <v>9.5</v>
      </c>
      <c r="D43" s="123">
        <v>9.5</v>
      </c>
      <c r="E43" s="123">
        <v>10</v>
      </c>
      <c r="F43" s="123">
        <v>10</v>
      </c>
      <c r="G43" s="123">
        <v>10</v>
      </c>
      <c r="H43" s="123">
        <v>10</v>
      </c>
      <c r="I43" s="123">
        <v>30</v>
      </c>
      <c r="J43" s="123">
        <v>30</v>
      </c>
      <c r="K43" s="123">
        <v>30</v>
      </c>
      <c r="L43" s="123">
        <v>30</v>
      </c>
      <c r="M43" s="103">
        <v>28.2</v>
      </c>
      <c r="N43" s="103">
        <v>20</v>
      </c>
      <c r="O43" s="103">
        <v>20</v>
      </c>
      <c r="P43" s="103">
        <v>20</v>
      </c>
      <c r="Q43" s="103">
        <v>13.1</v>
      </c>
      <c r="R43" s="103">
        <v>13.5</v>
      </c>
      <c r="S43" s="103">
        <v>13</v>
      </c>
      <c r="T43" s="103">
        <v>13</v>
      </c>
      <c r="U43" s="103">
        <v>15</v>
      </c>
      <c r="V43" s="103">
        <v>15</v>
      </c>
      <c r="W43" s="103">
        <v>15</v>
      </c>
      <c r="X43" s="103">
        <v>15</v>
      </c>
      <c r="Y43" s="103">
        <v>25</v>
      </c>
      <c r="Z43" s="103">
        <v>25</v>
      </c>
      <c r="AA43" s="73">
        <v>30</v>
      </c>
      <c r="AB43" s="73">
        <v>30</v>
      </c>
      <c r="AC43" s="73">
        <v>30</v>
      </c>
      <c r="AD43" s="73">
        <v>30</v>
      </c>
      <c r="AE43" s="73">
        <v>20</v>
      </c>
      <c r="AF43" s="73">
        <v>10</v>
      </c>
      <c r="AG43" s="106">
        <v>30</v>
      </c>
      <c r="AH43" s="21">
        <f t="shared" si="2"/>
        <v>30</v>
      </c>
      <c r="AI43" s="20">
        <f t="shared" si="3"/>
        <v>9.5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8</v>
      </c>
      <c r="M44" s="103">
        <v>8</v>
      </c>
      <c r="N44" s="103">
        <v>8</v>
      </c>
      <c r="O44" s="103">
        <v>8</v>
      </c>
      <c r="P44" s="103">
        <v>8</v>
      </c>
      <c r="Q44" s="103">
        <v>8</v>
      </c>
      <c r="R44" s="103">
        <v>8</v>
      </c>
      <c r="S44" s="103">
        <v>8</v>
      </c>
      <c r="T44" s="103">
        <v>8</v>
      </c>
      <c r="U44" s="103">
        <v>8</v>
      </c>
      <c r="V44" s="103">
        <v>8</v>
      </c>
      <c r="W44" s="103">
        <v>8</v>
      </c>
      <c r="X44" s="103">
        <v>8</v>
      </c>
      <c r="Y44" s="103">
        <v>8</v>
      </c>
      <c r="Z44" s="103">
        <v>8</v>
      </c>
      <c r="AA44" s="103">
        <v>8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8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14</v>
      </c>
      <c r="C45" s="120">
        <v>14</v>
      </c>
      <c r="D45" s="120">
        <v>14</v>
      </c>
      <c r="E45" s="120">
        <v>14</v>
      </c>
      <c r="F45" s="120">
        <v>14</v>
      </c>
      <c r="G45" s="120">
        <v>14</v>
      </c>
      <c r="H45" s="120">
        <v>14</v>
      </c>
      <c r="I45" s="120">
        <v>14</v>
      </c>
      <c r="J45" s="120">
        <v>14</v>
      </c>
      <c r="K45" s="120">
        <v>14</v>
      </c>
      <c r="L45" s="120">
        <v>14</v>
      </c>
      <c r="M45" s="103">
        <v>14</v>
      </c>
      <c r="N45" s="103">
        <v>14</v>
      </c>
      <c r="O45" s="103">
        <v>14</v>
      </c>
      <c r="P45" s="103">
        <v>14</v>
      </c>
      <c r="Q45" s="103">
        <v>14</v>
      </c>
      <c r="R45" s="103">
        <v>0</v>
      </c>
      <c r="S45" s="103">
        <v>0</v>
      </c>
      <c r="T45" s="103">
        <v>0</v>
      </c>
      <c r="U45" s="103">
        <v>0</v>
      </c>
      <c r="V45" s="103">
        <v>14</v>
      </c>
      <c r="W45" s="103">
        <v>14</v>
      </c>
      <c r="X45" s="103">
        <v>14</v>
      </c>
      <c r="Y45" s="103">
        <v>14</v>
      </c>
      <c r="Z45" s="103">
        <v>14</v>
      </c>
      <c r="AA45" s="103">
        <v>14</v>
      </c>
      <c r="AB45" s="103">
        <v>14</v>
      </c>
      <c r="AC45" s="103">
        <v>14</v>
      </c>
      <c r="AD45" s="103">
        <v>14</v>
      </c>
      <c r="AE45" s="103">
        <v>14</v>
      </c>
      <c r="AF45" s="103">
        <v>14</v>
      </c>
      <c r="AG45" s="106">
        <v>24</v>
      </c>
      <c r="AH45" s="21">
        <f t="shared" si="2"/>
        <v>14</v>
      </c>
      <c r="AI45" s="20">
        <f t="shared" si="3"/>
        <v>0</v>
      </c>
      <c r="AK45" s="42"/>
    </row>
    <row r="46" spans="1:88" x14ac:dyDescent="0.25">
      <c r="A46" s="107" t="s">
        <v>165</v>
      </c>
      <c r="B46" s="123">
        <v>4</v>
      </c>
      <c r="C46" s="123">
        <v>4</v>
      </c>
      <c r="D46" s="123">
        <v>4</v>
      </c>
      <c r="E46" s="123">
        <v>4</v>
      </c>
      <c r="F46" s="123">
        <v>4</v>
      </c>
      <c r="G46" s="123">
        <v>4</v>
      </c>
      <c r="H46" s="123">
        <v>4</v>
      </c>
      <c r="I46" s="123">
        <v>4</v>
      </c>
      <c r="J46" s="123">
        <v>4</v>
      </c>
      <c r="K46" s="123">
        <v>4</v>
      </c>
      <c r="L46" s="123">
        <v>4</v>
      </c>
      <c r="M46" s="103">
        <v>4</v>
      </c>
      <c r="N46" s="103">
        <v>4</v>
      </c>
      <c r="O46" s="103">
        <v>4</v>
      </c>
      <c r="P46" s="103">
        <v>4</v>
      </c>
      <c r="Q46" s="103">
        <v>4</v>
      </c>
      <c r="R46" s="103">
        <v>4</v>
      </c>
      <c r="S46" s="103">
        <v>4</v>
      </c>
      <c r="T46" s="103">
        <v>4</v>
      </c>
      <c r="U46" s="103">
        <v>4</v>
      </c>
      <c r="V46" s="103">
        <v>4</v>
      </c>
      <c r="W46" s="103">
        <v>4</v>
      </c>
      <c r="X46" s="103">
        <v>4</v>
      </c>
      <c r="Y46" s="103">
        <v>4</v>
      </c>
      <c r="Z46" s="103">
        <v>4</v>
      </c>
      <c r="AA46" s="103">
        <v>4</v>
      </c>
      <c r="AB46" s="103">
        <v>4</v>
      </c>
      <c r="AC46" s="103">
        <v>4</v>
      </c>
      <c r="AD46" s="103">
        <v>4</v>
      </c>
      <c r="AE46" s="103">
        <v>4</v>
      </c>
      <c r="AF46" s="103">
        <v>4</v>
      </c>
      <c r="AG46" s="106">
        <v>15</v>
      </c>
      <c r="AH46" s="21">
        <f t="shared" si="2"/>
        <v>4</v>
      </c>
      <c r="AI46" s="20">
        <f t="shared" si="3"/>
        <v>4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03">
        <v>12</v>
      </c>
      <c r="N47" s="103">
        <v>12</v>
      </c>
      <c r="O47" s="103">
        <v>12</v>
      </c>
      <c r="P47" s="123">
        <v>12</v>
      </c>
      <c r="Q47" s="123">
        <v>12</v>
      </c>
      <c r="R47" s="123">
        <v>2.5</v>
      </c>
      <c r="S47" s="123">
        <v>0</v>
      </c>
      <c r="T47" s="123">
        <v>0</v>
      </c>
      <c r="U47" s="123">
        <v>0</v>
      </c>
      <c r="V47" s="123">
        <v>0</v>
      </c>
      <c r="W47" s="123">
        <v>0</v>
      </c>
      <c r="X47" s="123">
        <v>6</v>
      </c>
      <c r="Y47" s="123">
        <v>6</v>
      </c>
      <c r="Z47" s="123">
        <v>6</v>
      </c>
      <c r="AA47" s="103">
        <v>6</v>
      </c>
      <c r="AB47" s="103">
        <v>6</v>
      </c>
      <c r="AC47" s="103">
        <v>6</v>
      </c>
      <c r="AD47" s="103">
        <v>6</v>
      </c>
      <c r="AE47" s="103">
        <v>6</v>
      </c>
      <c r="AF47" s="103">
        <v>6</v>
      </c>
      <c r="AG47" s="106">
        <v>14.1</v>
      </c>
      <c r="AH47" s="21">
        <f t="shared" si="2"/>
        <v>12</v>
      </c>
      <c r="AI47" s="20">
        <f t="shared" si="3"/>
        <v>0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</v>
      </c>
      <c r="C48" s="123">
        <v>7</v>
      </c>
      <c r="D48" s="123">
        <v>7</v>
      </c>
      <c r="E48" s="123">
        <v>7</v>
      </c>
      <c r="F48" s="123">
        <v>7</v>
      </c>
      <c r="G48" s="123">
        <v>7</v>
      </c>
      <c r="H48" s="123">
        <v>7</v>
      </c>
      <c r="I48" s="123">
        <v>7</v>
      </c>
      <c r="J48" s="123">
        <v>7</v>
      </c>
      <c r="K48" s="123">
        <v>7</v>
      </c>
      <c r="L48" s="123">
        <v>7</v>
      </c>
      <c r="M48" s="103">
        <v>7</v>
      </c>
      <c r="N48" s="103">
        <v>7</v>
      </c>
      <c r="O48" s="103">
        <v>7</v>
      </c>
      <c r="P48" s="123">
        <v>7</v>
      </c>
      <c r="Q48" s="123">
        <v>7</v>
      </c>
      <c r="R48" s="123">
        <v>7</v>
      </c>
      <c r="S48" s="123">
        <v>7</v>
      </c>
      <c r="T48" s="123">
        <v>7</v>
      </c>
      <c r="U48" s="123">
        <v>7</v>
      </c>
      <c r="V48" s="123">
        <v>7</v>
      </c>
      <c r="W48" s="123">
        <v>7</v>
      </c>
      <c r="X48" s="123">
        <v>7</v>
      </c>
      <c r="Y48" s="123">
        <v>7</v>
      </c>
      <c r="Z48" s="123">
        <v>7</v>
      </c>
      <c r="AA48" s="103">
        <v>7</v>
      </c>
      <c r="AB48" s="103">
        <v>7</v>
      </c>
      <c r="AC48" s="103">
        <v>7</v>
      </c>
      <c r="AD48" s="103">
        <v>7</v>
      </c>
      <c r="AE48" s="103">
        <v>7</v>
      </c>
      <c r="AF48" s="103">
        <v>7</v>
      </c>
      <c r="AG48" s="106">
        <v>14</v>
      </c>
      <c r="AH48" s="21">
        <f t="shared" si="2"/>
        <v>7</v>
      </c>
      <c r="AI48" s="20">
        <f t="shared" si="3"/>
        <v>7</v>
      </c>
      <c r="AK48" s="42"/>
    </row>
    <row r="49" spans="1:37" x14ac:dyDescent="0.25">
      <c r="A49" s="107" t="s">
        <v>162</v>
      </c>
      <c r="B49" s="123">
        <v>5.8</v>
      </c>
      <c r="C49" s="123">
        <v>5.8</v>
      </c>
      <c r="D49" s="123">
        <v>5.8</v>
      </c>
      <c r="E49" s="123">
        <v>5.8</v>
      </c>
      <c r="F49" s="123">
        <v>5.8</v>
      </c>
      <c r="G49" s="123">
        <v>5.8</v>
      </c>
      <c r="H49" s="123">
        <v>5.8</v>
      </c>
      <c r="I49" s="123">
        <v>5.8</v>
      </c>
      <c r="J49" s="123">
        <v>5.8</v>
      </c>
      <c r="K49" s="123">
        <v>5.8</v>
      </c>
      <c r="L49" s="123">
        <v>5.8</v>
      </c>
      <c r="M49" s="103">
        <v>5.8</v>
      </c>
      <c r="N49" s="103">
        <v>5.8</v>
      </c>
      <c r="O49" s="103">
        <v>5.8</v>
      </c>
      <c r="P49" s="103">
        <v>5.8</v>
      </c>
      <c r="Q49" s="103">
        <v>5.8</v>
      </c>
      <c r="R49" s="103">
        <v>6.6</v>
      </c>
      <c r="S49" s="103">
        <v>6.6</v>
      </c>
      <c r="T49" s="103">
        <v>6.6</v>
      </c>
      <c r="U49" s="103">
        <v>6.6</v>
      </c>
      <c r="V49" s="103">
        <v>6.6</v>
      </c>
      <c r="W49" s="103">
        <v>6.6</v>
      </c>
      <c r="X49" s="103">
        <v>6.6</v>
      </c>
      <c r="Y49" s="103">
        <v>6.6</v>
      </c>
      <c r="Z49" s="103">
        <v>6.6</v>
      </c>
      <c r="AA49" s="103">
        <v>6.6</v>
      </c>
      <c r="AB49" s="103">
        <v>6.6</v>
      </c>
      <c r="AC49" s="103">
        <v>6.6</v>
      </c>
      <c r="AD49" s="103">
        <v>6.6</v>
      </c>
      <c r="AE49" s="103">
        <v>6.6</v>
      </c>
      <c r="AF49" s="103">
        <v>6.6</v>
      </c>
      <c r="AG49" s="106">
        <v>10.050000000000001</v>
      </c>
      <c r="AH49" s="21">
        <f t="shared" si="2"/>
        <v>6.6</v>
      </c>
      <c r="AI49" s="20">
        <f t="shared" si="3"/>
        <v>5.8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v>3.54</v>
      </c>
      <c r="V51" s="124">
        <v>3.54</v>
      </c>
      <c r="W51" s="124">
        <v>3.54</v>
      </c>
      <c r="X51" s="124">
        <v>3.54</v>
      </c>
      <c r="Y51" s="124">
        <v>3.54</v>
      </c>
      <c r="Z51" s="124">
        <v>3.54</v>
      </c>
      <c r="AA51" s="124">
        <v>3.54</v>
      </c>
      <c r="AB51" s="124">
        <v>3.54</v>
      </c>
      <c r="AC51" s="124">
        <v>3.54</v>
      </c>
      <c r="AD51" s="124">
        <v>3.54</v>
      </c>
      <c r="AE51" s="124">
        <v>3.54</v>
      </c>
      <c r="AF51" s="124">
        <v>3.54</v>
      </c>
      <c r="AG51" s="124">
        <f t="shared" ref="AG51" si="4">AG200</f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v>300.3</v>
      </c>
      <c r="C52" s="99">
        <v>297.5</v>
      </c>
      <c r="D52" s="99">
        <v>297.2</v>
      </c>
      <c r="E52" s="99">
        <v>170.7</v>
      </c>
      <c r="F52" s="99">
        <v>161.69999999999999</v>
      </c>
      <c r="G52" s="99">
        <v>209.8</v>
      </c>
      <c r="H52" s="99">
        <v>297.7</v>
      </c>
      <c r="I52" s="99">
        <v>331.7</v>
      </c>
      <c r="J52" s="99">
        <v>368.7</v>
      </c>
      <c r="K52" s="99">
        <v>390.7</v>
      </c>
      <c r="L52" s="99">
        <v>421.7</v>
      </c>
      <c r="M52" s="99">
        <v>420.3</v>
      </c>
      <c r="N52" s="99">
        <v>412.4</v>
      </c>
      <c r="O52" s="99">
        <v>408</v>
      </c>
      <c r="P52" s="99">
        <v>412</v>
      </c>
      <c r="Q52" s="99">
        <v>404.3</v>
      </c>
      <c r="R52" s="99">
        <v>389.9</v>
      </c>
      <c r="S52" s="99">
        <v>327.39999999999998</v>
      </c>
      <c r="T52" s="99">
        <v>337.8</v>
      </c>
      <c r="U52" s="99">
        <v>306.39999999999998</v>
      </c>
      <c r="V52" s="99">
        <v>302.60000000000002</v>
      </c>
      <c r="W52" s="99">
        <v>283.89999999999998</v>
      </c>
      <c r="X52" s="99">
        <v>348</v>
      </c>
      <c r="Y52" s="99">
        <v>391</v>
      </c>
      <c r="Z52" s="99">
        <v>418.8</v>
      </c>
      <c r="AA52" s="99">
        <v>423.5</v>
      </c>
      <c r="AB52" s="99">
        <v>416.4</v>
      </c>
      <c r="AC52" s="99">
        <v>401.6</v>
      </c>
      <c r="AD52" s="99">
        <v>390.7</v>
      </c>
      <c r="AE52" s="99">
        <v>351.9</v>
      </c>
      <c r="AF52" s="99">
        <v>270.3</v>
      </c>
      <c r="AG52" s="98">
        <f>SUM(AG39:AG51)</f>
        <v>489.91</v>
      </c>
      <c r="AH52" s="21">
        <f t="shared" si="2"/>
        <v>423.5</v>
      </c>
      <c r="AI52" s="20">
        <f t="shared" si="3"/>
        <v>161.69999999999999</v>
      </c>
      <c r="AK52" s="42"/>
    </row>
    <row r="53" spans="1:37" x14ac:dyDescent="0.25">
      <c r="A53" s="109" t="s">
        <v>159</v>
      </c>
      <c r="B53" s="103">
        <v>0</v>
      </c>
      <c r="C53" s="123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22">
        <v>0</v>
      </c>
      <c r="N53" s="122">
        <v>0</v>
      </c>
      <c r="O53" s="122">
        <v>0</v>
      </c>
      <c r="P53" s="122">
        <v>0</v>
      </c>
      <c r="Q53" s="122">
        <v>0</v>
      </c>
      <c r="R53" s="122">
        <v>0</v>
      </c>
      <c r="S53" s="122">
        <v>0</v>
      </c>
      <c r="T53" s="103">
        <v>0</v>
      </c>
      <c r="U53" s="103">
        <v>0</v>
      </c>
      <c r="V53" s="103">
        <v>0</v>
      </c>
      <c r="W53" s="103">
        <v>0</v>
      </c>
      <c r="X53" s="103">
        <v>0</v>
      </c>
      <c r="Y53" s="103">
        <v>13.9</v>
      </c>
      <c r="Z53" s="103">
        <v>30</v>
      </c>
      <c r="AA53" s="103">
        <v>29.4</v>
      </c>
      <c r="AB53" s="103">
        <v>29.7</v>
      </c>
      <c r="AC53" s="103">
        <v>29.7</v>
      </c>
      <c r="AD53" s="103">
        <v>29.7</v>
      </c>
      <c r="AE53" s="103">
        <v>29.8</v>
      </c>
      <c r="AF53" s="103">
        <v>29.4</v>
      </c>
      <c r="AG53" s="108">
        <v>60</v>
      </c>
      <c r="AH53" s="21">
        <f t="shared" si="2"/>
        <v>30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0</v>
      </c>
      <c r="C54" s="123">
        <v>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22">
        <v>0</v>
      </c>
      <c r="N54" s="122">
        <v>0</v>
      </c>
      <c r="O54" s="122">
        <v>0</v>
      </c>
      <c r="P54" s="122">
        <v>0</v>
      </c>
      <c r="Q54" s="122">
        <v>0</v>
      </c>
      <c r="R54" s="122">
        <v>0</v>
      </c>
      <c r="S54" s="122">
        <v>0</v>
      </c>
      <c r="T54" s="103">
        <v>0</v>
      </c>
      <c r="U54" s="103">
        <v>0</v>
      </c>
      <c r="V54" s="103">
        <v>0</v>
      </c>
      <c r="W54" s="73">
        <v>0</v>
      </c>
      <c r="X54" s="73">
        <v>0</v>
      </c>
      <c r="Y54" s="73">
        <v>14.7</v>
      </c>
      <c r="Z54" s="73">
        <v>13.8</v>
      </c>
      <c r="AA54" s="73">
        <v>7.8</v>
      </c>
      <c r="AB54" s="73">
        <v>14.5</v>
      </c>
      <c r="AC54" s="73">
        <v>15.1</v>
      </c>
      <c r="AD54" s="73">
        <v>14.2</v>
      </c>
      <c r="AE54" s="73">
        <v>15.6</v>
      </c>
      <c r="AF54" s="73">
        <v>14.3</v>
      </c>
      <c r="AG54" s="106">
        <v>32</v>
      </c>
      <c r="AH54" s="21">
        <f t="shared" si="2"/>
        <v>15.6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0</v>
      </c>
      <c r="C55" s="120">
        <v>0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L55" s="120">
        <v>0</v>
      </c>
      <c r="M55" s="119">
        <v>0</v>
      </c>
      <c r="N55" s="119">
        <v>0</v>
      </c>
      <c r="O55" s="119">
        <v>0</v>
      </c>
      <c r="P55" s="119">
        <v>0</v>
      </c>
      <c r="Q55" s="119">
        <v>0</v>
      </c>
      <c r="R55" s="119">
        <v>0</v>
      </c>
      <c r="S55" s="119">
        <v>0</v>
      </c>
      <c r="T55" s="103">
        <v>0</v>
      </c>
      <c r="U55" s="103">
        <v>0</v>
      </c>
      <c r="V55" s="103">
        <v>0</v>
      </c>
      <c r="W55" s="118">
        <v>0</v>
      </c>
      <c r="X55" s="118">
        <v>0</v>
      </c>
      <c r="Y55" s="118">
        <v>5.3</v>
      </c>
      <c r="Z55" s="118">
        <v>5.0999999999999996</v>
      </c>
      <c r="AA55" s="118">
        <v>2.9</v>
      </c>
      <c r="AB55" s="118">
        <v>5.3</v>
      </c>
      <c r="AC55" s="118">
        <v>5.5</v>
      </c>
      <c r="AD55" s="118">
        <v>5.2</v>
      </c>
      <c r="AE55" s="118">
        <v>5.7</v>
      </c>
      <c r="AF55" s="118">
        <v>5.2</v>
      </c>
      <c r="AG55" s="117">
        <v>14</v>
      </c>
      <c r="AH55" s="21">
        <f t="shared" si="2"/>
        <v>5.7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33.9</v>
      </c>
      <c r="Z56" s="99">
        <v>48.9</v>
      </c>
      <c r="AA56" s="99">
        <v>40.1</v>
      </c>
      <c r="AB56" s="99">
        <v>49.5</v>
      </c>
      <c r="AC56" s="99">
        <v>50.3</v>
      </c>
      <c r="AD56" s="99">
        <v>49.1</v>
      </c>
      <c r="AE56" s="99">
        <v>51.1</v>
      </c>
      <c r="AF56" s="99">
        <v>48.9</v>
      </c>
      <c r="AG56" s="98">
        <f>SUM(AG53:AG55)</f>
        <v>106</v>
      </c>
      <c r="AH56" s="21">
        <f t="shared" si="2"/>
        <v>51.1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68</v>
      </c>
      <c r="C57" s="103">
        <v>71</v>
      </c>
      <c r="D57" s="103">
        <v>71</v>
      </c>
      <c r="E57" s="103">
        <v>67.400000000000006</v>
      </c>
      <c r="F57" s="103">
        <v>72</v>
      </c>
      <c r="G57" s="103">
        <v>67</v>
      </c>
      <c r="H57" s="103">
        <v>53</v>
      </c>
      <c r="I57" s="103">
        <v>38</v>
      </c>
      <c r="J57" s="103">
        <v>29</v>
      </c>
      <c r="K57" s="103">
        <v>30</v>
      </c>
      <c r="L57" s="103">
        <v>21</v>
      </c>
      <c r="M57" s="103">
        <v>23.3</v>
      </c>
      <c r="N57" s="103">
        <v>52</v>
      </c>
      <c r="O57" s="103">
        <v>62</v>
      </c>
      <c r="P57" s="103">
        <v>23.5</v>
      </c>
      <c r="Q57" s="103">
        <v>55.6</v>
      </c>
      <c r="R57" s="103">
        <v>71.5</v>
      </c>
      <c r="S57" s="103">
        <v>73</v>
      </c>
      <c r="T57" s="103">
        <v>74.599999999999994</v>
      </c>
      <c r="U57" s="103">
        <v>56.1</v>
      </c>
      <c r="V57" s="103">
        <v>24</v>
      </c>
      <c r="W57" s="103">
        <v>22.7</v>
      </c>
      <c r="X57" s="103">
        <v>32.799999999999997</v>
      </c>
      <c r="Y57" s="103">
        <v>52</v>
      </c>
      <c r="Z57" s="103">
        <v>43</v>
      </c>
      <c r="AA57" s="103">
        <v>35</v>
      </c>
      <c r="AB57" s="103">
        <v>34</v>
      </c>
      <c r="AC57" s="103">
        <v>33.200000000000003</v>
      </c>
      <c r="AD57" s="103">
        <v>30.4</v>
      </c>
      <c r="AE57" s="103">
        <v>18.899999999999999</v>
      </c>
      <c r="AF57" s="103">
        <v>22.5</v>
      </c>
      <c r="AG57" s="108"/>
      <c r="AH57" s="21">
        <f t="shared" si="2"/>
        <v>74.599999999999994</v>
      </c>
      <c r="AI57" s="20">
        <f t="shared" si="3"/>
        <v>18.899999999999999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103">
        <v>0</v>
      </c>
      <c r="N58" s="103">
        <v>0</v>
      </c>
      <c r="O58" s="103">
        <v>0</v>
      </c>
      <c r="P58" s="103">
        <v>0</v>
      </c>
      <c r="Q58" s="103">
        <v>40</v>
      </c>
      <c r="R58" s="103">
        <v>0</v>
      </c>
      <c r="S58" s="103">
        <v>0</v>
      </c>
      <c r="T58" s="103">
        <v>0</v>
      </c>
      <c r="U58" s="103">
        <v>60</v>
      </c>
      <c r="V58" s="103">
        <v>149</v>
      </c>
      <c r="W58" s="103">
        <v>149</v>
      </c>
      <c r="X58" s="116">
        <v>104</v>
      </c>
      <c r="Y58" s="116">
        <v>95.7</v>
      </c>
      <c r="Z58" s="116">
        <v>114.1</v>
      </c>
      <c r="AA58" s="116">
        <v>112</v>
      </c>
      <c r="AB58" s="73">
        <v>109.6</v>
      </c>
      <c r="AC58" s="73">
        <v>110.3</v>
      </c>
      <c r="AD58" s="73">
        <v>99.1</v>
      </c>
      <c r="AE58" s="73">
        <v>88.9</v>
      </c>
      <c r="AF58" s="73">
        <v>144</v>
      </c>
      <c r="AG58" s="106"/>
      <c r="AH58" s="21">
        <f t="shared" si="2"/>
        <v>149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4.5999999999999996</v>
      </c>
      <c r="C59" s="73">
        <v>18.100000000000001</v>
      </c>
      <c r="D59" s="73">
        <v>0</v>
      </c>
      <c r="E59" s="73">
        <v>226</v>
      </c>
      <c r="F59" s="73">
        <v>219</v>
      </c>
      <c r="G59" s="73">
        <v>194</v>
      </c>
      <c r="H59" s="103">
        <v>0</v>
      </c>
      <c r="I59" s="103">
        <v>0</v>
      </c>
      <c r="J59" s="103">
        <v>36</v>
      </c>
      <c r="K59" s="103">
        <v>35</v>
      </c>
      <c r="L59" s="103">
        <v>39</v>
      </c>
      <c r="M59" s="73">
        <v>47.3</v>
      </c>
      <c r="N59" s="73">
        <v>120</v>
      </c>
      <c r="O59" s="73">
        <v>125</v>
      </c>
      <c r="P59" s="73">
        <v>0</v>
      </c>
      <c r="Q59" s="73">
        <v>2</v>
      </c>
      <c r="R59" s="73">
        <v>127</v>
      </c>
      <c r="S59" s="73">
        <v>241</v>
      </c>
      <c r="T59" s="73">
        <v>239.7</v>
      </c>
      <c r="U59" s="73">
        <v>36.200000000000003</v>
      </c>
      <c r="V59" s="73">
        <v>19.3</v>
      </c>
      <c r="W59" s="73">
        <v>53.9</v>
      </c>
      <c r="X59" s="115">
        <v>62.5</v>
      </c>
      <c r="Y59" s="115">
        <v>70</v>
      </c>
      <c r="Z59" s="115">
        <v>54</v>
      </c>
      <c r="AA59" s="115">
        <v>58.6</v>
      </c>
      <c r="AB59" s="73">
        <v>43.4</v>
      </c>
      <c r="AC59" s="73">
        <v>44.9</v>
      </c>
      <c r="AD59" s="73">
        <v>41.4</v>
      </c>
      <c r="AE59" s="73">
        <v>26.4</v>
      </c>
      <c r="AF59" s="73">
        <v>25.1</v>
      </c>
      <c r="AG59" s="113"/>
      <c r="AH59" s="21">
        <f t="shared" si="2"/>
        <v>241</v>
      </c>
      <c r="AI59" s="20">
        <f t="shared" si="3"/>
        <v>0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40</v>
      </c>
      <c r="V60" s="73">
        <v>40</v>
      </c>
      <c r="W60" s="73">
        <v>40</v>
      </c>
      <c r="X60" s="73">
        <v>40</v>
      </c>
      <c r="Y60" s="73">
        <v>40</v>
      </c>
      <c r="Z60" s="73">
        <v>40</v>
      </c>
      <c r="AA60" s="73">
        <v>40</v>
      </c>
      <c r="AB60" s="73">
        <v>43.2</v>
      </c>
      <c r="AC60" s="73">
        <v>43.2</v>
      </c>
      <c r="AD60" s="73">
        <v>43.2</v>
      </c>
      <c r="AE60" s="73">
        <v>40</v>
      </c>
      <c r="AF60" s="73">
        <v>40</v>
      </c>
      <c r="AG60" s="113"/>
      <c r="AH60" s="21">
        <f t="shared" si="2"/>
        <v>43.2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3">
        <v>0</v>
      </c>
      <c r="N61" s="73">
        <v>0</v>
      </c>
      <c r="O61" s="73">
        <v>0</v>
      </c>
      <c r="P61" s="103">
        <v>0</v>
      </c>
      <c r="Q61" s="103">
        <v>44.5</v>
      </c>
      <c r="R61" s="73">
        <v>0</v>
      </c>
      <c r="S61" s="73">
        <v>0</v>
      </c>
      <c r="T61" s="73">
        <v>0</v>
      </c>
      <c r="U61" s="73">
        <v>40.9</v>
      </c>
      <c r="V61" s="73">
        <v>45.7</v>
      </c>
      <c r="W61" s="73">
        <v>37.1</v>
      </c>
      <c r="X61" s="73">
        <v>45.6</v>
      </c>
      <c r="Y61" s="73">
        <v>52.3</v>
      </c>
      <c r="Z61" s="73">
        <v>55</v>
      </c>
      <c r="AA61" s="73">
        <v>54.2</v>
      </c>
      <c r="AB61" s="73">
        <v>59</v>
      </c>
      <c r="AC61" s="73">
        <v>58.7</v>
      </c>
      <c r="AD61" s="73">
        <v>56.4</v>
      </c>
      <c r="AE61" s="73">
        <v>55.5</v>
      </c>
      <c r="AF61" s="73">
        <v>56.1</v>
      </c>
      <c r="AG61" s="113"/>
      <c r="AH61" s="21">
        <f t="shared" si="2"/>
        <v>59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0</v>
      </c>
      <c r="C62" s="67">
        <v>0</v>
      </c>
      <c r="D62" s="67">
        <v>0</v>
      </c>
      <c r="E62" s="6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3">
        <v>0</v>
      </c>
      <c r="N62" s="73">
        <v>0</v>
      </c>
      <c r="O62" s="73">
        <v>0</v>
      </c>
      <c r="P62" s="103">
        <v>0</v>
      </c>
      <c r="Q62" s="10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113"/>
      <c r="AH62" s="21">
        <f t="shared" si="2"/>
        <v>0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3">
        <v>0</v>
      </c>
      <c r="N63" s="73">
        <v>0</v>
      </c>
      <c r="O63" s="73">
        <v>0</v>
      </c>
      <c r="P63" s="103">
        <v>0</v>
      </c>
      <c r="Q63" s="10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3">
        <v>0</v>
      </c>
      <c r="N64" s="73">
        <v>0</v>
      </c>
      <c r="O64" s="73">
        <v>0</v>
      </c>
      <c r="P64" s="103">
        <v>0</v>
      </c>
      <c r="Q64" s="10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3">
        <v>0</v>
      </c>
      <c r="N65" s="73">
        <v>0</v>
      </c>
      <c r="O65" s="73">
        <v>0</v>
      </c>
      <c r="P65" s="103">
        <v>0</v>
      </c>
      <c r="Q65" s="10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0</v>
      </c>
      <c r="C66" s="70">
        <v>0</v>
      </c>
      <c r="D66" s="70">
        <v>0</v>
      </c>
      <c r="E66" s="70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3">
        <v>0</v>
      </c>
      <c r="N66" s="73">
        <v>0</v>
      </c>
      <c r="O66" s="73">
        <v>0</v>
      </c>
      <c r="P66" s="103">
        <v>0</v>
      </c>
      <c r="Q66" s="10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  <c r="Z66" s="73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102"/>
      <c r="AH66" s="21">
        <f t="shared" si="2"/>
        <v>0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3">
        <v>0</v>
      </c>
      <c r="N67" s="73">
        <v>0</v>
      </c>
      <c r="O67" s="73">
        <v>0</v>
      </c>
      <c r="P67" s="103">
        <v>0</v>
      </c>
      <c r="Q67" s="10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  <c r="Z67" s="73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v>72.599999999999994</v>
      </c>
      <c r="C68" s="99">
        <v>89.1</v>
      </c>
      <c r="D68" s="99">
        <v>71</v>
      </c>
      <c r="E68" s="99">
        <v>293.39999999999998</v>
      </c>
      <c r="F68" s="99">
        <v>291</v>
      </c>
      <c r="G68" s="99">
        <v>261</v>
      </c>
      <c r="H68" s="99">
        <v>53</v>
      </c>
      <c r="I68" s="99">
        <v>38</v>
      </c>
      <c r="J68" s="99">
        <v>65</v>
      </c>
      <c r="K68" s="99">
        <v>65</v>
      </c>
      <c r="L68" s="99">
        <v>60</v>
      </c>
      <c r="M68" s="99">
        <v>70.599999999999994</v>
      </c>
      <c r="N68" s="99">
        <v>172</v>
      </c>
      <c r="O68" s="99">
        <v>187</v>
      </c>
      <c r="P68" s="99">
        <v>23.5</v>
      </c>
      <c r="Q68" s="99">
        <v>142.1</v>
      </c>
      <c r="R68" s="99">
        <v>198.5</v>
      </c>
      <c r="S68" s="99">
        <v>314</v>
      </c>
      <c r="T68" s="99">
        <v>314.3</v>
      </c>
      <c r="U68" s="99">
        <v>233.2</v>
      </c>
      <c r="V68" s="99">
        <v>278</v>
      </c>
      <c r="W68" s="99">
        <v>302.7</v>
      </c>
      <c r="X68" s="99">
        <v>284.89999999999998</v>
      </c>
      <c r="Y68" s="99">
        <v>310</v>
      </c>
      <c r="Z68" s="99">
        <v>306.10000000000002</v>
      </c>
      <c r="AA68" s="99">
        <v>299.8</v>
      </c>
      <c r="AB68" s="99">
        <v>289.2</v>
      </c>
      <c r="AC68" s="99">
        <v>290.3</v>
      </c>
      <c r="AD68" s="99">
        <v>270.5</v>
      </c>
      <c r="AE68" s="99">
        <v>229.7</v>
      </c>
      <c r="AF68" s="99">
        <v>287.7</v>
      </c>
      <c r="AG68" s="98">
        <f>SUM(AG57:AG67)</f>
        <v>0</v>
      </c>
      <c r="AH68" s="21">
        <f t="shared" si="2"/>
        <v>314.3</v>
      </c>
      <c r="AI68" s="20">
        <f t="shared" si="3"/>
        <v>23.5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v>0</v>
      </c>
      <c r="C72" s="99">
        <v>0</v>
      </c>
      <c r="D72" s="99">
        <v>0</v>
      </c>
      <c r="E72" s="99">
        <v>0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s="99">
        <v>0</v>
      </c>
      <c r="O72" s="99">
        <v>0</v>
      </c>
      <c r="P72" s="99">
        <v>0</v>
      </c>
      <c r="Q72" s="99">
        <v>0</v>
      </c>
      <c r="R72" s="99">
        <v>0</v>
      </c>
      <c r="S72" s="99">
        <v>0</v>
      </c>
      <c r="T72" s="99">
        <v>0</v>
      </c>
      <c r="U72" s="99">
        <v>0</v>
      </c>
      <c r="V72" s="99">
        <v>0</v>
      </c>
      <c r="W72" s="99">
        <v>0</v>
      </c>
      <c r="X72" s="99">
        <v>0</v>
      </c>
      <c r="Y72" s="99">
        <v>0</v>
      </c>
      <c r="Z72" s="99">
        <v>0</v>
      </c>
      <c r="AA72" s="99">
        <v>0</v>
      </c>
      <c r="AB72" s="99">
        <v>0</v>
      </c>
      <c r="AC72" s="99">
        <v>0</v>
      </c>
      <c r="AD72" s="99">
        <v>0</v>
      </c>
      <c r="AE72" s="99">
        <v>0</v>
      </c>
      <c r="AF72" s="99"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v>899</v>
      </c>
      <c r="C73" s="110">
        <v>892</v>
      </c>
      <c r="D73" s="110">
        <v>870</v>
      </c>
      <c r="E73" s="110">
        <v>858</v>
      </c>
      <c r="F73" s="110">
        <v>846</v>
      </c>
      <c r="G73" s="110">
        <v>876</v>
      </c>
      <c r="H73" s="110">
        <v>892</v>
      </c>
      <c r="I73" s="110">
        <v>911</v>
      </c>
      <c r="J73" s="110">
        <v>974</v>
      </c>
      <c r="K73" s="110">
        <v>1036</v>
      </c>
      <c r="L73" s="110">
        <v>1091</v>
      </c>
      <c r="M73" s="110">
        <v>1113</v>
      </c>
      <c r="N73" s="110">
        <v>1055</v>
      </c>
      <c r="O73" s="110">
        <v>1086</v>
      </c>
      <c r="P73" s="110">
        <v>1066</v>
      </c>
      <c r="Q73" s="110">
        <v>1085</v>
      </c>
      <c r="R73" s="110">
        <v>1076</v>
      </c>
      <c r="S73" s="110">
        <v>1074</v>
      </c>
      <c r="T73" s="110">
        <v>1085</v>
      </c>
      <c r="U73" s="110">
        <v>972</v>
      </c>
      <c r="V73" s="110">
        <v>1128</v>
      </c>
      <c r="W73" s="110">
        <v>1094</v>
      </c>
      <c r="X73" s="110">
        <v>1191</v>
      </c>
      <c r="Y73" s="110">
        <v>1293</v>
      </c>
      <c r="Z73" s="110">
        <v>1422</v>
      </c>
      <c r="AA73" s="110">
        <v>1391</v>
      </c>
      <c r="AB73" s="110">
        <v>1334</v>
      </c>
      <c r="AC73" s="110">
        <v>1321</v>
      </c>
      <c r="AD73" s="110">
        <v>1249</v>
      </c>
      <c r="AE73" s="110">
        <v>1143</v>
      </c>
      <c r="AF73" s="110">
        <v>1050</v>
      </c>
      <c r="AG73" s="110">
        <f t="shared" ref="AG73" si="5">AG68+AG56+AG52+AG38+AG72</f>
        <v>2144.14</v>
      </c>
      <c r="AH73" s="21">
        <f t="shared" si="2"/>
        <v>1422</v>
      </c>
      <c r="AI73" s="20">
        <f t="shared" si="3"/>
        <v>846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v>899</v>
      </c>
      <c r="C75" s="110">
        <v>892</v>
      </c>
      <c r="D75" s="110">
        <v>870</v>
      </c>
      <c r="E75" s="110">
        <v>858</v>
      </c>
      <c r="F75" s="110">
        <v>846</v>
      </c>
      <c r="G75" s="110">
        <v>876</v>
      </c>
      <c r="H75" s="110">
        <v>892</v>
      </c>
      <c r="I75" s="110">
        <v>911</v>
      </c>
      <c r="J75" s="110">
        <v>974</v>
      </c>
      <c r="K75" s="110">
        <v>1036</v>
      </c>
      <c r="L75" s="110">
        <v>1091</v>
      </c>
      <c r="M75" s="110">
        <v>1113</v>
      </c>
      <c r="N75" s="110">
        <v>1055</v>
      </c>
      <c r="O75" s="110">
        <v>1086</v>
      </c>
      <c r="P75" s="110">
        <v>1066</v>
      </c>
      <c r="Q75" s="110">
        <v>1085</v>
      </c>
      <c r="R75" s="110">
        <v>1076</v>
      </c>
      <c r="S75" s="110">
        <v>1074</v>
      </c>
      <c r="T75" s="110">
        <v>1085</v>
      </c>
      <c r="U75" s="110">
        <v>972</v>
      </c>
      <c r="V75" s="110">
        <v>1128</v>
      </c>
      <c r="W75" s="110">
        <v>1094</v>
      </c>
      <c r="X75" s="110">
        <v>1191</v>
      </c>
      <c r="Y75" s="110">
        <v>1293</v>
      </c>
      <c r="Z75" s="110">
        <v>1422</v>
      </c>
      <c r="AA75" s="110">
        <v>1391</v>
      </c>
      <c r="AB75" s="110">
        <v>1334</v>
      </c>
      <c r="AC75" s="110">
        <v>1321</v>
      </c>
      <c r="AD75" s="110">
        <v>1249</v>
      </c>
      <c r="AE75" s="110">
        <v>1143</v>
      </c>
      <c r="AF75" s="110">
        <v>1050</v>
      </c>
      <c r="AG75" s="98">
        <f>AG72+AG68+AG56+AG52+AG38+AG74</f>
        <v>2144.14</v>
      </c>
      <c r="AH75" s="21">
        <f t="shared" si="2"/>
        <v>1422</v>
      </c>
      <c r="AI75" s="20">
        <f t="shared" si="3"/>
        <v>846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108"/>
      <c r="AH76" s="21">
        <f t="shared" ref="AH76:AH91" si="6">MAX(B76:AF76)</f>
        <v>0</v>
      </c>
      <c r="AI76" s="20">
        <f t="shared" ref="AI76:AI91" si="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106"/>
      <c r="AH77" s="21">
        <f t="shared" si="6"/>
        <v>0</v>
      </c>
      <c r="AI77" s="20">
        <f t="shared" si="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105"/>
      <c r="AH78" s="21">
        <f t="shared" si="6"/>
        <v>0</v>
      </c>
      <c r="AI78" s="20">
        <f t="shared" si="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105"/>
      <c r="AH79" s="21">
        <f t="shared" si="6"/>
        <v>0</v>
      </c>
      <c r="AI79" s="20">
        <f t="shared" si="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105"/>
      <c r="AH80" s="21">
        <f t="shared" si="6"/>
        <v>0</v>
      </c>
      <c r="AI80" s="20">
        <f t="shared" si="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6"/>
        <v>0</v>
      </c>
      <c r="AI81" s="20">
        <f t="shared" si="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v>0</v>
      </c>
      <c r="C82" s="99">
        <v>0</v>
      </c>
      <c r="D82" s="99">
        <v>0</v>
      </c>
      <c r="E82" s="99">
        <v>0</v>
      </c>
      <c r="F82" s="99">
        <v>0</v>
      </c>
      <c r="G82" s="99">
        <v>0</v>
      </c>
      <c r="H82" s="99">
        <v>0</v>
      </c>
      <c r="I82" s="99">
        <v>0</v>
      </c>
      <c r="J82" s="99">
        <v>0</v>
      </c>
      <c r="K82" s="99">
        <v>0</v>
      </c>
      <c r="L82" s="99">
        <v>0</v>
      </c>
      <c r="M82" s="99">
        <v>0</v>
      </c>
      <c r="N82" s="99">
        <v>0</v>
      </c>
      <c r="O82" s="99">
        <v>0</v>
      </c>
      <c r="P82" s="99">
        <v>0</v>
      </c>
      <c r="Q82" s="99">
        <v>0</v>
      </c>
      <c r="R82" s="99">
        <v>0</v>
      </c>
      <c r="S82" s="99">
        <v>0</v>
      </c>
      <c r="T82" s="99">
        <v>0</v>
      </c>
      <c r="U82" s="99">
        <v>0</v>
      </c>
      <c r="V82" s="99">
        <v>0</v>
      </c>
      <c r="W82" s="99">
        <v>0</v>
      </c>
      <c r="X82" s="99">
        <v>0</v>
      </c>
      <c r="Y82" s="99">
        <v>0</v>
      </c>
      <c r="Z82" s="99">
        <v>0</v>
      </c>
      <c r="AA82" s="99">
        <v>0</v>
      </c>
      <c r="AB82" s="99">
        <v>0</v>
      </c>
      <c r="AC82" s="99">
        <v>0</v>
      </c>
      <c r="AD82" s="99">
        <v>0</v>
      </c>
      <c r="AE82" s="99">
        <v>0</v>
      </c>
      <c r="AF82" s="99">
        <v>0</v>
      </c>
      <c r="AG82" s="98">
        <f t="shared" ref="AG82" si="8">SUM(AG76:AG81)</f>
        <v>0</v>
      </c>
      <c r="AH82" s="21">
        <f t="shared" si="6"/>
        <v>0</v>
      </c>
      <c r="AI82" s="20">
        <f t="shared" si="7"/>
        <v>0</v>
      </c>
      <c r="AK82" s="42"/>
    </row>
    <row r="83" spans="1:88" s="1" customFormat="1" ht="15.75" thickBot="1" x14ac:dyDescent="0.3">
      <c r="A83" s="100" t="s">
        <v>132</v>
      </c>
      <c r="B83" s="99">
        <v>1798.9</v>
      </c>
      <c r="C83" s="99">
        <v>1784.3</v>
      </c>
      <c r="D83" s="99">
        <v>1739.3</v>
      </c>
      <c r="E83" s="99">
        <v>1715.1</v>
      </c>
      <c r="F83" s="99">
        <v>1692.3</v>
      </c>
      <c r="G83" s="99">
        <v>1752.5</v>
      </c>
      <c r="H83" s="99">
        <v>1784.3</v>
      </c>
      <c r="I83" s="99">
        <v>1822.3</v>
      </c>
      <c r="J83" s="99">
        <v>1948.3</v>
      </c>
      <c r="K83" s="99">
        <v>2072.3000000000002</v>
      </c>
      <c r="L83" s="99">
        <v>2182.3000000000002</v>
      </c>
      <c r="M83" s="99">
        <v>2225.5</v>
      </c>
      <c r="N83" s="99">
        <v>2110.6999999999998</v>
      </c>
      <c r="O83" s="99">
        <v>2171.9</v>
      </c>
      <c r="P83" s="99">
        <v>2132.9</v>
      </c>
      <c r="Q83" s="99">
        <v>2170.6999999999998</v>
      </c>
      <c r="R83" s="99">
        <v>2152.6999999999998</v>
      </c>
      <c r="S83" s="99">
        <v>2148.3000000000002</v>
      </c>
      <c r="T83" s="99">
        <v>2169.6999999999998</v>
      </c>
      <c r="U83" s="99">
        <v>1944.7</v>
      </c>
      <c r="V83" s="99">
        <v>2256.6999999999998</v>
      </c>
      <c r="W83" s="99">
        <v>2188.6999999999998</v>
      </c>
      <c r="X83" s="99">
        <v>2381.1999999999998</v>
      </c>
      <c r="Y83" s="99">
        <v>2585.3000000000002</v>
      </c>
      <c r="Z83" s="99">
        <v>2843.1</v>
      </c>
      <c r="AA83" s="99">
        <v>2782.3</v>
      </c>
      <c r="AB83" s="99">
        <v>2667.3</v>
      </c>
      <c r="AC83" s="99">
        <v>2642</v>
      </c>
      <c r="AD83" s="99">
        <v>2497.6999999999998</v>
      </c>
      <c r="AE83" s="99">
        <v>2285.9</v>
      </c>
      <c r="AF83" s="99">
        <v>2100.1999999999998</v>
      </c>
      <c r="AG83" s="98">
        <f t="shared" ref="AG83" si="9">SUM(AG70:AG82)</f>
        <v>4360.08</v>
      </c>
      <c r="AH83" s="21">
        <f t="shared" si="6"/>
        <v>2843.1</v>
      </c>
      <c r="AI83" s="20">
        <f t="shared" si="7"/>
        <v>1692.3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50.04</v>
      </c>
      <c r="C84" s="96">
        <v>50.03</v>
      </c>
      <c r="D84" s="96">
        <v>50.04</v>
      </c>
      <c r="E84" s="96">
        <v>50</v>
      </c>
      <c r="F84" s="96">
        <v>50.06</v>
      </c>
      <c r="G84" s="96">
        <v>50.05</v>
      </c>
      <c r="H84" s="96">
        <v>50.1</v>
      </c>
      <c r="I84" s="96">
        <v>50.07</v>
      </c>
      <c r="J84" s="96">
        <v>50.1</v>
      </c>
      <c r="K84" s="96">
        <v>50.05</v>
      </c>
      <c r="L84" s="96">
        <v>50.04</v>
      </c>
      <c r="M84" s="96">
        <v>50.09</v>
      </c>
      <c r="N84" s="96">
        <v>49.99</v>
      </c>
      <c r="O84" s="96">
        <v>49.99</v>
      </c>
      <c r="P84" s="96">
        <v>50.02</v>
      </c>
      <c r="Q84" s="96">
        <v>49.97</v>
      </c>
      <c r="R84" s="96">
        <v>50.02</v>
      </c>
      <c r="S84" s="96">
        <v>49.98</v>
      </c>
      <c r="T84" s="96">
        <v>49.94</v>
      </c>
      <c r="U84" s="96">
        <v>50.02</v>
      </c>
      <c r="V84" s="96">
        <v>49.99</v>
      </c>
      <c r="W84" s="96">
        <v>50.06</v>
      </c>
      <c r="X84" s="96">
        <v>50</v>
      </c>
      <c r="Y84" s="96">
        <v>50.04</v>
      </c>
      <c r="Z84" s="96">
        <v>49.99</v>
      </c>
      <c r="AA84" s="96">
        <v>50.01</v>
      </c>
      <c r="AB84" s="96">
        <v>50.03</v>
      </c>
      <c r="AC84" s="96">
        <v>49.99</v>
      </c>
      <c r="AD84" s="96">
        <v>50.04</v>
      </c>
      <c r="AE84" s="96">
        <v>50.02</v>
      </c>
      <c r="AF84" s="97">
        <v>49.94</v>
      </c>
      <c r="AG84" s="95"/>
      <c r="AH84" s="21">
        <f t="shared" si="6"/>
        <v>50.1</v>
      </c>
      <c r="AI84" s="20">
        <f t="shared" si="7"/>
        <v>49.94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130.5</v>
      </c>
      <c r="C85" s="73">
        <v>130.5</v>
      </c>
      <c r="D85" s="73">
        <v>130.5</v>
      </c>
      <c r="E85" s="73">
        <v>131</v>
      </c>
      <c r="F85" s="73">
        <v>131</v>
      </c>
      <c r="G85" s="73">
        <v>131</v>
      </c>
      <c r="H85" s="73">
        <v>131</v>
      </c>
      <c r="I85" s="73">
        <v>130</v>
      </c>
      <c r="J85" s="73">
        <v>129</v>
      </c>
      <c r="K85" s="73">
        <v>129</v>
      </c>
      <c r="L85" s="73">
        <v>129</v>
      </c>
      <c r="M85" s="73">
        <v>128.80000000000001</v>
      </c>
      <c r="N85" s="73">
        <v>128.9</v>
      </c>
      <c r="O85" s="73">
        <v>127.6</v>
      </c>
      <c r="P85" s="73">
        <v>128</v>
      </c>
      <c r="Q85" s="73">
        <v>129.19999999999999</v>
      </c>
      <c r="R85" s="73">
        <v>126.3</v>
      </c>
      <c r="S85" s="73">
        <v>127</v>
      </c>
      <c r="T85" s="73">
        <v>127.5</v>
      </c>
      <c r="U85" s="94">
        <v>129.30000000000001</v>
      </c>
      <c r="V85" s="94">
        <v>130.6</v>
      </c>
      <c r="W85" s="94">
        <v>129.5</v>
      </c>
      <c r="X85" s="94">
        <v>129.6</v>
      </c>
      <c r="Y85" s="94">
        <v>128.5</v>
      </c>
      <c r="Z85" s="94">
        <v>127.4</v>
      </c>
      <c r="AA85" s="94">
        <v>128.6</v>
      </c>
      <c r="AB85" s="94">
        <v>129.80000000000001</v>
      </c>
      <c r="AC85" s="94">
        <v>130</v>
      </c>
      <c r="AD85" s="94">
        <v>129.69999999999999</v>
      </c>
      <c r="AE85" s="73">
        <v>130.80000000000001</v>
      </c>
      <c r="AF85" s="90">
        <v>131.9</v>
      </c>
      <c r="AG85" s="89"/>
      <c r="AH85" s="21">
        <f t="shared" si="6"/>
        <v>131.9</v>
      </c>
      <c r="AI85" s="20">
        <f t="shared" si="7"/>
        <v>126.3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133.30000000000001</v>
      </c>
      <c r="C86" s="73">
        <v>133.30000000000001</v>
      </c>
      <c r="D86" s="73">
        <v>133.30000000000001</v>
      </c>
      <c r="E86" s="73">
        <v>132</v>
      </c>
      <c r="F86" s="73">
        <v>132</v>
      </c>
      <c r="G86" s="73">
        <v>132</v>
      </c>
      <c r="H86" s="73">
        <v>132</v>
      </c>
      <c r="I86" s="73">
        <v>132</v>
      </c>
      <c r="J86" s="73">
        <v>131</v>
      </c>
      <c r="K86" s="73">
        <v>131</v>
      </c>
      <c r="L86" s="73">
        <v>131</v>
      </c>
      <c r="M86" s="73">
        <v>130.6</v>
      </c>
      <c r="N86" s="73">
        <v>130.9</v>
      </c>
      <c r="O86" s="73">
        <v>129.69999999999999</v>
      </c>
      <c r="P86" s="73">
        <v>130.6</v>
      </c>
      <c r="Q86" s="73">
        <v>131.1</v>
      </c>
      <c r="R86" s="73">
        <v>128.69999999999999</v>
      </c>
      <c r="S86" s="73">
        <v>130</v>
      </c>
      <c r="T86" s="73">
        <v>130.1</v>
      </c>
      <c r="U86" s="94">
        <v>131.4</v>
      </c>
      <c r="V86" s="94">
        <v>132.80000000000001</v>
      </c>
      <c r="W86" s="94">
        <v>131.80000000000001</v>
      </c>
      <c r="X86" s="94">
        <v>131.80000000000001</v>
      </c>
      <c r="Y86" s="94">
        <v>130</v>
      </c>
      <c r="Z86" s="94">
        <v>129.4</v>
      </c>
      <c r="AA86" s="94">
        <v>130.4</v>
      </c>
      <c r="AB86" s="94">
        <v>131.6</v>
      </c>
      <c r="AC86" s="94">
        <v>132</v>
      </c>
      <c r="AD86" s="94">
        <v>129.69999999999999</v>
      </c>
      <c r="AE86" s="73">
        <v>133.1</v>
      </c>
      <c r="AF86" s="90">
        <v>134.30000000000001</v>
      </c>
      <c r="AG86" s="89"/>
      <c r="AH86" s="21">
        <f t="shared" si="6"/>
        <v>134.30000000000001</v>
      </c>
      <c r="AI86" s="20">
        <f t="shared" si="7"/>
        <v>128.69999999999999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130.80000000000001</v>
      </c>
      <c r="C87" s="73">
        <v>131.19999999999999</v>
      </c>
      <c r="D87" s="73">
        <v>131.19999999999999</v>
      </c>
      <c r="E87" s="73">
        <v>131</v>
      </c>
      <c r="F87" s="73">
        <v>131</v>
      </c>
      <c r="G87" s="73">
        <v>131</v>
      </c>
      <c r="H87" s="73">
        <v>131</v>
      </c>
      <c r="I87" s="73">
        <v>130</v>
      </c>
      <c r="J87" s="73">
        <v>127</v>
      </c>
      <c r="K87" s="73">
        <v>127</v>
      </c>
      <c r="L87" s="73">
        <v>128</v>
      </c>
      <c r="M87" s="73">
        <v>127.4</v>
      </c>
      <c r="N87" s="73">
        <v>129.9</v>
      </c>
      <c r="O87" s="73">
        <v>127.4</v>
      </c>
      <c r="P87" s="73">
        <v>128</v>
      </c>
      <c r="Q87" s="73">
        <v>130.69999999999999</v>
      </c>
      <c r="R87" s="73">
        <v>130</v>
      </c>
      <c r="S87" s="73">
        <v>130</v>
      </c>
      <c r="T87" s="73">
        <v>130</v>
      </c>
      <c r="U87" s="73">
        <v>132.30000000000001</v>
      </c>
      <c r="V87" s="73">
        <v>127.3</v>
      </c>
      <c r="W87" s="73">
        <v>126.8</v>
      </c>
      <c r="X87" s="94">
        <v>128.69999999999999</v>
      </c>
      <c r="Y87" s="94">
        <v>130.19999999999999</v>
      </c>
      <c r="Z87" s="94">
        <v>125.9</v>
      </c>
      <c r="AA87" s="94">
        <v>127.8</v>
      </c>
      <c r="AB87" s="94">
        <v>129.5</v>
      </c>
      <c r="AC87" s="94">
        <v>129.4</v>
      </c>
      <c r="AD87" s="94">
        <v>129.5</v>
      </c>
      <c r="AE87" s="73">
        <v>127.8</v>
      </c>
      <c r="AF87" s="90">
        <v>124.6</v>
      </c>
      <c r="AG87" s="89"/>
      <c r="AH87" s="21">
        <f t="shared" si="6"/>
        <v>132.30000000000001</v>
      </c>
      <c r="AI87" s="20">
        <f t="shared" si="7"/>
        <v>124.6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132.6</v>
      </c>
      <c r="C88" s="73">
        <v>133.1</v>
      </c>
      <c r="D88" s="73">
        <v>133.1</v>
      </c>
      <c r="E88" s="73">
        <v>133</v>
      </c>
      <c r="F88" s="73">
        <v>133</v>
      </c>
      <c r="G88" s="73">
        <v>133</v>
      </c>
      <c r="H88" s="73">
        <v>133</v>
      </c>
      <c r="I88" s="73">
        <v>131</v>
      </c>
      <c r="J88" s="73">
        <v>128</v>
      </c>
      <c r="K88" s="73">
        <v>128</v>
      </c>
      <c r="L88" s="73">
        <v>130</v>
      </c>
      <c r="M88" s="73">
        <v>129.5</v>
      </c>
      <c r="N88" s="73">
        <v>132.1</v>
      </c>
      <c r="O88" s="73">
        <v>130</v>
      </c>
      <c r="P88" s="73">
        <v>129.69999999999999</v>
      </c>
      <c r="Q88" s="73">
        <v>132.6</v>
      </c>
      <c r="R88" s="73">
        <v>131.6</v>
      </c>
      <c r="S88" s="73">
        <v>132</v>
      </c>
      <c r="T88" s="73">
        <v>132.1</v>
      </c>
      <c r="U88" s="73">
        <v>134</v>
      </c>
      <c r="V88" s="73">
        <v>128.9</v>
      </c>
      <c r="W88" s="73">
        <v>127.9</v>
      </c>
      <c r="X88" s="94">
        <v>129.6</v>
      </c>
      <c r="Y88" s="94">
        <v>130.30000000000001</v>
      </c>
      <c r="Z88" s="94">
        <v>127</v>
      </c>
      <c r="AA88" s="94">
        <v>129.30000000000001</v>
      </c>
      <c r="AB88" s="94">
        <v>131.69999999999999</v>
      </c>
      <c r="AC88" s="94">
        <v>131.9</v>
      </c>
      <c r="AD88" s="94">
        <v>132.69999999999999</v>
      </c>
      <c r="AE88" s="73">
        <v>131.9</v>
      </c>
      <c r="AF88" s="90">
        <v>125.4</v>
      </c>
      <c r="AG88" s="89"/>
      <c r="AH88" s="21">
        <f t="shared" si="6"/>
        <v>134</v>
      </c>
      <c r="AI88" s="20">
        <f t="shared" si="7"/>
        <v>125.4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134</v>
      </c>
      <c r="C89" s="66">
        <v>133.5</v>
      </c>
      <c r="D89" s="66">
        <v>133.5</v>
      </c>
      <c r="E89" s="66">
        <v>129</v>
      </c>
      <c r="F89" s="66">
        <v>129</v>
      </c>
      <c r="G89" s="66">
        <v>129</v>
      </c>
      <c r="H89" s="66">
        <v>129</v>
      </c>
      <c r="I89" s="66">
        <v>135</v>
      </c>
      <c r="J89" s="66">
        <v>134</v>
      </c>
      <c r="K89" s="66">
        <v>134</v>
      </c>
      <c r="L89" s="66">
        <v>133</v>
      </c>
      <c r="M89" s="66">
        <v>133.30000000000001</v>
      </c>
      <c r="N89" s="66">
        <v>132.9</v>
      </c>
      <c r="O89" s="66">
        <v>131.6</v>
      </c>
      <c r="P89" s="66">
        <v>133</v>
      </c>
      <c r="Q89" s="66">
        <v>134.69999999999999</v>
      </c>
      <c r="R89" s="66">
        <v>133.30000000000001</v>
      </c>
      <c r="S89" s="66">
        <v>134</v>
      </c>
      <c r="T89" s="66">
        <v>134.1</v>
      </c>
      <c r="U89" s="66">
        <v>132.19999999999999</v>
      </c>
      <c r="V89" s="66">
        <v>137.19999999999999</v>
      </c>
      <c r="W89" s="66">
        <v>130.69999999999999</v>
      </c>
      <c r="X89" s="94">
        <v>136.5</v>
      </c>
      <c r="Y89" s="94">
        <v>135.19999999999999</v>
      </c>
      <c r="Z89" s="94">
        <v>133.4</v>
      </c>
      <c r="AA89" s="94">
        <v>135.5</v>
      </c>
      <c r="AB89" s="94">
        <v>137.30000000000001</v>
      </c>
      <c r="AC89" s="94">
        <v>136.9</v>
      </c>
      <c r="AD89" s="94">
        <v>121.2</v>
      </c>
      <c r="AE89" s="66">
        <v>133.80000000000001</v>
      </c>
      <c r="AF89" s="92">
        <v>135</v>
      </c>
      <c r="AG89" s="91"/>
      <c r="AH89" s="21">
        <f t="shared" si="6"/>
        <v>137.30000000000001</v>
      </c>
      <c r="AI89" s="20">
        <f t="shared" si="7"/>
        <v>121.2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139.9</v>
      </c>
      <c r="C90" s="73">
        <v>139.80000000000001</v>
      </c>
      <c r="D90" s="73">
        <v>139.80000000000001</v>
      </c>
      <c r="E90" s="73">
        <v>136</v>
      </c>
      <c r="F90" s="73">
        <v>136</v>
      </c>
      <c r="G90" s="73">
        <v>136</v>
      </c>
      <c r="H90" s="73">
        <v>136</v>
      </c>
      <c r="I90" s="73">
        <v>135</v>
      </c>
      <c r="J90" s="73">
        <v>133</v>
      </c>
      <c r="K90" s="73">
        <v>133</v>
      </c>
      <c r="L90" s="73">
        <v>131</v>
      </c>
      <c r="M90" s="73">
        <v>130.19999999999999</v>
      </c>
      <c r="N90" s="73">
        <v>132.19999999999999</v>
      </c>
      <c r="O90" s="73">
        <v>131.9</v>
      </c>
      <c r="P90" s="73">
        <v>130</v>
      </c>
      <c r="Q90" s="73">
        <v>131.4</v>
      </c>
      <c r="R90" s="73">
        <v>130.5</v>
      </c>
      <c r="S90" s="73">
        <v>128</v>
      </c>
      <c r="T90" s="73">
        <v>129</v>
      </c>
      <c r="U90" s="73">
        <v>131.19999999999999</v>
      </c>
      <c r="V90" s="73">
        <v>132.5</v>
      </c>
      <c r="W90" s="73">
        <v>124.1</v>
      </c>
      <c r="X90" s="94">
        <v>133</v>
      </c>
      <c r="Y90" s="94">
        <v>130.69999999999999</v>
      </c>
      <c r="Z90" s="94">
        <v>129.4</v>
      </c>
      <c r="AA90" s="94">
        <v>131.4</v>
      </c>
      <c r="AB90" s="94">
        <v>133.6</v>
      </c>
      <c r="AC90" s="94">
        <v>133.69999999999999</v>
      </c>
      <c r="AD90" s="94">
        <v>134.6</v>
      </c>
      <c r="AE90" s="73">
        <v>132.9</v>
      </c>
      <c r="AF90" s="90">
        <v>135.30000000000001</v>
      </c>
      <c r="AG90" s="89"/>
      <c r="AH90" s="21">
        <f t="shared" si="6"/>
        <v>139.9</v>
      </c>
      <c r="AI90" s="20">
        <f t="shared" si="7"/>
        <v>124.1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66.900000000000006</v>
      </c>
      <c r="C91" s="87">
        <v>66.900000000000006</v>
      </c>
      <c r="D91" s="87">
        <v>66.900000000000006</v>
      </c>
      <c r="E91" s="87">
        <v>67</v>
      </c>
      <c r="F91" s="87">
        <v>67</v>
      </c>
      <c r="G91" s="87">
        <v>67</v>
      </c>
      <c r="H91" s="87">
        <v>67</v>
      </c>
      <c r="I91" s="87">
        <v>66</v>
      </c>
      <c r="J91" s="87">
        <v>65</v>
      </c>
      <c r="K91" s="87">
        <v>65</v>
      </c>
      <c r="L91" s="87">
        <v>66</v>
      </c>
      <c r="M91" s="87">
        <v>65.7</v>
      </c>
      <c r="N91" s="87">
        <v>66.099999999999994</v>
      </c>
      <c r="O91" s="87">
        <v>65.3</v>
      </c>
      <c r="P91" s="87">
        <v>65.7</v>
      </c>
      <c r="Q91" s="87">
        <v>66</v>
      </c>
      <c r="R91" s="87">
        <v>64.8</v>
      </c>
      <c r="S91" s="87">
        <v>65</v>
      </c>
      <c r="T91" s="87">
        <v>65.400000000000006</v>
      </c>
      <c r="U91" s="87">
        <v>66</v>
      </c>
      <c r="V91" s="87">
        <v>66.900000000000006</v>
      </c>
      <c r="W91" s="87">
        <v>66.5</v>
      </c>
      <c r="X91" s="87">
        <v>66.2</v>
      </c>
      <c r="Y91" s="87">
        <v>65.2</v>
      </c>
      <c r="Z91" s="87">
        <v>65.099999999999994</v>
      </c>
      <c r="AA91" s="87">
        <v>65.599999999999994</v>
      </c>
      <c r="AB91" s="87">
        <v>66.3</v>
      </c>
      <c r="AC91" s="87">
        <v>66.5</v>
      </c>
      <c r="AD91" s="87">
        <v>66</v>
      </c>
      <c r="AE91" s="87">
        <v>66.7</v>
      </c>
      <c r="AF91" s="88">
        <v>67.3</v>
      </c>
      <c r="AG91" s="86"/>
      <c r="AH91" s="21">
        <f t="shared" si="6"/>
        <v>67.3</v>
      </c>
      <c r="AI91" s="20">
        <f t="shared" si="7"/>
        <v>64.8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2">
        <v>155.9</v>
      </c>
      <c r="C93" s="82">
        <v>152.9</v>
      </c>
      <c r="D93" s="82">
        <v>138.9</v>
      </c>
      <c r="E93" s="82">
        <v>148.69999999999999</v>
      </c>
      <c r="F93" s="82">
        <v>151.80000000000001</v>
      </c>
      <c r="G93" s="80">
        <v>166.8</v>
      </c>
      <c r="H93" s="80">
        <v>187.2</v>
      </c>
      <c r="I93" s="80">
        <v>211</v>
      </c>
      <c r="J93" s="80">
        <v>240.3</v>
      </c>
      <c r="K93" s="80">
        <v>265</v>
      </c>
      <c r="L93" s="80">
        <v>290.7</v>
      </c>
      <c r="M93" s="80">
        <v>304.5</v>
      </c>
      <c r="N93" s="80">
        <v>301.5</v>
      </c>
      <c r="O93" s="80">
        <v>275.5</v>
      </c>
      <c r="P93" s="80">
        <v>263.5</v>
      </c>
      <c r="Q93" s="80">
        <v>244.2</v>
      </c>
      <c r="R93" s="80">
        <v>237.2</v>
      </c>
      <c r="S93" s="80">
        <v>237.6</v>
      </c>
      <c r="T93" s="80">
        <v>243.8</v>
      </c>
      <c r="U93" s="80">
        <v>239</v>
      </c>
      <c r="V93" s="80">
        <v>257.5</v>
      </c>
      <c r="W93" s="80">
        <v>264.7</v>
      </c>
      <c r="X93" s="80">
        <v>279.8</v>
      </c>
      <c r="Y93" s="80">
        <v>330</v>
      </c>
      <c r="Z93" s="80">
        <v>360.4</v>
      </c>
      <c r="AA93" s="80">
        <v>347.2</v>
      </c>
      <c r="AB93" s="80">
        <v>308.10000000000002</v>
      </c>
      <c r="AC93" s="80">
        <v>310.39999999999998</v>
      </c>
      <c r="AD93" s="80">
        <v>252.5</v>
      </c>
      <c r="AE93" s="80">
        <v>200.7</v>
      </c>
      <c r="AF93" s="82">
        <v>166.8</v>
      </c>
      <c r="AG93" s="79"/>
      <c r="AH93" s="21">
        <f>MAX(C93:AF93)</f>
        <v>360.4</v>
      </c>
      <c r="AI93" s="20">
        <f>MIN(C93:AF93)</f>
        <v>138.9</v>
      </c>
    </row>
    <row r="94" spans="1:88" x14ac:dyDescent="0.25">
      <c r="A94" s="48" t="s">
        <v>122</v>
      </c>
      <c r="B94" s="78">
        <v>46.1</v>
      </c>
      <c r="C94" s="77">
        <v>46.6</v>
      </c>
      <c r="D94" s="77">
        <v>45</v>
      </c>
      <c r="E94" s="77">
        <v>-10.8</v>
      </c>
      <c r="F94" s="77">
        <v>-9.6999999999999993</v>
      </c>
      <c r="G94" s="76">
        <v>5.9</v>
      </c>
      <c r="H94" s="76">
        <v>35.5</v>
      </c>
      <c r="I94" s="76">
        <v>38.4</v>
      </c>
      <c r="J94" s="76">
        <v>44.9</v>
      </c>
      <c r="K94" s="76">
        <v>51</v>
      </c>
      <c r="L94" s="76">
        <v>48</v>
      </c>
      <c r="M94" s="75">
        <v>51.2</v>
      </c>
      <c r="N94" s="76">
        <v>59.3</v>
      </c>
      <c r="O94" s="76">
        <v>60</v>
      </c>
      <c r="P94" s="76">
        <v>52</v>
      </c>
      <c r="Q94" s="76">
        <v>48.2</v>
      </c>
      <c r="R94" s="76">
        <v>72.5</v>
      </c>
      <c r="S94" s="76">
        <v>47.9</v>
      </c>
      <c r="T94" s="76">
        <v>48.7</v>
      </c>
      <c r="U94" s="75">
        <v>42.6</v>
      </c>
      <c r="V94" s="75">
        <v>18.3</v>
      </c>
      <c r="W94" s="75">
        <v>14.4</v>
      </c>
      <c r="X94" s="76">
        <v>29.6</v>
      </c>
      <c r="Y94" s="76">
        <v>55.9</v>
      </c>
      <c r="Z94" s="76">
        <v>45.2</v>
      </c>
      <c r="AA94" s="76">
        <v>51.4</v>
      </c>
      <c r="AB94" s="75">
        <v>53.6</v>
      </c>
      <c r="AC94" s="75">
        <v>68.400000000000006</v>
      </c>
      <c r="AD94" s="75">
        <v>48.6</v>
      </c>
      <c r="AE94" s="75">
        <v>38.299999999999997</v>
      </c>
      <c r="AF94" s="78">
        <v>10</v>
      </c>
      <c r="AG94" s="3">
        <v>75</v>
      </c>
      <c r="AH94" s="21">
        <f t="shared" ref="AH94:AH100" si="10">IF(ABS(MAX(C94:AF94))&gt;ABS(MIN(C94:AF94)),MAX(C94:AF94),MIN(C94:AF94))</f>
        <v>72.5</v>
      </c>
      <c r="AI94" s="64">
        <f t="shared" ref="AI94:AI100" si="11">INDEX($C$9:$AF$9,1,MATCH(AH94,C94:AF94,0))</f>
        <v>0.54166666666666696</v>
      </c>
    </row>
    <row r="95" spans="1:88" x14ac:dyDescent="0.25">
      <c r="A95" s="45" t="s">
        <v>121</v>
      </c>
      <c r="B95" s="74">
        <v>-63.4</v>
      </c>
      <c r="C95" s="67">
        <v>-64.599999999999994</v>
      </c>
      <c r="D95" s="67">
        <v>-74.599999999999994</v>
      </c>
      <c r="E95" s="67">
        <v>-48.8</v>
      </c>
      <c r="F95" s="67">
        <v>-47</v>
      </c>
      <c r="G95" s="67">
        <v>-44.2</v>
      </c>
      <c r="H95" s="67">
        <v>-46.2</v>
      </c>
      <c r="I95" s="67">
        <v>-35.4</v>
      </c>
      <c r="J95" s="67">
        <v>-24</v>
      </c>
      <c r="K95" s="67">
        <v>-16</v>
      </c>
      <c r="L95" s="67">
        <v>-21.3</v>
      </c>
      <c r="M95" s="67">
        <v>-19.100000000000001</v>
      </c>
      <c r="N95" s="67">
        <v>-28.1</v>
      </c>
      <c r="O95" s="67">
        <v>-34</v>
      </c>
      <c r="P95" s="67">
        <v>-32</v>
      </c>
      <c r="Q95" s="67">
        <v>-23.2</v>
      </c>
      <c r="R95" s="67">
        <v>-30.9</v>
      </c>
      <c r="S95" s="67">
        <v>-22</v>
      </c>
      <c r="T95" s="67">
        <v>-26.6</v>
      </c>
      <c r="U95" s="67">
        <v>-28</v>
      </c>
      <c r="V95" s="67">
        <v>-8</v>
      </c>
      <c r="W95" s="67">
        <v>-5</v>
      </c>
      <c r="X95" s="67">
        <v>-14</v>
      </c>
      <c r="Y95" s="67">
        <v>3.6</v>
      </c>
      <c r="Z95" s="67">
        <v>21</v>
      </c>
      <c r="AA95" s="67">
        <v>11</v>
      </c>
      <c r="AB95" s="73">
        <v>-4</v>
      </c>
      <c r="AC95" s="73">
        <v>-4.4000000000000004</v>
      </c>
      <c r="AD95" s="73">
        <v>-16.899999999999999</v>
      </c>
      <c r="AE95" s="73">
        <v>-34</v>
      </c>
      <c r="AF95" s="74">
        <v>-40</v>
      </c>
      <c r="AG95" s="3">
        <v>240</v>
      </c>
      <c r="AH95" s="21">
        <f t="shared" si="10"/>
        <v>-74.599999999999994</v>
      </c>
      <c r="AI95" s="64">
        <f t="shared" si="11"/>
        <v>8.3333333333333301E-2</v>
      </c>
    </row>
    <row r="96" spans="1:88" x14ac:dyDescent="0.25">
      <c r="A96" s="45" t="s">
        <v>120</v>
      </c>
      <c r="B96" s="74">
        <v>0</v>
      </c>
      <c r="C96" s="67">
        <v>0</v>
      </c>
      <c r="D96" s="67">
        <v>-0.5</v>
      </c>
      <c r="E96" s="67">
        <v>1.6</v>
      </c>
      <c r="F96" s="67">
        <v>1.7</v>
      </c>
      <c r="G96" s="67">
        <v>3.3</v>
      </c>
      <c r="H96" s="67">
        <v>4</v>
      </c>
      <c r="I96" s="67">
        <v>6.4</v>
      </c>
      <c r="J96" s="67">
        <v>9.9</v>
      </c>
      <c r="K96" s="67">
        <v>10</v>
      </c>
      <c r="L96" s="67">
        <v>10.6</v>
      </c>
      <c r="M96" s="67">
        <v>12.1</v>
      </c>
      <c r="N96" s="67">
        <v>10.6</v>
      </c>
      <c r="O96" s="67">
        <v>9</v>
      </c>
      <c r="P96" s="67">
        <v>8</v>
      </c>
      <c r="Q96" s="67">
        <v>7.9</v>
      </c>
      <c r="R96" s="67">
        <v>9.3000000000000007</v>
      </c>
      <c r="S96" s="67">
        <v>9</v>
      </c>
      <c r="T96" s="67">
        <v>8.3000000000000007</v>
      </c>
      <c r="U96" s="67">
        <v>7.2</v>
      </c>
      <c r="V96" s="67">
        <v>9.1</v>
      </c>
      <c r="W96" s="67">
        <v>8.8000000000000007</v>
      </c>
      <c r="X96" s="67">
        <v>8.6</v>
      </c>
      <c r="Y96" s="67">
        <v>22.3</v>
      </c>
      <c r="Z96" s="67">
        <v>35</v>
      </c>
      <c r="AA96" s="67">
        <v>32.299999999999997</v>
      </c>
      <c r="AB96" s="73">
        <v>28.5</v>
      </c>
      <c r="AC96" s="73">
        <v>27.7</v>
      </c>
      <c r="AD96" s="73">
        <v>24.4</v>
      </c>
      <c r="AE96" s="73">
        <v>20.3</v>
      </c>
      <c r="AF96" s="74">
        <v>17.7</v>
      </c>
      <c r="AG96" s="3">
        <v>60</v>
      </c>
      <c r="AH96" s="21">
        <f t="shared" si="10"/>
        <v>35</v>
      </c>
      <c r="AI96" s="64">
        <f t="shared" si="11"/>
        <v>0.79166666666666663</v>
      </c>
    </row>
    <row r="97" spans="1:37" x14ac:dyDescent="0.25">
      <c r="A97" s="41" t="s">
        <v>119</v>
      </c>
      <c r="B97" s="71">
        <v>0</v>
      </c>
      <c r="C97" s="70">
        <v>-2.8</v>
      </c>
      <c r="D97" s="70">
        <v>-5.0999999999999996</v>
      </c>
      <c r="E97" s="70">
        <v>32.6</v>
      </c>
      <c r="F97" s="70">
        <v>32.700000000000003</v>
      </c>
      <c r="G97" s="70">
        <v>27.7</v>
      </c>
      <c r="H97" s="70">
        <v>19.8</v>
      </c>
      <c r="I97" s="70">
        <v>27.5</v>
      </c>
      <c r="J97" s="70">
        <v>35.4</v>
      </c>
      <c r="K97" s="70">
        <v>45.9</v>
      </c>
      <c r="L97" s="70">
        <v>71.3</v>
      </c>
      <c r="M97" s="70">
        <v>78.5</v>
      </c>
      <c r="N97" s="70">
        <v>78.2</v>
      </c>
      <c r="O97" s="70">
        <v>59</v>
      </c>
      <c r="P97" s="70">
        <v>54</v>
      </c>
      <c r="Q97" s="70">
        <v>28.9</v>
      </c>
      <c r="R97" s="70">
        <v>27.5</v>
      </c>
      <c r="S97" s="70">
        <v>45.5</v>
      </c>
      <c r="T97" s="70">
        <v>56.2</v>
      </c>
      <c r="U97" s="70">
        <v>60</v>
      </c>
      <c r="V97" s="70">
        <v>66.900000000000006</v>
      </c>
      <c r="W97" s="70">
        <v>75.3</v>
      </c>
      <c r="X97" s="70">
        <v>78.400000000000006</v>
      </c>
      <c r="Y97" s="70">
        <v>71</v>
      </c>
      <c r="Z97" s="70">
        <v>82</v>
      </c>
      <c r="AA97" s="70">
        <v>75.3</v>
      </c>
      <c r="AB97" s="69">
        <v>61.6</v>
      </c>
      <c r="AC97" s="69">
        <v>51.9</v>
      </c>
      <c r="AD97" s="69">
        <v>29.7</v>
      </c>
      <c r="AE97" s="69">
        <v>9.1999999999999993</v>
      </c>
      <c r="AF97" s="71">
        <v>10.4</v>
      </c>
      <c r="AG97" s="72">
        <v>120</v>
      </c>
      <c r="AH97" s="21">
        <f t="shared" si="10"/>
        <v>82</v>
      </c>
      <c r="AI97" s="64">
        <f t="shared" si="11"/>
        <v>0.79166666666666663</v>
      </c>
    </row>
    <row r="98" spans="1:37" x14ac:dyDescent="0.25">
      <c r="A98" s="41" t="s">
        <v>118</v>
      </c>
      <c r="B98" s="71">
        <v>4.4000000000000004</v>
      </c>
      <c r="C98" s="70">
        <v>2.8</v>
      </c>
      <c r="D98" s="70">
        <v>1.1000000000000001</v>
      </c>
      <c r="E98" s="70">
        <v>40.6</v>
      </c>
      <c r="F98" s="70">
        <v>40.9</v>
      </c>
      <c r="G98" s="70">
        <v>32.5</v>
      </c>
      <c r="H98" s="70">
        <v>14.7</v>
      </c>
      <c r="I98" s="70">
        <v>17.899999999999999</v>
      </c>
      <c r="J98" s="70">
        <v>22</v>
      </c>
      <c r="K98" s="70">
        <v>28</v>
      </c>
      <c r="L98" s="70">
        <v>28.3</v>
      </c>
      <c r="M98" s="70">
        <v>29.7</v>
      </c>
      <c r="N98" s="70">
        <v>19.600000000000001</v>
      </c>
      <c r="O98" s="70">
        <v>18</v>
      </c>
      <c r="P98" s="70">
        <v>28</v>
      </c>
      <c r="Q98" s="70">
        <v>16.600000000000001</v>
      </c>
      <c r="R98" s="70">
        <v>24.2</v>
      </c>
      <c r="S98" s="70">
        <v>44.7</v>
      </c>
      <c r="T98" s="70">
        <v>39.200000000000003</v>
      </c>
      <c r="U98" s="70">
        <v>15</v>
      </c>
      <c r="V98" s="70">
        <v>43.6</v>
      </c>
      <c r="W98" s="70">
        <v>50</v>
      </c>
      <c r="X98" s="70">
        <v>36.6</v>
      </c>
      <c r="Y98" s="70">
        <v>28</v>
      </c>
      <c r="Z98" s="70">
        <v>53</v>
      </c>
      <c r="AA98" s="70">
        <v>41.8</v>
      </c>
      <c r="AB98" s="69">
        <v>22.4</v>
      </c>
      <c r="AC98" s="69">
        <v>27.4</v>
      </c>
      <c r="AD98" s="69">
        <v>18.600000000000001</v>
      </c>
      <c r="AE98" s="69">
        <v>6.2</v>
      </c>
      <c r="AF98" s="71">
        <v>14.7</v>
      </c>
      <c r="AG98" s="72"/>
      <c r="AH98" s="21">
        <f t="shared" si="10"/>
        <v>53</v>
      </c>
      <c r="AI98" s="64">
        <f t="shared" si="11"/>
        <v>0.79166666666666663</v>
      </c>
    </row>
    <row r="99" spans="1:37" x14ac:dyDescent="0.25">
      <c r="A99" s="41" t="s">
        <v>117</v>
      </c>
      <c r="B99" s="71">
        <v>12.6</v>
      </c>
      <c r="C99" s="70">
        <v>13.4</v>
      </c>
      <c r="D99" s="70">
        <v>13.5</v>
      </c>
      <c r="E99" s="70">
        <v>60.9</v>
      </c>
      <c r="F99" s="70">
        <v>53.6</v>
      </c>
      <c r="G99" s="70">
        <v>38.799999999999997</v>
      </c>
      <c r="H99" s="70">
        <v>12.6</v>
      </c>
      <c r="I99" s="70">
        <v>8.5</v>
      </c>
      <c r="J99" s="70">
        <v>16</v>
      </c>
      <c r="K99" s="70">
        <v>14.6</v>
      </c>
      <c r="L99" s="70">
        <v>27</v>
      </c>
      <c r="M99" s="70">
        <v>29.1</v>
      </c>
      <c r="N99" s="70">
        <v>14.8</v>
      </c>
      <c r="O99" s="70">
        <v>13</v>
      </c>
      <c r="P99" s="70">
        <v>39</v>
      </c>
      <c r="Q99" s="70">
        <v>31.9</v>
      </c>
      <c r="R99" s="70">
        <v>15.4</v>
      </c>
      <c r="S99" s="70">
        <v>22</v>
      </c>
      <c r="T99" s="70">
        <v>21.2</v>
      </c>
      <c r="U99" s="70">
        <v>17</v>
      </c>
      <c r="V99" s="70">
        <v>33.9</v>
      </c>
      <c r="W99" s="70">
        <v>39.4</v>
      </c>
      <c r="X99" s="70">
        <v>29.7</v>
      </c>
      <c r="Y99" s="70">
        <v>8.3000000000000007</v>
      </c>
      <c r="Z99" s="70">
        <v>40</v>
      </c>
      <c r="AA99" s="70">
        <v>39.700000000000003</v>
      </c>
      <c r="AB99" s="69">
        <v>31.7</v>
      </c>
      <c r="AC99" s="69">
        <v>37.5</v>
      </c>
      <c r="AD99" s="69">
        <v>35.700000000000003</v>
      </c>
      <c r="AE99" s="69">
        <v>44.3</v>
      </c>
      <c r="AF99" s="71">
        <v>59</v>
      </c>
      <c r="AG99" s="65"/>
      <c r="AH99" s="21">
        <f t="shared" si="10"/>
        <v>60.9</v>
      </c>
      <c r="AI99" s="64">
        <f t="shared" si="11"/>
        <v>0.125</v>
      </c>
    </row>
    <row r="100" spans="1:37" ht="15.75" thickBot="1" x14ac:dyDescent="0.3">
      <c r="A100" s="68" t="s">
        <v>116</v>
      </c>
      <c r="B100" s="66">
        <v>71.900000000000006</v>
      </c>
      <c r="C100" s="67">
        <v>67.599999999999994</v>
      </c>
      <c r="D100" s="67">
        <v>64.8</v>
      </c>
      <c r="E100" s="67">
        <v>64</v>
      </c>
      <c r="F100" s="67">
        <v>61</v>
      </c>
      <c r="G100" s="67">
        <v>63</v>
      </c>
      <c r="H100" s="67">
        <v>64.3</v>
      </c>
      <c r="I100" s="67">
        <v>65.5</v>
      </c>
      <c r="J100" s="67">
        <v>67.5</v>
      </c>
      <c r="K100" s="67">
        <v>73.7</v>
      </c>
      <c r="L100" s="67">
        <v>77</v>
      </c>
      <c r="M100" s="67">
        <v>81.599999999999994</v>
      </c>
      <c r="N100" s="67">
        <v>68.599999999999994</v>
      </c>
      <c r="O100" s="67">
        <v>76</v>
      </c>
      <c r="P100" s="67">
        <v>82</v>
      </c>
      <c r="Q100" s="67">
        <v>60.5</v>
      </c>
      <c r="R100" s="67">
        <v>79</v>
      </c>
      <c r="S100" s="67">
        <v>81</v>
      </c>
      <c r="T100" s="67">
        <v>80</v>
      </c>
      <c r="U100" s="67">
        <v>54</v>
      </c>
      <c r="V100" s="67">
        <v>18</v>
      </c>
      <c r="W100" s="67">
        <v>17.5</v>
      </c>
      <c r="X100" s="67">
        <v>51.5</v>
      </c>
      <c r="Y100" s="67">
        <v>55.5</v>
      </c>
      <c r="Z100" s="67">
        <v>64</v>
      </c>
      <c r="AA100" s="67">
        <v>66</v>
      </c>
      <c r="AB100" s="66">
        <v>64.5</v>
      </c>
      <c r="AC100" s="66">
        <v>62.9</v>
      </c>
      <c r="AD100" s="66">
        <v>60.4</v>
      </c>
      <c r="AE100" s="66">
        <v>61.1</v>
      </c>
      <c r="AF100" s="66">
        <v>21.6</v>
      </c>
      <c r="AG100" s="65"/>
      <c r="AH100" s="21">
        <f t="shared" si="10"/>
        <v>82</v>
      </c>
      <c r="AI100" s="64">
        <f t="shared" si="11"/>
        <v>0.45833333333333298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12">AF102</f>
        <v>9.9</v>
      </c>
      <c r="C102" s="54">
        <v>9.9</v>
      </c>
      <c r="D102" s="58">
        <f t="shared" ref="D102:S107" si="13">C102</f>
        <v>9.9</v>
      </c>
      <c r="E102" s="58">
        <f t="shared" si="13"/>
        <v>9.9</v>
      </c>
      <c r="F102" s="58">
        <f t="shared" si="13"/>
        <v>9.9</v>
      </c>
      <c r="G102" s="58">
        <f t="shared" si="13"/>
        <v>9.9</v>
      </c>
      <c r="H102" s="58">
        <f t="shared" si="13"/>
        <v>9.9</v>
      </c>
      <c r="I102" s="58">
        <f t="shared" si="13"/>
        <v>9.9</v>
      </c>
      <c r="J102" s="58">
        <f t="shared" si="13"/>
        <v>9.9</v>
      </c>
      <c r="K102" s="58">
        <f t="shared" si="13"/>
        <v>9.9</v>
      </c>
      <c r="L102" s="58">
        <f t="shared" si="13"/>
        <v>9.9</v>
      </c>
      <c r="M102" s="58">
        <f t="shared" si="13"/>
        <v>9.9</v>
      </c>
      <c r="N102" s="58">
        <f t="shared" si="13"/>
        <v>9.9</v>
      </c>
      <c r="O102" s="58">
        <f t="shared" si="13"/>
        <v>9.9</v>
      </c>
      <c r="P102" s="58">
        <f t="shared" si="13"/>
        <v>9.9</v>
      </c>
      <c r="Q102" s="58">
        <f t="shared" si="13"/>
        <v>9.9</v>
      </c>
      <c r="R102" s="58">
        <f t="shared" si="13"/>
        <v>9.9</v>
      </c>
      <c r="S102" s="58">
        <f t="shared" si="13"/>
        <v>9.9</v>
      </c>
      <c r="T102" s="58">
        <f t="shared" ref="T102:AF107" si="14">S102</f>
        <v>9.9</v>
      </c>
      <c r="U102" s="58">
        <f t="shared" si="14"/>
        <v>9.9</v>
      </c>
      <c r="V102" s="58">
        <f t="shared" si="14"/>
        <v>9.9</v>
      </c>
      <c r="W102" s="58">
        <f t="shared" si="14"/>
        <v>9.9</v>
      </c>
      <c r="X102" s="58">
        <f t="shared" si="14"/>
        <v>9.9</v>
      </c>
      <c r="Y102" s="58">
        <f t="shared" si="14"/>
        <v>9.9</v>
      </c>
      <c r="Z102" s="58">
        <f t="shared" si="14"/>
        <v>9.9</v>
      </c>
      <c r="AA102" s="58">
        <f t="shared" si="14"/>
        <v>9.9</v>
      </c>
      <c r="AB102" s="58">
        <f t="shared" si="14"/>
        <v>9.9</v>
      </c>
      <c r="AC102" s="58">
        <f t="shared" si="14"/>
        <v>9.9</v>
      </c>
      <c r="AD102" s="58">
        <f t="shared" si="14"/>
        <v>9.9</v>
      </c>
      <c r="AE102" s="58">
        <f t="shared" si="14"/>
        <v>9.9</v>
      </c>
      <c r="AF102" s="58">
        <f t="shared" si="14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12"/>
        <v>9.6</v>
      </c>
      <c r="C103" s="55">
        <v>9.6</v>
      </c>
      <c r="D103" s="44">
        <f t="shared" si="13"/>
        <v>9.6</v>
      </c>
      <c r="E103" s="44">
        <f t="shared" si="13"/>
        <v>9.6</v>
      </c>
      <c r="F103" s="44">
        <f t="shared" si="13"/>
        <v>9.6</v>
      </c>
      <c r="G103" s="44">
        <f t="shared" si="13"/>
        <v>9.6</v>
      </c>
      <c r="H103" s="44">
        <f t="shared" si="13"/>
        <v>9.6</v>
      </c>
      <c r="I103" s="44">
        <f t="shared" si="13"/>
        <v>9.6</v>
      </c>
      <c r="J103" s="44">
        <f t="shared" si="13"/>
        <v>9.6</v>
      </c>
      <c r="K103" s="44">
        <f t="shared" si="13"/>
        <v>9.6</v>
      </c>
      <c r="L103" s="44">
        <f t="shared" si="13"/>
        <v>9.6</v>
      </c>
      <c r="M103" s="44">
        <f t="shared" si="13"/>
        <v>9.6</v>
      </c>
      <c r="N103" s="44">
        <f t="shared" si="13"/>
        <v>9.6</v>
      </c>
      <c r="O103" s="44">
        <f t="shared" si="13"/>
        <v>9.6</v>
      </c>
      <c r="P103" s="44">
        <f t="shared" si="13"/>
        <v>9.6</v>
      </c>
      <c r="Q103" s="44">
        <f t="shared" si="13"/>
        <v>9.6</v>
      </c>
      <c r="R103" s="44">
        <f t="shared" si="13"/>
        <v>9.6</v>
      </c>
      <c r="S103" s="44">
        <f t="shared" si="13"/>
        <v>9.6</v>
      </c>
      <c r="T103" s="44">
        <f t="shared" si="14"/>
        <v>9.6</v>
      </c>
      <c r="U103" s="44">
        <f t="shared" si="14"/>
        <v>9.6</v>
      </c>
      <c r="V103" s="44">
        <f t="shared" si="14"/>
        <v>9.6</v>
      </c>
      <c r="W103" s="44">
        <f t="shared" si="14"/>
        <v>9.6</v>
      </c>
      <c r="X103" s="44">
        <f t="shared" si="14"/>
        <v>9.6</v>
      </c>
      <c r="Y103" s="44">
        <f t="shared" si="14"/>
        <v>9.6</v>
      </c>
      <c r="Z103" s="44">
        <f t="shared" si="14"/>
        <v>9.6</v>
      </c>
      <c r="AA103" s="44">
        <f t="shared" si="14"/>
        <v>9.6</v>
      </c>
      <c r="AB103" s="44">
        <f t="shared" si="14"/>
        <v>9.6</v>
      </c>
      <c r="AC103" s="44">
        <f t="shared" si="14"/>
        <v>9.6</v>
      </c>
      <c r="AD103" s="44">
        <f t="shared" si="14"/>
        <v>9.6</v>
      </c>
      <c r="AE103" s="44">
        <f t="shared" si="14"/>
        <v>9.6</v>
      </c>
      <c r="AF103" s="44">
        <f t="shared" si="14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12"/>
        <v>9.98</v>
      </c>
      <c r="C104" s="55">
        <v>9.98</v>
      </c>
      <c r="D104" s="44">
        <f t="shared" si="13"/>
        <v>9.98</v>
      </c>
      <c r="E104" s="44">
        <f t="shared" si="13"/>
        <v>9.98</v>
      </c>
      <c r="F104" s="44">
        <f t="shared" si="13"/>
        <v>9.98</v>
      </c>
      <c r="G104" s="44">
        <f t="shared" si="13"/>
        <v>9.98</v>
      </c>
      <c r="H104" s="44">
        <f t="shared" si="13"/>
        <v>9.98</v>
      </c>
      <c r="I104" s="44">
        <f t="shared" si="13"/>
        <v>9.98</v>
      </c>
      <c r="J104" s="44">
        <f t="shared" si="13"/>
        <v>9.98</v>
      </c>
      <c r="K104" s="44">
        <f t="shared" si="13"/>
        <v>9.98</v>
      </c>
      <c r="L104" s="44">
        <f t="shared" si="13"/>
        <v>9.98</v>
      </c>
      <c r="M104" s="44">
        <f t="shared" si="13"/>
        <v>9.98</v>
      </c>
      <c r="N104" s="44">
        <f t="shared" si="13"/>
        <v>9.98</v>
      </c>
      <c r="O104" s="44">
        <f t="shared" si="13"/>
        <v>9.98</v>
      </c>
      <c r="P104" s="44">
        <f t="shared" si="13"/>
        <v>9.98</v>
      </c>
      <c r="Q104" s="44">
        <f t="shared" si="13"/>
        <v>9.98</v>
      </c>
      <c r="R104" s="44">
        <f t="shared" si="13"/>
        <v>9.98</v>
      </c>
      <c r="S104" s="44">
        <f t="shared" si="13"/>
        <v>9.98</v>
      </c>
      <c r="T104" s="44">
        <f t="shared" si="14"/>
        <v>9.98</v>
      </c>
      <c r="U104" s="44">
        <f t="shared" si="14"/>
        <v>9.98</v>
      </c>
      <c r="V104" s="44">
        <f t="shared" si="14"/>
        <v>9.98</v>
      </c>
      <c r="W104" s="44">
        <f t="shared" si="14"/>
        <v>9.98</v>
      </c>
      <c r="X104" s="44">
        <f t="shared" si="14"/>
        <v>9.98</v>
      </c>
      <c r="Y104" s="44">
        <f t="shared" si="14"/>
        <v>9.98</v>
      </c>
      <c r="Z104" s="44">
        <f t="shared" si="14"/>
        <v>9.98</v>
      </c>
      <c r="AA104" s="44">
        <f t="shared" si="14"/>
        <v>9.98</v>
      </c>
      <c r="AB104" s="44">
        <f t="shared" si="14"/>
        <v>9.98</v>
      </c>
      <c r="AC104" s="44">
        <f t="shared" si="14"/>
        <v>9.98</v>
      </c>
      <c r="AD104" s="44">
        <f t="shared" si="14"/>
        <v>9.98</v>
      </c>
      <c r="AE104" s="44">
        <f t="shared" si="14"/>
        <v>9.98</v>
      </c>
      <c r="AF104" s="44">
        <f t="shared" si="14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12"/>
        <v>9.1</v>
      </c>
      <c r="C105" s="55">
        <v>9.1</v>
      </c>
      <c r="D105" s="44">
        <f t="shared" si="13"/>
        <v>9.1</v>
      </c>
      <c r="E105" s="44">
        <f t="shared" si="13"/>
        <v>9.1</v>
      </c>
      <c r="F105" s="44">
        <f t="shared" si="13"/>
        <v>9.1</v>
      </c>
      <c r="G105" s="44">
        <f t="shared" si="13"/>
        <v>9.1</v>
      </c>
      <c r="H105" s="44">
        <f t="shared" si="13"/>
        <v>9.1</v>
      </c>
      <c r="I105" s="44">
        <f t="shared" si="13"/>
        <v>9.1</v>
      </c>
      <c r="J105" s="44">
        <f t="shared" si="13"/>
        <v>9.1</v>
      </c>
      <c r="K105" s="44">
        <f t="shared" si="13"/>
        <v>9.1</v>
      </c>
      <c r="L105" s="44">
        <f t="shared" si="13"/>
        <v>9.1</v>
      </c>
      <c r="M105" s="44">
        <f t="shared" si="13"/>
        <v>9.1</v>
      </c>
      <c r="N105" s="44">
        <f t="shared" si="13"/>
        <v>9.1</v>
      </c>
      <c r="O105" s="44">
        <f t="shared" si="13"/>
        <v>9.1</v>
      </c>
      <c r="P105" s="44">
        <f t="shared" si="13"/>
        <v>9.1</v>
      </c>
      <c r="Q105" s="44">
        <f t="shared" si="13"/>
        <v>9.1</v>
      </c>
      <c r="R105" s="44">
        <f t="shared" si="13"/>
        <v>9.1</v>
      </c>
      <c r="S105" s="44">
        <f t="shared" si="13"/>
        <v>9.1</v>
      </c>
      <c r="T105" s="44">
        <f t="shared" si="14"/>
        <v>9.1</v>
      </c>
      <c r="U105" s="44">
        <f t="shared" si="14"/>
        <v>9.1</v>
      </c>
      <c r="V105" s="44">
        <f t="shared" si="14"/>
        <v>9.1</v>
      </c>
      <c r="W105" s="44">
        <f t="shared" si="14"/>
        <v>9.1</v>
      </c>
      <c r="X105" s="44">
        <f t="shared" si="14"/>
        <v>9.1</v>
      </c>
      <c r="Y105" s="44">
        <f t="shared" si="14"/>
        <v>9.1</v>
      </c>
      <c r="Z105" s="44">
        <f t="shared" si="14"/>
        <v>9.1</v>
      </c>
      <c r="AA105" s="44">
        <f t="shared" si="14"/>
        <v>9.1</v>
      </c>
      <c r="AB105" s="44">
        <f t="shared" si="14"/>
        <v>9.1</v>
      </c>
      <c r="AC105" s="44">
        <f t="shared" si="14"/>
        <v>9.1</v>
      </c>
      <c r="AD105" s="44">
        <f t="shared" si="14"/>
        <v>9.1</v>
      </c>
      <c r="AE105" s="44">
        <f t="shared" si="14"/>
        <v>9.1</v>
      </c>
      <c r="AF105" s="44">
        <f t="shared" si="14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12"/>
        <v>9.18</v>
      </c>
      <c r="C106" s="55">
        <v>9.18</v>
      </c>
      <c r="D106" s="44">
        <f t="shared" si="13"/>
        <v>9.18</v>
      </c>
      <c r="E106" s="44">
        <f t="shared" si="13"/>
        <v>9.18</v>
      </c>
      <c r="F106" s="44">
        <f t="shared" si="13"/>
        <v>9.18</v>
      </c>
      <c r="G106" s="44">
        <f t="shared" si="13"/>
        <v>9.18</v>
      </c>
      <c r="H106" s="44">
        <f t="shared" si="13"/>
        <v>9.18</v>
      </c>
      <c r="I106" s="44">
        <f t="shared" si="13"/>
        <v>9.18</v>
      </c>
      <c r="J106" s="44">
        <f t="shared" si="13"/>
        <v>9.18</v>
      </c>
      <c r="K106" s="44">
        <f t="shared" si="13"/>
        <v>9.18</v>
      </c>
      <c r="L106" s="44">
        <f t="shared" si="13"/>
        <v>9.18</v>
      </c>
      <c r="M106" s="44">
        <f t="shared" si="13"/>
        <v>9.18</v>
      </c>
      <c r="N106" s="44">
        <f t="shared" si="13"/>
        <v>9.18</v>
      </c>
      <c r="O106" s="44">
        <f t="shared" si="13"/>
        <v>9.18</v>
      </c>
      <c r="P106" s="44">
        <f t="shared" si="13"/>
        <v>9.18</v>
      </c>
      <c r="Q106" s="44">
        <f t="shared" si="13"/>
        <v>9.18</v>
      </c>
      <c r="R106" s="44">
        <f t="shared" si="13"/>
        <v>9.18</v>
      </c>
      <c r="S106" s="44">
        <f t="shared" si="13"/>
        <v>9.18</v>
      </c>
      <c r="T106" s="44">
        <f t="shared" si="14"/>
        <v>9.18</v>
      </c>
      <c r="U106" s="44">
        <f t="shared" si="14"/>
        <v>9.18</v>
      </c>
      <c r="V106" s="44">
        <f t="shared" si="14"/>
        <v>9.18</v>
      </c>
      <c r="W106" s="44">
        <f t="shared" si="14"/>
        <v>9.18</v>
      </c>
      <c r="X106" s="44">
        <f t="shared" si="14"/>
        <v>9.18</v>
      </c>
      <c r="Y106" s="44">
        <f t="shared" si="14"/>
        <v>9.18</v>
      </c>
      <c r="Z106" s="44">
        <f t="shared" si="14"/>
        <v>9.18</v>
      </c>
      <c r="AA106" s="44">
        <f t="shared" si="14"/>
        <v>9.18</v>
      </c>
      <c r="AB106" s="44">
        <f t="shared" si="14"/>
        <v>9.18</v>
      </c>
      <c r="AC106" s="44">
        <f t="shared" si="14"/>
        <v>9.18</v>
      </c>
      <c r="AD106" s="44">
        <f t="shared" si="14"/>
        <v>9.18</v>
      </c>
      <c r="AE106" s="44">
        <f t="shared" si="14"/>
        <v>9.18</v>
      </c>
      <c r="AF106" s="44">
        <f t="shared" si="14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12"/>
        <v>7</v>
      </c>
      <c r="C107" s="55">
        <v>7</v>
      </c>
      <c r="D107" s="44">
        <f t="shared" si="13"/>
        <v>7</v>
      </c>
      <c r="E107" s="44">
        <f t="shared" si="13"/>
        <v>7</v>
      </c>
      <c r="F107" s="44">
        <f t="shared" si="13"/>
        <v>7</v>
      </c>
      <c r="G107" s="44">
        <f t="shared" si="13"/>
        <v>7</v>
      </c>
      <c r="H107" s="44">
        <f t="shared" si="13"/>
        <v>7</v>
      </c>
      <c r="I107" s="44">
        <f t="shared" si="13"/>
        <v>7</v>
      </c>
      <c r="J107" s="44">
        <f t="shared" si="13"/>
        <v>7</v>
      </c>
      <c r="K107" s="44">
        <f t="shared" si="13"/>
        <v>7</v>
      </c>
      <c r="L107" s="44">
        <f t="shared" si="13"/>
        <v>7</v>
      </c>
      <c r="M107" s="44">
        <f t="shared" si="13"/>
        <v>7</v>
      </c>
      <c r="N107" s="44">
        <f t="shared" si="13"/>
        <v>7</v>
      </c>
      <c r="O107" s="44">
        <f t="shared" si="13"/>
        <v>7</v>
      </c>
      <c r="P107" s="44">
        <f t="shared" si="13"/>
        <v>7</v>
      </c>
      <c r="Q107" s="44">
        <f t="shared" si="13"/>
        <v>7</v>
      </c>
      <c r="R107" s="44">
        <f t="shared" si="13"/>
        <v>7</v>
      </c>
      <c r="S107" s="44">
        <f t="shared" si="13"/>
        <v>7</v>
      </c>
      <c r="T107" s="44">
        <f t="shared" si="14"/>
        <v>7</v>
      </c>
      <c r="U107" s="44">
        <f t="shared" si="14"/>
        <v>7</v>
      </c>
      <c r="V107" s="44">
        <f t="shared" si="14"/>
        <v>7</v>
      </c>
      <c r="W107" s="44">
        <f t="shared" si="14"/>
        <v>7</v>
      </c>
      <c r="X107" s="44">
        <f t="shared" si="14"/>
        <v>7</v>
      </c>
      <c r="Y107" s="44">
        <f t="shared" si="14"/>
        <v>7</v>
      </c>
      <c r="Z107" s="44">
        <f t="shared" si="14"/>
        <v>7</v>
      </c>
      <c r="AA107" s="44">
        <f t="shared" si="14"/>
        <v>7</v>
      </c>
      <c r="AB107" s="44">
        <f t="shared" si="14"/>
        <v>7</v>
      </c>
      <c r="AC107" s="44">
        <f t="shared" si="14"/>
        <v>7</v>
      </c>
      <c r="AD107" s="44">
        <f t="shared" si="14"/>
        <v>7</v>
      </c>
      <c r="AE107" s="44">
        <f t="shared" si="14"/>
        <v>7</v>
      </c>
      <c r="AF107" s="44">
        <f t="shared" si="14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15">C109</f>
        <v>2.25</v>
      </c>
      <c r="E109" s="44">
        <f t="shared" si="15"/>
        <v>2.25</v>
      </c>
      <c r="F109" s="44">
        <f t="shared" si="15"/>
        <v>2.25</v>
      </c>
      <c r="G109" s="44">
        <f t="shared" si="15"/>
        <v>2.25</v>
      </c>
      <c r="H109" s="44">
        <f t="shared" si="15"/>
        <v>2.25</v>
      </c>
      <c r="I109" s="44">
        <f t="shared" si="15"/>
        <v>2.25</v>
      </c>
      <c r="J109" s="44">
        <f t="shared" si="15"/>
        <v>2.25</v>
      </c>
      <c r="K109" s="44">
        <f t="shared" si="15"/>
        <v>2.25</v>
      </c>
      <c r="L109" s="44">
        <f t="shared" si="15"/>
        <v>2.25</v>
      </c>
      <c r="M109" s="44">
        <f t="shared" si="15"/>
        <v>2.25</v>
      </c>
      <c r="N109" s="44">
        <f t="shared" si="15"/>
        <v>2.25</v>
      </c>
      <c r="O109" s="44">
        <f t="shared" si="15"/>
        <v>2.25</v>
      </c>
      <c r="P109" s="44">
        <f t="shared" si="15"/>
        <v>2.25</v>
      </c>
      <c r="Q109" s="44">
        <f t="shared" si="15"/>
        <v>2.25</v>
      </c>
      <c r="R109" s="44">
        <f t="shared" si="15"/>
        <v>2.25</v>
      </c>
      <c r="S109" s="44">
        <f t="shared" si="15"/>
        <v>2.25</v>
      </c>
      <c r="T109" s="44">
        <f t="shared" ref="T109:AF110" si="16">S109</f>
        <v>2.25</v>
      </c>
      <c r="U109" s="44">
        <f t="shared" si="16"/>
        <v>2.25</v>
      </c>
      <c r="V109" s="44">
        <f t="shared" si="16"/>
        <v>2.25</v>
      </c>
      <c r="W109" s="44">
        <f t="shared" si="16"/>
        <v>2.25</v>
      </c>
      <c r="X109" s="44">
        <f t="shared" si="16"/>
        <v>2.25</v>
      </c>
      <c r="Y109" s="44">
        <f t="shared" si="16"/>
        <v>2.25</v>
      </c>
      <c r="Z109" s="44">
        <f t="shared" si="16"/>
        <v>2.25</v>
      </c>
      <c r="AA109" s="44">
        <f t="shared" si="16"/>
        <v>2.25</v>
      </c>
      <c r="AB109" s="44">
        <f t="shared" si="16"/>
        <v>2.25</v>
      </c>
      <c r="AC109" s="44">
        <f t="shared" si="16"/>
        <v>2.25</v>
      </c>
      <c r="AD109" s="44">
        <f t="shared" si="16"/>
        <v>2.25</v>
      </c>
      <c r="AE109" s="44">
        <f t="shared" si="16"/>
        <v>2.25</v>
      </c>
      <c r="AF109" s="44">
        <f t="shared" si="16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15"/>
        <v>1.64</v>
      </c>
      <c r="E110" s="44">
        <f t="shared" si="15"/>
        <v>1.64</v>
      </c>
      <c r="F110" s="44">
        <f t="shared" si="15"/>
        <v>1.64</v>
      </c>
      <c r="G110" s="44">
        <f t="shared" si="15"/>
        <v>1.64</v>
      </c>
      <c r="H110" s="44">
        <f t="shared" si="15"/>
        <v>1.64</v>
      </c>
      <c r="I110" s="44">
        <f t="shared" si="15"/>
        <v>1.64</v>
      </c>
      <c r="J110" s="44">
        <f t="shared" si="15"/>
        <v>1.64</v>
      </c>
      <c r="K110" s="44">
        <f t="shared" si="15"/>
        <v>1.64</v>
      </c>
      <c r="L110" s="44">
        <f t="shared" si="15"/>
        <v>1.64</v>
      </c>
      <c r="M110" s="44">
        <f t="shared" si="15"/>
        <v>1.64</v>
      </c>
      <c r="N110" s="44">
        <f t="shared" si="15"/>
        <v>1.64</v>
      </c>
      <c r="O110" s="44">
        <f t="shared" si="15"/>
        <v>1.64</v>
      </c>
      <c r="P110" s="44">
        <f t="shared" si="15"/>
        <v>1.64</v>
      </c>
      <c r="Q110" s="44">
        <f t="shared" si="15"/>
        <v>1.64</v>
      </c>
      <c r="R110" s="44">
        <f t="shared" si="15"/>
        <v>1.64</v>
      </c>
      <c r="S110" s="44">
        <f t="shared" si="15"/>
        <v>1.64</v>
      </c>
      <c r="T110" s="44">
        <f t="shared" si="16"/>
        <v>1.64</v>
      </c>
      <c r="U110" s="44">
        <f t="shared" si="16"/>
        <v>1.64</v>
      </c>
      <c r="V110" s="44">
        <f t="shared" si="16"/>
        <v>1.64</v>
      </c>
      <c r="W110" s="44">
        <f t="shared" si="16"/>
        <v>1.64</v>
      </c>
      <c r="X110" s="44">
        <f t="shared" si="16"/>
        <v>1.64</v>
      </c>
      <c r="Y110" s="44">
        <f t="shared" si="16"/>
        <v>1.64</v>
      </c>
      <c r="Z110" s="44">
        <f t="shared" si="16"/>
        <v>1.64</v>
      </c>
      <c r="AA110" s="44">
        <f t="shared" si="16"/>
        <v>1.64</v>
      </c>
      <c r="AB110" s="44">
        <f t="shared" si="16"/>
        <v>1.64</v>
      </c>
      <c r="AC110" s="44">
        <f t="shared" si="16"/>
        <v>1.64</v>
      </c>
      <c r="AD110" s="44">
        <f t="shared" si="16"/>
        <v>1.64</v>
      </c>
      <c r="AE110" s="44">
        <f t="shared" si="16"/>
        <v>1.64</v>
      </c>
      <c r="AF110" s="44">
        <f t="shared" si="16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17">AF112</f>
        <v>1.62</v>
      </c>
      <c r="C112" s="55">
        <v>1.62</v>
      </c>
      <c r="D112" s="44">
        <f t="shared" ref="D112:S119" si="18">C112</f>
        <v>1.62</v>
      </c>
      <c r="E112" s="44">
        <f t="shared" si="18"/>
        <v>1.62</v>
      </c>
      <c r="F112" s="44">
        <f t="shared" si="18"/>
        <v>1.62</v>
      </c>
      <c r="G112" s="44">
        <f t="shared" si="18"/>
        <v>1.62</v>
      </c>
      <c r="H112" s="44">
        <f t="shared" si="18"/>
        <v>1.62</v>
      </c>
      <c r="I112" s="44">
        <f t="shared" si="18"/>
        <v>1.62</v>
      </c>
      <c r="J112" s="44">
        <f t="shared" si="18"/>
        <v>1.62</v>
      </c>
      <c r="K112" s="44">
        <f t="shared" si="18"/>
        <v>1.62</v>
      </c>
      <c r="L112" s="44">
        <f t="shared" si="18"/>
        <v>1.62</v>
      </c>
      <c r="M112" s="44">
        <f t="shared" si="18"/>
        <v>1.62</v>
      </c>
      <c r="N112" s="44">
        <f t="shared" si="18"/>
        <v>1.62</v>
      </c>
      <c r="O112" s="44">
        <f t="shared" si="18"/>
        <v>1.62</v>
      </c>
      <c r="P112" s="44">
        <f t="shared" si="18"/>
        <v>1.62</v>
      </c>
      <c r="Q112" s="44">
        <f t="shared" si="18"/>
        <v>1.62</v>
      </c>
      <c r="R112" s="44">
        <f t="shared" si="18"/>
        <v>1.62</v>
      </c>
      <c r="S112" s="44">
        <f t="shared" si="18"/>
        <v>1.62</v>
      </c>
      <c r="T112" s="44">
        <f t="shared" ref="T112:AF127" si="19">S112</f>
        <v>1.62</v>
      </c>
      <c r="U112" s="44">
        <f t="shared" si="19"/>
        <v>1.62</v>
      </c>
      <c r="V112" s="44">
        <f t="shared" si="19"/>
        <v>1.62</v>
      </c>
      <c r="W112" s="44">
        <f t="shared" si="19"/>
        <v>1.62</v>
      </c>
      <c r="X112" s="44">
        <f t="shared" si="19"/>
        <v>1.62</v>
      </c>
      <c r="Y112" s="44">
        <f t="shared" si="19"/>
        <v>1.62</v>
      </c>
      <c r="Z112" s="44">
        <f t="shared" si="19"/>
        <v>1.62</v>
      </c>
      <c r="AA112" s="44">
        <f t="shared" si="19"/>
        <v>1.62</v>
      </c>
      <c r="AB112" s="44">
        <f t="shared" si="19"/>
        <v>1.62</v>
      </c>
      <c r="AC112" s="44">
        <f t="shared" si="19"/>
        <v>1.62</v>
      </c>
      <c r="AD112" s="44">
        <f t="shared" si="19"/>
        <v>1.62</v>
      </c>
      <c r="AE112" s="44">
        <f t="shared" si="19"/>
        <v>1.62</v>
      </c>
      <c r="AF112" s="44">
        <f t="shared" si="19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17"/>
        <v>8.36</v>
      </c>
      <c r="C113" s="55">
        <v>8.36</v>
      </c>
      <c r="D113" s="44">
        <f t="shared" si="18"/>
        <v>8.36</v>
      </c>
      <c r="E113" s="44">
        <f t="shared" si="18"/>
        <v>8.36</v>
      </c>
      <c r="F113" s="44">
        <f t="shared" si="18"/>
        <v>8.36</v>
      </c>
      <c r="G113" s="44">
        <f t="shared" si="18"/>
        <v>8.36</v>
      </c>
      <c r="H113" s="44">
        <f t="shared" si="18"/>
        <v>8.36</v>
      </c>
      <c r="I113" s="44">
        <f t="shared" si="18"/>
        <v>8.36</v>
      </c>
      <c r="J113" s="44">
        <f t="shared" si="18"/>
        <v>8.36</v>
      </c>
      <c r="K113" s="44">
        <f t="shared" si="18"/>
        <v>8.36</v>
      </c>
      <c r="L113" s="44">
        <f t="shared" si="18"/>
        <v>8.36</v>
      </c>
      <c r="M113" s="44">
        <f t="shared" si="18"/>
        <v>8.36</v>
      </c>
      <c r="N113" s="44">
        <f t="shared" si="18"/>
        <v>8.36</v>
      </c>
      <c r="O113" s="44">
        <f t="shared" si="18"/>
        <v>8.36</v>
      </c>
      <c r="P113" s="44">
        <f t="shared" si="18"/>
        <v>8.36</v>
      </c>
      <c r="Q113" s="44">
        <f t="shared" si="18"/>
        <v>8.36</v>
      </c>
      <c r="R113" s="44">
        <f t="shared" si="18"/>
        <v>8.36</v>
      </c>
      <c r="S113" s="44">
        <f t="shared" si="18"/>
        <v>8.36</v>
      </c>
      <c r="T113" s="44">
        <f t="shared" si="19"/>
        <v>8.36</v>
      </c>
      <c r="U113" s="44">
        <f t="shared" si="19"/>
        <v>8.36</v>
      </c>
      <c r="V113" s="44">
        <f t="shared" si="19"/>
        <v>8.36</v>
      </c>
      <c r="W113" s="44">
        <f t="shared" si="19"/>
        <v>8.36</v>
      </c>
      <c r="X113" s="44">
        <f t="shared" si="19"/>
        <v>8.36</v>
      </c>
      <c r="Y113" s="44">
        <f t="shared" si="19"/>
        <v>8.36</v>
      </c>
      <c r="Z113" s="44">
        <f t="shared" si="19"/>
        <v>8.36</v>
      </c>
      <c r="AA113" s="44">
        <f t="shared" si="19"/>
        <v>8.36</v>
      </c>
      <c r="AB113" s="44">
        <f t="shared" si="19"/>
        <v>8.36</v>
      </c>
      <c r="AC113" s="44">
        <f t="shared" si="19"/>
        <v>8.36</v>
      </c>
      <c r="AD113" s="44">
        <f t="shared" si="19"/>
        <v>8.36</v>
      </c>
      <c r="AE113" s="44">
        <f t="shared" si="19"/>
        <v>8.36</v>
      </c>
      <c r="AF113" s="44">
        <f t="shared" si="19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17"/>
        <v>5.4</v>
      </c>
      <c r="C114" s="55">
        <v>8</v>
      </c>
      <c r="D114" s="44">
        <f t="shared" si="18"/>
        <v>8</v>
      </c>
      <c r="E114" s="44">
        <f t="shared" si="18"/>
        <v>8</v>
      </c>
      <c r="F114" s="44">
        <f t="shared" si="18"/>
        <v>8</v>
      </c>
      <c r="G114" s="44">
        <f t="shared" si="18"/>
        <v>8</v>
      </c>
      <c r="H114" s="44">
        <f t="shared" si="18"/>
        <v>8</v>
      </c>
      <c r="I114" s="44">
        <f t="shared" si="18"/>
        <v>8</v>
      </c>
      <c r="J114" s="44">
        <v>5.4</v>
      </c>
      <c r="K114" s="44">
        <f t="shared" si="18"/>
        <v>5.4</v>
      </c>
      <c r="L114" s="44">
        <f t="shared" si="18"/>
        <v>5.4</v>
      </c>
      <c r="M114" s="44">
        <f t="shared" si="18"/>
        <v>5.4</v>
      </c>
      <c r="N114" s="44">
        <f t="shared" si="18"/>
        <v>5.4</v>
      </c>
      <c r="O114" s="44">
        <f t="shared" si="18"/>
        <v>5.4</v>
      </c>
      <c r="P114" s="44">
        <f t="shared" si="18"/>
        <v>5.4</v>
      </c>
      <c r="Q114" s="44">
        <f t="shared" si="18"/>
        <v>5.4</v>
      </c>
      <c r="R114" s="44">
        <f t="shared" si="18"/>
        <v>5.4</v>
      </c>
      <c r="S114" s="44">
        <f t="shared" si="18"/>
        <v>5.4</v>
      </c>
      <c r="T114" s="44">
        <f t="shared" si="19"/>
        <v>5.4</v>
      </c>
      <c r="U114" s="44">
        <f t="shared" si="19"/>
        <v>5.4</v>
      </c>
      <c r="V114" s="44">
        <f t="shared" si="19"/>
        <v>5.4</v>
      </c>
      <c r="W114" s="44">
        <f t="shared" si="19"/>
        <v>5.4</v>
      </c>
      <c r="X114" s="44">
        <f t="shared" si="19"/>
        <v>5.4</v>
      </c>
      <c r="Y114" s="44">
        <f t="shared" si="19"/>
        <v>5.4</v>
      </c>
      <c r="Z114" s="44">
        <f t="shared" si="19"/>
        <v>5.4</v>
      </c>
      <c r="AA114" s="44">
        <f t="shared" si="19"/>
        <v>5.4</v>
      </c>
      <c r="AB114" s="44">
        <f t="shared" si="19"/>
        <v>5.4</v>
      </c>
      <c r="AC114" s="44">
        <f t="shared" si="19"/>
        <v>5.4</v>
      </c>
      <c r="AD114" s="44">
        <f t="shared" si="19"/>
        <v>5.4</v>
      </c>
      <c r="AE114" s="44">
        <f t="shared" si="19"/>
        <v>5.4</v>
      </c>
      <c r="AF114" s="44">
        <f t="shared" si="19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17"/>
        <v>6.57</v>
      </c>
      <c r="C115" s="55">
        <v>6.57</v>
      </c>
      <c r="D115" s="44">
        <f t="shared" si="18"/>
        <v>6.57</v>
      </c>
      <c r="E115" s="44">
        <f t="shared" si="18"/>
        <v>6.57</v>
      </c>
      <c r="F115" s="44">
        <f t="shared" si="18"/>
        <v>6.57</v>
      </c>
      <c r="G115" s="44">
        <f t="shared" si="18"/>
        <v>6.57</v>
      </c>
      <c r="H115" s="44">
        <f t="shared" si="18"/>
        <v>6.57</v>
      </c>
      <c r="I115" s="44">
        <f t="shared" si="18"/>
        <v>6.57</v>
      </c>
      <c r="J115" s="44">
        <f t="shared" si="18"/>
        <v>6.57</v>
      </c>
      <c r="K115" s="44">
        <f t="shared" si="18"/>
        <v>6.57</v>
      </c>
      <c r="L115" s="44">
        <f t="shared" si="18"/>
        <v>6.57</v>
      </c>
      <c r="M115" s="44">
        <f t="shared" si="18"/>
        <v>6.57</v>
      </c>
      <c r="N115" s="44">
        <f t="shared" si="18"/>
        <v>6.57</v>
      </c>
      <c r="O115" s="44">
        <f t="shared" si="18"/>
        <v>6.57</v>
      </c>
      <c r="P115" s="44">
        <f t="shared" si="18"/>
        <v>6.57</v>
      </c>
      <c r="Q115" s="44">
        <f t="shared" si="18"/>
        <v>6.57</v>
      </c>
      <c r="R115" s="44">
        <f t="shared" si="18"/>
        <v>6.57</v>
      </c>
      <c r="S115" s="44">
        <f t="shared" si="18"/>
        <v>6.57</v>
      </c>
      <c r="T115" s="44">
        <f t="shared" si="19"/>
        <v>6.57</v>
      </c>
      <c r="U115" s="44">
        <f t="shared" si="19"/>
        <v>6.57</v>
      </c>
      <c r="V115" s="44">
        <f t="shared" si="19"/>
        <v>6.57</v>
      </c>
      <c r="W115" s="44">
        <f t="shared" si="19"/>
        <v>6.57</v>
      </c>
      <c r="X115" s="44">
        <f t="shared" si="19"/>
        <v>6.57</v>
      </c>
      <c r="Y115" s="44">
        <f t="shared" si="19"/>
        <v>6.57</v>
      </c>
      <c r="Z115" s="44">
        <f t="shared" si="19"/>
        <v>6.57</v>
      </c>
      <c r="AA115" s="44">
        <f t="shared" si="19"/>
        <v>6.57</v>
      </c>
      <c r="AB115" s="44">
        <f t="shared" si="19"/>
        <v>6.57</v>
      </c>
      <c r="AC115" s="44">
        <f t="shared" si="19"/>
        <v>6.57</v>
      </c>
      <c r="AD115" s="44">
        <f t="shared" si="19"/>
        <v>6.57</v>
      </c>
      <c r="AE115" s="44">
        <f t="shared" si="19"/>
        <v>6.57</v>
      </c>
      <c r="AF115" s="44">
        <f t="shared" si="19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17"/>
        <v>3.43</v>
      </c>
      <c r="C116" s="55">
        <v>3.43</v>
      </c>
      <c r="D116" s="44">
        <f t="shared" si="18"/>
        <v>3.43</v>
      </c>
      <c r="E116" s="44">
        <f t="shared" si="18"/>
        <v>3.43</v>
      </c>
      <c r="F116" s="44">
        <f t="shared" si="18"/>
        <v>3.43</v>
      </c>
      <c r="G116" s="44">
        <f t="shared" si="18"/>
        <v>3.43</v>
      </c>
      <c r="H116" s="44">
        <f t="shared" si="18"/>
        <v>3.43</v>
      </c>
      <c r="I116" s="44">
        <f t="shared" si="18"/>
        <v>3.43</v>
      </c>
      <c r="J116" s="44">
        <f t="shared" si="18"/>
        <v>3.43</v>
      </c>
      <c r="K116" s="44">
        <f t="shared" si="18"/>
        <v>3.43</v>
      </c>
      <c r="L116" s="44">
        <f t="shared" si="18"/>
        <v>3.43</v>
      </c>
      <c r="M116" s="44">
        <f t="shared" si="18"/>
        <v>3.43</v>
      </c>
      <c r="N116" s="44">
        <f t="shared" si="18"/>
        <v>3.43</v>
      </c>
      <c r="O116" s="44">
        <f t="shared" si="18"/>
        <v>3.43</v>
      </c>
      <c r="P116" s="44">
        <f t="shared" si="18"/>
        <v>3.43</v>
      </c>
      <c r="Q116" s="44">
        <f t="shared" si="18"/>
        <v>3.43</v>
      </c>
      <c r="R116" s="44">
        <f t="shared" si="18"/>
        <v>3.43</v>
      </c>
      <c r="S116" s="44">
        <f t="shared" si="18"/>
        <v>3.43</v>
      </c>
      <c r="T116" s="44">
        <f t="shared" si="19"/>
        <v>3.43</v>
      </c>
      <c r="U116" s="44">
        <f t="shared" si="19"/>
        <v>3.43</v>
      </c>
      <c r="V116" s="44">
        <f t="shared" si="19"/>
        <v>3.43</v>
      </c>
      <c r="W116" s="44">
        <f t="shared" si="19"/>
        <v>3.43</v>
      </c>
      <c r="X116" s="44">
        <f t="shared" si="19"/>
        <v>3.43</v>
      </c>
      <c r="Y116" s="44">
        <f t="shared" si="19"/>
        <v>3.43</v>
      </c>
      <c r="Z116" s="44">
        <f t="shared" si="19"/>
        <v>3.43</v>
      </c>
      <c r="AA116" s="44">
        <f t="shared" si="19"/>
        <v>3.43</v>
      </c>
      <c r="AB116" s="44">
        <f t="shared" si="19"/>
        <v>3.43</v>
      </c>
      <c r="AC116" s="44">
        <f t="shared" si="19"/>
        <v>3.43</v>
      </c>
      <c r="AD116" s="44">
        <f t="shared" si="19"/>
        <v>3.43</v>
      </c>
      <c r="AE116" s="44">
        <f t="shared" si="19"/>
        <v>3.43</v>
      </c>
      <c r="AF116" s="44">
        <f t="shared" si="19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17"/>
        <v>2.96</v>
      </c>
      <c r="C117" s="55">
        <v>2.96</v>
      </c>
      <c r="D117" s="44">
        <f t="shared" si="18"/>
        <v>2.96</v>
      </c>
      <c r="E117" s="44">
        <f t="shared" si="18"/>
        <v>2.96</v>
      </c>
      <c r="F117" s="44">
        <f t="shared" si="18"/>
        <v>2.96</v>
      </c>
      <c r="G117" s="44">
        <f t="shared" si="18"/>
        <v>2.96</v>
      </c>
      <c r="H117" s="44">
        <f t="shared" si="18"/>
        <v>2.96</v>
      </c>
      <c r="I117" s="44">
        <f t="shared" si="18"/>
        <v>2.96</v>
      </c>
      <c r="J117" s="44">
        <f t="shared" si="18"/>
        <v>2.96</v>
      </c>
      <c r="K117" s="44">
        <f t="shared" si="18"/>
        <v>2.96</v>
      </c>
      <c r="L117" s="44">
        <f t="shared" si="18"/>
        <v>2.96</v>
      </c>
      <c r="M117" s="44">
        <f t="shared" si="18"/>
        <v>2.96</v>
      </c>
      <c r="N117" s="44">
        <f t="shared" si="18"/>
        <v>2.96</v>
      </c>
      <c r="O117" s="44">
        <f t="shared" si="18"/>
        <v>2.96</v>
      </c>
      <c r="P117" s="44">
        <f t="shared" si="18"/>
        <v>2.96</v>
      </c>
      <c r="Q117" s="44">
        <f t="shared" si="18"/>
        <v>2.96</v>
      </c>
      <c r="R117" s="44">
        <f t="shared" si="18"/>
        <v>2.96</v>
      </c>
      <c r="S117" s="44">
        <f t="shared" si="18"/>
        <v>2.96</v>
      </c>
      <c r="T117" s="44">
        <f t="shared" si="19"/>
        <v>2.96</v>
      </c>
      <c r="U117" s="44">
        <f t="shared" si="19"/>
        <v>2.96</v>
      </c>
      <c r="V117" s="44">
        <f t="shared" si="19"/>
        <v>2.96</v>
      </c>
      <c r="W117" s="44">
        <f t="shared" si="19"/>
        <v>2.96</v>
      </c>
      <c r="X117" s="44">
        <f t="shared" si="19"/>
        <v>2.96</v>
      </c>
      <c r="Y117" s="44">
        <f t="shared" si="19"/>
        <v>2.96</v>
      </c>
      <c r="Z117" s="44">
        <f t="shared" si="19"/>
        <v>2.96</v>
      </c>
      <c r="AA117" s="44">
        <f t="shared" si="19"/>
        <v>2.96</v>
      </c>
      <c r="AB117" s="44">
        <f t="shared" si="19"/>
        <v>2.96</v>
      </c>
      <c r="AC117" s="44">
        <f t="shared" si="19"/>
        <v>2.96</v>
      </c>
      <c r="AD117" s="44">
        <f t="shared" si="19"/>
        <v>2.96</v>
      </c>
      <c r="AE117" s="44">
        <f t="shared" si="19"/>
        <v>2.96</v>
      </c>
      <c r="AF117" s="44">
        <f t="shared" si="19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17"/>
        <v>8</v>
      </c>
      <c r="C118" s="55">
        <v>8</v>
      </c>
      <c r="D118" s="44">
        <f t="shared" si="18"/>
        <v>8</v>
      </c>
      <c r="E118" s="44">
        <f t="shared" si="18"/>
        <v>8</v>
      </c>
      <c r="F118" s="44">
        <f t="shared" si="18"/>
        <v>8</v>
      </c>
      <c r="G118" s="44">
        <f t="shared" si="18"/>
        <v>8</v>
      </c>
      <c r="H118" s="44">
        <f t="shared" si="18"/>
        <v>8</v>
      </c>
      <c r="I118" s="44">
        <f t="shared" si="18"/>
        <v>8</v>
      </c>
      <c r="J118" s="44">
        <f t="shared" si="18"/>
        <v>8</v>
      </c>
      <c r="K118" s="44">
        <f t="shared" si="18"/>
        <v>8</v>
      </c>
      <c r="L118" s="44">
        <f t="shared" si="18"/>
        <v>8</v>
      </c>
      <c r="M118" s="44">
        <f t="shared" si="18"/>
        <v>8</v>
      </c>
      <c r="N118" s="44">
        <f t="shared" si="18"/>
        <v>8</v>
      </c>
      <c r="O118" s="44">
        <f t="shared" si="18"/>
        <v>8</v>
      </c>
      <c r="P118" s="44">
        <f t="shared" si="18"/>
        <v>8</v>
      </c>
      <c r="Q118" s="44">
        <f t="shared" si="18"/>
        <v>8</v>
      </c>
      <c r="R118" s="44">
        <f t="shared" si="18"/>
        <v>8</v>
      </c>
      <c r="S118" s="44">
        <f t="shared" si="18"/>
        <v>8</v>
      </c>
      <c r="T118" s="44">
        <f t="shared" si="19"/>
        <v>8</v>
      </c>
      <c r="U118" s="44">
        <f t="shared" si="19"/>
        <v>8</v>
      </c>
      <c r="V118" s="44">
        <f t="shared" si="19"/>
        <v>8</v>
      </c>
      <c r="W118" s="44">
        <f t="shared" si="19"/>
        <v>8</v>
      </c>
      <c r="X118" s="44">
        <f t="shared" si="19"/>
        <v>8</v>
      </c>
      <c r="Y118" s="44">
        <f t="shared" si="19"/>
        <v>8</v>
      </c>
      <c r="Z118" s="44">
        <f t="shared" si="19"/>
        <v>8</v>
      </c>
      <c r="AA118" s="44">
        <f t="shared" si="19"/>
        <v>8</v>
      </c>
      <c r="AB118" s="44">
        <f t="shared" si="19"/>
        <v>8</v>
      </c>
      <c r="AC118" s="44">
        <f t="shared" si="19"/>
        <v>8</v>
      </c>
      <c r="AD118" s="44">
        <f t="shared" si="19"/>
        <v>8</v>
      </c>
      <c r="AE118" s="44">
        <f t="shared" si="19"/>
        <v>8</v>
      </c>
      <c r="AF118" s="44">
        <f t="shared" si="19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17"/>
        <v>7</v>
      </c>
      <c r="C119" s="55">
        <v>7</v>
      </c>
      <c r="D119" s="44">
        <f>C119</f>
        <v>7</v>
      </c>
      <c r="E119" s="44">
        <f t="shared" si="18"/>
        <v>7</v>
      </c>
      <c r="F119" s="44">
        <f t="shared" si="18"/>
        <v>7</v>
      </c>
      <c r="G119" s="44">
        <f t="shared" si="18"/>
        <v>7</v>
      </c>
      <c r="H119" s="44">
        <f t="shared" si="18"/>
        <v>7</v>
      </c>
      <c r="I119" s="44">
        <f t="shared" si="18"/>
        <v>7</v>
      </c>
      <c r="J119" s="44">
        <f t="shared" si="18"/>
        <v>7</v>
      </c>
      <c r="K119" s="44">
        <f t="shared" si="18"/>
        <v>7</v>
      </c>
      <c r="L119" s="44">
        <f t="shared" si="18"/>
        <v>7</v>
      </c>
      <c r="M119" s="44">
        <f t="shared" si="18"/>
        <v>7</v>
      </c>
      <c r="N119" s="44">
        <f t="shared" si="18"/>
        <v>7</v>
      </c>
      <c r="O119" s="44">
        <f t="shared" si="18"/>
        <v>7</v>
      </c>
      <c r="P119" s="44">
        <f t="shared" si="18"/>
        <v>7</v>
      </c>
      <c r="Q119" s="44">
        <f t="shared" si="18"/>
        <v>7</v>
      </c>
      <c r="R119" s="44">
        <f t="shared" si="18"/>
        <v>7</v>
      </c>
      <c r="S119" s="44">
        <f t="shared" si="18"/>
        <v>7</v>
      </c>
      <c r="T119" s="44">
        <f t="shared" si="19"/>
        <v>7</v>
      </c>
      <c r="U119" s="44">
        <f t="shared" si="19"/>
        <v>7</v>
      </c>
      <c r="V119" s="44">
        <f t="shared" si="19"/>
        <v>7</v>
      </c>
      <c r="W119" s="44">
        <f t="shared" si="19"/>
        <v>7</v>
      </c>
      <c r="X119" s="44">
        <f t="shared" si="19"/>
        <v>7</v>
      </c>
      <c r="Y119" s="44">
        <f t="shared" si="19"/>
        <v>7</v>
      </c>
      <c r="Z119" s="44">
        <f t="shared" si="19"/>
        <v>7</v>
      </c>
      <c r="AA119" s="44">
        <f t="shared" si="19"/>
        <v>7</v>
      </c>
      <c r="AB119" s="44">
        <f t="shared" si="19"/>
        <v>7</v>
      </c>
      <c r="AC119" s="44">
        <f t="shared" si="19"/>
        <v>7</v>
      </c>
      <c r="AD119" s="44">
        <f t="shared" si="19"/>
        <v>7</v>
      </c>
      <c r="AE119" s="44">
        <f t="shared" si="19"/>
        <v>7</v>
      </c>
      <c r="AF119" s="44">
        <f t="shared" si="19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17"/>
        <v>3.47</v>
      </c>
      <c r="C120" s="55">
        <v>3.47</v>
      </c>
      <c r="D120" s="44">
        <f t="shared" ref="D120:S129" si="20">C120</f>
        <v>3.47</v>
      </c>
      <c r="E120" s="44">
        <f t="shared" si="20"/>
        <v>3.47</v>
      </c>
      <c r="F120" s="44">
        <f t="shared" si="20"/>
        <v>3.47</v>
      </c>
      <c r="G120" s="44">
        <f t="shared" si="20"/>
        <v>3.47</v>
      </c>
      <c r="H120" s="44">
        <f t="shared" si="20"/>
        <v>3.47</v>
      </c>
      <c r="I120" s="44">
        <f t="shared" si="20"/>
        <v>3.47</v>
      </c>
      <c r="J120" s="44">
        <f t="shared" si="20"/>
        <v>3.47</v>
      </c>
      <c r="K120" s="44">
        <f t="shared" si="20"/>
        <v>3.47</v>
      </c>
      <c r="L120" s="44">
        <f t="shared" si="20"/>
        <v>3.47</v>
      </c>
      <c r="M120" s="44">
        <f t="shared" si="20"/>
        <v>3.47</v>
      </c>
      <c r="N120" s="44">
        <f t="shared" si="20"/>
        <v>3.47</v>
      </c>
      <c r="O120" s="44">
        <f t="shared" si="20"/>
        <v>3.47</v>
      </c>
      <c r="P120" s="44">
        <f t="shared" si="20"/>
        <v>3.47</v>
      </c>
      <c r="Q120" s="44">
        <f t="shared" si="20"/>
        <v>3.47</v>
      </c>
      <c r="R120" s="44">
        <f t="shared" si="20"/>
        <v>3.47</v>
      </c>
      <c r="S120" s="44">
        <f t="shared" si="20"/>
        <v>3.47</v>
      </c>
      <c r="T120" s="44">
        <f t="shared" si="19"/>
        <v>3.47</v>
      </c>
      <c r="U120" s="44">
        <f t="shared" si="19"/>
        <v>3.47</v>
      </c>
      <c r="V120" s="44">
        <f t="shared" si="19"/>
        <v>3.47</v>
      </c>
      <c r="W120" s="44">
        <f t="shared" si="19"/>
        <v>3.47</v>
      </c>
      <c r="X120" s="44">
        <f t="shared" si="19"/>
        <v>3.47</v>
      </c>
      <c r="Y120" s="44">
        <f t="shared" si="19"/>
        <v>3.47</v>
      </c>
      <c r="Z120" s="44">
        <f t="shared" si="19"/>
        <v>3.47</v>
      </c>
      <c r="AA120" s="44">
        <f t="shared" si="19"/>
        <v>3.47</v>
      </c>
      <c r="AB120" s="44">
        <f t="shared" si="19"/>
        <v>3.47</v>
      </c>
      <c r="AC120" s="44">
        <f t="shared" si="19"/>
        <v>3.47</v>
      </c>
      <c r="AD120" s="44">
        <f t="shared" si="19"/>
        <v>3.47</v>
      </c>
      <c r="AE120" s="44">
        <f t="shared" si="19"/>
        <v>3.47</v>
      </c>
      <c r="AF120" s="44">
        <f t="shared" si="19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17"/>
        <v>2.1</v>
      </c>
      <c r="C121" s="55">
        <v>2.1</v>
      </c>
      <c r="D121" s="44">
        <f t="shared" si="20"/>
        <v>2.1</v>
      </c>
      <c r="E121" s="44">
        <f t="shared" si="20"/>
        <v>2.1</v>
      </c>
      <c r="F121" s="44">
        <f t="shared" si="20"/>
        <v>2.1</v>
      </c>
      <c r="G121" s="44">
        <f t="shared" si="20"/>
        <v>2.1</v>
      </c>
      <c r="H121" s="44">
        <f t="shared" si="20"/>
        <v>2.1</v>
      </c>
      <c r="I121" s="44">
        <f t="shared" si="20"/>
        <v>2.1</v>
      </c>
      <c r="J121" s="44">
        <f t="shared" si="20"/>
        <v>2.1</v>
      </c>
      <c r="K121" s="44">
        <f t="shared" si="20"/>
        <v>2.1</v>
      </c>
      <c r="L121" s="44">
        <f t="shared" si="20"/>
        <v>2.1</v>
      </c>
      <c r="M121" s="44">
        <f t="shared" si="20"/>
        <v>2.1</v>
      </c>
      <c r="N121" s="44">
        <f t="shared" si="20"/>
        <v>2.1</v>
      </c>
      <c r="O121" s="44">
        <f t="shared" si="20"/>
        <v>2.1</v>
      </c>
      <c r="P121" s="44">
        <f t="shared" si="20"/>
        <v>2.1</v>
      </c>
      <c r="Q121" s="44">
        <f t="shared" si="20"/>
        <v>2.1</v>
      </c>
      <c r="R121" s="44">
        <f t="shared" si="20"/>
        <v>2.1</v>
      </c>
      <c r="S121" s="44">
        <f t="shared" si="20"/>
        <v>2.1</v>
      </c>
      <c r="T121" s="44">
        <f t="shared" si="19"/>
        <v>2.1</v>
      </c>
      <c r="U121" s="44">
        <f t="shared" si="19"/>
        <v>2.1</v>
      </c>
      <c r="V121" s="44">
        <f t="shared" si="19"/>
        <v>2.1</v>
      </c>
      <c r="W121" s="44">
        <f t="shared" si="19"/>
        <v>2.1</v>
      </c>
      <c r="X121" s="44">
        <f t="shared" si="19"/>
        <v>2.1</v>
      </c>
      <c r="Y121" s="44">
        <f t="shared" si="19"/>
        <v>2.1</v>
      </c>
      <c r="Z121" s="44">
        <f t="shared" si="19"/>
        <v>2.1</v>
      </c>
      <c r="AA121" s="44">
        <f t="shared" si="19"/>
        <v>2.1</v>
      </c>
      <c r="AB121" s="44">
        <f t="shared" si="19"/>
        <v>2.1</v>
      </c>
      <c r="AC121" s="44">
        <f t="shared" si="19"/>
        <v>2.1</v>
      </c>
      <c r="AD121" s="44">
        <f t="shared" si="19"/>
        <v>2.1</v>
      </c>
      <c r="AE121" s="44">
        <f t="shared" si="19"/>
        <v>2.1</v>
      </c>
      <c r="AF121" s="44">
        <f t="shared" si="19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17"/>
        <v>9.3000000000000007</v>
      </c>
      <c r="C122" s="55">
        <v>9.3000000000000007</v>
      </c>
      <c r="D122" s="44">
        <f t="shared" si="20"/>
        <v>9.3000000000000007</v>
      </c>
      <c r="E122" s="44">
        <f t="shared" si="20"/>
        <v>9.3000000000000007</v>
      </c>
      <c r="F122" s="44">
        <f t="shared" si="20"/>
        <v>9.3000000000000007</v>
      </c>
      <c r="G122" s="44">
        <f t="shared" si="20"/>
        <v>9.3000000000000007</v>
      </c>
      <c r="H122" s="44">
        <f t="shared" si="20"/>
        <v>9.3000000000000007</v>
      </c>
      <c r="I122" s="44">
        <f t="shared" si="20"/>
        <v>9.3000000000000007</v>
      </c>
      <c r="J122" s="44">
        <f t="shared" si="20"/>
        <v>9.3000000000000007</v>
      </c>
      <c r="K122" s="44">
        <f t="shared" si="20"/>
        <v>9.3000000000000007</v>
      </c>
      <c r="L122" s="44">
        <f t="shared" si="20"/>
        <v>9.3000000000000007</v>
      </c>
      <c r="M122" s="44">
        <f t="shared" si="20"/>
        <v>9.3000000000000007</v>
      </c>
      <c r="N122" s="44">
        <f t="shared" si="20"/>
        <v>9.3000000000000007</v>
      </c>
      <c r="O122" s="44">
        <f t="shared" si="20"/>
        <v>9.3000000000000007</v>
      </c>
      <c r="P122" s="44">
        <f t="shared" si="20"/>
        <v>9.3000000000000007</v>
      </c>
      <c r="Q122" s="44">
        <f t="shared" si="20"/>
        <v>9.3000000000000007</v>
      </c>
      <c r="R122" s="44">
        <f t="shared" si="20"/>
        <v>9.3000000000000007</v>
      </c>
      <c r="S122" s="44">
        <f t="shared" si="20"/>
        <v>9.3000000000000007</v>
      </c>
      <c r="T122" s="44">
        <f t="shared" si="19"/>
        <v>9.3000000000000007</v>
      </c>
      <c r="U122" s="44">
        <f t="shared" si="19"/>
        <v>9.3000000000000007</v>
      </c>
      <c r="V122" s="44">
        <f t="shared" si="19"/>
        <v>9.3000000000000007</v>
      </c>
      <c r="W122" s="44">
        <f t="shared" si="19"/>
        <v>9.3000000000000007</v>
      </c>
      <c r="X122" s="44">
        <f t="shared" si="19"/>
        <v>9.3000000000000007</v>
      </c>
      <c r="Y122" s="44">
        <f t="shared" si="19"/>
        <v>9.3000000000000007</v>
      </c>
      <c r="Z122" s="44">
        <f t="shared" si="19"/>
        <v>9.3000000000000007</v>
      </c>
      <c r="AA122" s="44">
        <f t="shared" si="19"/>
        <v>9.3000000000000007</v>
      </c>
      <c r="AB122" s="44">
        <f t="shared" si="19"/>
        <v>9.3000000000000007</v>
      </c>
      <c r="AC122" s="44">
        <f t="shared" si="19"/>
        <v>9.3000000000000007</v>
      </c>
      <c r="AD122" s="44">
        <f t="shared" si="19"/>
        <v>9.3000000000000007</v>
      </c>
      <c r="AE122" s="44">
        <f t="shared" si="19"/>
        <v>9.3000000000000007</v>
      </c>
      <c r="AF122" s="44">
        <f t="shared" si="19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17"/>
        <v>0</v>
      </c>
      <c r="C123" s="55">
        <v>0</v>
      </c>
      <c r="D123" s="44">
        <f t="shared" si="20"/>
        <v>0</v>
      </c>
      <c r="E123" s="44">
        <f t="shared" si="20"/>
        <v>0</v>
      </c>
      <c r="F123" s="44">
        <f t="shared" si="20"/>
        <v>0</v>
      </c>
      <c r="G123" s="44">
        <f t="shared" si="20"/>
        <v>0</v>
      </c>
      <c r="H123" s="44">
        <f t="shared" si="20"/>
        <v>0</v>
      </c>
      <c r="I123" s="44">
        <f t="shared" si="20"/>
        <v>0</v>
      </c>
      <c r="J123" s="44">
        <f t="shared" si="20"/>
        <v>0</v>
      </c>
      <c r="K123" s="44">
        <f t="shared" si="20"/>
        <v>0</v>
      </c>
      <c r="L123" s="44">
        <f t="shared" si="20"/>
        <v>0</v>
      </c>
      <c r="M123" s="44">
        <f t="shared" si="20"/>
        <v>0</v>
      </c>
      <c r="N123" s="44">
        <f t="shared" si="20"/>
        <v>0</v>
      </c>
      <c r="O123" s="44">
        <f t="shared" si="20"/>
        <v>0</v>
      </c>
      <c r="P123" s="44">
        <f t="shared" si="20"/>
        <v>0</v>
      </c>
      <c r="Q123" s="44">
        <f t="shared" si="20"/>
        <v>0</v>
      </c>
      <c r="R123" s="44">
        <f t="shared" si="20"/>
        <v>0</v>
      </c>
      <c r="S123" s="44">
        <f t="shared" si="20"/>
        <v>0</v>
      </c>
      <c r="T123" s="44">
        <f t="shared" si="19"/>
        <v>0</v>
      </c>
      <c r="U123" s="44">
        <f t="shared" si="19"/>
        <v>0</v>
      </c>
      <c r="V123" s="44">
        <f t="shared" si="19"/>
        <v>0</v>
      </c>
      <c r="W123" s="44">
        <f t="shared" si="19"/>
        <v>0</v>
      </c>
      <c r="X123" s="44">
        <f t="shared" si="19"/>
        <v>0</v>
      </c>
      <c r="Y123" s="44">
        <f t="shared" si="19"/>
        <v>0</v>
      </c>
      <c r="Z123" s="44">
        <f t="shared" si="19"/>
        <v>0</v>
      </c>
      <c r="AA123" s="44">
        <f t="shared" si="19"/>
        <v>0</v>
      </c>
      <c r="AB123" s="44">
        <f t="shared" si="19"/>
        <v>0</v>
      </c>
      <c r="AC123" s="44">
        <f t="shared" si="19"/>
        <v>0</v>
      </c>
      <c r="AD123" s="44">
        <f t="shared" si="19"/>
        <v>0</v>
      </c>
      <c r="AE123" s="44">
        <f t="shared" si="19"/>
        <v>0</v>
      </c>
      <c r="AF123" s="44">
        <f t="shared" si="19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17"/>
        <v>0</v>
      </c>
      <c r="C124" s="55">
        <v>0</v>
      </c>
      <c r="D124" s="44">
        <f t="shared" si="20"/>
        <v>0</v>
      </c>
      <c r="E124" s="44">
        <f t="shared" si="20"/>
        <v>0</v>
      </c>
      <c r="F124" s="44">
        <f t="shared" si="20"/>
        <v>0</v>
      </c>
      <c r="G124" s="44">
        <f t="shared" si="20"/>
        <v>0</v>
      </c>
      <c r="H124" s="44">
        <f t="shared" si="20"/>
        <v>0</v>
      </c>
      <c r="I124" s="44">
        <f t="shared" si="20"/>
        <v>0</v>
      </c>
      <c r="J124" s="44">
        <f t="shared" si="20"/>
        <v>0</v>
      </c>
      <c r="K124" s="44">
        <f t="shared" si="20"/>
        <v>0</v>
      </c>
      <c r="L124" s="44">
        <f t="shared" si="20"/>
        <v>0</v>
      </c>
      <c r="M124" s="44">
        <f t="shared" si="20"/>
        <v>0</v>
      </c>
      <c r="N124" s="44">
        <f t="shared" si="20"/>
        <v>0</v>
      </c>
      <c r="O124" s="44">
        <f t="shared" si="20"/>
        <v>0</v>
      </c>
      <c r="P124" s="44">
        <f t="shared" si="20"/>
        <v>0</v>
      </c>
      <c r="Q124" s="44">
        <f t="shared" si="20"/>
        <v>0</v>
      </c>
      <c r="R124" s="44">
        <f t="shared" si="20"/>
        <v>0</v>
      </c>
      <c r="S124" s="44">
        <f t="shared" si="20"/>
        <v>0</v>
      </c>
      <c r="T124" s="44">
        <f t="shared" si="19"/>
        <v>0</v>
      </c>
      <c r="U124" s="44">
        <f t="shared" si="19"/>
        <v>0</v>
      </c>
      <c r="V124" s="44">
        <f t="shared" si="19"/>
        <v>0</v>
      </c>
      <c r="W124" s="44">
        <f t="shared" si="19"/>
        <v>0</v>
      </c>
      <c r="X124" s="44">
        <f t="shared" si="19"/>
        <v>0</v>
      </c>
      <c r="Y124" s="44">
        <f t="shared" si="19"/>
        <v>0</v>
      </c>
      <c r="Z124" s="44">
        <f t="shared" si="19"/>
        <v>0</v>
      </c>
      <c r="AA124" s="44">
        <f t="shared" si="19"/>
        <v>0</v>
      </c>
      <c r="AB124" s="44">
        <f t="shared" si="19"/>
        <v>0</v>
      </c>
      <c r="AC124" s="44">
        <f t="shared" si="19"/>
        <v>0</v>
      </c>
      <c r="AD124" s="44">
        <f t="shared" si="19"/>
        <v>0</v>
      </c>
      <c r="AE124" s="44">
        <f t="shared" si="19"/>
        <v>0</v>
      </c>
      <c r="AF124" s="44">
        <f t="shared" si="19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17"/>
        <v>5</v>
      </c>
      <c r="C125" s="55">
        <v>5</v>
      </c>
      <c r="D125" s="44">
        <f t="shared" si="20"/>
        <v>5</v>
      </c>
      <c r="E125" s="44">
        <f t="shared" si="20"/>
        <v>5</v>
      </c>
      <c r="F125" s="44">
        <f t="shared" si="20"/>
        <v>5</v>
      </c>
      <c r="G125" s="44">
        <f t="shared" si="20"/>
        <v>5</v>
      </c>
      <c r="H125" s="44">
        <f t="shared" si="20"/>
        <v>5</v>
      </c>
      <c r="I125" s="44">
        <f t="shared" si="20"/>
        <v>5</v>
      </c>
      <c r="J125" s="44">
        <f t="shared" si="20"/>
        <v>5</v>
      </c>
      <c r="K125" s="44">
        <f t="shared" si="20"/>
        <v>5</v>
      </c>
      <c r="L125" s="44">
        <f t="shared" si="20"/>
        <v>5</v>
      </c>
      <c r="M125" s="44">
        <f t="shared" si="20"/>
        <v>5</v>
      </c>
      <c r="N125" s="44">
        <f t="shared" si="20"/>
        <v>5</v>
      </c>
      <c r="O125" s="44">
        <f t="shared" si="20"/>
        <v>5</v>
      </c>
      <c r="P125" s="44">
        <f t="shared" si="20"/>
        <v>5</v>
      </c>
      <c r="Q125" s="44">
        <f t="shared" si="20"/>
        <v>5</v>
      </c>
      <c r="R125" s="44">
        <f t="shared" si="20"/>
        <v>5</v>
      </c>
      <c r="S125" s="44">
        <f t="shared" si="20"/>
        <v>5</v>
      </c>
      <c r="T125" s="44">
        <f t="shared" si="19"/>
        <v>5</v>
      </c>
      <c r="U125" s="44">
        <f t="shared" si="19"/>
        <v>5</v>
      </c>
      <c r="V125" s="44">
        <f t="shared" si="19"/>
        <v>5</v>
      </c>
      <c r="W125" s="44">
        <f t="shared" si="19"/>
        <v>5</v>
      </c>
      <c r="X125" s="44">
        <f t="shared" si="19"/>
        <v>5</v>
      </c>
      <c r="Y125" s="44">
        <f t="shared" si="19"/>
        <v>5</v>
      </c>
      <c r="Z125" s="44">
        <f t="shared" si="19"/>
        <v>5</v>
      </c>
      <c r="AA125" s="44">
        <f t="shared" si="19"/>
        <v>5</v>
      </c>
      <c r="AB125" s="44">
        <f t="shared" si="19"/>
        <v>5</v>
      </c>
      <c r="AC125" s="44">
        <f t="shared" si="19"/>
        <v>5</v>
      </c>
      <c r="AD125" s="44">
        <f t="shared" si="19"/>
        <v>5</v>
      </c>
      <c r="AE125" s="44">
        <f t="shared" si="19"/>
        <v>5</v>
      </c>
      <c r="AF125" s="44">
        <f t="shared" si="19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17"/>
        <v>1</v>
      </c>
      <c r="C126" s="55">
        <v>1</v>
      </c>
      <c r="D126" s="44">
        <f t="shared" si="20"/>
        <v>1</v>
      </c>
      <c r="E126" s="44">
        <f t="shared" si="20"/>
        <v>1</v>
      </c>
      <c r="F126" s="44">
        <f t="shared" si="20"/>
        <v>1</v>
      </c>
      <c r="G126" s="44">
        <f t="shared" si="20"/>
        <v>1</v>
      </c>
      <c r="H126" s="44">
        <f t="shared" si="20"/>
        <v>1</v>
      </c>
      <c r="I126" s="44">
        <f t="shared" si="20"/>
        <v>1</v>
      </c>
      <c r="J126" s="44">
        <f t="shared" si="20"/>
        <v>1</v>
      </c>
      <c r="K126" s="44">
        <f t="shared" si="20"/>
        <v>1</v>
      </c>
      <c r="L126" s="44">
        <f t="shared" si="20"/>
        <v>1</v>
      </c>
      <c r="M126" s="44">
        <f t="shared" si="20"/>
        <v>1</v>
      </c>
      <c r="N126" s="44">
        <f t="shared" si="20"/>
        <v>1</v>
      </c>
      <c r="O126" s="44">
        <f t="shared" si="20"/>
        <v>1</v>
      </c>
      <c r="P126" s="44">
        <f t="shared" si="20"/>
        <v>1</v>
      </c>
      <c r="Q126" s="44">
        <f t="shared" si="20"/>
        <v>1</v>
      </c>
      <c r="R126" s="44">
        <f t="shared" si="20"/>
        <v>1</v>
      </c>
      <c r="S126" s="44">
        <f t="shared" si="20"/>
        <v>1</v>
      </c>
      <c r="T126" s="44">
        <f t="shared" si="19"/>
        <v>1</v>
      </c>
      <c r="U126" s="44">
        <f t="shared" si="19"/>
        <v>1</v>
      </c>
      <c r="V126" s="44">
        <f t="shared" si="19"/>
        <v>1</v>
      </c>
      <c r="W126" s="44">
        <f t="shared" si="19"/>
        <v>1</v>
      </c>
      <c r="X126" s="44">
        <f t="shared" si="19"/>
        <v>1</v>
      </c>
      <c r="Y126" s="44">
        <f t="shared" si="19"/>
        <v>1</v>
      </c>
      <c r="Z126" s="44">
        <f t="shared" si="19"/>
        <v>1</v>
      </c>
      <c r="AA126" s="44">
        <f t="shared" si="19"/>
        <v>1</v>
      </c>
      <c r="AB126" s="44">
        <f t="shared" si="19"/>
        <v>1</v>
      </c>
      <c r="AC126" s="44">
        <f t="shared" si="19"/>
        <v>1</v>
      </c>
      <c r="AD126" s="44">
        <f t="shared" si="19"/>
        <v>1</v>
      </c>
      <c r="AE126" s="44">
        <f t="shared" si="19"/>
        <v>1</v>
      </c>
      <c r="AF126" s="44">
        <f t="shared" si="19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17"/>
        <v>1.58</v>
      </c>
      <c r="C127" s="55">
        <v>1.58</v>
      </c>
      <c r="D127" s="44">
        <f t="shared" si="20"/>
        <v>1.58</v>
      </c>
      <c r="E127" s="44">
        <f t="shared" si="20"/>
        <v>1.58</v>
      </c>
      <c r="F127" s="44">
        <f t="shared" si="20"/>
        <v>1.58</v>
      </c>
      <c r="G127" s="44">
        <f t="shared" si="20"/>
        <v>1.58</v>
      </c>
      <c r="H127" s="44">
        <f t="shared" si="20"/>
        <v>1.58</v>
      </c>
      <c r="I127" s="44">
        <f t="shared" si="20"/>
        <v>1.58</v>
      </c>
      <c r="J127" s="44">
        <f t="shared" si="20"/>
        <v>1.58</v>
      </c>
      <c r="K127" s="44">
        <f t="shared" si="20"/>
        <v>1.58</v>
      </c>
      <c r="L127" s="44">
        <f t="shared" si="20"/>
        <v>1.58</v>
      </c>
      <c r="M127" s="44">
        <f t="shared" si="20"/>
        <v>1.58</v>
      </c>
      <c r="N127" s="44">
        <f t="shared" si="20"/>
        <v>1.58</v>
      </c>
      <c r="O127" s="44">
        <f t="shared" si="20"/>
        <v>1.58</v>
      </c>
      <c r="P127" s="44">
        <f t="shared" si="20"/>
        <v>1.58</v>
      </c>
      <c r="Q127" s="44">
        <f t="shared" si="20"/>
        <v>1.58</v>
      </c>
      <c r="R127" s="44">
        <f t="shared" si="20"/>
        <v>1.58</v>
      </c>
      <c r="S127" s="44">
        <f t="shared" si="20"/>
        <v>1.58</v>
      </c>
      <c r="T127" s="44">
        <f t="shared" si="19"/>
        <v>1.58</v>
      </c>
      <c r="U127" s="44">
        <f t="shared" si="19"/>
        <v>1.58</v>
      </c>
      <c r="V127" s="44">
        <f t="shared" si="19"/>
        <v>1.58</v>
      </c>
      <c r="W127" s="44">
        <f t="shared" si="19"/>
        <v>1.58</v>
      </c>
      <c r="X127" s="44">
        <f t="shared" si="19"/>
        <v>1.58</v>
      </c>
      <c r="Y127" s="44">
        <f t="shared" si="19"/>
        <v>1.58</v>
      </c>
      <c r="Z127" s="44">
        <f t="shared" si="19"/>
        <v>1.58</v>
      </c>
      <c r="AA127" s="44">
        <f t="shared" si="19"/>
        <v>1.58</v>
      </c>
      <c r="AB127" s="44">
        <f t="shared" si="19"/>
        <v>1.58</v>
      </c>
      <c r="AC127" s="44">
        <f t="shared" si="19"/>
        <v>1.58</v>
      </c>
      <c r="AD127" s="44">
        <f t="shared" si="19"/>
        <v>1.58</v>
      </c>
      <c r="AE127" s="44">
        <f t="shared" si="19"/>
        <v>1.58</v>
      </c>
      <c r="AF127" s="44">
        <f t="shared" si="19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17"/>
        <v>1.46</v>
      </c>
      <c r="C128" s="55">
        <v>1.46</v>
      </c>
      <c r="D128" s="44">
        <f t="shared" si="20"/>
        <v>1.46</v>
      </c>
      <c r="E128" s="44">
        <f t="shared" si="20"/>
        <v>1.46</v>
      </c>
      <c r="F128" s="44">
        <f t="shared" si="20"/>
        <v>1.46</v>
      </c>
      <c r="G128" s="44">
        <f t="shared" si="20"/>
        <v>1.46</v>
      </c>
      <c r="H128" s="44">
        <f t="shared" si="20"/>
        <v>1.46</v>
      </c>
      <c r="I128" s="44">
        <f t="shared" si="20"/>
        <v>1.46</v>
      </c>
      <c r="J128" s="44">
        <f t="shared" si="20"/>
        <v>1.46</v>
      </c>
      <c r="K128" s="44">
        <f t="shared" si="20"/>
        <v>1.46</v>
      </c>
      <c r="L128" s="44">
        <f t="shared" si="20"/>
        <v>1.46</v>
      </c>
      <c r="M128" s="44">
        <f t="shared" si="20"/>
        <v>1.46</v>
      </c>
      <c r="N128" s="44">
        <f t="shared" si="20"/>
        <v>1.46</v>
      </c>
      <c r="O128" s="44">
        <f t="shared" si="20"/>
        <v>1.46</v>
      </c>
      <c r="P128" s="44">
        <f t="shared" si="20"/>
        <v>1.46</v>
      </c>
      <c r="Q128" s="44">
        <f t="shared" si="20"/>
        <v>1.46</v>
      </c>
      <c r="R128" s="44">
        <f t="shared" si="20"/>
        <v>1.46</v>
      </c>
      <c r="S128" s="44">
        <f t="shared" si="20"/>
        <v>1.46</v>
      </c>
      <c r="T128" s="44">
        <f t="shared" ref="T128:AF129" si="21">S128</f>
        <v>1.46</v>
      </c>
      <c r="U128" s="44">
        <f t="shared" si="21"/>
        <v>1.46</v>
      </c>
      <c r="V128" s="44">
        <f t="shared" si="21"/>
        <v>1.46</v>
      </c>
      <c r="W128" s="44">
        <f t="shared" si="21"/>
        <v>1.46</v>
      </c>
      <c r="X128" s="44">
        <f t="shared" si="21"/>
        <v>1.46</v>
      </c>
      <c r="Y128" s="44">
        <f t="shared" si="21"/>
        <v>1.46</v>
      </c>
      <c r="Z128" s="44">
        <f t="shared" si="21"/>
        <v>1.46</v>
      </c>
      <c r="AA128" s="44">
        <f t="shared" si="21"/>
        <v>1.46</v>
      </c>
      <c r="AB128" s="44">
        <f t="shared" si="21"/>
        <v>1.46</v>
      </c>
      <c r="AC128" s="44">
        <f t="shared" si="21"/>
        <v>1.46</v>
      </c>
      <c r="AD128" s="44">
        <f t="shared" si="21"/>
        <v>1.46</v>
      </c>
      <c r="AE128" s="44">
        <f t="shared" si="21"/>
        <v>1.46</v>
      </c>
      <c r="AF128" s="44">
        <f t="shared" si="21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17"/>
        <v>1.48</v>
      </c>
      <c r="C129" s="55">
        <v>1.48</v>
      </c>
      <c r="D129" s="44">
        <f t="shared" si="20"/>
        <v>1.48</v>
      </c>
      <c r="E129" s="44">
        <f t="shared" si="20"/>
        <v>1.48</v>
      </c>
      <c r="F129" s="44">
        <f t="shared" si="20"/>
        <v>1.48</v>
      </c>
      <c r="G129" s="44">
        <f t="shared" si="20"/>
        <v>1.48</v>
      </c>
      <c r="H129" s="44">
        <f t="shared" si="20"/>
        <v>1.48</v>
      </c>
      <c r="I129" s="44">
        <f t="shared" si="20"/>
        <v>1.48</v>
      </c>
      <c r="J129" s="44">
        <f t="shared" si="20"/>
        <v>1.48</v>
      </c>
      <c r="K129" s="44">
        <f t="shared" si="20"/>
        <v>1.48</v>
      </c>
      <c r="L129" s="44">
        <f t="shared" si="20"/>
        <v>1.48</v>
      </c>
      <c r="M129" s="44">
        <f t="shared" si="20"/>
        <v>1.48</v>
      </c>
      <c r="N129" s="44">
        <f t="shared" si="20"/>
        <v>1.48</v>
      </c>
      <c r="O129" s="44">
        <f t="shared" si="20"/>
        <v>1.48</v>
      </c>
      <c r="P129" s="44">
        <f t="shared" si="20"/>
        <v>1.48</v>
      </c>
      <c r="Q129" s="44">
        <f t="shared" si="20"/>
        <v>1.48</v>
      </c>
      <c r="R129" s="44">
        <f t="shared" si="20"/>
        <v>1.48</v>
      </c>
      <c r="S129" s="44">
        <f t="shared" si="20"/>
        <v>1.48</v>
      </c>
      <c r="T129" s="44">
        <f t="shared" si="21"/>
        <v>1.48</v>
      </c>
      <c r="U129" s="44">
        <f t="shared" si="21"/>
        <v>1.48</v>
      </c>
      <c r="V129" s="44">
        <f t="shared" si="21"/>
        <v>1.48</v>
      </c>
      <c r="W129" s="44">
        <f t="shared" si="21"/>
        <v>1.48</v>
      </c>
      <c r="X129" s="44">
        <f t="shared" si="21"/>
        <v>1.48</v>
      </c>
      <c r="Y129" s="44">
        <f t="shared" si="21"/>
        <v>1.48</v>
      </c>
      <c r="Z129" s="44">
        <f t="shared" si="21"/>
        <v>1.48</v>
      </c>
      <c r="AA129" s="44">
        <f t="shared" si="21"/>
        <v>1.48</v>
      </c>
      <c r="AB129" s="44">
        <f t="shared" si="21"/>
        <v>1.48</v>
      </c>
      <c r="AC129" s="44">
        <f t="shared" si="21"/>
        <v>1.48</v>
      </c>
      <c r="AD129" s="44">
        <f t="shared" si="21"/>
        <v>1.48</v>
      </c>
      <c r="AE129" s="44">
        <f t="shared" si="21"/>
        <v>1.48</v>
      </c>
      <c r="AF129" s="44">
        <f t="shared" si="21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22">AF131</f>
        <v>2.2000000000000002</v>
      </c>
      <c r="C131" s="55">
        <v>2.2000000000000002</v>
      </c>
      <c r="D131" s="44">
        <f t="shared" ref="D131:S138" si="23">C131</f>
        <v>2.2000000000000002</v>
      </c>
      <c r="E131" s="44">
        <f t="shared" si="23"/>
        <v>2.2000000000000002</v>
      </c>
      <c r="F131" s="44">
        <f t="shared" si="23"/>
        <v>2.2000000000000002</v>
      </c>
      <c r="G131" s="44">
        <f t="shared" si="23"/>
        <v>2.2000000000000002</v>
      </c>
      <c r="H131" s="44">
        <f t="shared" si="23"/>
        <v>2.2000000000000002</v>
      </c>
      <c r="I131" s="44">
        <f t="shared" si="23"/>
        <v>2.2000000000000002</v>
      </c>
      <c r="J131" s="44">
        <f t="shared" si="23"/>
        <v>2.2000000000000002</v>
      </c>
      <c r="K131" s="44">
        <f t="shared" si="23"/>
        <v>2.2000000000000002</v>
      </c>
      <c r="L131" s="44">
        <f t="shared" si="23"/>
        <v>2.2000000000000002</v>
      </c>
      <c r="M131" s="44">
        <f t="shared" si="23"/>
        <v>2.2000000000000002</v>
      </c>
      <c r="N131" s="44">
        <f t="shared" si="23"/>
        <v>2.2000000000000002</v>
      </c>
      <c r="O131" s="44">
        <f t="shared" si="23"/>
        <v>2.2000000000000002</v>
      </c>
      <c r="P131" s="44">
        <f t="shared" si="23"/>
        <v>2.2000000000000002</v>
      </c>
      <c r="Q131" s="44">
        <f t="shared" si="23"/>
        <v>2.2000000000000002</v>
      </c>
      <c r="R131" s="44">
        <f t="shared" si="23"/>
        <v>2.2000000000000002</v>
      </c>
      <c r="S131" s="44">
        <f t="shared" si="23"/>
        <v>2.2000000000000002</v>
      </c>
      <c r="T131" s="44">
        <f t="shared" ref="T131:AF138" si="24">S131</f>
        <v>2.2000000000000002</v>
      </c>
      <c r="U131" s="44">
        <f t="shared" si="24"/>
        <v>2.2000000000000002</v>
      </c>
      <c r="V131" s="44">
        <f t="shared" si="24"/>
        <v>2.2000000000000002</v>
      </c>
      <c r="W131" s="44">
        <f t="shared" si="24"/>
        <v>2.2000000000000002</v>
      </c>
      <c r="X131" s="44">
        <f t="shared" si="24"/>
        <v>2.2000000000000002</v>
      </c>
      <c r="Y131" s="44">
        <f t="shared" si="24"/>
        <v>2.2000000000000002</v>
      </c>
      <c r="Z131" s="44">
        <f t="shared" si="24"/>
        <v>2.2000000000000002</v>
      </c>
      <c r="AA131" s="44">
        <f t="shared" si="24"/>
        <v>2.2000000000000002</v>
      </c>
      <c r="AB131" s="44">
        <f t="shared" si="24"/>
        <v>2.2000000000000002</v>
      </c>
      <c r="AC131" s="44">
        <f t="shared" si="24"/>
        <v>2.2000000000000002</v>
      </c>
      <c r="AD131" s="44">
        <f t="shared" si="24"/>
        <v>2.2000000000000002</v>
      </c>
      <c r="AE131" s="44">
        <f t="shared" si="24"/>
        <v>2.2000000000000002</v>
      </c>
      <c r="AF131" s="44">
        <f t="shared" si="24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22"/>
        <v>2</v>
      </c>
      <c r="C132" s="55">
        <v>2</v>
      </c>
      <c r="D132" s="44">
        <f t="shared" si="23"/>
        <v>2</v>
      </c>
      <c r="E132" s="44">
        <f t="shared" si="23"/>
        <v>2</v>
      </c>
      <c r="F132" s="44">
        <f t="shared" si="23"/>
        <v>2</v>
      </c>
      <c r="G132" s="44">
        <f t="shared" si="23"/>
        <v>2</v>
      </c>
      <c r="H132" s="44">
        <f t="shared" si="23"/>
        <v>2</v>
      </c>
      <c r="I132" s="44">
        <f t="shared" si="23"/>
        <v>2</v>
      </c>
      <c r="J132" s="44">
        <f t="shared" si="23"/>
        <v>2</v>
      </c>
      <c r="K132" s="44">
        <f t="shared" si="23"/>
        <v>2</v>
      </c>
      <c r="L132" s="44">
        <f t="shared" si="23"/>
        <v>2</v>
      </c>
      <c r="M132" s="44">
        <f t="shared" si="23"/>
        <v>2</v>
      </c>
      <c r="N132" s="44">
        <f t="shared" si="23"/>
        <v>2</v>
      </c>
      <c r="O132" s="44">
        <f t="shared" si="23"/>
        <v>2</v>
      </c>
      <c r="P132" s="44">
        <f t="shared" si="23"/>
        <v>2</v>
      </c>
      <c r="Q132" s="44">
        <f t="shared" si="23"/>
        <v>2</v>
      </c>
      <c r="R132" s="44">
        <f t="shared" si="23"/>
        <v>2</v>
      </c>
      <c r="S132" s="44">
        <f t="shared" si="23"/>
        <v>2</v>
      </c>
      <c r="T132" s="44">
        <f t="shared" si="24"/>
        <v>2</v>
      </c>
      <c r="U132" s="44">
        <f t="shared" si="24"/>
        <v>2</v>
      </c>
      <c r="V132" s="44">
        <f t="shared" si="24"/>
        <v>2</v>
      </c>
      <c r="W132" s="44">
        <f t="shared" si="24"/>
        <v>2</v>
      </c>
      <c r="X132" s="44">
        <f t="shared" si="24"/>
        <v>2</v>
      </c>
      <c r="Y132" s="44">
        <f t="shared" si="24"/>
        <v>2</v>
      </c>
      <c r="Z132" s="44">
        <f t="shared" si="24"/>
        <v>2</v>
      </c>
      <c r="AA132" s="44">
        <f t="shared" si="24"/>
        <v>2</v>
      </c>
      <c r="AB132" s="44">
        <f t="shared" si="24"/>
        <v>2</v>
      </c>
      <c r="AC132" s="44">
        <f t="shared" si="24"/>
        <v>2</v>
      </c>
      <c r="AD132" s="44">
        <f t="shared" si="24"/>
        <v>2</v>
      </c>
      <c r="AE132" s="44">
        <f t="shared" si="24"/>
        <v>2</v>
      </c>
      <c r="AF132" s="44">
        <f t="shared" si="24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22"/>
        <v>1.25</v>
      </c>
      <c r="C133" s="55">
        <v>1.25</v>
      </c>
      <c r="D133" s="44">
        <f t="shared" si="23"/>
        <v>1.25</v>
      </c>
      <c r="E133" s="44">
        <f t="shared" si="23"/>
        <v>1.25</v>
      </c>
      <c r="F133" s="44">
        <f t="shared" si="23"/>
        <v>1.25</v>
      </c>
      <c r="G133" s="44">
        <f t="shared" si="23"/>
        <v>1.25</v>
      </c>
      <c r="H133" s="44">
        <f t="shared" si="23"/>
        <v>1.25</v>
      </c>
      <c r="I133" s="44">
        <f t="shared" si="23"/>
        <v>1.25</v>
      </c>
      <c r="J133" s="44">
        <f t="shared" si="23"/>
        <v>1.25</v>
      </c>
      <c r="K133" s="44">
        <f t="shared" si="23"/>
        <v>1.25</v>
      </c>
      <c r="L133" s="44">
        <f t="shared" si="23"/>
        <v>1.25</v>
      </c>
      <c r="M133" s="44">
        <f t="shared" si="23"/>
        <v>1.25</v>
      </c>
      <c r="N133" s="44">
        <f t="shared" si="23"/>
        <v>1.25</v>
      </c>
      <c r="O133" s="44">
        <f t="shared" si="23"/>
        <v>1.25</v>
      </c>
      <c r="P133" s="44">
        <f t="shared" si="23"/>
        <v>1.25</v>
      </c>
      <c r="Q133" s="44">
        <f t="shared" si="23"/>
        <v>1.25</v>
      </c>
      <c r="R133" s="44">
        <f t="shared" si="23"/>
        <v>1.25</v>
      </c>
      <c r="S133" s="44">
        <f t="shared" si="23"/>
        <v>1.25</v>
      </c>
      <c r="T133" s="44">
        <f t="shared" si="24"/>
        <v>1.25</v>
      </c>
      <c r="U133" s="44">
        <f t="shared" si="24"/>
        <v>1.25</v>
      </c>
      <c r="V133" s="44">
        <f t="shared" si="24"/>
        <v>1.25</v>
      </c>
      <c r="W133" s="44">
        <f t="shared" si="24"/>
        <v>1.25</v>
      </c>
      <c r="X133" s="44">
        <f t="shared" si="24"/>
        <v>1.25</v>
      </c>
      <c r="Y133" s="44">
        <f t="shared" si="24"/>
        <v>1.25</v>
      </c>
      <c r="Z133" s="44">
        <f t="shared" si="24"/>
        <v>1.25</v>
      </c>
      <c r="AA133" s="44">
        <f t="shared" si="24"/>
        <v>1.25</v>
      </c>
      <c r="AB133" s="44">
        <f t="shared" si="24"/>
        <v>1.25</v>
      </c>
      <c r="AC133" s="44">
        <f t="shared" si="24"/>
        <v>1.25</v>
      </c>
      <c r="AD133" s="44">
        <f t="shared" si="24"/>
        <v>1.25</v>
      </c>
      <c r="AE133" s="44">
        <f t="shared" si="24"/>
        <v>1.25</v>
      </c>
      <c r="AF133" s="44">
        <f t="shared" si="24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22"/>
        <v>1.1499999999999999</v>
      </c>
      <c r="C134" s="55">
        <v>1.1499999999999999</v>
      </c>
      <c r="D134" s="44">
        <f t="shared" si="23"/>
        <v>1.1499999999999999</v>
      </c>
      <c r="E134" s="44">
        <f t="shared" si="23"/>
        <v>1.1499999999999999</v>
      </c>
      <c r="F134" s="44">
        <f t="shared" si="23"/>
        <v>1.1499999999999999</v>
      </c>
      <c r="G134" s="44">
        <f t="shared" si="23"/>
        <v>1.1499999999999999</v>
      </c>
      <c r="H134" s="44">
        <f t="shared" si="23"/>
        <v>1.1499999999999999</v>
      </c>
      <c r="I134" s="44">
        <f t="shared" si="23"/>
        <v>1.1499999999999999</v>
      </c>
      <c r="J134" s="44">
        <f t="shared" si="23"/>
        <v>1.1499999999999999</v>
      </c>
      <c r="K134" s="44">
        <f t="shared" si="23"/>
        <v>1.1499999999999999</v>
      </c>
      <c r="L134" s="44">
        <f t="shared" si="23"/>
        <v>1.1499999999999999</v>
      </c>
      <c r="M134" s="44">
        <f t="shared" si="23"/>
        <v>1.1499999999999999</v>
      </c>
      <c r="N134" s="44">
        <f t="shared" si="23"/>
        <v>1.1499999999999999</v>
      </c>
      <c r="O134" s="44">
        <f t="shared" si="23"/>
        <v>1.1499999999999999</v>
      </c>
      <c r="P134" s="44">
        <f t="shared" si="23"/>
        <v>1.1499999999999999</v>
      </c>
      <c r="Q134" s="44">
        <f t="shared" si="23"/>
        <v>1.1499999999999999</v>
      </c>
      <c r="R134" s="44">
        <f t="shared" si="23"/>
        <v>1.1499999999999999</v>
      </c>
      <c r="S134" s="44">
        <f t="shared" si="23"/>
        <v>1.1499999999999999</v>
      </c>
      <c r="T134" s="44">
        <f t="shared" si="24"/>
        <v>1.1499999999999999</v>
      </c>
      <c r="U134" s="44">
        <f t="shared" si="24"/>
        <v>1.1499999999999999</v>
      </c>
      <c r="V134" s="44">
        <f t="shared" si="24"/>
        <v>1.1499999999999999</v>
      </c>
      <c r="W134" s="44">
        <f t="shared" si="24"/>
        <v>1.1499999999999999</v>
      </c>
      <c r="X134" s="44">
        <f t="shared" si="24"/>
        <v>1.1499999999999999</v>
      </c>
      <c r="Y134" s="44">
        <f t="shared" si="24"/>
        <v>1.1499999999999999</v>
      </c>
      <c r="Z134" s="44">
        <f t="shared" si="24"/>
        <v>1.1499999999999999</v>
      </c>
      <c r="AA134" s="44">
        <f t="shared" si="24"/>
        <v>1.1499999999999999</v>
      </c>
      <c r="AB134" s="44">
        <f t="shared" si="24"/>
        <v>1.1499999999999999</v>
      </c>
      <c r="AC134" s="44">
        <f t="shared" si="24"/>
        <v>1.1499999999999999</v>
      </c>
      <c r="AD134" s="44">
        <f t="shared" si="24"/>
        <v>1.1499999999999999</v>
      </c>
      <c r="AE134" s="44">
        <f t="shared" si="24"/>
        <v>1.1499999999999999</v>
      </c>
      <c r="AF134" s="44">
        <f t="shared" si="24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22"/>
        <v>2.133</v>
      </c>
      <c r="C135" s="55">
        <v>2.133</v>
      </c>
      <c r="D135" s="44">
        <f t="shared" si="23"/>
        <v>2.133</v>
      </c>
      <c r="E135" s="44">
        <f t="shared" si="23"/>
        <v>2.133</v>
      </c>
      <c r="F135" s="44">
        <f t="shared" si="23"/>
        <v>2.133</v>
      </c>
      <c r="G135" s="44">
        <f t="shared" si="23"/>
        <v>2.133</v>
      </c>
      <c r="H135" s="44">
        <f t="shared" si="23"/>
        <v>2.133</v>
      </c>
      <c r="I135" s="44">
        <f t="shared" si="23"/>
        <v>2.133</v>
      </c>
      <c r="J135" s="44">
        <f t="shared" si="23"/>
        <v>2.133</v>
      </c>
      <c r="K135" s="44">
        <f t="shared" si="23"/>
        <v>2.133</v>
      </c>
      <c r="L135" s="44">
        <f t="shared" si="23"/>
        <v>2.133</v>
      </c>
      <c r="M135" s="44">
        <f t="shared" si="23"/>
        <v>2.133</v>
      </c>
      <c r="N135" s="44">
        <f t="shared" si="23"/>
        <v>2.133</v>
      </c>
      <c r="O135" s="44">
        <f t="shared" si="23"/>
        <v>2.133</v>
      </c>
      <c r="P135" s="44">
        <f t="shared" si="23"/>
        <v>2.133</v>
      </c>
      <c r="Q135" s="44">
        <f t="shared" si="23"/>
        <v>2.133</v>
      </c>
      <c r="R135" s="44">
        <f t="shared" si="23"/>
        <v>2.133</v>
      </c>
      <c r="S135" s="44">
        <f t="shared" si="23"/>
        <v>2.133</v>
      </c>
      <c r="T135" s="44">
        <f t="shared" si="24"/>
        <v>2.133</v>
      </c>
      <c r="U135" s="44">
        <f t="shared" si="24"/>
        <v>2.133</v>
      </c>
      <c r="V135" s="44">
        <f t="shared" si="24"/>
        <v>2.133</v>
      </c>
      <c r="W135" s="44">
        <f t="shared" si="24"/>
        <v>2.133</v>
      </c>
      <c r="X135" s="44">
        <f t="shared" si="24"/>
        <v>2.133</v>
      </c>
      <c r="Y135" s="44">
        <f t="shared" si="24"/>
        <v>2.133</v>
      </c>
      <c r="Z135" s="44">
        <f t="shared" si="24"/>
        <v>2.133</v>
      </c>
      <c r="AA135" s="44">
        <f t="shared" si="24"/>
        <v>2.133</v>
      </c>
      <c r="AB135" s="44">
        <f t="shared" si="24"/>
        <v>2.133</v>
      </c>
      <c r="AC135" s="44">
        <f t="shared" si="24"/>
        <v>2.133</v>
      </c>
      <c r="AD135" s="44">
        <f t="shared" si="24"/>
        <v>2.133</v>
      </c>
      <c r="AE135" s="44">
        <f t="shared" si="24"/>
        <v>2.133</v>
      </c>
      <c r="AF135" s="44">
        <f t="shared" si="24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22"/>
        <v>2.09</v>
      </c>
      <c r="C136" s="55">
        <v>2.09</v>
      </c>
      <c r="D136" s="44">
        <f t="shared" si="23"/>
        <v>2.09</v>
      </c>
      <c r="E136" s="44">
        <f t="shared" si="23"/>
        <v>2.09</v>
      </c>
      <c r="F136" s="44">
        <f t="shared" si="23"/>
        <v>2.09</v>
      </c>
      <c r="G136" s="44">
        <f t="shared" si="23"/>
        <v>2.09</v>
      </c>
      <c r="H136" s="44">
        <f t="shared" si="23"/>
        <v>2.09</v>
      </c>
      <c r="I136" s="44">
        <f t="shared" si="23"/>
        <v>2.09</v>
      </c>
      <c r="J136" s="44">
        <f t="shared" si="23"/>
        <v>2.09</v>
      </c>
      <c r="K136" s="44">
        <f t="shared" si="23"/>
        <v>2.09</v>
      </c>
      <c r="L136" s="44">
        <f t="shared" si="23"/>
        <v>2.09</v>
      </c>
      <c r="M136" s="44">
        <f t="shared" si="23"/>
        <v>2.09</v>
      </c>
      <c r="N136" s="44">
        <f t="shared" si="23"/>
        <v>2.09</v>
      </c>
      <c r="O136" s="44">
        <f t="shared" si="23"/>
        <v>2.09</v>
      </c>
      <c r="P136" s="44">
        <f t="shared" si="23"/>
        <v>2.09</v>
      </c>
      <c r="Q136" s="44">
        <f t="shared" si="23"/>
        <v>2.09</v>
      </c>
      <c r="R136" s="44">
        <f t="shared" si="23"/>
        <v>2.09</v>
      </c>
      <c r="S136" s="44">
        <f t="shared" si="23"/>
        <v>2.09</v>
      </c>
      <c r="T136" s="44">
        <f t="shared" si="24"/>
        <v>2.09</v>
      </c>
      <c r="U136" s="44">
        <f t="shared" si="24"/>
        <v>2.09</v>
      </c>
      <c r="V136" s="44">
        <f t="shared" si="24"/>
        <v>2.09</v>
      </c>
      <c r="W136" s="44">
        <f t="shared" si="24"/>
        <v>2.09</v>
      </c>
      <c r="X136" s="44">
        <f t="shared" si="24"/>
        <v>2.09</v>
      </c>
      <c r="Y136" s="44">
        <f t="shared" si="24"/>
        <v>2.09</v>
      </c>
      <c r="Z136" s="44">
        <f t="shared" si="24"/>
        <v>2.09</v>
      </c>
      <c r="AA136" s="44">
        <f t="shared" si="24"/>
        <v>2.09</v>
      </c>
      <c r="AB136" s="44">
        <f t="shared" si="24"/>
        <v>2.09</v>
      </c>
      <c r="AC136" s="44">
        <f t="shared" si="24"/>
        <v>2.09</v>
      </c>
      <c r="AD136" s="44">
        <f t="shared" si="24"/>
        <v>2.09</v>
      </c>
      <c r="AE136" s="44">
        <f t="shared" si="24"/>
        <v>2.09</v>
      </c>
      <c r="AF136" s="44">
        <f t="shared" si="24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22"/>
        <v>1.1399999999999999</v>
      </c>
      <c r="C137" s="55">
        <v>1.1399999999999999</v>
      </c>
      <c r="D137" s="44">
        <f t="shared" si="23"/>
        <v>1.1399999999999999</v>
      </c>
      <c r="E137" s="44">
        <f t="shared" si="23"/>
        <v>1.1399999999999999</v>
      </c>
      <c r="F137" s="44">
        <f t="shared" si="23"/>
        <v>1.1399999999999999</v>
      </c>
      <c r="G137" s="44">
        <f t="shared" si="23"/>
        <v>1.1399999999999999</v>
      </c>
      <c r="H137" s="44">
        <f t="shared" si="23"/>
        <v>1.1399999999999999</v>
      </c>
      <c r="I137" s="44">
        <f t="shared" si="23"/>
        <v>1.1399999999999999</v>
      </c>
      <c r="J137" s="44">
        <f t="shared" si="23"/>
        <v>1.1399999999999999</v>
      </c>
      <c r="K137" s="44">
        <f t="shared" si="23"/>
        <v>1.1399999999999999</v>
      </c>
      <c r="L137" s="44">
        <f t="shared" si="23"/>
        <v>1.1399999999999999</v>
      </c>
      <c r="M137" s="44">
        <f t="shared" si="23"/>
        <v>1.1399999999999999</v>
      </c>
      <c r="N137" s="44">
        <f t="shared" si="23"/>
        <v>1.1399999999999999</v>
      </c>
      <c r="O137" s="44">
        <f t="shared" si="23"/>
        <v>1.1399999999999999</v>
      </c>
      <c r="P137" s="44">
        <f t="shared" si="23"/>
        <v>1.1399999999999999</v>
      </c>
      <c r="Q137" s="44">
        <f t="shared" si="23"/>
        <v>1.1399999999999999</v>
      </c>
      <c r="R137" s="44">
        <f t="shared" si="23"/>
        <v>1.1399999999999999</v>
      </c>
      <c r="S137" s="44">
        <f t="shared" si="23"/>
        <v>1.1399999999999999</v>
      </c>
      <c r="T137" s="44">
        <f t="shared" si="24"/>
        <v>1.1399999999999999</v>
      </c>
      <c r="U137" s="44">
        <f t="shared" si="24"/>
        <v>1.1399999999999999</v>
      </c>
      <c r="V137" s="44">
        <f t="shared" si="24"/>
        <v>1.1399999999999999</v>
      </c>
      <c r="W137" s="44">
        <f t="shared" si="24"/>
        <v>1.1399999999999999</v>
      </c>
      <c r="X137" s="44">
        <f t="shared" si="24"/>
        <v>1.1399999999999999</v>
      </c>
      <c r="Y137" s="44">
        <f t="shared" si="24"/>
        <v>1.1399999999999999</v>
      </c>
      <c r="Z137" s="44">
        <f t="shared" si="24"/>
        <v>1.1399999999999999</v>
      </c>
      <c r="AA137" s="44">
        <f t="shared" si="24"/>
        <v>1.1399999999999999</v>
      </c>
      <c r="AB137" s="44">
        <f t="shared" si="24"/>
        <v>1.1399999999999999</v>
      </c>
      <c r="AC137" s="44">
        <f t="shared" si="24"/>
        <v>1.1399999999999999</v>
      </c>
      <c r="AD137" s="44">
        <f t="shared" si="24"/>
        <v>1.1399999999999999</v>
      </c>
      <c r="AE137" s="44">
        <f t="shared" si="24"/>
        <v>1.1399999999999999</v>
      </c>
      <c r="AF137" s="44">
        <f t="shared" si="24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22"/>
        <v>0.82</v>
      </c>
      <c r="C138" s="55">
        <v>0.82</v>
      </c>
      <c r="D138" s="44">
        <f t="shared" si="23"/>
        <v>0.82</v>
      </c>
      <c r="E138" s="44">
        <f t="shared" si="23"/>
        <v>0.82</v>
      </c>
      <c r="F138" s="44">
        <f t="shared" si="23"/>
        <v>0.82</v>
      </c>
      <c r="G138" s="44">
        <f t="shared" si="23"/>
        <v>0.82</v>
      </c>
      <c r="H138" s="44">
        <f t="shared" si="23"/>
        <v>0.82</v>
      </c>
      <c r="I138" s="44">
        <f t="shared" si="23"/>
        <v>0.82</v>
      </c>
      <c r="J138" s="44">
        <f t="shared" si="23"/>
        <v>0.82</v>
      </c>
      <c r="K138" s="44">
        <f t="shared" si="23"/>
        <v>0.82</v>
      </c>
      <c r="L138" s="44">
        <f t="shared" si="23"/>
        <v>0.82</v>
      </c>
      <c r="M138" s="44">
        <f t="shared" si="23"/>
        <v>0.82</v>
      </c>
      <c r="N138" s="44">
        <f t="shared" si="23"/>
        <v>0.82</v>
      </c>
      <c r="O138" s="44">
        <f t="shared" si="23"/>
        <v>0.82</v>
      </c>
      <c r="P138" s="44">
        <f t="shared" si="23"/>
        <v>0.82</v>
      </c>
      <c r="Q138" s="44">
        <f t="shared" si="23"/>
        <v>0.82</v>
      </c>
      <c r="R138" s="44">
        <f t="shared" si="23"/>
        <v>0.82</v>
      </c>
      <c r="S138" s="44">
        <f t="shared" si="23"/>
        <v>0.82</v>
      </c>
      <c r="T138" s="44">
        <f t="shared" si="24"/>
        <v>0.82</v>
      </c>
      <c r="U138" s="44">
        <f t="shared" si="24"/>
        <v>0.82</v>
      </c>
      <c r="V138" s="44">
        <f t="shared" si="24"/>
        <v>0.82</v>
      </c>
      <c r="W138" s="44">
        <f t="shared" si="24"/>
        <v>0.82</v>
      </c>
      <c r="X138" s="44">
        <f t="shared" si="24"/>
        <v>0.82</v>
      </c>
      <c r="Y138" s="44">
        <f t="shared" si="24"/>
        <v>0.82</v>
      </c>
      <c r="Z138" s="44">
        <f t="shared" si="24"/>
        <v>0.82</v>
      </c>
      <c r="AA138" s="44">
        <f t="shared" si="24"/>
        <v>0.82</v>
      </c>
      <c r="AB138" s="44">
        <f t="shared" si="24"/>
        <v>0.82</v>
      </c>
      <c r="AC138" s="44">
        <f t="shared" si="24"/>
        <v>0.82</v>
      </c>
      <c r="AD138" s="44">
        <f t="shared" si="24"/>
        <v>0.82</v>
      </c>
      <c r="AE138" s="44">
        <f t="shared" si="24"/>
        <v>0.82</v>
      </c>
      <c r="AF138" s="44">
        <f t="shared" si="24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25">AF140</f>
        <v>2</v>
      </c>
      <c r="C140" s="55">
        <v>2</v>
      </c>
      <c r="D140" s="44">
        <f t="shared" ref="D140:S146" si="26">C140</f>
        <v>2</v>
      </c>
      <c r="E140" s="44">
        <f t="shared" si="26"/>
        <v>2</v>
      </c>
      <c r="F140" s="44">
        <f t="shared" si="26"/>
        <v>2</v>
      </c>
      <c r="G140" s="44">
        <f t="shared" si="26"/>
        <v>2</v>
      </c>
      <c r="H140" s="44">
        <f t="shared" si="26"/>
        <v>2</v>
      </c>
      <c r="I140" s="44">
        <f t="shared" si="26"/>
        <v>2</v>
      </c>
      <c r="J140" s="44">
        <f t="shared" si="26"/>
        <v>2</v>
      </c>
      <c r="K140" s="44">
        <f t="shared" si="26"/>
        <v>2</v>
      </c>
      <c r="L140" s="44">
        <f t="shared" si="26"/>
        <v>2</v>
      </c>
      <c r="M140" s="44">
        <f t="shared" si="26"/>
        <v>2</v>
      </c>
      <c r="N140" s="44">
        <f t="shared" si="26"/>
        <v>2</v>
      </c>
      <c r="O140" s="44">
        <f t="shared" si="26"/>
        <v>2</v>
      </c>
      <c r="P140" s="44">
        <f t="shared" si="26"/>
        <v>2</v>
      </c>
      <c r="Q140" s="44">
        <f t="shared" si="26"/>
        <v>2</v>
      </c>
      <c r="R140" s="44">
        <f t="shared" si="26"/>
        <v>2</v>
      </c>
      <c r="S140" s="44">
        <f t="shared" si="26"/>
        <v>2</v>
      </c>
      <c r="T140" s="44">
        <f t="shared" ref="T140:AF146" si="27">S140</f>
        <v>2</v>
      </c>
      <c r="U140" s="44">
        <f t="shared" si="27"/>
        <v>2</v>
      </c>
      <c r="V140" s="44">
        <f t="shared" si="27"/>
        <v>2</v>
      </c>
      <c r="W140" s="44">
        <f t="shared" si="27"/>
        <v>2</v>
      </c>
      <c r="X140" s="44">
        <f t="shared" si="27"/>
        <v>2</v>
      </c>
      <c r="Y140" s="44">
        <f t="shared" si="27"/>
        <v>2</v>
      </c>
      <c r="Z140" s="44">
        <f t="shared" si="27"/>
        <v>2</v>
      </c>
      <c r="AA140" s="44">
        <f t="shared" si="27"/>
        <v>2</v>
      </c>
      <c r="AB140" s="44">
        <f t="shared" si="27"/>
        <v>2</v>
      </c>
      <c r="AC140" s="44">
        <f t="shared" si="27"/>
        <v>2</v>
      </c>
      <c r="AD140" s="44">
        <f t="shared" si="27"/>
        <v>2</v>
      </c>
      <c r="AE140" s="44">
        <f t="shared" si="27"/>
        <v>2</v>
      </c>
      <c r="AF140" s="44">
        <f t="shared" si="27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25"/>
        <v>5.61</v>
      </c>
      <c r="C141" s="55">
        <v>5.61</v>
      </c>
      <c r="D141" s="44">
        <f t="shared" si="26"/>
        <v>5.61</v>
      </c>
      <c r="E141" s="44">
        <f t="shared" si="26"/>
        <v>5.61</v>
      </c>
      <c r="F141" s="44">
        <f t="shared" si="26"/>
        <v>5.61</v>
      </c>
      <c r="G141" s="44">
        <f t="shared" si="26"/>
        <v>5.61</v>
      </c>
      <c r="H141" s="44">
        <f t="shared" si="26"/>
        <v>5.61</v>
      </c>
      <c r="I141" s="44">
        <f t="shared" si="26"/>
        <v>5.61</v>
      </c>
      <c r="J141" s="44">
        <f t="shared" si="26"/>
        <v>5.61</v>
      </c>
      <c r="K141" s="44">
        <f t="shared" si="26"/>
        <v>5.61</v>
      </c>
      <c r="L141" s="44">
        <f t="shared" si="26"/>
        <v>5.61</v>
      </c>
      <c r="M141" s="44">
        <f t="shared" si="26"/>
        <v>5.61</v>
      </c>
      <c r="N141" s="44">
        <f t="shared" si="26"/>
        <v>5.61</v>
      </c>
      <c r="O141" s="44">
        <f t="shared" si="26"/>
        <v>5.61</v>
      </c>
      <c r="P141" s="44">
        <f t="shared" si="26"/>
        <v>5.61</v>
      </c>
      <c r="Q141" s="44">
        <f t="shared" si="26"/>
        <v>5.61</v>
      </c>
      <c r="R141" s="44">
        <f t="shared" si="26"/>
        <v>5.61</v>
      </c>
      <c r="S141" s="44">
        <f t="shared" si="26"/>
        <v>5.61</v>
      </c>
      <c r="T141" s="44">
        <f t="shared" si="27"/>
        <v>5.61</v>
      </c>
      <c r="U141" s="44">
        <f t="shared" si="27"/>
        <v>5.61</v>
      </c>
      <c r="V141" s="44">
        <f t="shared" si="27"/>
        <v>5.61</v>
      </c>
      <c r="W141" s="44">
        <f t="shared" si="27"/>
        <v>5.61</v>
      </c>
      <c r="X141" s="44">
        <f t="shared" si="27"/>
        <v>5.61</v>
      </c>
      <c r="Y141" s="44">
        <f t="shared" si="27"/>
        <v>5.61</v>
      </c>
      <c r="Z141" s="44">
        <f t="shared" si="27"/>
        <v>5.61</v>
      </c>
      <c r="AA141" s="44">
        <f t="shared" si="27"/>
        <v>5.61</v>
      </c>
      <c r="AB141" s="44">
        <f t="shared" si="27"/>
        <v>5.61</v>
      </c>
      <c r="AC141" s="44">
        <f t="shared" si="27"/>
        <v>5.61</v>
      </c>
      <c r="AD141" s="44">
        <f t="shared" si="27"/>
        <v>5.61</v>
      </c>
      <c r="AE141" s="44">
        <f t="shared" si="27"/>
        <v>5.61</v>
      </c>
      <c r="AF141" s="44">
        <f t="shared" si="27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25"/>
        <v>1.25</v>
      </c>
      <c r="C142" s="55">
        <v>1.25</v>
      </c>
      <c r="D142" s="44">
        <f t="shared" si="26"/>
        <v>1.25</v>
      </c>
      <c r="E142" s="44">
        <f t="shared" si="26"/>
        <v>1.25</v>
      </c>
      <c r="F142" s="44">
        <f t="shared" si="26"/>
        <v>1.25</v>
      </c>
      <c r="G142" s="44">
        <f t="shared" si="26"/>
        <v>1.25</v>
      </c>
      <c r="H142" s="44">
        <f t="shared" si="26"/>
        <v>1.25</v>
      </c>
      <c r="I142" s="44">
        <f t="shared" si="26"/>
        <v>1.25</v>
      </c>
      <c r="J142" s="44">
        <f t="shared" si="26"/>
        <v>1.25</v>
      </c>
      <c r="K142" s="44">
        <f t="shared" si="26"/>
        <v>1.25</v>
      </c>
      <c r="L142" s="44">
        <f t="shared" si="26"/>
        <v>1.25</v>
      </c>
      <c r="M142" s="44">
        <f t="shared" si="26"/>
        <v>1.25</v>
      </c>
      <c r="N142" s="44">
        <f t="shared" si="26"/>
        <v>1.25</v>
      </c>
      <c r="O142" s="44">
        <f t="shared" si="26"/>
        <v>1.25</v>
      </c>
      <c r="P142" s="44">
        <f t="shared" si="26"/>
        <v>1.25</v>
      </c>
      <c r="Q142" s="44">
        <f t="shared" si="26"/>
        <v>1.25</v>
      </c>
      <c r="R142" s="44">
        <f t="shared" si="26"/>
        <v>1.25</v>
      </c>
      <c r="S142" s="44">
        <f t="shared" si="26"/>
        <v>1.25</v>
      </c>
      <c r="T142" s="44">
        <f t="shared" si="27"/>
        <v>1.25</v>
      </c>
      <c r="U142" s="44">
        <f t="shared" si="27"/>
        <v>1.25</v>
      </c>
      <c r="V142" s="44">
        <f t="shared" si="27"/>
        <v>1.25</v>
      </c>
      <c r="W142" s="44">
        <f t="shared" si="27"/>
        <v>1.25</v>
      </c>
      <c r="X142" s="44">
        <f t="shared" si="27"/>
        <v>1.25</v>
      </c>
      <c r="Y142" s="44">
        <f t="shared" si="27"/>
        <v>1.25</v>
      </c>
      <c r="Z142" s="44">
        <f t="shared" si="27"/>
        <v>1.25</v>
      </c>
      <c r="AA142" s="44">
        <f t="shared" si="27"/>
        <v>1.25</v>
      </c>
      <c r="AB142" s="44">
        <f t="shared" si="27"/>
        <v>1.25</v>
      </c>
      <c r="AC142" s="44">
        <f t="shared" si="27"/>
        <v>1.25</v>
      </c>
      <c r="AD142" s="44">
        <f t="shared" si="27"/>
        <v>1.25</v>
      </c>
      <c r="AE142" s="44">
        <f t="shared" si="27"/>
        <v>1.25</v>
      </c>
      <c r="AF142" s="44">
        <f t="shared" si="27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25"/>
        <v>1.25</v>
      </c>
      <c r="C143" s="55">
        <v>1.25</v>
      </c>
      <c r="D143" s="44">
        <f t="shared" si="26"/>
        <v>1.25</v>
      </c>
      <c r="E143" s="44">
        <f t="shared" si="26"/>
        <v>1.25</v>
      </c>
      <c r="F143" s="44">
        <f t="shared" si="26"/>
        <v>1.25</v>
      </c>
      <c r="G143" s="44">
        <f t="shared" si="26"/>
        <v>1.25</v>
      </c>
      <c r="H143" s="44">
        <f t="shared" si="26"/>
        <v>1.25</v>
      </c>
      <c r="I143" s="44">
        <f t="shared" si="26"/>
        <v>1.25</v>
      </c>
      <c r="J143" s="44">
        <f t="shared" si="26"/>
        <v>1.25</v>
      </c>
      <c r="K143" s="44">
        <f t="shared" si="26"/>
        <v>1.25</v>
      </c>
      <c r="L143" s="44">
        <f t="shared" si="26"/>
        <v>1.25</v>
      </c>
      <c r="M143" s="44">
        <f t="shared" si="26"/>
        <v>1.25</v>
      </c>
      <c r="N143" s="44">
        <f t="shared" si="26"/>
        <v>1.25</v>
      </c>
      <c r="O143" s="44">
        <f t="shared" si="26"/>
        <v>1.25</v>
      </c>
      <c r="P143" s="44">
        <f t="shared" si="26"/>
        <v>1.25</v>
      </c>
      <c r="Q143" s="44">
        <f t="shared" si="26"/>
        <v>1.25</v>
      </c>
      <c r="R143" s="44">
        <f t="shared" si="26"/>
        <v>1.25</v>
      </c>
      <c r="S143" s="44">
        <f t="shared" si="26"/>
        <v>1.25</v>
      </c>
      <c r="T143" s="44">
        <f t="shared" si="27"/>
        <v>1.25</v>
      </c>
      <c r="U143" s="44">
        <f t="shared" si="27"/>
        <v>1.25</v>
      </c>
      <c r="V143" s="44">
        <f t="shared" si="27"/>
        <v>1.25</v>
      </c>
      <c r="W143" s="44">
        <f t="shared" si="27"/>
        <v>1.25</v>
      </c>
      <c r="X143" s="44">
        <f t="shared" si="27"/>
        <v>1.25</v>
      </c>
      <c r="Y143" s="44">
        <f t="shared" si="27"/>
        <v>1.25</v>
      </c>
      <c r="Z143" s="44">
        <f t="shared" si="27"/>
        <v>1.25</v>
      </c>
      <c r="AA143" s="44">
        <f t="shared" si="27"/>
        <v>1.25</v>
      </c>
      <c r="AB143" s="44">
        <f t="shared" si="27"/>
        <v>1.25</v>
      </c>
      <c r="AC143" s="44">
        <f t="shared" si="27"/>
        <v>1.25</v>
      </c>
      <c r="AD143" s="44">
        <f t="shared" si="27"/>
        <v>1.25</v>
      </c>
      <c r="AE143" s="44">
        <f t="shared" si="27"/>
        <v>1.25</v>
      </c>
      <c r="AF143" s="44">
        <f t="shared" si="27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25"/>
        <v>1.46</v>
      </c>
      <c r="C144" s="55">
        <v>1.46</v>
      </c>
      <c r="D144" s="44">
        <f t="shared" si="26"/>
        <v>1.46</v>
      </c>
      <c r="E144" s="44">
        <f t="shared" si="26"/>
        <v>1.46</v>
      </c>
      <c r="F144" s="44">
        <f t="shared" si="26"/>
        <v>1.46</v>
      </c>
      <c r="G144" s="44">
        <f t="shared" si="26"/>
        <v>1.46</v>
      </c>
      <c r="H144" s="44">
        <f t="shared" si="26"/>
        <v>1.46</v>
      </c>
      <c r="I144" s="44">
        <f t="shared" si="26"/>
        <v>1.46</v>
      </c>
      <c r="J144" s="44">
        <f t="shared" si="26"/>
        <v>1.46</v>
      </c>
      <c r="K144" s="44">
        <f t="shared" si="26"/>
        <v>1.46</v>
      </c>
      <c r="L144" s="44">
        <f t="shared" si="26"/>
        <v>1.46</v>
      </c>
      <c r="M144" s="44">
        <f t="shared" si="26"/>
        <v>1.46</v>
      </c>
      <c r="N144" s="44">
        <f t="shared" si="26"/>
        <v>1.46</v>
      </c>
      <c r="O144" s="44">
        <f t="shared" si="26"/>
        <v>1.46</v>
      </c>
      <c r="P144" s="44">
        <f t="shared" si="26"/>
        <v>1.46</v>
      </c>
      <c r="Q144" s="44">
        <f t="shared" si="26"/>
        <v>1.46</v>
      </c>
      <c r="R144" s="44">
        <f t="shared" si="26"/>
        <v>1.46</v>
      </c>
      <c r="S144" s="44">
        <f t="shared" si="26"/>
        <v>1.46</v>
      </c>
      <c r="T144" s="44">
        <f t="shared" si="27"/>
        <v>1.46</v>
      </c>
      <c r="U144" s="44">
        <f t="shared" si="27"/>
        <v>1.46</v>
      </c>
      <c r="V144" s="44">
        <f t="shared" si="27"/>
        <v>1.46</v>
      </c>
      <c r="W144" s="44">
        <f t="shared" si="27"/>
        <v>1.46</v>
      </c>
      <c r="X144" s="44">
        <f t="shared" si="27"/>
        <v>1.46</v>
      </c>
      <c r="Y144" s="44">
        <f t="shared" si="27"/>
        <v>1.46</v>
      </c>
      <c r="Z144" s="44">
        <f t="shared" si="27"/>
        <v>1.46</v>
      </c>
      <c r="AA144" s="44">
        <f t="shared" si="27"/>
        <v>1.46</v>
      </c>
      <c r="AB144" s="44">
        <f t="shared" si="27"/>
        <v>1.46</v>
      </c>
      <c r="AC144" s="44">
        <f t="shared" si="27"/>
        <v>1.46</v>
      </c>
      <c r="AD144" s="44">
        <f t="shared" si="27"/>
        <v>1.46</v>
      </c>
      <c r="AE144" s="44">
        <f t="shared" si="27"/>
        <v>1.46</v>
      </c>
      <c r="AF144" s="44">
        <f t="shared" si="27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25"/>
        <v>3</v>
      </c>
      <c r="C145" s="55">
        <v>3</v>
      </c>
      <c r="D145" s="44">
        <f t="shared" si="26"/>
        <v>3</v>
      </c>
      <c r="E145" s="44">
        <f t="shared" si="26"/>
        <v>3</v>
      </c>
      <c r="F145" s="44">
        <f t="shared" si="26"/>
        <v>3</v>
      </c>
      <c r="G145" s="44">
        <f t="shared" si="26"/>
        <v>3</v>
      </c>
      <c r="H145" s="44">
        <f t="shared" si="26"/>
        <v>3</v>
      </c>
      <c r="I145" s="44">
        <f t="shared" si="26"/>
        <v>3</v>
      </c>
      <c r="J145" s="44">
        <f t="shared" si="26"/>
        <v>3</v>
      </c>
      <c r="K145" s="44">
        <f t="shared" si="26"/>
        <v>3</v>
      </c>
      <c r="L145" s="44">
        <f t="shared" si="26"/>
        <v>3</v>
      </c>
      <c r="M145" s="44">
        <f t="shared" si="26"/>
        <v>3</v>
      </c>
      <c r="N145" s="44">
        <f t="shared" si="26"/>
        <v>3</v>
      </c>
      <c r="O145" s="44">
        <f t="shared" si="26"/>
        <v>3</v>
      </c>
      <c r="P145" s="44">
        <f t="shared" si="26"/>
        <v>3</v>
      </c>
      <c r="Q145" s="44">
        <f t="shared" si="26"/>
        <v>3</v>
      </c>
      <c r="R145" s="44">
        <f t="shared" si="26"/>
        <v>3</v>
      </c>
      <c r="S145" s="44">
        <f t="shared" si="26"/>
        <v>3</v>
      </c>
      <c r="T145" s="44">
        <f t="shared" si="27"/>
        <v>3</v>
      </c>
      <c r="U145" s="44">
        <f t="shared" si="27"/>
        <v>3</v>
      </c>
      <c r="V145" s="44">
        <f t="shared" si="27"/>
        <v>3</v>
      </c>
      <c r="W145" s="44">
        <f t="shared" si="27"/>
        <v>3</v>
      </c>
      <c r="X145" s="44">
        <f t="shared" si="27"/>
        <v>3</v>
      </c>
      <c r="Y145" s="44">
        <f t="shared" si="27"/>
        <v>3</v>
      </c>
      <c r="Z145" s="44">
        <f t="shared" si="27"/>
        <v>3</v>
      </c>
      <c r="AA145" s="44">
        <f t="shared" si="27"/>
        <v>3</v>
      </c>
      <c r="AB145" s="44">
        <f t="shared" si="27"/>
        <v>3</v>
      </c>
      <c r="AC145" s="44">
        <f t="shared" si="27"/>
        <v>3</v>
      </c>
      <c r="AD145" s="44">
        <f t="shared" si="27"/>
        <v>3</v>
      </c>
      <c r="AE145" s="44">
        <f t="shared" si="27"/>
        <v>3</v>
      </c>
      <c r="AF145" s="44">
        <f t="shared" si="27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25"/>
        <v>3.3</v>
      </c>
      <c r="C146" s="55">
        <v>3.3</v>
      </c>
      <c r="D146" s="44">
        <f t="shared" si="26"/>
        <v>3.3</v>
      </c>
      <c r="E146" s="44">
        <f t="shared" si="26"/>
        <v>3.3</v>
      </c>
      <c r="F146" s="44">
        <f t="shared" si="26"/>
        <v>3.3</v>
      </c>
      <c r="G146" s="44">
        <f t="shared" si="26"/>
        <v>3.3</v>
      </c>
      <c r="H146" s="44">
        <f t="shared" si="26"/>
        <v>3.3</v>
      </c>
      <c r="I146" s="44">
        <f t="shared" si="26"/>
        <v>3.3</v>
      </c>
      <c r="J146" s="44">
        <f t="shared" si="26"/>
        <v>3.3</v>
      </c>
      <c r="K146" s="44">
        <f t="shared" si="26"/>
        <v>3.3</v>
      </c>
      <c r="L146" s="44">
        <f t="shared" si="26"/>
        <v>3.3</v>
      </c>
      <c r="M146" s="44">
        <f t="shared" si="26"/>
        <v>3.3</v>
      </c>
      <c r="N146" s="44">
        <f t="shared" si="26"/>
        <v>3.3</v>
      </c>
      <c r="O146" s="44">
        <f t="shared" si="26"/>
        <v>3.3</v>
      </c>
      <c r="P146" s="44">
        <f t="shared" si="26"/>
        <v>3.3</v>
      </c>
      <c r="Q146" s="44">
        <f t="shared" si="26"/>
        <v>3.3</v>
      </c>
      <c r="R146" s="44">
        <f t="shared" si="26"/>
        <v>3.3</v>
      </c>
      <c r="S146" s="44">
        <f t="shared" si="26"/>
        <v>3.3</v>
      </c>
      <c r="T146" s="44">
        <f t="shared" si="27"/>
        <v>3.3</v>
      </c>
      <c r="U146" s="44">
        <f t="shared" si="27"/>
        <v>3.3</v>
      </c>
      <c r="V146" s="44">
        <f t="shared" si="27"/>
        <v>3.3</v>
      </c>
      <c r="W146" s="44">
        <f t="shared" si="27"/>
        <v>3.3</v>
      </c>
      <c r="X146" s="44">
        <f t="shared" si="27"/>
        <v>3.3</v>
      </c>
      <c r="Y146" s="44">
        <f t="shared" si="27"/>
        <v>3.3</v>
      </c>
      <c r="Z146" s="44">
        <f t="shared" si="27"/>
        <v>3.3</v>
      </c>
      <c r="AA146" s="44">
        <f t="shared" si="27"/>
        <v>3.3</v>
      </c>
      <c r="AB146" s="44">
        <f t="shared" si="27"/>
        <v>3.3</v>
      </c>
      <c r="AC146" s="44">
        <f t="shared" si="27"/>
        <v>3.3</v>
      </c>
      <c r="AD146" s="44">
        <f t="shared" si="27"/>
        <v>3.3</v>
      </c>
      <c r="AE146" s="44">
        <f t="shared" si="27"/>
        <v>3.3</v>
      </c>
      <c r="AF146" s="44">
        <f t="shared" si="27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28">C148</f>
        <v>1.76</v>
      </c>
      <c r="E148" s="44">
        <f t="shared" si="28"/>
        <v>1.76</v>
      </c>
      <c r="F148" s="44">
        <f t="shared" si="28"/>
        <v>1.76</v>
      </c>
      <c r="G148" s="44">
        <f t="shared" si="28"/>
        <v>1.76</v>
      </c>
      <c r="H148" s="44">
        <f t="shared" si="28"/>
        <v>1.76</v>
      </c>
      <c r="I148" s="44">
        <f t="shared" si="28"/>
        <v>1.76</v>
      </c>
      <c r="J148" s="44">
        <f t="shared" si="28"/>
        <v>1.76</v>
      </c>
      <c r="K148" s="44">
        <f t="shared" si="28"/>
        <v>1.76</v>
      </c>
      <c r="L148" s="44">
        <f t="shared" si="28"/>
        <v>1.76</v>
      </c>
      <c r="M148" s="44">
        <f t="shared" si="28"/>
        <v>1.76</v>
      </c>
      <c r="N148" s="44">
        <f t="shared" si="28"/>
        <v>1.76</v>
      </c>
      <c r="O148" s="44">
        <f t="shared" si="28"/>
        <v>1.76</v>
      </c>
      <c r="P148" s="44">
        <f t="shared" si="28"/>
        <v>1.76</v>
      </c>
      <c r="Q148" s="44">
        <f t="shared" si="28"/>
        <v>1.76</v>
      </c>
      <c r="R148" s="44">
        <f t="shared" si="28"/>
        <v>1.76</v>
      </c>
      <c r="S148" s="44">
        <f t="shared" si="28"/>
        <v>1.76</v>
      </c>
      <c r="T148" s="44">
        <f t="shared" ref="T148:AF149" si="29">S148</f>
        <v>1.76</v>
      </c>
      <c r="U148" s="44">
        <f t="shared" si="29"/>
        <v>1.76</v>
      </c>
      <c r="V148" s="44">
        <f t="shared" si="29"/>
        <v>1.76</v>
      </c>
      <c r="W148" s="44">
        <f t="shared" si="29"/>
        <v>1.76</v>
      </c>
      <c r="X148" s="44">
        <f t="shared" si="29"/>
        <v>1.76</v>
      </c>
      <c r="Y148" s="44">
        <f t="shared" si="29"/>
        <v>1.76</v>
      </c>
      <c r="Z148" s="44">
        <f t="shared" si="29"/>
        <v>1.76</v>
      </c>
      <c r="AA148" s="44">
        <f t="shared" si="29"/>
        <v>1.76</v>
      </c>
      <c r="AB148" s="44">
        <f t="shared" si="29"/>
        <v>1.76</v>
      </c>
      <c r="AC148" s="44">
        <f t="shared" si="29"/>
        <v>1.76</v>
      </c>
      <c r="AD148" s="44">
        <f t="shared" si="29"/>
        <v>1.76</v>
      </c>
      <c r="AE148" s="44">
        <f t="shared" si="29"/>
        <v>1.76</v>
      </c>
      <c r="AF148" s="44">
        <f t="shared" si="29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28"/>
        <v>0</v>
      </c>
      <c r="E149" s="44">
        <f t="shared" si="28"/>
        <v>0</v>
      </c>
      <c r="F149" s="44">
        <f t="shared" si="28"/>
        <v>0</v>
      </c>
      <c r="G149" s="44">
        <f t="shared" si="28"/>
        <v>0</v>
      </c>
      <c r="H149" s="44">
        <f t="shared" si="28"/>
        <v>0</v>
      </c>
      <c r="I149" s="44">
        <f t="shared" si="28"/>
        <v>0</v>
      </c>
      <c r="J149" s="44">
        <f t="shared" si="28"/>
        <v>0</v>
      </c>
      <c r="K149" s="44">
        <f t="shared" si="28"/>
        <v>0</v>
      </c>
      <c r="L149" s="44">
        <f t="shared" si="28"/>
        <v>0</v>
      </c>
      <c r="M149" s="44">
        <f t="shared" si="28"/>
        <v>0</v>
      </c>
      <c r="N149" s="44">
        <f t="shared" si="28"/>
        <v>0</v>
      </c>
      <c r="O149" s="44">
        <f t="shared" si="28"/>
        <v>0</v>
      </c>
      <c r="P149" s="44">
        <f t="shared" si="28"/>
        <v>0</v>
      </c>
      <c r="Q149" s="44">
        <f t="shared" si="28"/>
        <v>0</v>
      </c>
      <c r="R149" s="44">
        <f t="shared" si="28"/>
        <v>0</v>
      </c>
      <c r="S149" s="44">
        <f t="shared" si="28"/>
        <v>0</v>
      </c>
      <c r="T149" s="44">
        <f t="shared" si="29"/>
        <v>0</v>
      </c>
      <c r="U149" s="44">
        <f t="shared" si="29"/>
        <v>0</v>
      </c>
      <c r="V149" s="44">
        <f t="shared" si="29"/>
        <v>0</v>
      </c>
      <c r="W149" s="44">
        <f t="shared" si="29"/>
        <v>0</v>
      </c>
      <c r="X149" s="44">
        <f t="shared" si="29"/>
        <v>0</v>
      </c>
      <c r="Y149" s="44">
        <f t="shared" si="29"/>
        <v>0</v>
      </c>
      <c r="Z149" s="44">
        <f t="shared" si="29"/>
        <v>0</v>
      </c>
      <c r="AA149" s="44">
        <f t="shared" si="29"/>
        <v>0</v>
      </c>
      <c r="AB149" s="44">
        <f t="shared" si="29"/>
        <v>0</v>
      </c>
      <c r="AC149" s="44">
        <f t="shared" si="29"/>
        <v>0</v>
      </c>
      <c r="AD149" s="44">
        <f t="shared" si="29"/>
        <v>0</v>
      </c>
      <c r="AE149" s="44">
        <f t="shared" si="29"/>
        <v>0</v>
      </c>
      <c r="AF149" s="44">
        <f t="shared" si="29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30">C151</f>
        <v>0.1</v>
      </c>
      <c r="E151" s="44">
        <f t="shared" si="30"/>
        <v>0.1</v>
      </c>
      <c r="F151" s="44">
        <f t="shared" si="30"/>
        <v>0.1</v>
      </c>
      <c r="G151" s="44">
        <f t="shared" si="30"/>
        <v>0.1</v>
      </c>
      <c r="H151" s="44">
        <f t="shared" si="30"/>
        <v>0.1</v>
      </c>
      <c r="I151" s="44">
        <f t="shared" si="30"/>
        <v>0.1</v>
      </c>
      <c r="J151" s="44">
        <f t="shared" si="30"/>
        <v>0.1</v>
      </c>
      <c r="K151" s="44">
        <f t="shared" si="30"/>
        <v>0.1</v>
      </c>
      <c r="L151" s="44">
        <f t="shared" si="30"/>
        <v>0.1</v>
      </c>
      <c r="M151" s="44">
        <f t="shared" si="30"/>
        <v>0.1</v>
      </c>
      <c r="N151" s="44">
        <f t="shared" si="30"/>
        <v>0.1</v>
      </c>
      <c r="O151" s="44">
        <f t="shared" si="30"/>
        <v>0.1</v>
      </c>
      <c r="P151" s="44">
        <f t="shared" si="30"/>
        <v>0.1</v>
      </c>
      <c r="Q151" s="44">
        <f t="shared" si="30"/>
        <v>0.1</v>
      </c>
      <c r="R151" s="44">
        <f t="shared" si="30"/>
        <v>0.1</v>
      </c>
      <c r="S151" s="44">
        <f t="shared" si="30"/>
        <v>0.1</v>
      </c>
      <c r="T151" s="44">
        <f t="shared" ref="T151:AF154" si="31">S151</f>
        <v>0.1</v>
      </c>
      <c r="U151" s="44">
        <f t="shared" si="31"/>
        <v>0.1</v>
      </c>
      <c r="V151" s="44">
        <f t="shared" si="31"/>
        <v>0.1</v>
      </c>
      <c r="W151" s="44">
        <f t="shared" si="31"/>
        <v>0.1</v>
      </c>
      <c r="X151" s="44">
        <f t="shared" si="31"/>
        <v>0.1</v>
      </c>
      <c r="Y151" s="44">
        <f t="shared" si="31"/>
        <v>0.1</v>
      </c>
      <c r="Z151" s="44">
        <f t="shared" si="31"/>
        <v>0.1</v>
      </c>
      <c r="AA151" s="44">
        <f t="shared" si="31"/>
        <v>0.1</v>
      </c>
      <c r="AB151" s="44">
        <f t="shared" si="31"/>
        <v>0.1</v>
      </c>
      <c r="AC151" s="44">
        <f t="shared" si="31"/>
        <v>0.1</v>
      </c>
      <c r="AD151" s="44">
        <f t="shared" si="31"/>
        <v>0.1</v>
      </c>
      <c r="AE151" s="44">
        <f t="shared" si="31"/>
        <v>0.1</v>
      </c>
      <c r="AF151" s="44">
        <f t="shared" si="31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30"/>
        <v>2.0499999999999998</v>
      </c>
      <c r="E152" s="44">
        <f t="shared" si="30"/>
        <v>2.0499999999999998</v>
      </c>
      <c r="F152" s="44">
        <f t="shared" si="30"/>
        <v>2.0499999999999998</v>
      </c>
      <c r="G152" s="44">
        <f t="shared" si="30"/>
        <v>2.0499999999999998</v>
      </c>
      <c r="H152" s="44">
        <f t="shared" si="30"/>
        <v>2.0499999999999998</v>
      </c>
      <c r="I152" s="44">
        <f t="shared" si="30"/>
        <v>2.0499999999999998</v>
      </c>
      <c r="J152" s="44">
        <f t="shared" si="30"/>
        <v>2.0499999999999998</v>
      </c>
      <c r="K152" s="44">
        <f t="shared" si="30"/>
        <v>2.0499999999999998</v>
      </c>
      <c r="L152" s="44">
        <f t="shared" si="30"/>
        <v>2.0499999999999998</v>
      </c>
      <c r="M152" s="44">
        <f t="shared" si="30"/>
        <v>2.0499999999999998</v>
      </c>
      <c r="N152" s="44">
        <f t="shared" si="30"/>
        <v>2.0499999999999998</v>
      </c>
      <c r="O152" s="44">
        <f t="shared" si="30"/>
        <v>2.0499999999999998</v>
      </c>
      <c r="P152" s="44">
        <f t="shared" si="30"/>
        <v>2.0499999999999998</v>
      </c>
      <c r="Q152" s="44">
        <f t="shared" si="30"/>
        <v>2.0499999999999998</v>
      </c>
      <c r="R152" s="44">
        <f t="shared" si="30"/>
        <v>2.0499999999999998</v>
      </c>
      <c r="S152" s="44">
        <f t="shared" si="30"/>
        <v>2.0499999999999998</v>
      </c>
      <c r="T152" s="44">
        <f t="shared" si="31"/>
        <v>2.0499999999999998</v>
      </c>
      <c r="U152" s="44">
        <f t="shared" si="31"/>
        <v>2.0499999999999998</v>
      </c>
      <c r="V152" s="44">
        <f t="shared" si="31"/>
        <v>2.0499999999999998</v>
      </c>
      <c r="W152" s="44">
        <f t="shared" si="31"/>
        <v>2.0499999999999998</v>
      </c>
      <c r="X152" s="44">
        <f t="shared" si="31"/>
        <v>2.0499999999999998</v>
      </c>
      <c r="Y152" s="44">
        <f t="shared" si="31"/>
        <v>2.0499999999999998</v>
      </c>
      <c r="Z152" s="44">
        <f t="shared" si="31"/>
        <v>2.0499999999999998</v>
      </c>
      <c r="AA152" s="44">
        <f t="shared" si="31"/>
        <v>2.0499999999999998</v>
      </c>
      <c r="AB152" s="44">
        <f t="shared" si="31"/>
        <v>2.0499999999999998</v>
      </c>
      <c r="AC152" s="44">
        <f t="shared" si="31"/>
        <v>2.0499999999999998</v>
      </c>
      <c r="AD152" s="44">
        <f t="shared" si="31"/>
        <v>2.0499999999999998</v>
      </c>
      <c r="AE152" s="44">
        <f t="shared" si="31"/>
        <v>2.0499999999999998</v>
      </c>
      <c r="AF152" s="44">
        <f t="shared" si="31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30"/>
        <v>2.7</v>
      </c>
      <c r="E153" s="44">
        <f t="shared" si="30"/>
        <v>2.7</v>
      </c>
      <c r="F153" s="44">
        <f t="shared" si="30"/>
        <v>2.7</v>
      </c>
      <c r="G153" s="44">
        <f t="shared" si="30"/>
        <v>2.7</v>
      </c>
      <c r="H153" s="44">
        <f t="shared" si="30"/>
        <v>2.7</v>
      </c>
      <c r="I153" s="44">
        <f t="shared" si="30"/>
        <v>2.7</v>
      </c>
      <c r="J153" s="44">
        <f t="shared" si="30"/>
        <v>2.7</v>
      </c>
      <c r="K153" s="44">
        <f t="shared" si="30"/>
        <v>2.7</v>
      </c>
      <c r="L153" s="44">
        <f t="shared" si="30"/>
        <v>2.7</v>
      </c>
      <c r="M153" s="44">
        <f t="shared" si="30"/>
        <v>2.7</v>
      </c>
      <c r="N153" s="44">
        <f t="shared" si="30"/>
        <v>2.7</v>
      </c>
      <c r="O153" s="44">
        <f t="shared" si="30"/>
        <v>2.7</v>
      </c>
      <c r="P153" s="44">
        <f t="shared" si="30"/>
        <v>2.7</v>
      </c>
      <c r="Q153" s="44">
        <f t="shared" si="30"/>
        <v>2.7</v>
      </c>
      <c r="R153" s="44">
        <f t="shared" si="30"/>
        <v>2.7</v>
      </c>
      <c r="S153" s="44">
        <f t="shared" si="30"/>
        <v>2.7</v>
      </c>
      <c r="T153" s="44">
        <f t="shared" si="31"/>
        <v>2.7</v>
      </c>
      <c r="U153" s="44">
        <f t="shared" si="31"/>
        <v>2.7</v>
      </c>
      <c r="V153" s="44">
        <f t="shared" si="31"/>
        <v>2.7</v>
      </c>
      <c r="W153" s="44">
        <f t="shared" si="31"/>
        <v>2.7</v>
      </c>
      <c r="X153" s="44">
        <f t="shared" si="31"/>
        <v>2.7</v>
      </c>
      <c r="Y153" s="44">
        <f t="shared" si="31"/>
        <v>2.7</v>
      </c>
      <c r="Z153" s="44">
        <f t="shared" si="31"/>
        <v>2.7</v>
      </c>
      <c r="AA153" s="44">
        <f t="shared" si="31"/>
        <v>2.7</v>
      </c>
      <c r="AB153" s="44">
        <f t="shared" si="31"/>
        <v>2.7</v>
      </c>
      <c r="AC153" s="44">
        <f t="shared" si="31"/>
        <v>2.7</v>
      </c>
      <c r="AD153" s="44">
        <f t="shared" si="31"/>
        <v>2.7</v>
      </c>
      <c r="AE153" s="44">
        <f t="shared" si="31"/>
        <v>2.7</v>
      </c>
      <c r="AF153" s="44">
        <f t="shared" si="31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30"/>
        <v>2.15</v>
      </c>
      <c r="E154" s="44">
        <f t="shared" si="30"/>
        <v>2.15</v>
      </c>
      <c r="F154" s="44">
        <f t="shared" si="30"/>
        <v>2.15</v>
      </c>
      <c r="G154" s="44">
        <f t="shared" si="30"/>
        <v>2.15</v>
      </c>
      <c r="H154" s="44">
        <f t="shared" si="30"/>
        <v>2.15</v>
      </c>
      <c r="I154" s="44">
        <f t="shared" si="30"/>
        <v>2.15</v>
      </c>
      <c r="J154" s="44">
        <f t="shared" si="30"/>
        <v>2.15</v>
      </c>
      <c r="K154" s="44">
        <f t="shared" si="30"/>
        <v>2.15</v>
      </c>
      <c r="L154" s="44">
        <f t="shared" si="30"/>
        <v>2.15</v>
      </c>
      <c r="M154" s="44">
        <f t="shared" si="30"/>
        <v>2.15</v>
      </c>
      <c r="N154" s="44">
        <f t="shared" si="30"/>
        <v>2.15</v>
      </c>
      <c r="O154" s="44">
        <f t="shared" si="30"/>
        <v>2.15</v>
      </c>
      <c r="P154" s="44">
        <f t="shared" si="30"/>
        <v>2.15</v>
      </c>
      <c r="Q154" s="44">
        <f t="shared" si="30"/>
        <v>2.15</v>
      </c>
      <c r="R154" s="44">
        <f t="shared" si="30"/>
        <v>2.15</v>
      </c>
      <c r="S154" s="44">
        <f t="shared" si="30"/>
        <v>2.15</v>
      </c>
      <c r="T154" s="44">
        <f t="shared" si="31"/>
        <v>2.15</v>
      </c>
      <c r="U154" s="44">
        <f t="shared" si="31"/>
        <v>2.15</v>
      </c>
      <c r="V154" s="44">
        <f t="shared" si="31"/>
        <v>2.15</v>
      </c>
      <c r="W154" s="44">
        <f t="shared" si="31"/>
        <v>2.15</v>
      </c>
      <c r="X154" s="44">
        <f t="shared" si="31"/>
        <v>2.15</v>
      </c>
      <c r="Y154" s="44">
        <f t="shared" si="31"/>
        <v>2.15</v>
      </c>
      <c r="Z154" s="44">
        <f t="shared" si="31"/>
        <v>2.15</v>
      </c>
      <c r="AA154" s="44">
        <f t="shared" si="31"/>
        <v>2.15</v>
      </c>
      <c r="AB154" s="44">
        <f t="shared" si="31"/>
        <v>2.15</v>
      </c>
      <c r="AC154" s="44">
        <f t="shared" si="31"/>
        <v>2.15</v>
      </c>
      <c r="AD154" s="44">
        <f t="shared" si="31"/>
        <v>2.15</v>
      </c>
      <c r="AE154" s="44">
        <f t="shared" si="31"/>
        <v>2.15</v>
      </c>
      <c r="AF154" s="44">
        <f t="shared" si="31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32">AF156</f>
        <v>0.9</v>
      </c>
      <c r="C156" s="55">
        <v>0.9</v>
      </c>
      <c r="D156" s="44">
        <f t="shared" ref="D156:S168" si="33">C156</f>
        <v>0.9</v>
      </c>
      <c r="E156" s="44">
        <f t="shared" si="33"/>
        <v>0.9</v>
      </c>
      <c r="F156" s="44">
        <f t="shared" si="33"/>
        <v>0.9</v>
      </c>
      <c r="G156" s="44">
        <f t="shared" si="33"/>
        <v>0.9</v>
      </c>
      <c r="H156" s="44">
        <f t="shared" si="33"/>
        <v>0.9</v>
      </c>
      <c r="I156" s="44">
        <f t="shared" si="33"/>
        <v>0.9</v>
      </c>
      <c r="J156" s="44">
        <f t="shared" si="33"/>
        <v>0.9</v>
      </c>
      <c r="K156" s="44">
        <f t="shared" si="33"/>
        <v>0.9</v>
      </c>
      <c r="L156" s="44">
        <f t="shared" si="33"/>
        <v>0.9</v>
      </c>
      <c r="M156" s="44">
        <f t="shared" si="33"/>
        <v>0.9</v>
      </c>
      <c r="N156" s="44">
        <f t="shared" si="33"/>
        <v>0.9</v>
      </c>
      <c r="O156" s="44">
        <f t="shared" si="33"/>
        <v>0.9</v>
      </c>
      <c r="P156" s="44">
        <f t="shared" si="33"/>
        <v>0.9</v>
      </c>
      <c r="Q156" s="44">
        <f t="shared" si="33"/>
        <v>0.9</v>
      </c>
      <c r="R156" s="44">
        <f t="shared" si="33"/>
        <v>0.9</v>
      </c>
      <c r="S156" s="44">
        <f t="shared" si="33"/>
        <v>0.9</v>
      </c>
      <c r="T156" s="44">
        <f t="shared" ref="S156:AF168" si="34">S156</f>
        <v>0.9</v>
      </c>
      <c r="U156" s="44">
        <f t="shared" si="34"/>
        <v>0.9</v>
      </c>
      <c r="V156" s="44">
        <f t="shared" si="34"/>
        <v>0.9</v>
      </c>
      <c r="W156" s="44">
        <f t="shared" si="34"/>
        <v>0.9</v>
      </c>
      <c r="X156" s="44">
        <f t="shared" si="34"/>
        <v>0.9</v>
      </c>
      <c r="Y156" s="44">
        <f t="shared" si="34"/>
        <v>0.9</v>
      </c>
      <c r="Z156" s="44">
        <f t="shared" si="34"/>
        <v>0.9</v>
      </c>
      <c r="AA156" s="44">
        <f t="shared" si="34"/>
        <v>0.9</v>
      </c>
      <c r="AB156" s="44">
        <f t="shared" si="34"/>
        <v>0.9</v>
      </c>
      <c r="AC156" s="44">
        <f t="shared" si="34"/>
        <v>0.9</v>
      </c>
      <c r="AD156" s="44">
        <f t="shared" si="34"/>
        <v>0.9</v>
      </c>
      <c r="AE156" s="44">
        <f t="shared" si="34"/>
        <v>0.9</v>
      </c>
      <c r="AF156" s="44">
        <f t="shared" si="34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32"/>
        <v>1.08</v>
      </c>
      <c r="C157" s="55">
        <v>1.08</v>
      </c>
      <c r="D157" s="44">
        <f t="shared" si="33"/>
        <v>1.08</v>
      </c>
      <c r="E157" s="44">
        <f t="shared" si="33"/>
        <v>1.08</v>
      </c>
      <c r="F157" s="44">
        <f t="shared" si="33"/>
        <v>1.08</v>
      </c>
      <c r="G157" s="44">
        <f t="shared" si="33"/>
        <v>1.08</v>
      </c>
      <c r="H157" s="44">
        <f t="shared" si="33"/>
        <v>1.08</v>
      </c>
      <c r="I157" s="44">
        <f t="shared" si="33"/>
        <v>1.08</v>
      </c>
      <c r="J157" s="44">
        <f t="shared" si="33"/>
        <v>1.08</v>
      </c>
      <c r="K157" s="44">
        <f t="shared" si="33"/>
        <v>1.08</v>
      </c>
      <c r="L157" s="44">
        <f t="shared" si="33"/>
        <v>1.08</v>
      </c>
      <c r="M157" s="44">
        <f t="shared" si="33"/>
        <v>1.08</v>
      </c>
      <c r="N157" s="44">
        <f t="shared" si="33"/>
        <v>1.08</v>
      </c>
      <c r="O157" s="44">
        <f t="shared" si="33"/>
        <v>1.08</v>
      </c>
      <c r="P157" s="44">
        <f t="shared" si="33"/>
        <v>1.08</v>
      </c>
      <c r="Q157" s="44">
        <f t="shared" si="33"/>
        <v>1.08</v>
      </c>
      <c r="R157" s="44">
        <f t="shared" si="33"/>
        <v>1.08</v>
      </c>
      <c r="S157" s="44">
        <f t="shared" si="33"/>
        <v>1.08</v>
      </c>
      <c r="T157" s="44">
        <f t="shared" si="34"/>
        <v>1.08</v>
      </c>
      <c r="U157" s="44">
        <f t="shared" si="34"/>
        <v>1.08</v>
      </c>
      <c r="V157" s="44">
        <f t="shared" si="34"/>
        <v>1.08</v>
      </c>
      <c r="W157" s="44">
        <f t="shared" si="34"/>
        <v>1.08</v>
      </c>
      <c r="X157" s="44">
        <f t="shared" si="34"/>
        <v>1.08</v>
      </c>
      <c r="Y157" s="44">
        <f t="shared" si="34"/>
        <v>1.08</v>
      </c>
      <c r="Z157" s="44">
        <f t="shared" si="34"/>
        <v>1.08</v>
      </c>
      <c r="AA157" s="44">
        <f t="shared" si="34"/>
        <v>1.08</v>
      </c>
      <c r="AB157" s="44">
        <f t="shared" si="34"/>
        <v>1.08</v>
      </c>
      <c r="AC157" s="44">
        <f t="shared" si="34"/>
        <v>1.08</v>
      </c>
      <c r="AD157" s="44">
        <f t="shared" si="34"/>
        <v>1.08</v>
      </c>
      <c r="AE157" s="44">
        <f t="shared" si="34"/>
        <v>1.08</v>
      </c>
      <c r="AF157" s="44">
        <f t="shared" si="34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32"/>
        <v>2.37</v>
      </c>
      <c r="C158" s="55">
        <v>2.37</v>
      </c>
      <c r="D158" s="44">
        <f t="shared" si="33"/>
        <v>2.37</v>
      </c>
      <c r="E158" s="44">
        <f t="shared" si="33"/>
        <v>2.37</v>
      </c>
      <c r="F158" s="44">
        <f t="shared" si="33"/>
        <v>2.37</v>
      </c>
      <c r="G158" s="44">
        <f t="shared" si="33"/>
        <v>2.37</v>
      </c>
      <c r="H158" s="44">
        <f t="shared" si="33"/>
        <v>2.37</v>
      </c>
      <c r="I158" s="44">
        <f t="shared" si="33"/>
        <v>2.37</v>
      </c>
      <c r="J158" s="44">
        <f t="shared" si="33"/>
        <v>2.37</v>
      </c>
      <c r="K158" s="44">
        <f t="shared" si="33"/>
        <v>2.37</v>
      </c>
      <c r="L158" s="44">
        <f t="shared" si="33"/>
        <v>2.37</v>
      </c>
      <c r="M158" s="44">
        <f t="shared" si="33"/>
        <v>2.37</v>
      </c>
      <c r="N158" s="44">
        <f t="shared" si="33"/>
        <v>2.37</v>
      </c>
      <c r="O158" s="44">
        <f t="shared" si="33"/>
        <v>2.37</v>
      </c>
      <c r="P158" s="44">
        <f t="shared" si="33"/>
        <v>2.37</v>
      </c>
      <c r="Q158" s="44">
        <f t="shared" si="33"/>
        <v>2.37</v>
      </c>
      <c r="R158" s="44">
        <f t="shared" si="33"/>
        <v>2.37</v>
      </c>
      <c r="S158" s="44">
        <f t="shared" si="33"/>
        <v>2.37</v>
      </c>
      <c r="T158" s="44">
        <f t="shared" si="34"/>
        <v>2.37</v>
      </c>
      <c r="U158" s="44">
        <f t="shared" si="34"/>
        <v>2.37</v>
      </c>
      <c r="V158" s="44">
        <f t="shared" si="34"/>
        <v>2.37</v>
      </c>
      <c r="W158" s="44">
        <f t="shared" si="34"/>
        <v>2.37</v>
      </c>
      <c r="X158" s="44">
        <f t="shared" si="34"/>
        <v>2.37</v>
      </c>
      <c r="Y158" s="44">
        <f t="shared" si="34"/>
        <v>2.37</v>
      </c>
      <c r="Z158" s="44">
        <f t="shared" si="34"/>
        <v>2.37</v>
      </c>
      <c r="AA158" s="44">
        <f t="shared" si="34"/>
        <v>2.37</v>
      </c>
      <c r="AB158" s="44">
        <f t="shared" si="34"/>
        <v>2.37</v>
      </c>
      <c r="AC158" s="44">
        <f t="shared" si="34"/>
        <v>2.37</v>
      </c>
      <c r="AD158" s="44">
        <f t="shared" si="34"/>
        <v>2.37</v>
      </c>
      <c r="AE158" s="44">
        <f t="shared" si="34"/>
        <v>2.37</v>
      </c>
      <c r="AF158" s="44">
        <f t="shared" si="34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32"/>
        <v>1.81</v>
      </c>
      <c r="C159" s="55">
        <v>1.81</v>
      </c>
      <c r="D159" s="44">
        <f t="shared" si="33"/>
        <v>1.81</v>
      </c>
      <c r="E159" s="44">
        <f t="shared" si="33"/>
        <v>1.81</v>
      </c>
      <c r="F159" s="44">
        <f t="shared" si="33"/>
        <v>1.81</v>
      </c>
      <c r="G159" s="44">
        <f t="shared" si="33"/>
        <v>1.81</v>
      </c>
      <c r="H159" s="44">
        <f t="shared" si="33"/>
        <v>1.81</v>
      </c>
      <c r="I159" s="44">
        <f t="shared" si="33"/>
        <v>1.81</v>
      </c>
      <c r="J159" s="44">
        <f t="shared" si="33"/>
        <v>1.81</v>
      </c>
      <c r="K159" s="44">
        <f t="shared" si="33"/>
        <v>1.81</v>
      </c>
      <c r="L159" s="44">
        <f t="shared" si="33"/>
        <v>1.81</v>
      </c>
      <c r="M159" s="44">
        <f t="shared" si="33"/>
        <v>1.81</v>
      </c>
      <c r="N159" s="44">
        <f t="shared" si="33"/>
        <v>1.81</v>
      </c>
      <c r="O159" s="44">
        <f t="shared" si="33"/>
        <v>1.81</v>
      </c>
      <c r="P159" s="44">
        <f t="shared" si="33"/>
        <v>1.81</v>
      </c>
      <c r="Q159" s="44">
        <f t="shared" si="33"/>
        <v>1.81</v>
      </c>
      <c r="R159" s="44">
        <f t="shared" si="33"/>
        <v>1.81</v>
      </c>
      <c r="S159" s="44">
        <f t="shared" si="33"/>
        <v>1.81</v>
      </c>
      <c r="T159" s="44">
        <f t="shared" si="34"/>
        <v>1.81</v>
      </c>
      <c r="U159" s="44">
        <f t="shared" si="34"/>
        <v>1.81</v>
      </c>
      <c r="V159" s="44">
        <f t="shared" si="34"/>
        <v>1.81</v>
      </c>
      <c r="W159" s="44">
        <f t="shared" si="34"/>
        <v>1.81</v>
      </c>
      <c r="X159" s="44">
        <f t="shared" si="34"/>
        <v>1.81</v>
      </c>
      <c r="Y159" s="44">
        <f t="shared" si="34"/>
        <v>1.81</v>
      </c>
      <c r="Z159" s="44">
        <f t="shared" si="34"/>
        <v>1.81</v>
      </c>
      <c r="AA159" s="44">
        <f t="shared" si="34"/>
        <v>1.81</v>
      </c>
      <c r="AB159" s="44">
        <f t="shared" si="34"/>
        <v>1.81</v>
      </c>
      <c r="AC159" s="44">
        <f t="shared" si="34"/>
        <v>1.81</v>
      </c>
      <c r="AD159" s="44">
        <f t="shared" si="34"/>
        <v>1.81</v>
      </c>
      <c r="AE159" s="44">
        <f t="shared" si="34"/>
        <v>1.81</v>
      </c>
      <c r="AF159" s="44">
        <f t="shared" si="34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32"/>
        <v>1.0900000000000001</v>
      </c>
      <c r="C160" s="55">
        <v>1.0900000000000001</v>
      </c>
      <c r="D160" s="44">
        <f t="shared" si="33"/>
        <v>1.0900000000000001</v>
      </c>
      <c r="E160" s="44">
        <f t="shared" si="33"/>
        <v>1.0900000000000001</v>
      </c>
      <c r="F160" s="44">
        <f t="shared" si="33"/>
        <v>1.0900000000000001</v>
      </c>
      <c r="G160" s="44">
        <f t="shared" si="33"/>
        <v>1.0900000000000001</v>
      </c>
      <c r="H160" s="44">
        <f t="shared" si="33"/>
        <v>1.0900000000000001</v>
      </c>
      <c r="I160" s="44">
        <f t="shared" si="33"/>
        <v>1.0900000000000001</v>
      </c>
      <c r="J160" s="44">
        <f t="shared" si="33"/>
        <v>1.0900000000000001</v>
      </c>
      <c r="K160" s="44">
        <f t="shared" si="33"/>
        <v>1.0900000000000001</v>
      </c>
      <c r="L160" s="44">
        <f t="shared" si="33"/>
        <v>1.0900000000000001</v>
      </c>
      <c r="M160" s="44">
        <f t="shared" si="33"/>
        <v>1.0900000000000001</v>
      </c>
      <c r="N160" s="44">
        <f t="shared" si="33"/>
        <v>1.0900000000000001</v>
      </c>
      <c r="O160" s="44">
        <f t="shared" si="33"/>
        <v>1.0900000000000001</v>
      </c>
      <c r="P160" s="44">
        <f t="shared" si="33"/>
        <v>1.0900000000000001</v>
      </c>
      <c r="Q160" s="44">
        <f t="shared" si="33"/>
        <v>1.0900000000000001</v>
      </c>
      <c r="R160" s="44">
        <f t="shared" si="33"/>
        <v>1.0900000000000001</v>
      </c>
      <c r="S160" s="44">
        <f t="shared" si="33"/>
        <v>1.0900000000000001</v>
      </c>
      <c r="T160" s="44">
        <f t="shared" si="34"/>
        <v>1.0900000000000001</v>
      </c>
      <c r="U160" s="44">
        <f t="shared" si="34"/>
        <v>1.0900000000000001</v>
      </c>
      <c r="V160" s="44">
        <f t="shared" si="34"/>
        <v>1.0900000000000001</v>
      </c>
      <c r="W160" s="44">
        <f t="shared" si="34"/>
        <v>1.0900000000000001</v>
      </c>
      <c r="X160" s="44">
        <f t="shared" si="34"/>
        <v>1.0900000000000001</v>
      </c>
      <c r="Y160" s="44">
        <f t="shared" si="34"/>
        <v>1.0900000000000001</v>
      </c>
      <c r="Z160" s="44">
        <f t="shared" si="34"/>
        <v>1.0900000000000001</v>
      </c>
      <c r="AA160" s="44">
        <f t="shared" si="34"/>
        <v>1.0900000000000001</v>
      </c>
      <c r="AB160" s="44">
        <f t="shared" si="34"/>
        <v>1.0900000000000001</v>
      </c>
      <c r="AC160" s="44">
        <f t="shared" si="34"/>
        <v>1.0900000000000001</v>
      </c>
      <c r="AD160" s="44">
        <f t="shared" si="34"/>
        <v>1.0900000000000001</v>
      </c>
      <c r="AE160" s="44">
        <f t="shared" si="34"/>
        <v>1.0900000000000001</v>
      </c>
      <c r="AF160" s="44">
        <f t="shared" si="34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32"/>
        <v>1.58</v>
      </c>
      <c r="C161" s="55">
        <v>1.58</v>
      </c>
      <c r="D161" s="44">
        <f t="shared" si="33"/>
        <v>1.58</v>
      </c>
      <c r="E161" s="44">
        <f t="shared" si="33"/>
        <v>1.58</v>
      </c>
      <c r="F161" s="44">
        <f t="shared" si="33"/>
        <v>1.58</v>
      </c>
      <c r="G161" s="44">
        <f t="shared" si="33"/>
        <v>1.58</v>
      </c>
      <c r="H161" s="44">
        <f t="shared" si="33"/>
        <v>1.58</v>
      </c>
      <c r="I161" s="44">
        <f t="shared" si="33"/>
        <v>1.58</v>
      </c>
      <c r="J161" s="44">
        <f t="shared" si="33"/>
        <v>1.58</v>
      </c>
      <c r="K161" s="44">
        <f t="shared" si="33"/>
        <v>1.58</v>
      </c>
      <c r="L161" s="44">
        <f t="shared" si="33"/>
        <v>1.58</v>
      </c>
      <c r="M161" s="44">
        <f t="shared" si="33"/>
        <v>1.58</v>
      </c>
      <c r="N161" s="44">
        <f t="shared" si="33"/>
        <v>1.58</v>
      </c>
      <c r="O161" s="44">
        <f t="shared" si="33"/>
        <v>1.58</v>
      </c>
      <c r="P161" s="44">
        <f t="shared" si="33"/>
        <v>1.58</v>
      </c>
      <c r="Q161" s="44">
        <f t="shared" si="33"/>
        <v>1.58</v>
      </c>
      <c r="R161" s="44">
        <f t="shared" si="33"/>
        <v>1.58</v>
      </c>
      <c r="S161" s="44">
        <f t="shared" si="33"/>
        <v>1.58</v>
      </c>
      <c r="T161" s="44">
        <f t="shared" si="34"/>
        <v>1.58</v>
      </c>
      <c r="U161" s="44">
        <f t="shared" si="34"/>
        <v>1.58</v>
      </c>
      <c r="V161" s="44">
        <f t="shared" si="34"/>
        <v>1.58</v>
      </c>
      <c r="W161" s="44">
        <f t="shared" si="34"/>
        <v>1.58</v>
      </c>
      <c r="X161" s="44">
        <f t="shared" si="34"/>
        <v>1.58</v>
      </c>
      <c r="Y161" s="44">
        <f t="shared" si="34"/>
        <v>1.58</v>
      </c>
      <c r="Z161" s="44">
        <f t="shared" si="34"/>
        <v>1.58</v>
      </c>
      <c r="AA161" s="44">
        <f t="shared" si="34"/>
        <v>1.58</v>
      </c>
      <c r="AB161" s="44">
        <f t="shared" si="34"/>
        <v>1.58</v>
      </c>
      <c r="AC161" s="44">
        <f t="shared" si="34"/>
        <v>1.58</v>
      </c>
      <c r="AD161" s="44">
        <f t="shared" si="34"/>
        <v>1.58</v>
      </c>
      <c r="AE161" s="44">
        <f t="shared" si="34"/>
        <v>1.58</v>
      </c>
      <c r="AF161" s="44">
        <f t="shared" si="34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32"/>
        <v>2</v>
      </c>
      <c r="C162" s="55">
        <v>2</v>
      </c>
      <c r="D162" s="44">
        <f t="shared" si="33"/>
        <v>2</v>
      </c>
      <c r="E162" s="44">
        <f t="shared" si="33"/>
        <v>2</v>
      </c>
      <c r="F162" s="44">
        <f t="shared" si="33"/>
        <v>2</v>
      </c>
      <c r="G162" s="44">
        <f t="shared" si="33"/>
        <v>2</v>
      </c>
      <c r="H162" s="44">
        <f t="shared" si="33"/>
        <v>2</v>
      </c>
      <c r="I162" s="44">
        <f t="shared" si="33"/>
        <v>2</v>
      </c>
      <c r="J162" s="44">
        <f t="shared" si="33"/>
        <v>2</v>
      </c>
      <c r="K162" s="44">
        <f t="shared" si="33"/>
        <v>2</v>
      </c>
      <c r="L162" s="44">
        <f t="shared" si="33"/>
        <v>2</v>
      </c>
      <c r="M162" s="44">
        <f t="shared" si="33"/>
        <v>2</v>
      </c>
      <c r="N162" s="44">
        <f t="shared" si="33"/>
        <v>2</v>
      </c>
      <c r="O162" s="44">
        <f t="shared" si="33"/>
        <v>2</v>
      </c>
      <c r="P162" s="44">
        <f t="shared" si="33"/>
        <v>2</v>
      </c>
      <c r="Q162" s="44">
        <f t="shared" si="33"/>
        <v>2</v>
      </c>
      <c r="R162" s="44">
        <f t="shared" si="33"/>
        <v>2</v>
      </c>
      <c r="S162" s="44">
        <f t="shared" si="33"/>
        <v>2</v>
      </c>
      <c r="T162" s="44">
        <f t="shared" si="34"/>
        <v>2</v>
      </c>
      <c r="U162" s="44">
        <f t="shared" si="34"/>
        <v>2</v>
      </c>
      <c r="V162" s="44">
        <f t="shared" si="34"/>
        <v>2</v>
      </c>
      <c r="W162" s="44">
        <f t="shared" si="34"/>
        <v>2</v>
      </c>
      <c r="X162" s="44">
        <f t="shared" si="34"/>
        <v>2</v>
      </c>
      <c r="Y162" s="44">
        <f t="shared" si="34"/>
        <v>2</v>
      </c>
      <c r="Z162" s="44">
        <f t="shared" si="34"/>
        <v>2</v>
      </c>
      <c r="AA162" s="44">
        <f t="shared" si="34"/>
        <v>2</v>
      </c>
      <c r="AB162" s="44">
        <f t="shared" si="34"/>
        <v>2</v>
      </c>
      <c r="AC162" s="44">
        <f t="shared" si="34"/>
        <v>2</v>
      </c>
      <c r="AD162" s="44">
        <f t="shared" si="34"/>
        <v>2</v>
      </c>
      <c r="AE162" s="44">
        <f t="shared" si="34"/>
        <v>2</v>
      </c>
      <c r="AF162" s="44">
        <f t="shared" si="34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32"/>
        <v>0.47</v>
      </c>
      <c r="C163" s="55">
        <v>0.47</v>
      </c>
      <c r="D163" s="44">
        <f t="shared" si="33"/>
        <v>0.47</v>
      </c>
      <c r="E163" s="44">
        <f t="shared" si="33"/>
        <v>0.47</v>
      </c>
      <c r="F163" s="44">
        <f t="shared" si="33"/>
        <v>0.47</v>
      </c>
      <c r="G163" s="44">
        <f t="shared" si="33"/>
        <v>0.47</v>
      </c>
      <c r="H163" s="44">
        <f t="shared" si="33"/>
        <v>0.47</v>
      </c>
      <c r="I163" s="44">
        <f t="shared" si="33"/>
        <v>0.47</v>
      </c>
      <c r="J163" s="44">
        <f t="shared" si="33"/>
        <v>0.47</v>
      </c>
      <c r="K163" s="44">
        <f t="shared" si="33"/>
        <v>0.47</v>
      </c>
      <c r="L163" s="44">
        <f t="shared" si="33"/>
        <v>0.47</v>
      </c>
      <c r="M163" s="44">
        <f t="shared" si="33"/>
        <v>0.47</v>
      </c>
      <c r="N163" s="44">
        <f t="shared" si="33"/>
        <v>0.47</v>
      </c>
      <c r="O163" s="44">
        <f t="shared" si="33"/>
        <v>0.47</v>
      </c>
      <c r="P163" s="44">
        <f t="shared" si="33"/>
        <v>0.47</v>
      </c>
      <c r="Q163" s="44">
        <f t="shared" si="33"/>
        <v>0.47</v>
      </c>
      <c r="R163" s="44">
        <f t="shared" si="33"/>
        <v>0.47</v>
      </c>
      <c r="S163" s="44">
        <f t="shared" si="33"/>
        <v>0.47</v>
      </c>
      <c r="T163" s="44">
        <f t="shared" si="34"/>
        <v>0.47</v>
      </c>
      <c r="U163" s="44">
        <f t="shared" si="34"/>
        <v>0.47</v>
      </c>
      <c r="V163" s="44">
        <f t="shared" si="34"/>
        <v>0.47</v>
      </c>
      <c r="W163" s="44">
        <f t="shared" si="34"/>
        <v>0.47</v>
      </c>
      <c r="X163" s="44">
        <f t="shared" si="34"/>
        <v>0.47</v>
      </c>
      <c r="Y163" s="44">
        <f t="shared" si="34"/>
        <v>0.47</v>
      </c>
      <c r="Z163" s="44">
        <f t="shared" si="34"/>
        <v>0.47</v>
      </c>
      <c r="AA163" s="44">
        <f t="shared" si="34"/>
        <v>0.47</v>
      </c>
      <c r="AB163" s="44">
        <f t="shared" si="34"/>
        <v>0.47</v>
      </c>
      <c r="AC163" s="44">
        <f t="shared" si="34"/>
        <v>0.47</v>
      </c>
      <c r="AD163" s="44">
        <f t="shared" si="34"/>
        <v>0.47</v>
      </c>
      <c r="AE163" s="44">
        <f t="shared" si="34"/>
        <v>0.47</v>
      </c>
      <c r="AF163" s="44">
        <f t="shared" si="34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32"/>
        <v>0</v>
      </c>
      <c r="C164" s="55">
        <v>0</v>
      </c>
      <c r="D164" s="44">
        <f t="shared" si="33"/>
        <v>0</v>
      </c>
      <c r="E164" s="44">
        <f t="shared" si="33"/>
        <v>0</v>
      </c>
      <c r="F164" s="44">
        <f t="shared" si="33"/>
        <v>0</v>
      </c>
      <c r="G164" s="44">
        <f t="shared" si="33"/>
        <v>0</v>
      </c>
      <c r="H164" s="44">
        <f t="shared" si="33"/>
        <v>0</v>
      </c>
      <c r="I164" s="44">
        <f t="shared" si="33"/>
        <v>0</v>
      </c>
      <c r="J164" s="44">
        <f t="shared" si="33"/>
        <v>0</v>
      </c>
      <c r="K164" s="44">
        <f t="shared" si="33"/>
        <v>0</v>
      </c>
      <c r="L164" s="44">
        <f t="shared" si="33"/>
        <v>0</v>
      </c>
      <c r="M164" s="44">
        <f t="shared" si="33"/>
        <v>0</v>
      </c>
      <c r="N164" s="44">
        <f t="shared" si="33"/>
        <v>0</v>
      </c>
      <c r="O164" s="44">
        <f t="shared" si="33"/>
        <v>0</v>
      </c>
      <c r="P164" s="44">
        <f t="shared" si="33"/>
        <v>0</v>
      </c>
      <c r="Q164" s="44">
        <f t="shared" si="33"/>
        <v>0</v>
      </c>
      <c r="R164" s="44">
        <f t="shared" si="33"/>
        <v>0</v>
      </c>
      <c r="S164" s="44">
        <f t="shared" si="33"/>
        <v>0</v>
      </c>
      <c r="T164" s="44">
        <f t="shared" si="34"/>
        <v>0</v>
      </c>
      <c r="U164" s="44">
        <f t="shared" si="34"/>
        <v>0</v>
      </c>
      <c r="V164" s="44">
        <f t="shared" si="34"/>
        <v>0</v>
      </c>
      <c r="W164" s="44">
        <f t="shared" si="34"/>
        <v>0</v>
      </c>
      <c r="X164" s="44">
        <f t="shared" si="34"/>
        <v>0</v>
      </c>
      <c r="Y164" s="44">
        <f t="shared" si="34"/>
        <v>0</v>
      </c>
      <c r="Z164" s="44">
        <f t="shared" si="34"/>
        <v>0</v>
      </c>
      <c r="AA164" s="44">
        <f t="shared" si="34"/>
        <v>0</v>
      </c>
      <c r="AB164" s="44">
        <f t="shared" si="34"/>
        <v>0</v>
      </c>
      <c r="AC164" s="44">
        <f t="shared" si="34"/>
        <v>0</v>
      </c>
      <c r="AD164" s="44">
        <f t="shared" si="34"/>
        <v>0</v>
      </c>
      <c r="AE164" s="44">
        <f t="shared" si="34"/>
        <v>0</v>
      </c>
      <c r="AF164" s="44">
        <f t="shared" si="34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32"/>
        <v>0</v>
      </c>
      <c r="C165" s="55">
        <v>0</v>
      </c>
      <c r="D165" s="44">
        <f t="shared" si="33"/>
        <v>0</v>
      </c>
      <c r="E165" s="44">
        <f t="shared" si="33"/>
        <v>0</v>
      </c>
      <c r="F165" s="44">
        <f t="shared" si="33"/>
        <v>0</v>
      </c>
      <c r="G165" s="44">
        <f t="shared" si="33"/>
        <v>0</v>
      </c>
      <c r="H165" s="44">
        <f t="shared" si="33"/>
        <v>0</v>
      </c>
      <c r="I165" s="44">
        <f t="shared" si="33"/>
        <v>0</v>
      </c>
      <c r="J165" s="44">
        <f t="shared" si="33"/>
        <v>0</v>
      </c>
      <c r="K165" s="44">
        <f t="shared" si="33"/>
        <v>0</v>
      </c>
      <c r="L165" s="44">
        <f t="shared" si="33"/>
        <v>0</v>
      </c>
      <c r="M165" s="44">
        <f t="shared" si="33"/>
        <v>0</v>
      </c>
      <c r="N165" s="44">
        <f t="shared" si="33"/>
        <v>0</v>
      </c>
      <c r="O165" s="44">
        <f t="shared" si="33"/>
        <v>0</v>
      </c>
      <c r="P165" s="44">
        <f t="shared" si="33"/>
        <v>0</v>
      </c>
      <c r="Q165" s="44">
        <f t="shared" si="33"/>
        <v>0</v>
      </c>
      <c r="R165" s="44">
        <f t="shared" si="33"/>
        <v>0</v>
      </c>
      <c r="S165" s="44">
        <f t="shared" si="34"/>
        <v>0</v>
      </c>
      <c r="T165" s="44">
        <f t="shared" si="34"/>
        <v>0</v>
      </c>
      <c r="U165" s="44">
        <f t="shared" si="34"/>
        <v>0</v>
      </c>
      <c r="V165" s="44">
        <f t="shared" si="34"/>
        <v>0</v>
      </c>
      <c r="W165" s="44">
        <f t="shared" si="34"/>
        <v>0</v>
      </c>
      <c r="X165" s="44">
        <f t="shared" si="34"/>
        <v>0</v>
      </c>
      <c r="Y165" s="44">
        <f t="shared" si="34"/>
        <v>0</v>
      </c>
      <c r="Z165" s="44">
        <f t="shared" si="34"/>
        <v>0</v>
      </c>
      <c r="AA165" s="44">
        <f t="shared" si="34"/>
        <v>0</v>
      </c>
      <c r="AB165" s="44">
        <f t="shared" si="34"/>
        <v>0</v>
      </c>
      <c r="AC165" s="44">
        <f t="shared" si="34"/>
        <v>0</v>
      </c>
      <c r="AD165" s="44">
        <f t="shared" si="34"/>
        <v>0</v>
      </c>
      <c r="AE165" s="44">
        <f t="shared" si="34"/>
        <v>0</v>
      </c>
      <c r="AF165" s="44">
        <f t="shared" si="34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32"/>
        <v>0.8</v>
      </c>
      <c r="C166" s="55">
        <v>0.8</v>
      </c>
      <c r="D166" s="44">
        <f t="shared" si="33"/>
        <v>0.8</v>
      </c>
      <c r="E166" s="44">
        <f t="shared" si="33"/>
        <v>0.8</v>
      </c>
      <c r="F166" s="44">
        <f t="shared" si="33"/>
        <v>0.8</v>
      </c>
      <c r="G166" s="44">
        <f t="shared" si="33"/>
        <v>0.8</v>
      </c>
      <c r="H166" s="44">
        <f t="shared" si="33"/>
        <v>0.8</v>
      </c>
      <c r="I166" s="44">
        <f t="shared" si="33"/>
        <v>0.8</v>
      </c>
      <c r="J166" s="44">
        <f t="shared" si="33"/>
        <v>0.8</v>
      </c>
      <c r="K166" s="44">
        <f t="shared" si="33"/>
        <v>0.8</v>
      </c>
      <c r="L166" s="44">
        <f t="shared" si="33"/>
        <v>0.8</v>
      </c>
      <c r="M166" s="44">
        <f t="shared" si="33"/>
        <v>0.8</v>
      </c>
      <c r="N166" s="44">
        <f t="shared" si="33"/>
        <v>0.8</v>
      </c>
      <c r="O166" s="44">
        <f t="shared" si="33"/>
        <v>0.8</v>
      </c>
      <c r="P166" s="44">
        <f t="shared" si="33"/>
        <v>0.8</v>
      </c>
      <c r="Q166" s="44">
        <f t="shared" si="33"/>
        <v>0.8</v>
      </c>
      <c r="R166" s="44">
        <f t="shared" si="33"/>
        <v>0.8</v>
      </c>
      <c r="S166" s="44">
        <f t="shared" si="34"/>
        <v>0.8</v>
      </c>
      <c r="T166" s="44">
        <f t="shared" si="34"/>
        <v>0.8</v>
      </c>
      <c r="U166" s="44">
        <f t="shared" si="34"/>
        <v>0.8</v>
      </c>
      <c r="V166" s="44">
        <f t="shared" si="34"/>
        <v>0.8</v>
      </c>
      <c r="W166" s="44">
        <f t="shared" si="34"/>
        <v>0.8</v>
      </c>
      <c r="X166" s="44">
        <f t="shared" si="34"/>
        <v>0.8</v>
      </c>
      <c r="Y166" s="44">
        <f t="shared" si="34"/>
        <v>0.8</v>
      </c>
      <c r="Z166" s="44">
        <f t="shared" si="34"/>
        <v>0.8</v>
      </c>
      <c r="AA166" s="44">
        <f t="shared" si="34"/>
        <v>0.8</v>
      </c>
      <c r="AB166" s="44">
        <f t="shared" si="34"/>
        <v>0.8</v>
      </c>
      <c r="AC166" s="44">
        <f t="shared" si="34"/>
        <v>0.8</v>
      </c>
      <c r="AD166" s="44">
        <f t="shared" si="34"/>
        <v>0.8</v>
      </c>
      <c r="AE166" s="44">
        <f t="shared" si="34"/>
        <v>0.8</v>
      </c>
      <c r="AF166" s="44">
        <f t="shared" si="34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32"/>
        <v>1.5</v>
      </c>
      <c r="C167" s="55">
        <v>1.5</v>
      </c>
      <c r="D167" s="44">
        <f t="shared" si="33"/>
        <v>1.5</v>
      </c>
      <c r="E167" s="44">
        <f t="shared" si="33"/>
        <v>1.5</v>
      </c>
      <c r="F167" s="44">
        <f t="shared" si="33"/>
        <v>1.5</v>
      </c>
      <c r="G167" s="44">
        <f t="shared" si="33"/>
        <v>1.5</v>
      </c>
      <c r="H167" s="44">
        <f t="shared" si="33"/>
        <v>1.5</v>
      </c>
      <c r="I167" s="44">
        <f t="shared" si="33"/>
        <v>1.5</v>
      </c>
      <c r="J167" s="44">
        <f t="shared" si="33"/>
        <v>1.5</v>
      </c>
      <c r="K167" s="44">
        <f t="shared" si="33"/>
        <v>1.5</v>
      </c>
      <c r="L167" s="44">
        <f t="shared" si="33"/>
        <v>1.5</v>
      </c>
      <c r="M167" s="44">
        <f t="shared" si="33"/>
        <v>1.5</v>
      </c>
      <c r="N167" s="44">
        <f t="shared" si="33"/>
        <v>1.5</v>
      </c>
      <c r="O167" s="44">
        <f t="shared" si="33"/>
        <v>1.5</v>
      </c>
      <c r="P167" s="44">
        <f t="shared" si="33"/>
        <v>1.5</v>
      </c>
      <c r="Q167" s="44">
        <f t="shared" si="33"/>
        <v>1.5</v>
      </c>
      <c r="R167" s="44">
        <f t="shared" si="33"/>
        <v>1.5</v>
      </c>
      <c r="S167" s="44">
        <f t="shared" si="34"/>
        <v>1.5</v>
      </c>
      <c r="T167" s="44">
        <f t="shared" si="34"/>
        <v>1.5</v>
      </c>
      <c r="U167" s="44">
        <f t="shared" si="34"/>
        <v>1.5</v>
      </c>
      <c r="V167" s="44">
        <f t="shared" si="34"/>
        <v>1.5</v>
      </c>
      <c r="W167" s="44">
        <f t="shared" si="34"/>
        <v>1.5</v>
      </c>
      <c r="X167" s="44">
        <f t="shared" si="34"/>
        <v>1.5</v>
      </c>
      <c r="Y167" s="44">
        <f t="shared" si="34"/>
        <v>1.5</v>
      </c>
      <c r="Z167" s="44">
        <f t="shared" si="34"/>
        <v>1.5</v>
      </c>
      <c r="AA167" s="44">
        <f t="shared" si="34"/>
        <v>1.5</v>
      </c>
      <c r="AB167" s="44">
        <f t="shared" si="34"/>
        <v>1.5</v>
      </c>
      <c r="AC167" s="44">
        <f t="shared" si="34"/>
        <v>1.5</v>
      </c>
      <c r="AD167" s="44">
        <f t="shared" si="34"/>
        <v>1.5</v>
      </c>
      <c r="AE167" s="44">
        <f t="shared" si="34"/>
        <v>1.5</v>
      </c>
      <c r="AF167" s="44">
        <f t="shared" si="34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32"/>
        <v>1</v>
      </c>
      <c r="C168" s="55">
        <v>1</v>
      </c>
      <c r="D168" s="44">
        <f t="shared" si="33"/>
        <v>1</v>
      </c>
      <c r="E168" s="44">
        <f t="shared" si="33"/>
        <v>1</v>
      </c>
      <c r="F168" s="44">
        <f t="shared" si="33"/>
        <v>1</v>
      </c>
      <c r="G168" s="44">
        <f t="shared" si="33"/>
        <v>1</v>
      </c>
      <c r="H168" s="44">
        <f t="shared" si="33"/>
        <v>1</v>
      </c>
      <c r="I168" s="44">
        <f t="shared" si="33"/>
        <v>1</v>
      </c>
      <c r="J168" s="44">
        <f t="shared" si="33"/>
        <v>1</v>
      </c>
      <c r="K168" s="44">
        <f t="shared" si="33"/>
        <v>1</v>
      </c>
      <c r="L168" s="44">
        <f t="shared" si="33"/>
        <v>1</v>
      </c>
      <c r="M168" s="44">
        <f t="shared" si="33"/>
        <v>1</v>
      </c>
      <c r="N168" s="44">
        <f t="shared" si="33"/>
        <v>1</v>
      </c>
      <c r="O168" s="44">
        <f t="shared" si="33"/>
        <v>1</v>
      </c>
      <c r="P168" s="44">
        <f t="shared" si="33"/>
        <v>1</v>
      </c>
      <c r="Q168" s="44">
        <f t="shared" si="33"/>
        <v>1</v>
      </c>
      <c r="R168" s="44">
        <f t="shared" si="33"/>
        <v>1</v>
      </c>
      <c r="S168" s="44">
        <f t="shared" si="34"/>
        <v>1</v>
      </c>
      <c r="T168" s="44">
        <f t="shared" si="34"/>
        <v>1</v>
      </c>
      <c r="U168" s="44">
        <f t="shared" si="34"/>
        <v>1</v>
      </c>
      <c r="V168" s="44">
        <f t="shared" si="34"/>
        <v>1</v>
      </c>
      <c r="W168" s="44">
        <f t="shared" si="34"/>
        <v>1</v>
      </c>
      <c r="X168" s="44">
        <f t="shared" si="34"/>
        <v>1</v>
      </c>
      <c r="Y168" s="44">
        <f t="shared" si="34"/>
        <v>1</v>
      </c>
      <c r="Z168" s="44">
        <f t="shared" si="34"/>
        <v>1</v>
      </c>
      <c r="AA168" s="44">
        <f t="shared" si="34"/>
        <v>1</v>
      </c>
      <c r="AB168" s="44">
        <f t="shared" si="34"/>
        <v>1</v>
      </c>
      <c r="AC168" s="44">
        <f t="shared" si="34"/>
        <v>1</v>
      </c>
      <c r="AD168" s="44">
        <f t="shared" si="34"/>
        <v>1</v>
      </c>
      <c r="AE168" s="44">
        <f t="shared" si="34"/>
        <v>1</v>
      </c>
      <c r="AF168" s="44">
        <f t="shared" si="34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35">AF170</f>
        <v>1</v>
      </c>
      <c r="C170" s="55">
        <v>1</v>
      </c>
      <c r="D170" s="44">
        <f t="shared" ref="D170:S177" si="36">C170</f>
        <v>1</v>
      </c>
      <c r="E170" s="44">
        <f t="shared" si="36"/>
        <v>1</v>
      </c>
      <c r="F170" s="44">
        <f t="shared" si="36"/>
        <v>1</v>
      </c>
      <c r="G170" s="44">
        <f t="shared" si="36"/>
        <v>1</v>
      </c>
      <c r="H170" s="44">
        <f t="shared" si="36"/>
        <v>1</v>
      </c>
      <c r="I170" s="44">
        <f t="shared" si="36"/>
        <v>1</v>
      </c>
      <c r="J170" s="44">
        <f t="shared" si="36"/>
        <v>1</v>
      </c>
      <c r="K170" s="44">
        <f t="shared" si="36"/>
        <v>1</v>
      </c>
      <c r="L170" s="44">
        <f t="shared" si="36"/>
        <v>1</v>
      </c>
      <c r="M170" s="44">
        <f t="shared" si="36"/>
        <v>1</v>
      </c>
      <c r="N170" s="44">
        <f t="shared" si="36"/>
        <v>1</v>
      </c>
      <c r="O170" s="44">
        <f t="shared" si="36"/>
        <v>1</v>
      </c>
      <c r="P170" s="44">
        <f t="shared" si="36"/>
        <v>1</v>
      </c>
      <c r="Q170" s="44">
        <f t="shared" si="36"/>
        <v>1</v>
      </c>
      <c r="R170" s="44">
        <f t="shared" si="36"/>
        <v>1</v>
      </c>
      <c r="S170" s="44">
        <f t="shared" si="36"/>
        <v>1</v>
      </c>
      <c r="T170" s="44">
        <f t="shared" ref="S170:AF177" si="37">S170</f>
        <v>1</v>
      </c>
      <c r="U170" s="44">
        <f t="shared" si="37"/>
        <v>1</v>
      </c>
      <c r="V170" s="44">
        <f t="shared" si="37"/>
        <v>1</v>
      </c>
      <c r="W170" s="44">
        <f t="shared" si="37"/>
        <v>1</v>
      </c>
      <c r="X170" s="44">
        <f t="shared" si="37"/>
        <v>1</v>
      </c>
      <c r="Y170" s="44">
        <f t="shared" si="37"/>
        <v>1</v>
      </c>
      <c r="Z170" s="44">
        <f t="shared" si="37"/>
        <v>1</v>
      </c>
      <c r="AA170" s="44">
        <f t="shared" si="37"/>
        <v>1</v>
      </c>
      <c r="AB170" s="44">
        <f t="shared" si="37"/>
        <v>1</v>
      </c>
      <c r="AC170" s="44">
        <f t="shared" si="37"/>
        <v>1</v>
      </c>
      <c r="AD170" s="44">
        <f t="shared" si="37"/>
        <v>1</v>
      </c>
      <c r="AE170" s="44">
        <f t="shared" si="37"/>
        <v>1</v>
      </c>
      <c r="AF170" s="44">
        <f t="shared" si="37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35"/>
        <v>0.42</v>
      </c>
      <c r="C171" s="55">
        <v>0.42</v>
      </c>
      <c r="D171" s="44">
        <f t="shared" si="36"/>
        <v>0.42</v>
      </c>
      <c r="E171" s="44">
        <f t="shared" si="36"/>
        <v>0.42</v>
      </c>
      <c r="F171" s="44">
        <f t="shared" si="36"/>
        <v>0.42</v>
      </c>
      <c r="G171" s="44">
        <f t="shared" si="36"/>
        <v>0.42</v>
      </c>
      <c r="H171" s="44">
        <f t="shared" si="36"/>
        <v>0.42</v>
      </c>
      <c r="I171" s="44">
        <f t="shared" si="36"/>
        <v>0.42</v>
      </c>
      <c r="J171" s="44">
        <f t="shared" si="36"/>
        <v>0.42</v>
      </c>
      <c r="K171" s="44">
        <f t="shared" si="36"/>
        <v>0.42</v>
      </c>
      <c r="L171" s="44">
        <f t="shared" si="36"/>
        <v>0.42</v>
      </c>
      <c r="M171" s="44">
        <f t="shared" si="36"/>
        <v>0.42</v>
      </c>
      <c r="N171" s="44">
        <f t="shared" si="36"/>
        <v>0.42</v>
      </c>
      <c r="O171" s="44">
        <f t="shared" si="36"/>
        <v>0.42</v>
      </c>
      <c r="P171" s="44">
        <f t="shared" si="36"/>
        <v>0.42</v>
      </c>
      <c r="Q171" s="44">
        <f t="shared" si="36"/>
        <v>0.42</v>
      </c>
      <c r="R171" s="44">
        <f t="shared" si="36"/>
        <v>0.42</v>
      </c>
      <c r="S171" s="44">
        <f t="shared" si="37"/>
        <v>0.42</v>
      </c>
      <c r="T171" s="44">
        <f t="shared" si="37"/>
        <v>0.42</v>
      </c>
      <c r="U171" s="44">
        <f t="shared" si="37"/>
        <v>0.42</v>
      </c>
      <c r="V171" s="44">
        <f t="shared" si="37"/>
        <v>0.42</v>
      </c>
      <c r="W171" s="44">
        <f t="shared" si="37"/>
        <v>0.42</v>
      </c>
      <c r="X171" s="44">
        <f t="shared" si="37"/>
        <v>0.42</v>
      </c>
      <c r="Y171" s="44">
        <f t="shared" si="37"/>
        <v>0.42</v>
      </c>
      <c r="Z171" s="44">
        <f t="shared" si="37"/>
        <v>0.42</v>
      </c>
      <c r="AA171" s="44">
        <f t="shared" si="37"/>
        <v>0.42</v>
      </c>
      <c r="AB171" s="44">
        <f t="shared" si="37"/>
        <v>0.42</v>
      </c>
      <c r="AC171" s="44">
        <f t="shared" si="37"/>
        <v>0.42</v>
      </c>
      <c r="AD171" s="44">
        <f t="shared" si="37"/>
        <v>0.42</v>
      </c>
      <c r="AE171" s="44">
        <f t="shared" si="37"/>
        <v>0.42</v>
      </c>
      <c r="AF171" s="44">
        <f t="shared" si="37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35"/>
        <v>0.46</v>
      </c>
      <c r="C172" s="55">
        <v>0.46</v>
      </c>
      <c r="D172" s="44">
        <f t="shared" si="36"/>
        <v>0.46</v>
      </c>
      <c r="E172" s="44">
        <f t="shared" si="36"/>
        <v>0.46</v>
      </c>
      <c r="F172" s="44">
        <f t="shared" si="36"/>
        <v>0.46</v>
      </c>
      <c r="G172" s="44">
        <f t="shared" si="36"/>
        <v>0.46</v>
      </c>
      <c r="H172" s="44">
        <f t="shared" si="36"/>
        <v>0.46</v>
      </c>
      <c r="I172" s="44">
        <f t="shared" si="36"/>
        <v>0.46</v>
      </c>
      <c r="J172" s="44">
        <f t="shared" si="36"/>
        <v>0.46</v>
      </c>
      <c r="K172" s="44">
        <f t="shared" si="36"/>
        <v>0.46</v>
      </c>
      <c r="L172" s="44">
        <f t="shared" si="36"/>
        <v>0.46</v>
      </c>
      <c r="M172" s="44">
        <f t="shared" si="36"/>
        <v>0.46</v>
      </c>
      <c r="N172" s="44">
        <f t="shared" si="36"/>
        <v>0.46</v>
      </c>
      <c r="O172" s="44">
        <f t="shared" si="36"/>
        <v>0.46</v>
      </c>
      <c r="P172" s="44">
        <f t="shared" si="36"/>
        <v>0.46</v>
      </c>
      <c r="Q172" s="44">
        <f t="shared" si="36"/>
        <v>0.46</v>
      </c>
      <c r="R172" s="44">
        <f t="shared" si="36"/>
        <v>0.46</v>
      </c>
      <c r="S172" s="44">
        <f t="shared" si="37"/>
        <v>0.46</v>
      </c>
      <c r="T172" s="44">
        <f t="shared" si="37"/>
        <v>0.46</v>
      </c>
      <c r="U172" s="44">
        <f t="shared" si="37"/>
        <v>0.46</v>
      </c>
      <c r="V172" s="44">
        <f t="shared" si="37"/>
        <v>0.46</v>
      </c>
      <c r="W172" s="44">
        <f t="shared" si="37"/>
        <v>0.46</v>
      </c>
      <c r="X172" s="44">
        <f t="shared" si="37"/>
        <v>0.46</v>
      </c>
      <c r="Y172" s="44">
        <f t="shared" si="37"/>
        <v>0.46</v>
      </c>
      <c r="Z172" s="44">
        <f t="shared" si="37"/>
        <v>0.46</v>
      </c>
      <c r="AA172" s="44">
        <f t="shared" si="37"/>
        <v>0.46</v>
      </c>
      <c r="AB172" s="44">
        <f t="shared" si="37"/>
        <v>0.46</v>
      </c>
      <c r="AC172" s="44">
        <f t="shared" si="37"/>
        <v>0.46</v>
      </c>
      <c r="AD172" s="44">
        <f t="shared" si="37"/>
        <v>0.46</v>
      </c>
      <c r="AE172" s="44">
        <f t="shared" si="37"/>
        <v>0.46</v>
      </c>
      <c r="AF172" s="44">
        <f t="shared" si="37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35"/>
        <v>0.85</v>
      </c>
      <c r="C173" s="55">
        <v>0.85</v>
      </c>
      <c r="D173" s="44">
        <f t="shared" si="36"/>
        <v>0.85</v>
      </c>
      <c r="E173" s="44">
        <f t="shared" si="36"/>
        <v>0.85</v>
      </c>
      <c r="F173" s="44">
        <f t="shared" si="36"/>
        <v>0.85</v>
      </c>
      <c r="G173" s="44">
        <f t="shared" si="36"/>
        <v>0.85</v>
      </c>
      <c r="H173" s="44">
        <f t="shared" si="36"/>
        <v>0.85</v>
      </c>
      <c r="I173" s="44">
        <f t="shared" si="36"/>
        <v>0.85</v>
      </c>
      <c r="J173" s="44">
        <f t="shared" si="36"/>
        <v>0.85</v>
      </c>
      <c r="K173" s="44">
        <f t="shared" si="36"/>
        <v>0.85</v>
      </c>
      <c r="L173" s="44">
        <f t="shared" si="36"/>
        <v>0.85</v>
      </c>
      <c r="M173" s="44">
        <f t="shared" si="36"/>
        <v>0.85</v>
      </c>
      <c r="N173" s="44">
        <f t="shared" si="36"/>
        <v>0.85</v>
      </c>
      <c r="O173" s="44">
        <f t="shared" si="36"/>
        <v>0.85</v>
      </c>
      <c r="P173" s="44">
        <f t="shared" si="36"/>
        <v>0.85</v>
      </c>
      <c r="Q173" s="44">
        <f t="shared" si="36"/>
        <v>0.85</v>
      </c>
      <c r="R173" s="44">
        <f t="shared" si="36"/>
        <v>0.85</v>
      </c>
      <c r="S173" s="44">
        <f t="shared" si="37"/>
        <v>0.85</v>
      </c>
      <c r="T173" s="44">
        <f t="shared" si="37"/>
        <v>0.85</v>
      </c>
      <c r="U173" s="44">
        <f t="shared" si="37"/>
        <v>0.85</v>
      </c>
      <c r="V173" s="44">
        <f t="shared" si="37"/>
        <v>0.85</v>
      </c>
      <c r="W173" s="44">
        <f t="shared" si="37"/>
        <v>0.85</v>
      </c>
      <c r="X173" s="44">
        <f t="shared" si="37"/>
        <v>0.85</v>
      </c>
      <c r="Y173" s="44">
        <f t="shared" si="37"/>
        <v>0.85</v>
      </c>
      <c r="Z173" s="44">
        <f t="shared" si="37"/>
        <v>0.85</v>
      </c>
      <c r="AA173" s="44">
        <f t="shared" si="37"/>
        <v>0.85</v>
      </c>
      <c r="AB173" s="44">
        <f t="shared" si="37"/>
        <v>0.85</v>
      </c>
      <c r="AC173" s="44">
        <f t="shared" si="37"/>
        <v>0.85</v>
      </c>
      <c r="AD173" s="44">
        <f t="shared" si="37"/>
        <v>0.85</v>
      </c>
      <c r="AE173" s="44">
        <f t="shared" si="37"/>
        <v>0.85</v>
      </c>
      <c r="AF173" s="44">
        <f t="shared" si="37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35"/>
        <v>0.9</v>
      </c>
      <c r="C174" s="55">
        <v>0.9</v>
      </c>
      <c r="D174" s="44">
        <f t="shared" si="36"/>
        <v>0.9</v>
      </c>
      <c r="E174" s="44">
        <f t="shared" si="36"/>
        <v>0.9</v>
      </c>
      <c r="F174" s="44">
        <f t="shared" si="36"/>
        <v>0.9</v>
      </c>
      <c r="G174" s="44">
        <f t="shared" si="36"/>
        <v>0.9</v>
      </c>
      <c r="H174" s="44">
        <f t="shared" si="36"/>
        <v>0.9</v>
      </c>
      <c r="I174" s="44">
        <f t="shared" si="36"/>
        <v>0.9</v>
      </c>
      <c r="J174" s="44">
        <f t="shared" si="36"/>
        <v>0.9</v>
      </c>
      <c r="K174" s="44">
        <f t="shared" si="36"/>
        <v>0.9</v>
      </c>
      <c r="L174" s="44">
        <f t="shared" si="36"/>
        <v>0.9</v>
      </c>
      <c r="M174" s="44">
        <f t="shared" si="36"/>
        <v>0.9</v>
      </c>
      <c r="N174" s="44">
        <f t="shared" si="36"/>
        <v>0.9</v>
      </c>
      <c r="O174" s="44">
        <f t="shared" si="36"/>
        <v>0.9</v>
      </c>
      <c r="P174" s="44">
        <f t="shared" si="36"/>
        <v>0.9</v>
      </c>
      <c r="Q174" s="44">
        <f t="shared" si="36"/>
        <v>0.9</v>
      </c>
      <c r="R174" s="44">
        <f t="shared" si="36"/>
        <v>0.9</v>
      </c>
      <c r="S174" s="44">
        <f t="shared" si="37"/>
        <v>0.9</v>
      </c>
      <c r="T174" s="44">
        <f t="shared" si="37"/>
        <v>0.9</v>
      </c>
      <c r="U174" s="44">
        <f t="shared" si="37"/>
        <v>0.9</v>
      </c>
      <c r="V174" s="44">
        <f t="shared" si="37"/>
        <v>0.9</v>
      </c>
      <c r="W174" s="44">
        <f t="shared" si="37"/>
        <v>0.9</v>
      </c>
      <c r="X174" s="44">
        <f t="shared" si="37"/>
        <v>0.9</v>
      </c>
      <c r="Y174" s="44">
        <f t="shared" si="37"/>
        <v>0.9</v>
      </c>
      <c r="Z174" s="44">
        <f t="shared" si="37"/>
        <v>0.9</v>
      </c>
      <c r="AA174" s="44">
        <f t="shared" si="37"/>
        <v>0.9</v>
      </c>
      <c r="AB174" s="44">
        <f t="shared" si="37"/>
        <v>0.9</v>
      </c>
      <c r="AC174" s="44">
        <f t="shared" si="37"/>
        <v>0.9</v>
      </c>
      <c r="AD174" s="44">
        <f t="shared" si="37"/>
        <v>0.9</v>
      </c>
      <c r="AE174" s="44">
        <f t="shared" si="37"/>
        <v>0.9</v>
      </c>
      <c r="AF174" s="44">
        <f t="shared" si="37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35"/>
        <v>0.44</v>
      </c>
      <c r="C175" s="55">
        <v>0.44</v>
      </c>
      <c r="D175" s="44">
        <f t="shared" si="36"/>
        <v>0.44</v>
      </c>
      <c r="E175" s="44">
        <f t="shared" si="36"/>
        <v>0.44</v>
      </c>
      <c r="F175" s="44">
        <f t="shared" si="36"/>
        <v>0.44</v>
      </c>
      <c r="G175" s="44">
        <f t="shared" si="36"/>
        <v>0.44</v>
      </c>
      <c r="H175" s="44">
        <f t="shared" si="36"/>
        <v>0.44</v>
      </c>
      <c r="I175" s="44">
        <f t="shared" si="36"/>
        <v>0.44</v>
      </c>
      <c r="J175" s="44">
        <f t="shared" si="36"/>
        <v>0.44</v>
      </c>
      <c r="K175" s="44">
        <f t="shared" si="36"/>
        <v>0.44</v>
      </c>
      <c r="L175" s="44">
        <f t="shared" si="36"/>
        <v>0.44</v>
      </c>
      <c r="M175" s="44">
        <f t="shared" si="36"/>
        <v>0.44</v>
      </c>
      <c r="N175" s="44">
        <f t="shared" si="36"/>
        <v>0.44</v>
      </c>
      <c r="O175" s="44">
        <f t="shared" si="36"/>
        <v>0.44</v>
      </c>
      <c r="P175" s="44">
        <f t="shared" si="36"/>
        <v>0.44</v>
      </c>
      <c r="Q175" s="44">
        <f t="shared" si="36"/>
        <v>0.44</v>
      </c>
      <c r="R175" s="44">
        <f t="shared" si="36"/>
        <v>0.44</v>
      </c>
      <c r="S175" s="44">
        <f t="shared" si="37"/>
        <v>0.44</v>
      </c>
      <c r="T175" s="44">
        <f t="shared" si="37"/>
        <v>0.44</v>
      </c>
      <c r="U175" s="44">
        <f t="shared" si="37"/>
        <v>0.44</v>
      </c>
      <c r="V175" s="44">
        <f t="shared" si="37"/>
        <v>0.44</v>
      </c>
      <c r="W175" s="44">
        <f t="shared" si="37"/>
        <v>0.44</v>
      </c>
      <c r="X175" s="44">
        <f t="shared" si="37"/>
        <v>0.44</v>
      </c>
      <c r="Y175" s="44">
        <f t="shared" si="37"/>
        <v>0.44</v>
      </c>
      <c r="Z175" s="44">
        <f t="shared" si="37"/>
        <v>0.44</v>
      </c>
      <c r="AA175" s="44">
        <f t="shared" si="37"/>
        <v>0.44</v>
      </c>
      <c r="AB175" s="44">
        <f t="shared" si="37"/>
        <v>0.44</v>
      </c>
      <c r="AC175" s="44">
        <f t="shared" si="37"/>
        <v>0.44</v>
      </c>
      <c r="AD175" s="44">
        <f t="shared" si="37"/>
        <v>0.44</v>
      </c>
      <c r="AE175" s="44">
        <f t="shared" si="37"/>
        <v>0.44</v>
      </c>
      <c r="AF175" s="44">
        <f t="shared" si="37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35"/>
        <v>2.1</v>
      </c>
      <c r="C176" s="55">
        <v>2.1</v>
      </c>
      <c r="D176" s="44">
        <f t="shared" si="36"/>
        <v>2.1</v>
      </c>
      <c r="E176" s="44">
        <f t="shared" si="36"/>
        <v>2.1</v>
      </c>
      <c r="F176" s="44">
        <f t="shared" si="36"/>
        <v>2.1</v>
      </c>
      <c r="G176" s="44">
        <f t="shared" si="36"/>
        <v>2.1</v>
      </c>
      <c r="H176" s="44">
        <f t="shared" si="36"/>
        <v>2.1</v>
      </c>
      <c r="I176" s="44">
        <f t="shared" si="36"/>
        <v>2.1</v>
      </c>
      <c r="J176" s="44">
        <f t="shared" si="36"/>
        <v>2.1</v>
      </c>
      <c r="K176" s="44">
        <f t="shared" si="36"/>
        <v>2.1</v>
      </c>
      <c r="L176" s="44">
        <f t="shared" si="36"/>
        <v>2.1</v>
      </c>
      <c r="M176" s="44">
        <f t="shared" si="36"/>
        <v>2.1</v>
      </c>
      <c r="N176" s="44">
        <f t="shared" si="36"/>
        <v>2.1</v>
      </c>
      <c r="O176" s="44">
        <f t="shared" si="36"/>
        <v>2.1</v>
      </c>
      <c r="P176" s="44">
        <f t="shared" si="36"/>
        <v>2.1</v>
      </c>
      <c r="Q176" s="44">
        <f t="shared" si="36"/>
        <v>2.1</v>
      </c>
      <c r="R176" s="44">
        <f t="shared" si="36"/>
        <v>2.1</v>
      </c>
      <c r="S176" s="44">
        <f t="shared" si="37"/>
        <v>2.1</v>
      </c>
      <c r="T176" s="44">
        <f t="shared" si="37"/>
        <v>2.1</v>
      </c>
      <c r="U176" s="44">
        <f t="shared" si="37"/>
        <v>2.1</v>
      </c>
      <c r="V176" s="44">
        <f t="shared" si="37"/>
        <v>2.1</v>
      </c>
      <c r="W176" s="44">
        <f t="shared" si="37"/>
        <v>2.1</v>
      </c>
      <c r="X176" s="44">
        <f t="shared" si="37"/>
        <v>2.1</v>
      </c>
      <c r="Y176" s="44">
        <f t="shared" si="37"/>
        <v>2.1</v>
      </c>
      <c r="Z176" s="44">
        <f t="shared" si="37"/>
        <v>2.1</v>
      </c>
      <c r="AA176" s="44">
        <f t="shared" si="37"/>
        <v>2.1</v>
      </c>
      <c r="AB176" s="44">
        <f t="shared" si="37"/>
        <v>2.1</v>
      </c>
      <c r="AC176" s="44">
        <f t="shared" si="37"/>
        <v>2.1</v>
      </c>
      <c r="AD176" s="44">
        <f t="shared" si="37"/>
        <v>2.1</v>
      </c>
      <c r="AE176" s="44">
        <f t="shared" si="37"/>
        <v>2.1</v>
      </c>
      <c r="AF176" s="44">
        <f t="shared" si="37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35"/>
        <v>0.9</v>
      </c>
      <c r="C177" s="55">
        <v>0.9</v>
      </c>
      <c r="D177" s="44">
        <f t="shared" si="36"/>
        <v>0.9</v>
      </c>
      <c r="E177" s="44">
        <f t="shared" si="36"/>
        <v>0.9</v>
      </c>
      <c r="F177" s="44">
        <f t="shared" si="36"/>
        <v>0.9</v>
      </c>
      <c r="G177" s="44">
        <f t="shared" si="36"/>
        <v>0.9</v>
      </c>
      <c r="H177" s="44">
        <f t="shared" si="36"/>
        <v>0.9</v>
      </c>
      <c r="I177" s="44">
        <f t="shared" si="36"/>
        <v>0.9</v>
      </c>
      <c r="J177" s="44">
        <f t="shared" si="36"/>
        <v>0.9</v>
      </c>
      <c r="K177" s="44">
        <f t="shared" si="36"/>
        <v>0.9</v>
      </c>
      <c r="L177" s="44">
        <f t="shared" si="36"/>
        <v>0.9</v>
      </c>
      <c r="M177" s="44">
        <f t="shared" si="36"/>
        <v>0.9</v>
      </c>
      <c r="N177" s="44">
        <f t="shared" si="36"/>
        <v>0.9</v>
      </c>
      <c r="O177" s="44">
        <f t="shared" si="36"/>
        <v>0.9</v>
      </c>
      <c r="P177" s="44">
        <f t="shared" si="36"/>
        <v>0.9</v>
      </c>
      <c r="Q177" s="44">
        <f t="shared" si="36"/>
        <v>0.9</v>
      </c>
      <c r="R177" s="44">
        <f t="shared" si="36"/>
        <v>0.9</v>
      </c>
      <c r="S177" s="44">
        <f t="shared" si="37"/>
        <v>0.9</v>
      </c>
      <c r="T177" s="44">
        <f t="shared" si="37"/>
        <v>0.9</v>
      </c>
      <c r="U177" s="44">
        <f t="shared" si="37"/>
        <v>0.9</v>
      </c>
      <c r="V177" s="44">
        <f t="shared" si="37"/>
        <v>0.9</v>
      </c>
      <c r="W177" s="44">
        <f t="shared" si="37"/>
        <v>0.9</v>
      </c>
      <c r="X177" s="44">
        <f t="shared" si="37"/>
        <v>0.9</v>
      </c>
      <c r="Y177" s="44">
        <f t="shared" si="37"/>
        <v>0.9</v>
      </c>
      <c r="Z177" s="44">
        <f t="shared" si="37"/>
        <v>0.9</v>
      </c>
      <c r="AA177" s="44">
        <f t="shared" si="37"/>
        <v>0.9</v>
      </c>
      <c r="AB177" s="44">
        <f t="shared" si="37"/>
        <v>0.9</v>
      </c>
      <c r="AC177" s="44">
        <f t="shared" si="37"/>
        <v>0.9</v>
      </c>
      <c r="AD177" s="44">
        <f t="shared" si="37"/>
        <v>0.9</v>
      </c>
      <c r="AE177" s="44">
        <f t="shared" si="37"/>
        <v>0.9</v>
      </c>
      <c r="AF177" s="44">
        <f t="shared" si="37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38">AF179</f>
        <v>0.57999999999999996</v>
      </c>
      <c r="C179" s="55">
        <v>0.57999999999999996</v>
      </c>
      <c r="D179" s="44">
        <f t="shared" ref="D179:S191" si="39">C179</f>
        <v>0.57999999999999996</v>
      </c>
      <c r="E179" s="44">
        <f t="shared" si="39"/>
        <v>0.57999999999999996</v>
      </c>
      <c r="F179" s="44">
        <f t="shared" si="39"/>
        <v>0.57999999999999996</v>
      </c>
      <c r="G179" s="44">
        <f t="shared" si="39"/>
        <v>0.57999999999999996</v>
      </c>
      <c r="H179" s="44">
        <f t="shared" si="39"/>
        <v>0.57999999999999996</v>
      </c>
      <c r="I179" s="44">
        <f t="shared" si="39"/>
        <v>0.57999999999999996</v>
      </c>
      <c r="J179" s="44">
        <f t="shared" si="39"/>
        <v>0.57999999999999996</v>
      </c>
      <c r="K179" s="44">
        <f t="shared" si="39"/>
        <v>0.57999999999999996</v>
      </c>
      <c r="L179" s="44">
        <f t="shared" si="39"/>
        <v>0.57999999999999996</v>
      </c>
      <c r="M179" s="44">
        <f t="shared" si="39"/>
        <v>0.57999999999999996</v>
      </c>
      <c r="N179" s="44">
        <f t="shared" si="39"/>
        <v>0.57999999999999996</v>
      </c>
      <c r="O179" s="44">
        <f t="shared" si="39"/>
        <v>0.57999999999999996</v>
      </c>
      <c r="P179" s="44">
        <f t="shared" si="39"/>
        <v>0.57999999999999996</v>
      </c>
      <c r="Q179" s="44">
        <f t="shared" si="39"/>
        <v>0.57999999999999996</v>
      </c>
      <c r="R179" s="44">
        <f t="shared" si="39"/>
        <v>0.57999999999999996</v>
      </c>
      <c r="S179" s="44">
        <f t="shared" si="39"/>
        <v>0.57999999999999996</v>
      </c>
      <c r="T179" s="44">
        <f t="shared" ref="S179:AF191" si="40">S179</f>
        <v>0.57999999999999996</v>
      </c>
      <c r="U179" s="44">
        <f t="shared" si="40"/>
        <v>0.57999999999999996</v>
      </c>
      <c r="V179" s="44">
        <f t="shared" si="40"/>
        <v>0.57999999999999996</v>
      </c>
      <c r="W179" s="44">
        <f t="shared" si="40"/>
        <v>0.57999999999999996</v>
      </c>
      <c r="X179" s="44">
        <f t="shared" si="40"/>
        <v>0.57999999999999996</v>
      </c>
      <c r="Y179" s="44">
        <f t="shared" si="40"/>
        <v>0.57999999999999996</v>
      </c>
      <c r="Z179" s="44">
        <f t="shared" si="40"/>
        <v>0.57999999999999996</v>
      </c>
      <c r="AA179" s="44">
        <f t="shared" si="40"/>
        <v>0.57999999999999996</v>
      </c>
      <c r="AB179" s="44">
        <f t="shared" si="40"/>
        <v>0.57999999999999996</v>
      </c>
      <c r="AC179" s="44">
        <f t="shared" si="40"/>
        <v>0.57999999999999996</v>
      </c>
      <c r="AD179" s="44">
        <f t="shared" si="40"/>
        <v>0.57999999999999996</v>
      </c>
      <c r="AE179" s="44">
        <f t="shared" si="40"/>
        <v>0.57999999999999996</v>
      </c>
      <c r="AF179" s="44">
        <f t="shared" si="40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38"/>
        <v>0.8</v>
      </c>
      <c r="C180" s="55">
        <v>0.8</v>
      </c>
      <c r="D180" s="44">
        <f t="shared" si="39"/>
        <v>0.8</v>
      </c>
      <c r="E180" s="44">
        <f t="shared" si="39"/>
        <v>0.8</v>
      </c>
      <c r="F180" s="44">
        <f t="shared" si="39"/>
        <v>0.8</v>
      </c>
      <c r="G180" s="44">
        <f t="shared" si="39"/>
        <v>0.8</v>
      </c>
      <c r="H180" s="44">
        <f t="shared" si="39"/>
        <v>0.8</v>
      </c>
      <c r="I180" s="44">
        <f t="shared" si="39"/>
        <v>0.8</v>
      </c>
      <c r="J180" s="44">
        <f t="shared" si="39"/>
        <v>0.8</v>
      </c>
      <c r="K180" s="44">
        <f t="shared" si="39"/>
        <v>0.8</v>
      </c>
      <c r="L180" s="44">
        <f t="shared" si="39"/>
        <v>0.8</v>
      </c>
      <c r="M180" s="44">
        <f t="shared" si="39"/>
        <v>0.8</v>
      </c>
      <c r="N180" s="44">
        <f t="shared" si="39"/>
        <v>0.8</v>
      </c>
      <c r="O180" s="44">
        <f t="shared" si="39"/>
        <v>0.8</v>
      </c>
      <c r="P180" s="44">
        <f t="shared" si="39"/>
        <v>0.8</v>
      </c>
      <c r="Q180" s="44">
        <f t="shared" si="39"/>
        <v>0.8</v>
      </c>
      <c r="R180" s="44">
        <f t="shared" si="39"/>
        <v>0.8</v>
      </c>
      <c r="S180" s="44">
        <f t="shared" si="39"/>
        <v>0.8</v>
      </c>
      <c r="T180" s="44">
        <f t="shared" si="40"/>
        <v>0.8</v>
      </c>
      <c r="U180" s="44">
        <f t="shared" si="40"/>
        <v>0.8</v>
      </c>
      <c r="V180" s="44">
        <f t="shared" si="40"/>
        <v>0.8</v>
      </c>
      <c r="W180" s="44">
        <f t="shared" si="40"/>
        <v>0.8</v>
      </c>
      <c r="X180" s="44">
        <f t="shared" si="40"/>
        <v>0.8</v>
      </c>
      <c r="Y180" s="44">
        <f t="shared" si="40"/>
        <v>0.8</v>
      </c>
      <c r="Z180" s="44">
        <f t="shared" si="40"/>
        <v>0.8</v>
      </c>
      <c r="AA180" s="44">
        <f t="shared" si="40"/>
        <v>0.8</v>
      </c>
      <c r="AB180" s="44">
        <f t="shared" si="40"/>
        <v>0.8</v>
      </c>
      <c r="AC180" s="44">
        <f t="shared" si="40"/>
        <v>0.8</v>
      </c>
      <c r="AD180" s="44">
        <f t="shared" si="40"/>
        <v>0.8</v>
      </c>
      <c r="AE180" s="44">
        <f t="shared" si="40"/>
        <v>0.8</v>
      </c>
      <c r="AF180" s="44">
        <f t="shared" si="40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38"/>
        <v>0</v>
      </c>
      <c r="C181" s="55">
        <v>0</v>
      </c>
      <c r="D181" s="44">
        <f t="shared" si="39"/>
        <v>0</v>
      </c>
      <c r="E181" s="44">
        <f t="shared" si="39"/>
        <v>0</v>
      </c>
      <c r="F181" s="44">
        <f t="shared" si="39"/>
        <v>0</v>
      </c>
      <c r="G181" s="44">
        <f t="shared" si="39"/>
        <v>0</v>
      </c>
      <c r="H181" s="44">
        <f t="shared" si="39"/>
        <v>0</v>
      </c>
      <c r="I181" s="44">
        <f t="shared" si="39"/>
        <v>0</v>
      </c>
      <c r="J181" s="44">
        <f t="shared" si="39"/>
        <v>0</v>
      </c>
      <c r="K181" s="44">
        <f t="shared" si="39"/>
        <v>0</v>
      </c>
      <c r="L181" s="44">
        <f t="shared" si="39"/>
        <v>0</v>
      </c>
      <c r="M181" s="44">
        <f t="shared" si="39"/>
        <v>0</v>
      </c>
      <c r="N181" s="44">
        <f t="shared" si="39"/>
        <v>0</v>
      </c>
      <c r="O181" s="44">
        <f t="shared" si="39"/>
        <v>0</v>
      </c>
      <c r="P181" s="44">
        <f t="shared" si="39"/>
        <v>0</v>
      </c>
      <c r="Q181" s="44">
        <f t="shared" si="39"/>
        <v>0</v>
      </c>
      <c r="R181" s="44">
        <f t="shared" si="39"/>
        <v>0</v>
      </c>
      <c r="S181" s="44">
        <f t="shared" si="39"/>
        <v>0</v>
      </c>
      <c r="T181" s="44">
        <f t="shared" si="40"/>
        <v>0</v>
      </c>
      <c r="U181" s="44">
        <f t="shared" si="40"/>
        <v>0</v>
      </c>
      <c r="V181" s="44">
        <f t="shared" si="40"/>
        <v>0</v>
      </c>
      <c r="W181" s="44">
        <f t="shared" si="40"/>
        <v>0</v>
      </c>
      <c r="X181" s="44">
        <f t="shared" si="40"/>
        <v>0</v>
      </c>
      <c r="Y181" s="44">
        <f t="shared" si="40"/>
        <v>0</v>
      </c>
      <c r="Z181" s="44">
        <f t="shared" si="40"/>
        <v>0</v>
      </c>
      <c r="AA181" s="44">
        <f t="shared" si="40"/>
        <v>0</v>
      </c>
      <c r="AB181" s="44">
        <f t="shared" si="40"/>
        <v>0</v>
      </c>
      <c r="AC181" s="44">
        <f t="shared" si="40"/>
        <v>0</v>
      </c>
      <c r="AD181" s="44">
        <f t="shared" si="40"/>
        <v>0</v>
      </c>
      <c r="AE181" s="44">
        <f t="shared" si="40"/>
        <v>0</v>
      </c>
      <c r="AF181" s="44">
        <f t="shared" si="40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38"/>
        <v>0.6</v>
      </c>
      <c r="C182" s="55">
        <v>0.6</v>
      </c>
      <c r="D182" s="44">
        <f t="shared" si="39"/>
        <v>0.6</v>
      </c>
      <c r="E182" s="44">
        <f t="shared" si="39"/>
        <v>0.6</v>
      </c>
      <c r="F182" s="44">
        <f t="shared" si="39"/>
        <v>0.6</v>
      </c>
      <c r="G182" s="44">
        <f t="shared" si="39"/>
        <v>0.6</v>
      </c>
      <c r="H182" s="44">
        <f t="shared" si="39"/>
        <v>0.6</v>
      </c>
      <c r="I182" s="44">
        <f t="shared" si="39"/>
        <v>0.6</v>
      </c>
      <c r="J182" s="44">
        <f t="shared" si="39"/>
        <v>0.6</v>
      </c>
      <c r="K182" s="44">
        <f t="shared" si="39"/>
        <v>0.6</v>
      </c>
      <c r="L182" s="44">
        <f t="shared" si="39"/>
        <v>0.6</v>
      </c>
      <c r="M182" s="44">
        <f t="shared" si="39"/>
        <v>0.6</v>
      </c>
      <c r="N182" s="44">
        <f t="shared" si="39"/>
        <v>0.6</v>
      </c>
      <c r="O182" s="44">
        <f t="shared" si="39"/>
        <v>0.6</v>
      </c>
      <c r="P182" s="44">
        <f t="shared" si="39"/>
        <v>0.6</v>
      </c>
      <c r="Q182" s="44">
        <f t="shared" si="39"/>
        <v>0.6</v>
      </c>
      <c r="R182" s="44">
        <f t="shared" si="39"/>
        <v>0.6</v>
      </c>
      <c r="S182" s="44">
        <f t="shared" si="39"/>
        <v>0.6</v>
      </c>
      <c r="T182" s="44">
        <f t="shared" si="40"/>
        <v>0.6</v>
      </c>
      <c r="U182" s="44">
        <f t="shared" si="40"/>
        <v>0.6</v>
      </c>
      <c r="V182" s="44">
        <f t="shared" si="40"/>
        <v>0.6</v>
      </c>
      <c r="W182" s="44">
        <f t="shared" si="40"/>
        <v>0.6</v>
      </c>
      <c r="X182" s="44">
        <f t="shared" si="40"/>
        <v>0.6</v>
      </c>
      <c r="Y182" s="44">
        <f t="shared" si="40"/>
        <v>0.6</v>
      </c>
      <c r="Z182" s="44">
        <f t="shared" si="40"/>
        <v>0.6</v>
      </c>
      <c r="AA182" s="44">
        <f t="shared" si="40"/>
        <v>0.6</v>
      </c>
      <c r="AB182" s="44">
        <f t="shared" si="40"/>
        <v>0.6</v>
      </c>
      <c r="AC182" s="44">
        <f t="shared" si="40"/>
        <v>0.6</v>
      </c>
      <c r="AD182" s="44">
        <f t="shared" si="40"/>
        <v>0.6</v>
      </c>
      <c r="AE182" s="44">
        <f t="shared" si="40"/>
        <v>0.6</v>
      </c>
      <c r="AF182" s="44">
        <f t="shared" si="40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38"/>
        <v>0.6</v>
      </c>
      <c r="C183" s="55">
        <v>0.6</v>
      </c>
      <c r="D183" s="44">
        <f t="shared" si="39"/>
        <v>0.6</v>
      </c>
      <c r="E183" s="44">
        <f t="shared" si="39"/>
        <v>0.6</v>
      </c>
      <c r="F183" s="44">
        <f t="shared" si="39"/>
        <v>0.6</v>
      </c>
      <c r="G183" s="44">
        <f t="shared" si="39"/>
        <v>0.6</v>
      </c>
      <c r="H183" s="44">
        <f t="shared" si="39"/>
        <v>0.6</v>
      </c>
      <c r="I183" s="44">
        <f t="shared" si="39"/>
        <v>0.6</v>
      </c>
      <c r="J183" s="44">
        <f t="shared" si="39"/>
        <v>0.6</v>
      </c>
      <c r="K183" s="44">
        <f t="shared" si="39"/>
        <v>0.6</v>
      </c>
      <c r="L183" s="44">
        <f t="shared" si="39"/>
        <v>0.6</v>
      </c>
      <c r="M183" s="44">
        <f t="shared" si="39"/>
        <v>0.6</v>
      </c>
      <c r="N183" s="44">
        <f t="shared" si="39"/>
        <v>0.6</v>
      </c>
      <c r="O183" s="44">
        <f t="shared" si="39"/>
        <v>0.6</v>
      </c>
      <c r="P183" s="44">
        <f t="shared" si="39"/>
        <v>0.6</v>
      </c>
      <c r="Q183" s="44">
        <f t="shared" si="39"/>
        <v>0.6</v>
      </c>
      <c r="R183" s="44">
        <f t="shared" si="39"/>
        <v>0.6</v>
      </c>
      <c r="S183" s="44">
        <f t="shared" si="39"/>
        <v>0.6</v>
      </c>
      <c r="T183" s="44">
        <f t="shared" si="40"/>
        <v>0.6</v>
      </c>
      <c r="U183" s="44">
        <f t="shared" si="40"/>
        <v>0.6</v>
      </c>
      <c r="V183" s="44">
        <f t="shared" si="40"/>
        <v>0.6</v>
      </c>
      <c r="W183" s="44">
        <f t="shared" si="40"/>
        <v>0.6</v>
      </c>
      <c r="X183" s="44">
        <f t="shared" si="40"/>
        <v>0.6</v>
      </c>
      <c r="Y183" s="44">
        <f t="shared" si="40"/>
        <v>0.6</v>
      </c>
      <c r="Z183" s="44">
        <f t="shared" si="40"/>
        <v>0.6</v>
      </c>
      <c r="AA183" s="44">
        <f t="shared" si="40"/>
        <v>0.6</v>
      </c>
      <c r="AB183" s="44">
        <f t="shared" si="40"/>
        <v>0.6</v>
      </c>
      <c r="AC183" s="44">
        <f t="shared" si="40"/>
        <v>0.6</v>
      </c>
      <c r="AD183" s="44">
        <f t="shared" si="40"/>
        <v>0.6</v>
      </c>
      <c r="AE183" s="44">
        <f t="shared" si="40"/>
        <v>0.6</v>
      </c>
      <c r="AF183" s="44">
        <f t="shared" si="40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38"/>
        <v>0.35</v>
      </c>
      <c r="C184" s="55">
        <v>0.35</v>
      </c>
      <c r="D184" s="44">
        <f t="shared" si="39"/>
        <v>0.35</v>
      </c>
      <c r="E184" s="44">
        <f t="shared" si="39"/>
        <v>0.35</v>
      </c>
      <c r="F184" s="44">
        <f t="shared" si="39"/>
        <v>0.35</v>
      </c>
      <c r="G184" s="44">
        <f t="shared" si="39"/>
        <v>0.35</v>
      </c>
      <c r="H184" s="44">
        <f t="shared" si="39"/>
        <v>0.35</v>
      </c>
      <c r="I184" s="44">
        <f t="shared" si="39"/>
        <v>0.35</v>
      </c>
      <c r="J184" s="44">
        <f t="shared" si="39"/>
        <v>0.35</v>
      </c>
      <c r="K184" s="44">
        <f t="shared" si="39"/>
        <v>0.35</v>
      </c>
      <c r="L184" s="44">
        <f t="shared" si="39"/>
        <v>0.35</v>
      </c>
      <c r="M184" s="44">
        <f t="shared" si="39"/>
        <v>0.35</v>
      </c>
      <c r="N184" s="44">
        <f t="shared" si="39"/>
        <v>0.35</v>
      </c>
      <c r="O184" s="44">
        <f t="shared" si="39"/>
        <v>0.35</v>
      </c>
      <c r="P184" s="44">
        <f t="shared" si="39"/>
        <v>0.35</v>
      </c>
      <c r="Q184" s="44">
        <f t="shared" si="39"/>
        <v>0.35</v>
      </c>
      <c r="R184" s="44">
        <f t="shared" si="39"/>
        <v>0.35</v>
      </c>
      <c r="S184" s="44">
        <f t="shared" si="39"/>
        <v>0.35</v>
      </c>
      <c r="T184" s="44">
        <f t="shared" si="40"/>
        <v>0.35</v>
      </c>
      <c r="U184" s="44">
        <f t="shared" si="40"/>
        <v>0.35</v>
      </c>
      <c r="V184" s="44">
        <f t="shared" si="40"/>
        <v>0.35</v>
      </c>
      <c r="W184" s="44">
        <f t="shared" si="40"/>
        <v>0.35</v>
      </c>
      <c r="X184" s="44">
        <f t="shared" si="40"/>
        <v>0.35</v>
      </c>
      <c r="Y184" s="44">
        <f t="shared" si="40"/>
        <v>0.35</v>
      </c>
      <c r="Z184" s="44">
        <f t="shared" si="40"/>
        <v>0.35</v>
      </c>
      <c r="AA184" s="44">
        <f t="shared" si="40"/>
        <v>0.35</v>
      </c>
      <c r="AB184" s="44">
        <f t="shared" si="40"/>
        <v>0.35</v>
      </c>
      <c r="AC184" s="44">
        <f t="shared" si="40"/>
        <v>0.35</v>
      </c>
      <c r="AD184" s="44">
        <f t="shared" si="40"/>
        <v>0.35</v>
      </c>
      <c r="AE184" s="44">
        <f t="shared" si="40"/>
        <v>0.35</v>
      </c>
      <c r="AF184" s="44">
        <f t="shared" si="40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38"/>
        <v>0.28999999999999998</v>
      </c>
      <c r="C185" s="55">
        <v>0.28999999999999998</v>
      </c>
      <c r="D185" s="44">
        <f t="shared" si="39"/>
        <v>0.28999999999999998</v>
      </c>
      <c r="E185" s="44">
        <f t="shared" si="39"/>
        <v>0.28999999999999998</v>
      </c>
      <c r="F185" s="44">
        <f t="shared" si="39"/>
        <v>0.28999999999999998</v>
      </c>
      <c r="G185" s="44">
        <f t="shared" si="39"/>
        <v>0.28999999999999998</v>
      </c>
      <c r="H185" s="44">
        <f t="shared" si="39"/>
        <v>0.28999999999999998</v>
      </c>
      <c r="I185" s="44">
        <f t="shared" si="39"/>
        <v>0.28999999999999998</v>
      </c>
      <c r="J185" s="44">
        <f t="shared" si="39"/>
        <v>0.28999999999999998</v>
      </c>
      <c r="K185" s="44">
        <f t="shared" si="39"/>
        <v>0.28999999999999998</v>
      </c>
      <c r="L185" s="44">
        <f t="shared" si="39"/>
        <v>0.28999999999999998</v>
      </c>
      <c r="M185" s="44">
        <f t="shared" si="39"/>
        <v>0.28999999999999998</v>
      </c>
      <c r="N185" s="44">
        <f t="shared" si="39"/>
        <v>0.28999999999999998</v>
      </c>
      <c r="O185" s="44">
        <f t="shared" si="39"/>
        <v>0.28999999999999998</v>
      </c>
      <c r="P185" s="44">
        <f t="shared" si="39"/>
        <v>0.28999999999999998</v>
      </c>
      <c r="Q185" s="44">
        <f t="shared" si="39"/>
        <v>0.28999999999999998</v>
      </c>
      <c r="R185" s="44">
        <f t="shared" si="39"/>
        <v>0.28999999999999998</v>
      </c>
      <c r="S185" s="44">
        <f t="shared" si="39"/>
        <v>0.28999999999999998</v>
      </c>
      <c r="T185" s="44">
        <f t="shared" si="40"/>
        <v>0.28999999999999998</v>
      </c>
      <c r="U185" s="44">
        <f t="shared" si="40"/>
        <v>0.28999999999999998</v>
      </c>
      <c r="V185" s="44">
        <f t="shared" si="40"/>
        <v>0.28999999999999998</v>
      </c>
      <c r="W185" s="44">
        <f t="shared" si="40"/>
        <v>0.28999999999999998</v>
      </c>
      <c r="X185" s="44">
        <f t="shared" si="40"/>
        <v>0.28999999999999998</v>
      </c>
      <c r="Y185" s="44">
        <f t="shared" si="40"/>
        <v>0.28999999999999998</v>
      </c>
      <c r="Z185" s="44">
        <f t="shared" si="40"/>
        <v>0.28999999999999998</v>
      </c>
      <c r="AA185" s="44">
        <f t="shared" si="40"/>
        <v>0.28999999999999998</v>
      </c>
      <c r="AB185" s="44">
        <f t="shared" si="40"/>
        <v>0.28999999999999998</v>
      </c>
      <c r="AC185" s="44">
        <f t="shared" si="40"/>
        <v>0.28999999999999998</v>
      </c>
      <c r="AD185" s="44">
        <f t="shared" si="40"/>
        <v>0.28999999999999998</v>
      </c>
      <c r="AE185" s="44">
        <f t="shared" si="40"/>
        <v>0.28999999999999998</v>
      </c>
      <c r="AF185" s="44">
        <f t="shared" si="40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38"/>
        <v>0.06</v>
      </c>
      <c r="C186" s="55">
        <v>0.06</v>
      </c>
      <c r="D186" s="44">
        <f t="shared" si="39"/>
        <v>0.06</v>
      </c>
      <c r="E186" s="44">
        <f t="shared" si="39"/>
        <v>0.06</v>
      </c>
      <c r="F186" s="44">
        <f t="shared" si="39"/>
        <v>0.06</v>
      </c>
      <c r="G186" s="44">
        <f t="shared" si="39"/>
        <v>0.06</v>
      </c>
      <c r="H186" s="44">
        <f t="shared" si="39"/>
        <v>0.06</v>
      </c>
      <c r="I186" s="44">
        <f t="shared" si="39"/>
        <v>0.06</v>
      </c>
      <c r="J186" s="44">
        <f t="shared" si="39"/>
        <v>0.06</v>
      </c>
      <c r="K186" s="44">
        <f t="shared" si="39"/>
        <v>0.06</v>
      </c>
      <c r="L186" s="44">
        <f t="shared" si="39"/>
        <v>0.06</v>
      </c>
      <c r="M186" s="44">
        <f t="shared" si="39"/>
        <v>0.06</v>
      </c>
      <c r="N186" s="44">
        <f t="shared" si="39"/>
        <v>0.06</v>
      </c>
      <c r="O186" s="44">
        <f t="shared" si="39"/>
        <v>0.06</v>
      </c>
      <c r="P186" s="44">
        <f t="shared" si="39"/>
        <v>0.06</v>
      </c>
      <c r="Q186" s="44">
        <f t="shared" si="39"/>
        <v>0.06</v>
      </c>
      <c r="R186" s="44">
        <f t="shared" si="39"/>
        <v>0.06</v>
      </c>
      <c r="S186" s="44">
        <f t="shared" si="39"/>
        <v>0.06</v>
      </c>
      <c r="T186" s="44">
        <f t="shared" si="40"/>
        <v>0.06</v>
      </c>
      <c r="U186" s="44">
        <f t="shared" si="40"/>
        <v>0.06</v>
      </c>
      <c r="V186" s="44">
        <f t="shared" si="40"/>
        <v>0.06</v>
      </c>
      <c r="W186" s="44">
        <f t="shared" si="40"/>
        <v>0.06</v>
      </c>
      <c r="X186" s="44">
        <f t="shared" si="40"/>
        <v>0.06</v>
      </c>
      <c r="Y186" s="44">
        <f t="shared" si="40"/>
        <v>0.06</v>
      </c>
      <c r="Z186" s="44">
        <f t="shared" si="40"/>
        <v>0.06</v>
      </c>
      <c r="AA186" s="44">
        <f t="shared" si="40"/>
        <v>0.06</v>
      </c>
      <c r="AB186" s="44">
        <f t="shared" si="40"/>
        <v>0.06</v>
      </c>
      <c r="AC186" s="44">
        <f t="shared" si="40"/>
        <v>0.06</v>
      </c>
      <c r="AD186" s="44">
        <f t="shared" si="40"/>
        <v>0.06</v>
      </c>
      <c r="AE186" s="44">
        <f t="shared" si="40"/>
        <v>0.06</v>
      </c>
      <c r="AF186" s="44">
        <f t="shared" si="40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38"/>
        <v>0.11</v>
      </c>
      <c r="C187" s="55">
        <v>0.11</v>
      </c>
      <c r="D187" s="44">
        <f t="shared" si="39"/>
        <v>0.11</v>
      </c>
      <c r="E187" s="44">
        <f t="shared" si="39"/>
        <v>0.11</v>
      </c>
      <c r="F187" s="44">
        <f t="shared" si="39"/>
        <v>0.11</v>
      </c>
      <c r="G187" s="44">
        <f t="shared" si="39"/>
        <v>0.11</v>
      </c>
      <c r="H187" s="44">
        <f t="shared" si="39"/>
        <v>0.11</v>
      </c>
      <c r="I187" s="44">
        <f t="shared" si="39"/>
        <v>0.11</v>
      </c>
      <c r="J187" s="44">
        <f t="shared" si="39"/>
        <v>0.11</v>
      </c>
      <c r="K187" s="44">
        <f t="shared" si="39"/>
        <v>0.11</v>
      </c>
      <c r="L187" s="44">
        <f t="shared" si="39"/>
        <v>0.11</v>
      </c>
      <c r="M187" s="44">
        <f t="shared" si="39"/>
        <v>0.11</v>
      </c>
      <c r="N187" s="44">
        <f t="shared" si="39"/>
        <v>0.11</v>
      </c>
      <c r="O187" s="44">
        <f t="shared" si="39"/>
        <v>0.11</v>
      </c>
      <c r="P187" s="44">
        <f t="shared" si="39"/>
        <v>0.11</v>
      </c>
      <c r="Q187" s="44">
        <f t="shared" si="39"/>
        <v>0.11</v>
      </c>
      <c r="R187" s="44">
        <f t="shared" si="39"/>
        <v>0.11</v>
      </c>
      <c r="S187" s="44">
        <f t="shared" si="39"/>
        <v>0.11</v>
      </c>
      <c r="T187" s="44">
        <f t="shared" si="40"/>
        <v>0.11</v>
      </c>
      <c r="U187" s="44">
        <f t="shared" si="40"/>
        <v>0.11</v>
      </c>
      <c r="V187" s="44">
        <f t="shared" si="40"/>
        <v>0.11</v>
      </c>
      <c r="W187" s="44">
        <f t="shared" si="40"/>
        <v>0.11</v>
      </c>
      <c r="X187" s="44">
        <f t="shared" si="40"/>
        <v>0.11</v>
      </c>
      <c r="Y187" s="44">
        <f t="shared" si="40"/>
        <v>0.11</v>
      </c>
      <c r="Z187" s="44">
        <f t="shared" si="40"/>
        <v>0.11</v>
      </c>
      <c r="AA187" s="44">
        <f t="shared" si="40"/>
        <v>0.11</v>
      </c>
      <c r="AB187" s="44">
        <f t="shared" si="40"/>
        <v>0.11</v>
      </c>
      <c r="AC187" s="44">
        <f t="shared" si="40"/>
        <v>0.11</v>
      </c>
      <c r="AD187" s="44">
        <f t="shared" si="40"/>
        <v>0.11</v>
      </c>
      <c r="AE187" s="44">
        <f t="shared" si="40"/>
        <v>0.11</v>
      </c>
      <c r="AF187" s="44">
        <f t="shared" si="40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38"/>
        <v>0.1</v>
      </c>
      <c r="C188" s="55">
        <v>0.1</v>
      </c>
      <c r="D188" s="44">
        <f t="shared" si="39"/>
        <v>0.1</v>
      </c>
      <c r="E188" s="44">
        <f t="shared" si="39"/>
        <v>0.1</v>
      </c>
      <c r="F188" s="44">
        <f t="shared" si="39"/>
        <v>0.1</v>
      </c>
      <c r="G188" s="44">
        <f t="shared" si="39"/>
        <v>0.1</v>
      </c>
      <c r="H188" s="44">
        <f t="shared" si="39"/>
        <v>0.1</v>
      </c>
      <c r="I188" s="44">
        <f t="shared" si="39"/>
        <v>0.1</v>
      </c>
      <c r="J188" s="44">
        <f t="shared" si="39"/>
        <v>0.1</v>
      </c>
      <c r="K188" s="44">
        <f t="shared" si="39"/>
        <v>0.1</v>
      </c>
      <c r="L188" s="44">
        <f t="shared" si="39"/>
        <v>0.1</v>
      </c>
      <c r="M188" s="44">
        <f t="shared" si="39"/>
        <v>0.1</v>
      </c>
      <c r="N188" s="44">
        <f t="shared" si="39"/>
        <v>0.1</v>
      </c>
      <c r="O188" s="44">
        <f t="shared" si="39"/>
        <v>0.1</v>
      </c>
      <c r="P188" s="44">
        <f t="shared" si="39"/>
        <v>0.1</v>
      </c>
      <c r="Q188" s="44">
        <f t="shared" si="39"/>
        <v>0.1</v>
      </c>
      <c r="R188" s="44">
        <f t="shared" si="39"/>
        <v>0.1</v>
      </c>
      <c r="S188" s="44">
        <f t="shared" si="40"/>
        <v>0.1</v>
      </c>
      <c r="T188" s="44">
        <f t="shared" si="40"/>
        <v>0.1</v>
      </c>
      <c r="U188" s="44">
        <f t="shared" si="40"/>
        <v>0.1</v>
      </c>
      <c r="V188" s="44">
        <f t="shared" si="40"/>
        <v>0.1</v>
      </c>
      <c r="W188" s="44">
        <f t="shared" si="40"/>
        <v>0.1</v>
      </c>
      <c r="X188" s="44">
        <f t="shared" si="40"/>
        <v>0.1</v>
      </c>
      <c r="Y188" s="44">
        <f t="shared" si="40"/>
        <v>0.1</v>
      </c>
      <c r="Z188" s="44">
        <f t="shared" si="40"/>
        <v>0.1</v>
      </c>
      <c r="AA188" s="44">
        <f t="shared" si="40"/>
        <v>0.1</v>
      </c>
      <c r="AB188" s="44">
        <f t="shared" si="40"/>
        <v>0.1</v>
      </c>
      <c r="AC188" s="44">
        <f t="shared" si="40"/>
        <v>0.1</v>
      </c>
      <c r="AD188" s="44">
        <f t="shared" si="40"/>
        <v>0.1</v>
      </c>
      <c r="AE188" s="44">
        <f t="shared" si="40"/>
        <v>0.1</v>
      </c>
      <c r="AF188" s="44">
        <f t="shared" si="40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38"/>
        <v>0.09</v>
      </c>
      <c r="C189" s="55">
        <v>0.09</v>
      </c>
      <c r="D189" s="44">
        <f t="shared" si="39"/>
        <v>0.09</v>
      </c>
      <c r="E189" s="44">
        <f t="shared" si="39"/>
        <v>0.09</v>
      </c>
      <c r="F189" s="44">
        <f t="shared" si="39"/>
        <v>0.09</v>
      </c>
      <c r="G189" s="44">
        <f t="shared" si="39"/>
        <v>0.09</v>
      </c>
      <c r="H189" s="44">
        <f t="shared" si="39"/>
        <v>0.09</v>
      </c>
      <c r="I189" s="44">
        <f t="shared" si="39"/>
        <v>0.09</v>
      </c>
      <c r="J189" s="44">
        <f t="shared" si="39"/>
        <v>0.09</v>
      </c>
      <c r="K189" s="44">
        <f t="shared" si="39"/>
        <v>0.09</v>
      </c>
      <c r="L189" s="44">
        <f t="shared" si="39"/>
        <v>0.09</v>
      </c>
      <c r="M189" s="44">
        <f t="shared" si="39"/>
        <v>0.09</v>
      </c>
      <c r="N189" s="44">
        <f t="shared" si="39"/>
        <v>0.09</v>
      </c>
      <c r="O189" s="44">
        <f t="shared" si="39"/>
        <v>0.09</v>
      </c>
      <c r="P189" s="44">
        <f t="shared" si="39"/>
        <v>0.09</v>
      </c>
      <c r="Q189" s="44">
        <f t="shared" si="39"/>
        <v>0.09</v>
      </c>
      <c r="R189" s="44">
        <f t="shared" si="39"/>
        <v>0.09</v>
      </c>
      <c r="S189" s="44">
        <f t="shared" si="40"/>
        <v>0.09</v>
      </c>
      <c r="T189" s="44">
        <f t="shared" si="40"/>
        <v>0.09</v>
      </c>
      <c r="U189" s="44">
        <f t="shared" si="40"/>
        <v>0.09</v>
      </c>
      <c r="V189" s="44">
        <f t="shared" si="40"/>
        <v>0.09</v>
      </c>
      <c r="W189" s="44">
        <f t="shared" si="40"/>
        <v>0.09</v>
      </c>
      <c r="X189" s="44">
        <f t="shared" si="40"/>
        <v>0.09</v>
      </c>
      <c r="Y189" s="44">
        <f t="shared" si="40"/>
        <v>0.09</v>
      </c>
      <c r="Z189" s="44">
        <f t="shared" si="40"/>
        <v>0.09</v>
      </c>
      <c r="AA189" s="44">
        <f t="shared" si="40"/>
        <v>0.09</v>
      </c>
      <c r="AB189" s="44">
        <f t="shared" si="40"/>
        <v>0.09</v>
      </c>
      <c r="AC189" s="44">
        <f t="shared" si="40"/>
        <v>0.09</v>
      </c>
      <c r="AD189" s="44">
        <f t="shared" si="40"/>
        <v>0.09</v>
      </c>
      <c r="AE189" s="44">
        <f t="shared" si="40"/>
        <v>0.09</v>
      </c>
      <c r="AF189" s="44">
        <f t="shared" si="40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38"/>
        <v>0.04</v>
      </c>
      <c r="C190" s="54">
        <v>0.04</v>
      </c>
      <c r="D190" s="44">
        <f t="shared" si="39"/>
        <v>0.04</v>
      </c>
      <c r="E190" s="44">
        <f t="shared" si="39"/>
        <v>0.04</v>
      </c>
      <c r="F190" s="44">
        <f t="shared" si="39"/>
        <v>0.04</v>
      </c>
      <c r="G190" s="44">
        <f t="shared" si="39"/>
        <v>0.04</v>
      </c>
      <c r="H190" s="44">
        <f t="shared" si="39"/>
        <v>0.04</v>
      </c>
      <c r="I190" s="44">
        <f t="shared" si="39"/>
        <v>0.04</v>
      </c>
      <c r="J190" s="44">
        <f t="shared" si="39"/>
        <v>0.04</v>
      </c>
      <c r="K190" s="44">
        <f t="shared" si="39"/>
        <v>0.04</v>
      </c>
      <c r="L190" s="44">
        <f t="shared" si="39"/>
        <v>0.04</v>
      </c>
      <c r="M190" s="44">
        <f t="shared" si="39"/>
        <v>0.04</v>
      </c>
      <c r="N190" s="44">
        <f t="shared" si="39"/>
        <v>0.04</v>
      </c>
      <c r="O190" s="44">
        <f t="shared" si="39"/>
        <v>0.04</v>
      </c>
      <c r="P190" s="44">
        <f t="shared" si="39"/>
        <v>0.04</v>
      </c>
      <c r="Q190" s="44">
        <f t="shared" si="39"/>
        <v>0.04</v>
      </c>
      <c r="R190" s="44">
        <f t="shared" si="39"/>
        <v>0.04</v>
      </c>
      <c r="S190" s="44">
        <f t="shared" si="40"/>
        <v>0.04</v>
      </c>
      <c r="T190" s="44">
        <f t="shared" si="40"/>
        <v>0.04</v>
      </c>
      <c r="U190" s="44">
        <f t="shared" si="40"/>
        <v>0.04</v>
      </c>
      <c r="V190" s="44">
        <f t="shared" si="40"/>
        <v>0.04</v>
      </c>
      <c r="W190" s="44">
        <f t="shared" si="40"/>
        <v>0.04</v>
      </c>
      <c r="X190" s="44">
        <f t="shared" si="40"/>
        <v>0.04</v>
      </c>
      <c r="Y190" s="44">
        <f t="shared" si="40"/>
        <v>0.04</v>
      </c>
      <c r="Z190" s="44">
        <f t="shared" si="40"/>
        <v>0.04</v>
      </c>
      <c r="AA190" s="44">
        <f t="shared" si="40"/>
        <v>0.04</v>
      </c>
      <c r="AB190" s="44">
        <f t="shared" si="40"/>
        <v>0.04</v>
      </c>
      <c r="AC190" s="44">
        <f t="shared" si="40"/>
        <v>0.04</v>
      </c>
      <c r="AD190" s="44">
        <f t="shared" si="40"/>
        <v>0.04</v>
      </c>
      <c r="AE190" s="44">
        <f t="shared" si="40"/>
        <v>0.04</v>
      </c>
      <c r="AF190" s="44">
        <f t="shared" si="40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38"/>
        <v>2.3E-2</v>
      </c>
      <c r="C191" s="54">
        <v>2.3E-2</v>
      </c>
      <c r="D191" s="44">
        <f>C191</f>
        <v>2.3E-2</v>
      </c>
      <c r="E191" s="44">
        <f t="shared" si="39"/>
        <v>2.3E-2</v>
      </c>
      <c r="F191" s="44">
        <f t="shared" si="39"/>
        <v>2.3E-2</v>
      </c>
      <c r="G191" s="44">
        <f t="shared" si="39"/>
        <v>2.3E-2</v>
      </c>
      <c r="H191" s="44">
        <f t="shared" si="39"/>
        <v>2.3E-2</v>
      </c>
      <c r="I191" s="44">
        <f t="shared" si="39"/>
        <v>2.3E-2</v>
      </c>
      <c r="J191" s="44">
        <f t="shared" si="39"/>
        <v>2.3E-2</v>
      </c>
      <c r="K191" s="44">
        <f t="shared" si="39"/>
        <v>2.3E-2</v>
      </c>
      <c r="L191" s="44">
        <f t="shared" si="39"/>
        <v>2.3E-2</v>
      </c>
      <c r="M191" s="44">
        <f t="shared" si="39"/>
        <v>2.3E-2</v>
      </c>
      <c r="N191" s="44">
        <f t="shared" si="39"/>
        <v>2.3E-2</v>
      </c>
      <c r="O191" s="44">
        <f t="shared" si="39"/>
        <v>2.3E-2</v>
      </c>
      <c r="P191" s="44">
        <f t="shared" si="39"/>
        <v>2.3E-2</v>
      </c>
      <c r="Q191" s="44">
        <f t="shared" si="39"/>
        <v>2.3E-2</v>
      </c>
      <c r="R191" s="44">
        <f t="shared" si="39"/>
        <v>2.3E-2</v>
      </c>
      <c r="S191" s="44">
        <f t="shared" si="40"/>
        <v>2.3E-2</v>
      </c>
      <c r="T191" s="44">
        <f t="shared" si="40"/>
        <v>2.3E-2</v>
      </c>
      <c r="U191" s="44">
        <f t="shared" si="40"/>
        <v>2.3E-2</v>
      </c>
      <c r="V191" s="44">
        <f t="shared" si="40"/>
        <v>2.3E-2</v>
      </c>
      <c r="W191" s="44">
        <f t="shared" si="40"/>
        <v>2.3E-2</v>
      </c>
      <c r="X191" s="44">
        <f t="shared" si="40"/>
        <v>2.3E-2</v>
      </c>
      <c r="Y191" s="44">
        <f t="shared" si="40"/>
        <v>2.3E-2</v>
      </c>
      <c r="Z191" s="44">
        <f t="shared" si="40"/>
        <v>2.3E-2</v>
      </c>
      <c r="AA191" s="44">
        <f t="shared" si="40"/>
        <v>2.3E-2</v>
      </c>
      <c r="AB191" s="44">
        <f t="shared" si="40"/>
        <v>2.3E-2</v>
      </c>
      <c r="AC191" s="44">
        <f t="shared" si="40"/>
        <v>2.3E-2</v>
      </c>
      <c r="AD191" s="44">
        <f t="shared" si="40"/>
        <v>2.3E-2</v>
      </c>
      <c r="AE191" s="44">
        <f t="shared" si="40"/>
        <v>2.3E-2</v>
      </c>
      <c r="AF191" s="44">
        <f t="shared" si="40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41">SUM(C102:C191)</f>
        <v>194.70600000000002</v>
      </c>
      <c r="D192" s="51">
        <f t="shared" si="41"/>
        <v>194.70600000000002</v>
      </c>
      <c r="E192" s="51">
        <f t="shared" si="41"/>
        <v>194.70600000000002</v>
      </c>
      <c r="F192" s="51">
        <f t="shared" si="41"/>
        <v>194.70600000000002</v>
      </c>
      <c r="G192" s="51">
        <f t="shared" si="41"/>
        <v>194.70600000000002</v>
      </c>
      <c r="H192" s="51">
        <f t="shared" si="41"/>
        <v>194.70600000000002</v>
      </c>
      <c r="I192" s="51">
        <f t="shared" si="41"/>
        <v>194.70600000000002</v>
      </c>
      <c r="J192" s="51">
        <f t="shared" si="41"/>
        <v>192.10600000000005</v>
      </c>
      <c r="K192" s="51">
        <f t="shared" si="41"/>
        <v>192.10600000000005</v>
      </c>
      <c r="L192" s="51">
        <f t="shared" si="41"/>
        <v>192.10600000000005</v>
      </c>
      <c r="M192" s="51">
        <f t="shared" si="41"/>
        <v>192.10600000000005</v>
      </c>
      <c r="N192" s="51">
        <f t="shared" si="41"/>
        <v>192.10600000000005</v>
      </c>
      <c r="O192" s="51">
        <f t="shared" si="41"/>
        <v>192.10600000000005</v>
      </c>
      <c r="P192" s="51">
        <f t="shared" si="41"/>
        <v>192.10600000000005</v>
      </c>
      <c r="Q192" s="51">
        <f t="shared" si="41"/>
        <v>192.10600000000005</v>
      </c>
      <c r="R192" s="51">
        <f t="shared" si="41"/>
        <v>192.10600000000005</v>
      </c>
      <c r="S192" s="51">
        <f t="shared" si="41"/>
        <v>192.10600000000005</v>
      </c>
      <c r="T192" s="51">
        <f t="shared" si="41"/>
        <v>192.10600000000005</v>
      </c>
      <c r="U192" s="51">
        <f t="shared" si="41"/>
        <v>192.10600000000005</v>
      </c>
      <c r="V192" s="51">
        <f t="shared" si="41"/>
        <v>192.10600000000005</v>
      </c>
      <c r="W192" s="51">
        <f t="shared" si="41"/>
        <v>192.10600000000005</v>
      </c>
      <c r="X192" s="51">
        <f t="shared" si="41"/>
        <v>192.10600000000005</v>
      </c>
      <c r="Y192" s="51">
        <f t="shared" si="41"/>
        <v>192.10600000000005</v>
      </c>
      <c r="Z192" s="51">
        <f t="shared" si="41"/>
        <v>192.10600000000005</v>
      </c>
      <c r="AA192" s="51">
        <f t="shared" si="41"/>
        <v>192.10600000000005</v>
      </c>
      <c r="AB192" s="51">
        <f t="shared" si="41"/>
        <v>192.10600000000005</v>
      </c>
      <c r="AC192" s="51">
        <f t="shared" si="41"/>
        <v>192.10600000000005</v>
      </c>
      <c r="AD192" s="51">
        <f t="shared" si="41"/>
        <v>192.10600000000005</v>
      </c>
      <c r="AE192" s="51">
        <f t="shared" si="41"/>
        <v>192.10600000000005</v>
      </c>
      <c r="AF192" s="51">
        <f t="shared" si="41"/>
        <v>192.10600000000005</v>
      </c>
      <c r="AG192" s="50">
        <f t="shared" si="41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42">AF194</f>
        <v>0.3</v>
      </c>
      <c r="C194" s="47">
        <v>0.3</v>
      </c>
      <c r="D194" s="47">
        <f t="shared" ref="D194:S199" si="43">C194</f>
        <v>0.3</v>
      </c>
      <c r="E194" s="47">
        <f t="shared" si="43"/>
        <v>0.3</v>
      </c>
      <c r="F194" s="47">
        <f t="shared" si="43"/>
        <v>0.3</v>
      </c>
      <c r="G194" s="47">
        <f t="shared" si="43"/>
        <v>0.3</v>
      </c>
      <c r="H194" s="47">
        <f t="shared" si="43"/>
        <v>0.3</v>
      </c>
      <c r="I194" s="47">
        <f t="shared" si="43"/>
        <v>0.3</v>
      </c>
      <c r="J194" s="47">
        <f t="shared" si="43"/>
        <v>0.3</v>
      </c>
      <c r="K194" s="47">
        <f t="shared" si="43"/>
        <v>0.3</v>
      </c>
      <c r="L194" s="47">
        <f t="shared" si="43"/>
        <v>0.3</v>
      </c>
      <c r="M194" s="47">
        <f t="shared" si="43"/>
        <v>0.3</v>
      </c>
      <c r="N194" s="47">
        <f t="shared" si="43"/>
        <v>0.3</v>
      </c>
      <c r="O194" s="47">
        <f t="shared" si="43"/>
        <v>0.3</v>
      </c>
      <c r="P194" s="47">
        <f t="shared" si="43"/>
        <v>0.3</v>
      </c>
      <c r="Q194" s="47">
        <f t="shared" si="43"/>
        <v>0.3</v>
      </c>
      <c r="R194" s="47">
        <f t="shared" si="43"/>
        <v>0.3</v>
      </c>
      <c r="S194" s="47">
        <f t="shared" si="43"/>
        <v>0.3</v>
      </c>
      <c r="T194" s="47">
        <f t="shared" ref="T194:AF199" si="44">S194</f>
        <v>0.3</v>
      </c>
      <c r="U194" s="47">
        <f t="shared" si="44"/>
        <v>0.3</v>
      </c>
      <c r="V194" s="47">
        <f t="shared" si="44"/>
        <v>0.3</v>
      </c>
      <c r="W194" s="47">
        <f t="shared" si="44"/>
        <v>0.3</v>
      </c>
      <c r="X194" s="47">
        <f t="shared" si="44"/>
        <v>0.3</v>
      </c>
      <c r="Y194" s="47">
        <f t="shared" si="44"/>
        <v>0.3</v>
      </c>
      <c r="Z194" s="47">
        <f t="shared" si="44"/>
        <v>0.3</v>
      </c>
      <c r="AA194" s="47">
        <f t="shared" si="44"/>
        <v>0.3</v>
      </c>
      <c r="AB194" s="47">
        <f t="shared" si="44"/>
        <v>0.3</v>
      </c>
      <c r="AC194" s="47">
        <f t="shared" si="44"/>
        <v>0.3</v>
      </c>
      <c r="AD194" s="47">
        <f t="shared" si="44"/>
        <v>0.3</v>
      </c>
      <c r="AE194" s="47">
        <f t="shared" si="44"/>
        <v>0.3</v>
      </c>
      <c r="AF194" s="47">
        <f t="shared" si="44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42"/>
        <v>0.4</v>
      </c>
      <c r="C195" s="44">
        <v>0.4</v>
      </c>
      <c r="D195" s="44">
        <f t="shared" si="43"/>
        <v>0.4</v>
      </c>
      <c r="E195" s="44">
        <f t="shared" si="43"/>
        <v>0.4</v>
      </c>
      <c r="F195" s="44">
        <f t="shared" si="43"/>
        <v>0.4</v>
      </c>
      <c r="G195" s="44">
        <f t="shared" si="43"/>
        <v>0.4</v>
      </c>
      <c r="H195" s="44">
        <f t="shared" si="43"/>
        <v>0.4</v>
      </c>
      <c r="I195" s="44">
        <f t="shared" si="43"/>
        <v>0.4</v>
      </c>
      <c r="J195" s="44">
        <f t="shared" si="43"/>
        <v>0.4</v>
      </c>
      <c r="K195" s="44">
        <f t="shared" si="43"/>
        <v>0.4</v>
      </c>
      <c r="L195" s="44">
        <f t="shared" si="43"/>
        <v>0.4</v>
      </c>
      <c r="M195" s="44">
        <f t="shared" si="43"/>
        <v>0.4</v>
      </c>
      <c r="N195" s="44">
        <f t="shared" si="43"/>
        <v>0.4</v>
      </c>
      <c r="O195" s="44">
        <f t="shared" si="43"/>
        <v>0.4</v>
      </c>
      <c r="P195" s="44">
        <f t="shared" si="43"/>
        <v>0.4</v>
      </c>
      <c r="Q195" s="44">
        <f t="shared" si="43"/>
        <v>0.4</v>
      </c>
      <c r="R195" s="44">
        <f t="shared" si="43"/>
        <v>0.4</v>
      </c>
      <c r="S195" s="44">
        <f t="shared" si="43"/>
        <v>0.4</v>
      </c>
      <c r="T195" s="44">
        <f t="shared" si="44"/>
        <v>0.4</v>
      </c>
      <c r="U195" s="44">
        <f t="shared" si="44"/>
        <v>0.4</v>
      </c>
      <c r="V195" s="44">
        <f t="shared" si="44"/>
        <v>0.4</v>
      </c>
      <c r="W195" s="44">
        <f>V195</f>
        <v>0.4</v>
      </c>
      <c r="X195" s="44">
        <f>W195</f>
        <v>0.4</v>
      </c>
      <c r="Y195" s="44">
        <f t="shared" si="44"/>
        <v>0.4</v>
      </c>
      <c r="Z195" s="44">
        <f t="shared" si="44"/>
        <v>0.4</v>
      </c>
      <c r="AA195" s="44">
        <f t="shared" si="44"/>
        <v>0.4</v>
      </c>
      <c r="AB195" s="44">
        <f t="shared" si="44"/>
        <v>0.4</v>
      </c>
      <c r="AC195" s="44">
        <f t="shared" si="44"/>
        <v>0.4</v>
      </c>
      <c r="AD195" s="44">
        <f t="shared" si="44"/>
        <v>0.4</v>
      </c>
      <c r="AE195" s="44">
        <f t="shared" si="44"/>
        <v>0.4</v>
      </c>
      <c r="AF195" s="44">
        <f t="shared" si="44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42"/>
        <v>1.5</v>
      </c>
      <c r="C196" s="44">
        <v>1.5</v>
      </c>
      <c r="D196" s="44">
        <f t="shared" si="43"/>
        <v>1.5</v>
      </c>
      <c r="E196" s="44">
        <f t="shared" si="43"/>
        <v>1.5</v>
      </c>
      <c r="F196" s="44">
        <f t="shared" si="43"/>
        <v>1.5</v>
      </c>
      <c r="G196" s="44">
        <f t="shared" si="43"/>
        <v>1.5</v>
      </c>
      <c r="H196" s="44">
        <f t="shared" si="43"/>
        <v>1.5</v>
      </c>
      <c r="I196" s="44">
        <f t="shared" si="43"/>
        <v>1.5</v>
      </c>
      <c r="J196" s="44">
        <f t="shared" si="43"/>
        <v>1.5</v>
      </c>
      <c r="K196" s="44">
        <f t="shared" si="43"/>
        <v>1.5</v>
      </c>
      <c r="L196" s="44">
        <f t="shared" si="43"/>
        <v>1.5</v>
      </c>
      <c r="M196" s="44">
        <f t="shared" si="43"/>
        <v>1.5</v>
      </c>
      <c r="N196" s="44">
        <f t="shared" si="43"/>
        <v>1.5</v>
      </c>
      <c r="O196" s="44">
        <f t="shared" si="43"/>
        <v>1.5</v>
      </c>
      <c r="P196" s="44">
        <f t="shared" si="43"/>
        <v>1.5</v>
      </c>
      <c r="Q196" s="44">
        <f t="shared" si="43"/>
        <v>1.5</v>
      </c>
      <c r="R196" s="44">
        <f t="shared" si="43"/>
        <v>1.5</v>
      </c>
      <c r="S196" s="44">
        <f t="shared" si="43"/>
        <v>1.5</v>
      </c>
      <c r="T196" s="44">
        <f t="shared" si="44"/>
        <v>1.5</v>
      </c>
      <c r="U196" s="44">
        <f t="shared" si="44"/>
        <v>1.5</v>
      </c>
      <c r="V196" s="44">
        <f t="shared" si="44"/>
        <v>1.5</v>
      </c>
      <c r="W196" s="44">
        <f t="shared" si="44"/>
        <v>1.5</v>
      </c>
      <c r="X196" s="44">
        <f t="shared" si="44"/>
        <v>1.5</v>
      </c>
      <c r="Y196" s="44">
        <f t="shared" si="44"/>
        <v>1.5</v>
      </c>
      <c r="Z196" s="44">
        <f t="shared" si="44"/>
        <v>1.5</v>
      </c>
      <c r="AA196" s="44">
        <f t="shared" si="44"/>
        <v>1.5</v>
      </c>
      <c r="AB196" s="44">
        <f t="shared" si="44"/>
        <v>1.5</v>
      </c>
      <c r="AC196" s="44">
        <f t="shared" si="44"/>
        <v>1.5</v>
      </c>
      <c r="AD196" s="44">
        <f t="shared" si="44"/>
        <v>1.5</v>
      </c>
      <c r="AE196" s="44">
        <f t="shared" si="44"/>
        <v>1.5</v>
      </c>
      <c r="AF196" s="44">
        <f t="shared" si="44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42"/>
        <v>0.3</v>
      </c>
      <c r="C197" s="44">
        <v>0.3</v>
      </c>
      <c r="D197" s="44">
        <f t="shared" si="43"/>
        <v>0.3</v>
      </c>
      <c r="E197" s="44">
        <f t="shared" si="43"/>
        <v>0.3</v>
      </c>
      <c r="F197" s="44">
        <f t="shared" si="43"/>
        <v>0.3</v>
      </c>
      <c r="G197" s="44">
        <f t="shared" si="43"/>
        <v>0.3</v>
      </c>
      <c r="H197" s="44">
        <f t="shared" si="43"/>
        <v>0.3</v>
      </c>
      <c r="I197" s="44">
        <f t="shared" si="43"/>
        <v>0.3</v>
      </c>
      <c r="J197" s="44">
        <f t="shared" si="43"/>
        <v>0.3</v>
      </c>
      <c r="K197" s="44">
        <f t="shared" si="43"/>
        <v>0.3</v>
      </c>
      <c r="L197" s="44">
        <f t="shared" si="43"/>
        <v>0.3</v>
      </c>
      <c r="M197" s="44">
        <f t="shared" si="43"/>
        <v>0.3</v>
      </c>
      <c r="N197" s="44">
        <f t="shared" si="43"/>
        <v>0.3</v>
      </c>
      <c r="O197" s="44">
        <f t="shared" si="43"/>
        <v>0.3</v>
      </c>
      <c r="P197" s="44">
        <f t="shared" si="43"/>
        <v>0.3</v>
      </c>
      <c r="Q197" s="44">
        <f t="shared" si="43"/>
        <v>0.3</v>
      </c>
      <c r="R197" s="44">
        <f t="shared" si="43"/>
        <v>0.3</v>
      </c>
      <c r="S197" s="44">
        <f t="shared" si="43"/>
        <v>0.3</v>
      </c>
      <c r="T197" s="44">
        <f t="shared" si="44"/>
        <v>0.3</v>
      </c>
      <c r="U197" s="44">
        <f t="shared" si="44"/>
        <v>0.3</v>
      </c>
      <c r="V197" s="44">
        <f t="shared" si="44"/>
        <v>0.3</v>
      </c>
      <c r="W197" s="44">
        <f t="shared" si="44"/>
        <v>0.3</v>
      </c>
      <c r="X197" s="44">
        <f t="shared" si="44"/>
        <v>0.3</v>
      </c>
      <c r="Y197" s="44">
        <f t="shared" si="44"/>
        <v>0.3</v>
      </c>
      <c r="Z197" s="44">
        <f t="shared" si="44"/>
        <v>0.3</v>
      </c>
      <c r="AA197" s="44">
        <f t="shared" si="44"/>
        <v>0.3</v>
      </c>
      <c r="AB197" s="44">
        <f t="shared" si="44"/>
        <v>0.3</v>
      </c>
      <c r="AC197" s="44">
        <f t="shared" si="44"/>
        <v>0.3</v>
      </c>
      <c r="AD197" s="44">
        <f t="shared" si="44"/>
        <v>0.3</v>
      </c>
      <c r="AE197" s="44">
        <f t="shared" si="44"/>
        <v>0.3</v>
      </c>
      <c r="AF197" s="44">
        <f t="shared" si="44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42"/>
        <v>0.4</v>
      </c>
      <c r="C198" s="44">
        <v>0.4</v>
      </c>
      <c r="D198" s="44">
        <f t="shared" si="43"/>
        <v>0.4</v>
      </c>
      <c r="E198" s="44">
        <f t="shared" si="43"/>
        <v>0.4</v>
      </c>
      <c r="F198" s="44">
        <f t="shared" si="43"/>
        <v>0.4</v>
      </c>
      <c r="G198" s="44">
        <f t="shared" si="43"/>
        <v>0.4</v>
      </c>
      <c r="H198" s="44">
        <f t="shared" si="43"/>
        <v>0.4</v>
      </c>
      <c r="I198" s="44">
        <f t="shared" si="43"/>
        <v>0.4</v>
      </c>
      <c r="J198" s="44">
        <f t="shared" si="43"/>
        <v>0.4</v>
      </c>
      <c r="K198" s="44">
        <f t="shared" si="43"/>
        <v>0.4</v>
      </c>
      <c r="L198" s="44">
        <f t="shared" si="43"/>
        <v>0.4</v>
      </c>
      <c r="M198" s="44">
        <f t="shared" si="43"/>
        <v>0.4</v>
      </c>
      <c r="N198" s="44">
        <f t="shared" si="43"/>
        <v>0.4</v>
      </c>
      <c r="O198" s="44">
        <f t="shared" si="43"/>
        <v>0.4</v>
      </c>
      <c r="P198" s="44">
        <f t="shared" si="43"/>
        <v>0.4</v>
      </c>
      <c r="Q198" s="44">
        <f t="shared" si="43"/>
        <v>0.4</v>
      </c>
      <c r="R198" s="44">
        <f t="shared" si="43"/>
        <v>0.4</v>
      </c>
      <c r="S198" s="44">
        <f t="shared" si="43"/>
        <v>0.4</v>
      </c>
      <c r="T198" s="44">
        <f t="shared" si="44"/>
        <v>0.4</v>
      </c>
      <c r="U198" s="44">
        <f t="shared" si="44"/>
        <v>0.4</v>
      </c>
      <c r="V198" s="44">
        <f t="shared" si="44"/>
        <v>0.4</v>
      </c>
      <c r="W198" s="44">
        <f t="shared" si="44"/>
        <v>0.4</v>
      </c>
      <c r="X198" s="44">
        <f t="shared" si="44"/>
        <v>0.4</v>
      </c>
      <c r="Y198" s="44">
        <f t="shared" si="44"/>
        <v>0.4</v>
      </c>
      <c r="Z198" s="44">
        <f t="shared" si="44"/>
        <v>0.4</v>
      </c>
      <c r="AA198" s="44">
        <f t="shared" si="44"/>
        <v>0.4</v>
      </c>
      <c r="AB198" s="44">
        <f t="shared" si="44"/>
        <v>0.4</v>
      </c>
      <c r="AC198" s="44">
        <f t="shared" si="44"/>
        <v>0.4</v>
      </c>
      <c r="AD198" s="44">
        <f t="shared" si="44"/>
        <v>0.4</v>
      </c>
      <c r="AE198" s="44">
        <f t="shared" si="44"/>
        <v>0.4</v>
      </c>
      <c r="AF198" s="44">
        <f t="shared" si="44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42"/>
        <v>0.64</v>
      </c>
      <c r="C199" s="40">
        <v>0.64</v>
      </c>
      <c r="D199" s="40">
        <f t="shared" si="43"/>
        <v>0.64</v>
      </c>
      <c r="E199" s="40">
        <f t="shared" si="43"/>
        <v>0.64</v>
      </c>
      <c r="F199" s="40">
        <f t="shared" si="43"/>
        <v>0.64</v>
      </c>
      <c r="G199" s="40">
        <f t="shared" si="43"/>
        <v>0.64</v>
      </c>
      <c r="H199" s="40">
        <f t="shared" si="43"/>
        <v>0.64</v>
      </c>
      <c r="I199" s="40">
        <f t="shared" si="43"/>
        <v>0.64</v>
      </c>
      <c r="J199" s="40">
        <f t="shared" si="43"/>
        <v>0.64</v>
      </c>
      <c r="K199" s="40">
        <f t="shared" si="43"/>
        <v>0.64</v>
      </c>
      <c r="L199" s="40">
        <f t="shared" si="43"/>
        <v>0.64</v>
      </c>
      <c r="M199" s="40">
        <f t="shared" si="43"/>
        <v>0.64</v>
      </c>
      <c r="N199" s="40">
        <f t="shared" si="43"/>
        <v>0.64</v>
      </c>
      <c r="O199" s="40">
        <f t="shared" si="43"/>
        <v>0.64</v>
      </c>
      <c r="P199" s="40">
        <f t="shared" si="43"/>
        <v>0.64</v>
      </c>
      <c r="Q199" s="40">
        <f t="shared" si="43"/>
        <v>0.64</v>
      </c>
      <c r="R199" s="40">
        <f t="shared" si="43"/>
        <v>0.64</v>
      </c>
      <c r="S199" s="40">
        <f t="shared" si="43"/>
        <v>0.64</v>
      </c>
      <c r="T199" s="40">
        <f t="shared" si="44"/>
        <v>0.64</v>
      </c>
      <c r="U199" s="40">
        <f t="shared" si="44"/>
        <v>0.64</v>
      </c>
      <c r="V199" s="40">
        <f t="shared" si="44"/>
        <v>0.64</v>
      </c>
      <c r="W199" s="40">
        <f t="shared" si="44"/>
        <v>0.64</v>
      </c>
      <c r="X199" s="40">
        <f t="shared" si="44"/>
        <v>0.64</v>
      </c>
      <c r="Y199" s="40">
        <f t="shared" si="44"/>
        <v>0.64</v>
      </c>
      <c r="Z199" s="40">
        <f t="shared" si="44"/>
        <v>0.64</v>
      </c>
      <c r="AA199" s="40">
        <f t="shared" si="44"/>
        <v>0.64</v>
      </c>
      <c r="AB199" s="40">
        <f t="shared" si="44"/>
        <v>0.64</v>
      </c>
      <c r="AC199" s="40">
        <f t="shared" si="44"/>
        <v>0.64</v>
      </c>
      <c r="AD199" s="40">
        <f t="shared" si="44"/>
        <v>0.64</v>
      </c>
      <c r="AE199" s="40">
        <f t="shared" si="44"/>
        <v>0.64</v>
      </c>
      <c r="AF199" s="40">
        <f t="shared" si="44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45">SUM(D194:D199)</f>
        <v>3.54</v>
      </c>
      <c r="E200" s="37">
        <f t="shared" si="45"/>
        <v>3.54</v>
      </c>
      <c r="F200" s="37">
        <f t="shared" si="45"/>
        <v>3.54</v>
      </c>
      <c r="G200" s="37">
        <f t="shared" si="45"/>
        <v>3.54</v>
      </c>
      <c r="H200" s="37">
        <f t="shared" si="45"/>
        <v>3.54</v>
      </c>
      <c r="I200" s="37">
        <f t="shared" si="45"/>
        <v>3.54</v>
      </c>
      <c r="J200" s="37">
        <f t="shared" si="45"/>
        <v>3.54</v>
      </c>
      <c r="K200" s="37">
        <f t="shared" si="45"/>
        <v>3.54</v>
      </c>
      <c r="L200" s="37">
        <f t="shared" si="45"/>
        <v>3.54</v>
      </c>
      <c r="M200" s="37">
        <f>SUM(M194:M199)</f>
        <v>3.54</v>
      </c>
      <c r="N200" s="37">
        <f t="shared" ref="N200:S200" si="46">SUM(N194:N199)</f>
        <v>3.54</v>
      </c>
      <c r="O200" s="37">
        <f t="shared" si="46"/>
        <v>3.54</v>
      </c>
      <c r="P200" s="37">
        <f t="shared" si="46"/>
        <v>3.54</v>
      </c>
      <c r="Q200" s="37">
        <f t="shared" si="46"/>
        <v>3.54</v>
      </c>
      <c r="R200" s="37">
        <f t="shared" si="46"/>
        <v>3.54</v>
      </c>
      <c r="S200" s="37">
        <f t="shared" si="46"/>
        <v>3.54</v>
      </c>
      <c r="T200" s="37">
        <f>SUM(T194:T199)</f>
        <v>3.54</v>
      </c>
      <c r="U200" s="37">
        <f t="shared" ref="U200:AG200" si="47">SUM(U194:U199)</f>
        <v>3.54</v>
      </c>
      <c r="V200" s="37">
        <f t="shared" si="47"/>
        <v>3.54</v>
      </c>
      <c r="W200" s="37">
        <f t="shared" si="47"/>
        <v>3.54</v>
      </c>
      <c r="X200" s="37">
        <f t="shared" si="47"/>
        <v>3.54</v>
      </c>
      <c r="Y200" s="37">
        <f t="shared" si="47"/>
        <v>3.54</v>
      </c>
      <c r="Z200" s="37">
        <f t="shared" si="47"/>
        <v>3.54</v>
      </c>
      <c r="AA200" s="37">
        <f t="shared" si="47"/>
        <v>3.54</v>
      </c>
      <c r="AB200" s="37">
        <f t="shared" si="47"/>
        <v>3.54</v>
      </c>
      <c r="AC200" s="37">
        <f t="shared" si="47"/>
        <v>3.54</v>
      </c>
      <c r="AD200" s="37">
        <f t="shared" si="47"/>
        <v>3.54</v>
      </c>
      <c r="AE200" s="37">
        <f t="shared" si="47"/>
        <v>3.54</v>
      </c>
      <c r="AF200" s="37">
        <f t="shared" si="47"/>
        <v>3.54</v>
      </c>
      <c r="AG200" s="36">
        <f t="shared" si="47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1113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5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2078/12/5)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2078/12/5)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48">B75</f>
        <v>899</v>
      </c>
      <c r="U214" s="9">
        <f t="shared" si="48"/>
        <v>892</v>
      </c>
      <c r="V214" s="9">
        <f t="shared" si="48"/>
        <v>870</v>
      </c>
      <c r="W214" s="9">
        <f t="shared" si="48"/>
        <v>858</v>
      </c>
      <c r="X214" s="9">
        <f t="shared" si="48"/>
        <v>846</v>
      </c>
      <c r="Y214" s="9">
        <f t="shared" si="48"/>
        <v>876</v>
      </c>
      <c r="Z214" s="9">
        <f t="shared" si="48"/>
        <v>892</v>
      </c>
      <c r="AA214" s="9">
        <f t="shared" si="48"/>
        <v>911</v>
      </c>
      <c r="AB214" s="9">
        <f t="shared" si="48"/>
        <v>974</v>
      </c>
      <c r="AC214" s="9">
        <f t="shared" si="48"/>
        <v>1036</v>
      </c>
      <c r="AD214" s="9">
        <f t="shared" si="48"/>
        <v>1091</v>
      </c>
      <c r="AE214" s="9">
        <f t="shared" si="48"/>
        <v>1113</v>
      </c>
      <c r="AF214" s="9">
        <f t="shared" si="48"/>
        <v>1055</v>
      </c>
      <c r="AG214" s="9">
        <f t="shared" si="48"/>
        <v>1086</v>
      </c>
      <c r="AH214" s="9">
        <f t="shared" si="48"/>
        <v>1066</v>
      </c>
      <c r="AI214" s="9">
        <f t="shared" si="48"/>
        <v>1085</v>
      </c>
      <c r="AJ214" s="9">
        <f t="shared" si="48"/>
        <v>1076</v>
      </c>
      <c r="AK214" s="9">
        <f t="shared" si="48"/>
        <v>1074</v>
      </c>
      <c r="AL214" s="9">
        <f t="shared" si="48"/>
        <v>1085</v>
      </c>
      <c r="AM214" s="9">
        <f t="shared" si="48"/>
        <v>972</v>
      </c>
      <c r="AN214" s="9">
        <f t="shared" si="48"/>
        <v>1128</v>
      </c>
      <c r="AO214" s="9">
        <f t="shared" si="48"/>
        <v>1094</v>
      </c>
      <c r="AP214" s="9">
        <f t="shared" si="48"/>
        <v>1191</v>
      </c>
      <c r="AQ214" s="9">
        <f t="shared" si="48"/>
        <v>1293</v>
      </c>
      <c r="AR214" s="9">
        <f t="shared" si="48"/>
        <v>1422</v>
      </c>
      <c r="AS214" s="9">
        <f t="shared" si="48"/>
        <v>1391</v>
      </c>
      <c r="AT214" s="9">
        <f t="shared" si="48"/>
        <v>1334</v>
      </c>
      <c r="AU214" s="9">
        <f t="shared" si="48"/>
        <v>1321</v>
      </c>
      <c r="AV214" s="9">
        <f t="shared" si="48"/>
        <v>1249</v>
      </c>
      <c r="AW214" s="9">
        <f t="shared" si="48"/>
        <v>1143</v>
      </c>
      <c r="AX214" s="9">
        <f t="shared" si="48"/>
        <v>1050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49">C199</f>
        <v>0.64</v>
      </c>
      <c r="C235" s="4">
        <f t="shared" si="49"/>
        <v>0.64</v>
      </c>
      <c r="D235" s="4">
        <f t="shared" si="49"/>
        <v>0.64</v>
      </c>
      <c r="E235" s="4">
        <f t="shared" si="49"/>
        <v>0.64</v>
      </c>
      <c r="F235" s="4">
        <f t="shared" si="49"/>
        <v>0.64</v>
      </c>
      <c r="G235" s="4">
        <f t="shared" si="49"/>
        <v>0.64</v>
      </c>
      <c r="H235" s="4">
        <f t="shared" si="49"/>
        <v>0.64</v>
      </c>
      <c r="I235" s="4">
        <f t="shared" si="49"/>
        <v>0.64</v>
      </c>
      <c r="J235" s="4">
        <f t="shared" si="49"/>
        <v>0.64</v>
      </c>
      <c r="K235" s="4">
        <f t="shared" si="49"/>
        <v>0.64</v>
      </c>
      <c r="L235" s="4">
        <f t="shared" si="49"/>
        <v>0.64</v>
      </c>
      <c r="M235" s="4">
        <f t="shared" si="49"/>
        <v>0.64</v>
      </c>
      <c r="N235" s="4">
        <f t="shared" si="49"/>
        <v>0.64</v>
      </c>
      <c r="O235" s="4">
        <f t="shared" si="49"/>
        <v>0.64</v>
      </c>
      <c r="P235" s="4">
        <f t="shared" si="49"/>
        <v>0.64</v>
      </c>
      <c r="Q235" s="4">
        <f t="shared" si="49"/>
        <v>0.64</v>
      </c>
      <c r="R235" s="4">
        <f t="shared" si="49"/>
        <v>0.64</v>
      </c>
      <c r="S235" s="4">
        <f t="shared" si="49"/>
        <v>0.64</v>
      </c>
      <c r="T235" s="4">
        <f t="shared" si="49"/>
        <v>0.64</v>
      </c>
      <c r="U235" s="4">
        <f t="shared" si="49"/>
        <v>0.64</v>
      </c>
      <c r="V235" s="4">
        <f t="shared" si="49"/>
        <v>0.64</v>
      </c>
      <c r="W235" s="4">
        <f t="shared" si="49"/>
        <v>0.64</v>
      </c>
      <c r="X235" s="4">
        <f t="shared" si="49"/>
        <v>0.64</v>
      </c>
      <c r="Y235" s="4">
        <f t="shared" si="49"/>
        <v>0.64</v>
      </c>
      <c r="Z235" s="4">
        <f t="shared" si="49"/>
        <v>0.64</v>
      </c>
      <c r="AA235" s="4">
        <f t="shared" si="49"/>
        <v>0.64</v>
      </c>
      <c r="AB235" s="4">
        <f t="shared" si="49"/>
        <v>0.64</v>
      </c>
      <c r="AC235" s="4">
        <f t="shared" si="49"/>
        <v>0.64</v>
      </c>
      <c r="AD235" s="4">
        <f t="shared" si="49"/>
        <v>0.64</v>
      </c>
      <c r="AE235" s="4">
        <f t="shared" si="49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50">IF(C203&lt;100,"",C203-520)</f>
        <v/>
      </c>
      <c r="D236" s="3" t="str">
        <f t="shared" si="50"/>
        <v/>
      </c>
      <c r="E236" s="3" t="str">
        <f t="shared" si="50"/>
        <v/>
      </c>
      <c r="F236" s="3" t="str">
        <f t="shared" si="50"/>
        <v/>
      </c>
      <c r="G236" s="3" t="str">
        <f t="shared" si="50"/>
        <v/>
      </c>
      <c r="H236" s="3" t="str">
        <f t="shared" si="50"/>
        <v/>
      </c>
      <c r="I236" s="3" t="str">
        <f t="shared" si="50"/>
        <v/>
      </c>
      <c r="J236" s="3" t="str">
        <f t="shared" si="50"/>
        <v/>
      </c>
      <c r="K236" s="3" t="str">
        <f t="shared" si="50"/>
        <v/>
      </c>
      <c r="L236" s="3" t="str">
        <f t="shared" si="50"/>
        <v/>
      </c>
      <c r="M236" s="3" t="str">
        <f t="shared" si="50"/>
        <v/>
      </c>
      <c r="N236" s="3" t="str">
        <f t="shared" si="50"/>
        <v/>
      </c>
      <c r="O236" s="3" t="str">
        <f t="shared" si="50"/>
        <v/>
      </c>
      <c r="P236" s="3" t="str">
        <f t="shared" si="50"/>
        <v/>
      </c>
      <c r="Q236" s="3" t="str">
        <f t="shared" si="50"/>
        <v/>
      </c>
      <c r="R236" s="3" t="str">
        <f t="shared" si="50"/>
        <v/>
      </c>
      <c r="S236" s="3" t="str">
        <f t="shared" si="50"/>
        <v/>
      </c>
      <c r="T236" s="3" t="str">
        <f t="shared" si="50"/>
        <v/>
      </c>
      <c r="U236" s="3" t="str">
        <f t="shared" si="50"/>
        <v/>
      </c>
      <c r="V236" s="3" t="str">
        <f t="shared" si="50"/>
        <v/>
      </c>
      <c r="W236" s="3" t="str">
        <f t="shared" si="50"/>
        <v/>
      </c>
      <c r="X236" s="3" t="str">
        <f t="shared" si="50"/>
        <v/>
      </c>
      <c r="Y236" s="3" t="str">
        <f t="shared" si="50"/>
        <v/>
      </c>
      <c r="Z236" s="3" t="str">
        <f t="shared" si="50"/>
        <v/>
      </c>
      <c r="AA236" s="3" t="str">
        <f t="shared" si="50"/>
        <v/>
      </c>
      <c r="AB236" s="3" t="str">
        <f t="shared" si="50"/>
        <v/>
      </c>
      <c r="AC236" s="3" t="str">
        <f t="shared" si="50"/>
        <v/>
      </c>
      <c r="AD236" s="3" t="str">
        <f t="shared" si="50"/>
        <v/>
      </c>
      <c r="AE236" s="3" t="str">
        <f t="shared" si="50"/>
        <v/>
      </c>
      <c r="AF236" s="3" t="str">
        <f t="shared" si="50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51">IF(B204&lt;100,"",B204-620)</f>
        <v/>
      </c>
      <c r="C237" s="3" t="str">
        <f t="shared" si="51"/>
        <v/>
      </c>
      <c r="D237" s="3" t="str">
        <f t="shared" si="51"/>
        <v/>
      </c>
      <c r="E237" s="3" t="str">
        <f t="shared" si="51"/>
        <v/>
      </c>
      <c r="F237" s="3" t="str">
        <f t="shared" si="51"/>
        <v/>
      </c>
      <c r="G237" s="3" t="str">
        <f t="shared" si="51"/>
        <v/>
      </c>
      <c r="H237" s="3" t="str">
        <f t="shared" si="51"/>
        <v/>
      </c>
      <c r="I237" s="3" t="str">
        <f t="shared" si="51"/>
        <v/>
      </c>
      <c r="J237" s="3" t="str">
        <f t="shared" si="51"/>
        <v/>
      </c>
      <c r="K237" s="3" t="str">
        <f t="shared" si="51"/>
        <v/>
      </c>
      <c r="L237" s="3" t="str">
        <f t="shared" si="51"/>
        <v/>
      </c>
      <c r="M237" s="3" t="str">
        <f t="shared" si="51"/>
        <v/>
      </c>
      <c r="N237" s="3" t="str">
        <f t="shared" si="51"/>
        <v/>
      </c>
      <c r="O237" s="3" t="str">
        <f t="shared" si="51"/>
        <v/>
      </c>
      <c r="P237" s="3" t="str">
        <f t="shared" si="51"/>
        <v/>
      </c>
      <c r="Q237" s="3" t="str">
        <f t="shared" si="51"/>
        <v/>
      </c>
      <c r="R237" s="3" t="str">
        <f t="shared" si="51"/>
        <v/>
      </c>
      <c r="S237" s="3" t="str">
        <f t="shared" si="51"/>
        <v/>
      </c>
      <c r="T237" s="3" t="str">
        <f t="shared" si="51"/>
        <v/>
      </c>
      <c r="U237" s="3" t="str">
        <f t="shared" si="51"/>
        <v/>
      </c>
      <c r="V237" s="3" t="str">
        <f t="shared" si="51"/>
        <v/>
      </c>
      <c r="W237" s="3" t="str">
        <f t="shared" si="51"/>
        <v/>
      </c>
      <c r="X237" s="3" t="str">
        <f t="shared" si="51"/>
        <v/>
      </c>
      <c r="Y237" s="3" t="str">
        <f t="shared" si="51"/>
        <v/>
      </c>
      <c r="Z237" s="3" t="str">
        <f t="shared" si="51"/>
        <v/>
      </c>
      <c r="AA237" s="3" t="str">
        <f t="shared" si="51"/>
        <v/>
      </c>
      <c r="AB237" s="3" t="str">
        <f t="shared" si="51"/>
        <v/>
      </c>
      <c r="AC237" s="3" t="str">
        <f t="shared" si="51"/>
        <v/>
      </c>
      <c r="AD237" s="3" t="str">
        <f t="shared" si="51"/>
        <v/>
      </c>
      <c r="AE237" s="3" t="str">
        <f t="shared" si="51"/>
        <v/>
      </c>
      <c r="AF237" s="3" t="str">
        <f t="shared" si="51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52">IF(B205&lt;100,"",B205-330)</f>
        <v/>
      </c>
      <c r="C238" s="3" t="str">
        <f t="shared" si="52"/>
        <v/>
      </c>
      <c r="D238" s="3" t="str">
        <f t="shared" si="52"/>
        <v/>
      </c>
      <c r="E238" s="3" t="str">
        <f t="shared" si="52"/>
        <v/>
      </c>
      <c r="F238" s="3" t="str">
        <f t="shared" si="52"/>
        <v/>
      </c>
      <c r="G238" s="3" t="str">
        <f t="shared" si="52"/>
        <v/>
      </c>
      <c r="H238" s="3" t="str">
        <f t="shared" si="52"/>
        <v/>
      </c>
      <c r="I238" s="3" t="str">
        <f t="shared" si="52"/>
        <v/>
      </c>
      <c r="J238" s="3" t="str">
        <f t="shared" si="52"/>
        <v/>
      </c>
      <c r="K238" s="3" t="str">
        <f t="shared" si="52"/>
        <v/>
      </c>
      <c r="L238" s="3" t="str">
        <f t="shared" si="52"/>
        <v/>
      </c>
      <c r="M238" s="3" t="str">
        <f t="shared" si="52"/>
        <v/>
      </c>
      <c r="N238" s="3" t="str">
        <f t="shared" si="52"/>
        <v/>
      </c>
      <c r="O238" s="3" t="str">
        <f t="shared" si="52"/>
        <v/>
      </c>
      <c r="P238" s="3" t="str">
        <f t="shared" si="52"/>
        <v/>
      </c>
      <c r="Q238" s="3" t="str">
        <f t="shared" si="52"/>
        <v/>
      </c>
      <c r="R238" s="3" t="str">
        <f t="shared" si="52"/>
        <v/>
      </c>
      <c r="S238" s="3" t="str">
        <f t="shared" si="52"/>
        <v/>
      </c>
      <c r="T238" s="3" t="str">
        <f t="shared" si="52"/>
        <v/>
      </c>
      <c r="U238" s="3" t="str">
        <f t="shared" si="52"/>
        <v/>
      </c>
      <c r="V238" s="3" t="str">
        <f t="shared" si="52"/>
        <v/>
      </c>
      <c r="W238" s="3" t="str">
        <f t="shared" si="52"/>
        <v/>
      </c>
      <c r="X238" s="3" t="str">
        <f t="shared" si="52"/>
        <v/>
      </c>
      <c r="Y238" s="3" t="str">
        <f t="shared" si="52"/>
        <v/>
      </c>
      <c r="Z238" s="3" t="str">
        <f t="shared" si="52"/>
        <v/>
      </c>
      <c r="AA238" s="3" t="str">
        <f t="shared" si="52"/>
        <v/>
      </c>
      <c r="AB238" s="3" t="str">
        <f t="shared" si="52"/>
        <v/>
      </c>
      <c r="AC238" s="3" t="str">
        <f t="shared" si="52"/>
        <v/>
      </c>
      <c r="AD238" s="3" t="str">
        <f t="shared" si="52"/>
        <v/>
      </c>
      <c r="AE238" s="3" t="str">
        <f t="shared" si="52"/>
        <v/>
      </c>
      <c r="AF238" s="3" t="str">
        <f t="shared" si="52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53">IF(C206&lt;100,"",C206-1500)</f>
        <v/>
      </c>
      <c r="D239" s="3" t="str">
        <f t="shared" si="53"/>
        <v/>
      </c>
      <c r="E239" s="3" t="str">
        <f t="shared" si="53"/>
        <v/>
      </c>
      <c r="F239" s="3" t="str">
        <f t="shared" si="53"/>
        <v/>
      </c>
      <c r="G239" s="3" t="str">
        <f t="shared" si="53"/>
        <v/>
      </c>
      <c r="H239" s="3" t="str">
        <f t="shared" si="53"/>
        <v/>
      </c>
      <c r="I239" s="3" t="str">
        <f t="shared" si="53"/>
        <v/>
      </c>
      <c r="J239" s="3" t="str">
        <f t="shared" si="53"/>
        <v/>
      </c>
      <c r="K239" s="3" t="str">
        <f t="shared" si="53"/>
        <v/>
      </c>
      <c r="L239" s="3" t="str">
        <f t="shared" si="53"/>
        <v/>
      </c>
      <c r="M239" s="3" t="str">
        <f t="shared" si="53"/>
        <v/>
      </c>
      <c r="N239" s="3" t="str">
        <f t="shared" si="53"/>
        <v/>
      </c>
      <c r="O239" s="3" t="str">
        <f t="shared" si="53"/>
        <v/>
      </c>
      <c r="P239" s="3" t="str">
        <f t="shared" si="53"/>
        <v/>
      </c>
      <c r="Q239" s="3" t="str">
        <f t="shared" si="53"/>
        <v/>
      </c>
      <c r="R239" s="3" t="str">
        <f t="shared" si="53"/>
        <v/>
      </c>
      <c r="S239" s="3" t="str">
        <f t="shared" si="53"/>
        <v/>
      </c>
      <c r="T239" s="3" t="str">
        <f t="shared" si="53"/>
        <v/>
      </c>
      <c r="U239" s="3" t="str">
        <f t="shared" si="53"/>
        <v/>
      </c>
      <c r="V239" s="3" t="str">
        <f t="shared" si="53"/>
        <v/>
      </c>
      <c r="W239" s="3" t="str">
        <f t="shared" si="53"/>
        <v/>
      </c>
      <c r="X239" s="3" t="str">
        <f t="shared" si="53"/>
        <v/>
      </c>
      <c r="Y239" s="3" t="str">
        <f t="shared" si="53"/>
        <v/>
      </c>
      <c r="Z239" s="3" t="str">
        <f t="shared" si="53"/>
        <v/>
      </c>
      <c r="AA239" s="3" t="str">
        <f t="shared" si="53"/>
        <v/>
      </c>
      <c r="AB239" s="3" t="str">
        <f t="shared" si="53"/>
        <v/>
      </c>
      <c r="AC239" s="3" t="str">
        <f t="shared" si="53"/>
        <v/>
      </c>
      <c r="AD239" s="3" t="str">
        <f t="shared" si="53"/>
        <v/>
      </c>
      <c r="AE239" s="3" t="str">
        <f t="shared" si="53"/>
        <v/>
      </c>
      <c r="AF239" s="3" t="str">
        <f t="shared" si="53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05">
      <iconSet iconSet="3TrafficLights2" reverse="1">
        <cfvo type="percent" val="0"/>
        <cfvo type="num" val="1"/>
        <cfvo type="num" val="1"/>
      </iconSet>
    </cfRule>
  </conditionalFormatting>
  <conditionalFormatting sqref="P39:R39 P40:Q42 R40:T41 P58:W59 X85:Y91 AB81:AE81 P81:R81 P82:Y83 D194:AF200 B194:B200 B9:AF10 B192:AF192 AG73 U213:AF213 P12:R14 R42 P60:Y80 P37:U37 AA53:AE56 AA82:AE83 AA85:AD91 AB94:AE100 AA11:AE11 AB40:AE41 U40:Y42 S13:Y14 P16:Y32 P11:Y11 P36:Y36 P45:Y48 P53:Y56 AA60:AE80 AE84:AE91">
    <cfRule type="expression" dxfId="7725" priority="501">
      <formula>B$9&gt;=20/24</formula>
    </cfRule>
    <cfRule type="expression" dxfId="7724" priority="502">
      <formula>AND(B$9&gt;=14/24,B$9&lt;20/24)</formula>
    </cfRule>
    <cfRule type="expression" dxfId="7723" priority="503">
      <formula>AND(B$9&gt;=8/24,B$9&lt;14/24)</formula>
    </cfRule>
    <cfRule type="expression" dxfId="7722" priority="504">
      <formula>B$9&lt;8/24</formula>
    </cfRule>
  </conditionalFormatting>
  <conditionalFormatting sqref="AL4:AL6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P57:R57">
    <cfRule type="expression" dxfId="7721" priority="496">
      <formula>P$9&gt;=20/24</formula>
    </cfRule>
    <cfRule type="expression" dxfId="7720" priority="497">
      <formula>AND(P$9&gt;=14/24,P$9&lt;20/24)</formula>
    </cfRule>
    <cfRule type="expression" dxfId="7719" priority="498">
      <formula>AND(P$9&gt;=8/24,P$9&lt;14/24)</formula>
    </cfRule>
    <cfRule type="expression" dxfId="7718" priority="499">
      <formula>P$9&lt;8/24</formula>
    </cfRule>
  </conditionalFormatting>
  <conditionalFormatting sqref="P43:R43">
    <cfRule type="expression" dxfId="7717" priority="492">
      <formula>P$9&gt;=20/24</formula>
    </cfRule>
    <cfRule type="expression" dxfId="7716" priority="493">
      <formula>AND(P$9&gt;=14/24,P$9&lt;20/24)</formula>
    </cfRule>
    <cfRule type="expression" dxfId="7715" priority="494">
      <formula>AND(P$9&gt;=8/24,P$9&lt;14/24)</formula>
    </cfRule>
    <cfRule type="expression" dxfId="7714" priority="495">
      <formula>P$9&lt;8/24</formula>
    </cfRule>
  </conditionalFormatting>
  <conditionalFormatting sqref="AB39:AE39 S39:Y39">
    <cfRule type="expression" dxfId="7713" priority="488">
      <formula>S$9&gt;=20/24</formula>
    </cfRule>
    <cfRule type="expression" dxfId="7712" priority="489">
      <formula>AND(S$9&gt;=14/24,S$9&lt;20/24)</formula>
    </cfRule>
    <cfRule type="expression" dxfId="7711" priority="490">
      <formula>AND(S$9&gt;=8/24,S$9&lt;14/24)</formula>
    </cfRule>
    <cfRule type="expression" dxfId="7710" priority="491">
      <formula>S$9&lt;8/24</formula>
    </cfRule>
  </conditionalFormatting>
  <conditionalFormatting sqref="S57:Y57 AA57:AE57">
    <cfRule type="expression" dxfId="7709" priority="484">
      <formula>S$9&gt;=20/24</formula>
    </cfRule>
    <cfRule type="expression" dxfId="7708" priority="485">
      <formula>AND(S$9&gt;=14/24,S$9&lt;20/24)</formula>
    </cfRule>
    <cfRule type="expression" dxfId="7707" priority="486">
      <formula>AND(S$9&gt;=8/24,S$9&lt;14/24)</formula>
    </cfRule>
    <cfRule type="expression" dxfId="7706" priority="487">
      <formula>S$9&lt;8/24</formula>
    </cfRule>
  </conditionalFormatting>
  <conditionalFormatting sqref="S81:Y81 AA81">
    <cfRule type="expression" dxfId="7705" priority="480">
      <formula>S$9&gt;=20/24</formula>
    </cfRule>
    <cfRule type="expression" dxfId="7704" priority="481">
      <formula>AND(S$9&gt;=14/24,S$9&lt;20/24)</formula>
    </cfRule>
    <cfRule type="expression" dxfId="7703" priority="482">
      <formula>AND(S$9&gt;=8/24,S$9&lt;14/24)</formula>
    </cfRule>
    <cfRule type="expression" dxfId="7702" priority="483">
      <formula>S$9&lt;8/24</formula>
    </cfRule>
  </conditionalFormatting>
  <conditionalFormatting sqref="U84:Y84 AA84:AD84">
    <cfRule type="expression" dxfId="7701" priority="476">
      <formula>U$9&gt;=20/24</formula>
    </cfRule>
    <cfRule type="expression" dxfId="7700" priority="477">
      <formula>AND(U$9&gt;=14/24,U$9&lt;20/24)</formula>
    </cfRule>
    <cfRule type="expression" dxfId="7699" priority="478">
      <formula>AND(U$9&gt;=8/24,U$9&lt;14/24)</formula>
    </cfRule>
    <cfRule type="expression" dxfId="7698" priority="479">
      <formula>U$9&lt;8/24</formula>
    </cfRule>
  </conditionalFormatting>
  <conditionalFormatting sqref="P35:Y35">
    <cfRule type="expression" dxfId="7697" priority="472">
      <formula>P$9&gt;=20/24</formula>
    </cfRule>
    <cfRule type="expression" dxfId="7696" priority="473">
      <formula>AND(P$9&gt;=14/24,P$9&lt;20/24)</formula>
    </cfRule>
    <cfRule type="expression" dxfId="7695" priority="474">
      <formula>AND(P$9&gt;=8/24,P$9&lt;14/24)</formula>
    </cfRule>
    <cfRule type="expression" dxfId="7694" priority="475">
      <formula>P$9&lt;8/24</formula>
    </cfRule>
  </conditionalFormatting>
  <conditionalFormatting sqref="P49:Y49">
    <cfRule type="expression" dxfId="7693" priority="468">
      <formula>P$9&gt;=20/24</formula>
    </cfRule>
    <cfRule type="expression" dxfId="7692" priority="469">
      <formula>AND(P$9&gt;=14/24,P$9&lt;20/24)</formula>
    </cfRule>
    <cfRule type="expression" dxfId="7691" priority="470">
      <formula>AND(P$9&gt;=8/24,P$9&lt;14/24)</formula>
    </cfRule>
    <cfRule type="expression" dxfId="7690" priority="471">
      <formula>P$9&lt;8/24</formula>
    </cfRule>
  </conditionalFormatting>
  <conditionalFormatting sqref="P50:Y50">
    <cfRule type="expression" dxfId="7689" priority="464">
      <formula>P$9&gt;=20/24</formula>
    </cfRule>
    <cfRule type="expression" dxfId="7688" priority="465">
      <formula>AND(P$9&gt;=14/24,P$9&lt;20/24)</formula>
    </cfRule>
    <cfRule type="expression" dxfId="7687" priority="466">
      <formula>AND(P$9&gt;=8/24,P$9&lt;14/24)</formula>
    </cfRule>
    <cfRule type="expression" dxfId="7686" priority="467">
      <formula>P$9&lt;8/24</formula>
    </cfRule>
  </conditionalFormatting>
  <conditionalFormatting sqref="P45:Y48">
    <cfRule type="expression" dxfId="7685" priority="460">
      <formula>P$9&gt;=20/24</formula>
    </cfRule>
    <cfRule type="expression" dxfId="7684" priority="461">
      <formula>AND(P$9&gt;=14/24,P$9&lt;20/24)</formula>
    </cfRule>
    <cfRule type="expression" dxfId="7683" priority="462">
      <formula>AND(P$9&gt;=8/24,P$9&lt;14/24)</formula>
    </cfRule>
    <cfRule type="expression" dxfId="7682" priority="463">
      <formula>P$9&lt;8/24</formula>
    </cfRule>
  </conditionalFormatting>
  <conditionalFormatting sqref="V37:Y37">
    <cfRule type="expression" dxfId="7681" priority="456">
      <formula>V$9&gt;=20/24</formula>
    </cfRule>
    <cfRule type="expression" dxfId="7680" priority="457">
      <formula>AND(V$9&gt;=14/24,V$9&lt;20/24)</formula>
    </cfRule>
    <cfRule type="expression" dxfId="7679" priority="458">
      <formula>AND(V$9&gt;=8/24,V$9&lt;14/24)</formula>
    </cfRule>
    <cfRule type="expression" dxfId="7678" priority="459">
      <formula>V$9&lt;8/24</formula>
    </cfRule>
  </conditionalFormatting>
  <conditionalFormatting sqref="T43:Y43 T42:X42 S42:S43 S45:Y48">
    <cfRule type="expression" dxfId="7677" priority="452">
      <formula>S$9&gt;=20/24</formula>
    </cfRule>
    <cfRule type="expression" dxfId="7676" priority="453">
      <formula>AND(S$9&gt;=14/24,S$9&lt;20/24)</formula>
    </cfRule>
    <cfRule type="expression" dxfId="7675" priority="454">
      <formula>AND(S$9&gt;=8/24,S$9&lt;14/24)</formula>
    </cfRule>
    <cfRule type="expression" dxfId="7674" priority="455">
      <formula>S$9&lt;8/24</formula>
    </cfRule>
  </conditionalFormatting>
  <conditionalFormatting sqref="S49:Y49">
    <cfRule type="expression" dxfId="7673" priority="448">
      <formula>S$9&gt;=20/24</formula>
    </cfRule>
    <cfRule type="expression" dxfId="7672" priority="449">
      <formula>AND(S$9&gt;=14/24,S$9&lt;20/24)</formula>
    </cfRule>
    <cfRule type="expression" dxfId="7671" priority="450">
      <formula>AND(S$9&gt;=8/24,S$9&lt;14/24)</formula>
    </cfRule>
    <cfRule type="expression" dxfId="7670" priority="451">
      <formula>S$9&lt;8/24</formula>
    </cfRule>
  </conditionalFormatting>
  <conditionalFormatting sqref="S50:Y50">
    <cfRule type="expression" dxfId="7669" priority="444">
      <formula>S$9&gt;=20/24</formula>
    </cfRule>
    <cfRule type="expression" dxfId="7668" priority="445">
      <formula>AND(S$9&gt;=14/24,S$9&lt;20/24)</formula>
    </cfRule>
    <cfRule type="expression" dxfId="7667" priority="446">
      <formula>AND(S$9&gt;=8/24,S$9&lt;14/24)</formula>
    </cfRule>
    <cfRule type="expression" dxfId="7666" priority="447">
      <formula>S$9&lt;8/24</formula>
    </cfRule>
  </conditionalFormatting>
  <conditionalFormatting sqref="U94:Y97 AA94:AA97">
    <cfRule type="expression" dxfId="7665" priority="436">
      <formula>U$9&gt;=20/24</formula>
    </cfRule>
    <cfRule type="expression" dxfId="7664" priority="437">
      <formula>AND(U$9&gt;=14/24,U$9&lt;20/24)</formula>
    </cfRule>
    <cfRule type="expression" dxfId="7663" priority="438">
      <formula>AND(U$9&gt;=8/24,U$9&lt;14/24)</formula>
    </cfRule>
    <cfRule type="expression" dxfId="7662" priority="439">
      <formula>U$9&lt;8/24</formula>
    </cfRule>
  </conditionalFormatting>
  <conditionalFormatting sqref="AG51 P12:R14 AA11:AE11 AA38:AE38 S13:Y14 P16:Y32 P11:Y11 P34:Y56 AA51:AE56 AB39:AE41">
    <cfRule type="expression" dxfId="7661" priority="435">
      <formula>P11&gt;$AG11</formula>
    </cfRule>
  </conditionalFormatting>
  <conditionalFormatting sqref="A101:A157 A84:A97 A11:A14 A16:A32 A45:A72 A80:A82 A74:A78 A35:A43 A170:A200">
    <cfRule type="expression" dxfId="7660" priority="434">
      <formula>$AH11=0</formula>
    </cfRule>
  </conditionalFormatting>
  <conditionalFormatting sqref="U98:Y98 AA98">
    <cfRule type="expression" dxfId="7659" priority="430">
      <formula>U$9&gt;=20/24</formula>
    </cfRule>
    <cfRule type="expression" dxfId="7658" priority="431">
      <formula>AND(U$9&gt;=14/24,U$9&lt;20/24)</formula>
    </cfRule>
    <cfRule type="expression" dxfId="7657" priority="432">
      <formula>AND(U$9&gt;=8/24,U$9&lt;14/24)</formula>
    </cfRule>
    <cfRule type="expression" dxfId="7656" priority="433">
      <formula>U$9&lt;8/24</formula>
    </cfRule>
  </conditionalFormatting>
  <conditionalFormatting sqref="A98">
    <cfRule type="expression" dxfId="7655" priority="429">
      <formula>$AH98=0</formula>
    </cfRule>
  </conditionalFormatting>
  <conditionalFormatting sqref="AL32">
    <cfRule type="iconSet" priority="428">
      <iconSet iconSet="3TrafficLights2" reverse="1">
        <cfvo type="percent" val="0"/>
        <cfvo type="num" val="1"/>
        <cfvo type="num" val="1"/>
      </iconSet>
    </cfRule>
  </conditionalFormatting>
  <conditionalFormatting sqref="P34:Y34">
    <cfRule type="expression" dxfId="7654" priority="424">
      <formula>P$9&gt;=20/24</formula>
    </cfRule>
    <cfRule type="expression" dxfId="7653" priority="425">
      <formula>AND(P$9&gt;=14/24,P$9&lt;20/24)</formula>
    </cfRule>
    <cfRule type="expression" dxfId="7652" priority="426">
      <formula>AND(P$9&gt;=8/24,P$9&lt;14/24)</formula>
    </cfRule>
    <cfRule type="expression" dxfId="7651" priority="427">
      <formula>P$9&lt;8/24</formula>
    </cfRule>
  </conditionalFormatting>
  <conditionalFormatting sqref="A34">
    <cfRule type="expression" dxfId="7650" priority="423">
      <formula>$AH34=0</formula>
    </cfRule>
  </conditionalFormatting>
  <conditionalFormatting sqref="A83">
    <cfRule type="expression" dxfId="7649" priority="422">
      <formula>$AH83=0</formula>
    </cfRule>
  </conditionalFormatting>
  <conditionalFormatting sqref="P15:Y15">
    <cfRule type="expression" dxfId="7648" priority="418">
      <formula>P$9&gt;=20/24</formula>
    </cfRule>
    <cfRule type="expression" dxfId="7647" priority="419">
      <formula>AND(P$9&gt;=14/24,P$9&lt;20/24)</formula>
    </cfRule>
    <cfRule type="expression" dxfId="7646" priority="420">
      <formula>AND(P$9&gt;=8/24,P$9&lt;14/24)</formula>
    </cfRule>
    <cfRule type="expression" dxfId="7645" priority="421">
      <formula>P$9&lt;8/24</formula>
    </cfRule>
  </conditionalFormatting>
  <conditionalFormatting sqref="P15:Y15">
    <cfRule type="expression" dxfId="7644" priority="417">
      <formula>P15&gt;$AG15</formula>
    </cfRule>
  </conditionalFormatting>
  <conditionalFormatting sqref="A15">
    <cfRule type="expression" dxfId="7643" priority="416">
      <formula>$AH15=0</formula>
    </cfRule>
  </conditionalFormatting>
  <conditionalFormatting sqref="A164:A169">
    <cfRule type="expression" dxfId="7642" priority="415">
      <formula>$AH164=0</formula>
    </cfRule>
  </conditionalFormatting>
  <conditionalFormatting sqref="A158:A163">
    <cfRule type="expression" dxfId="7641" priority="414">
      <formula>$AH158=0</formula>
    </cfRule>
  </conditionalFormatting>
  <conditionalFormatting sqref="P44:Y44">
    <cfRule type="expression" dxfId="7640" priority="410">
      <formula>P$9&gt;=20/24</formula>
    </cfRule>
    <cfRule type="expression" dxfId="7639" priority="411">
      <formula>AND(P$9&gt;=14/24,P$9&lt;20/24)</formula>
    </cfRule>
    <cfRule type="expression" dxfId="7638" priority="412">
      <formula>AND(P$9&gt;=8/24,P$9&lt;14/24)</formula>
    </cfRule>
    <cfRule type="expression" dxfId="7637" priority="413">
      <formula>P$9&lt;8/24</formula>
    </cfRule>
  </conditionalFormatting>
  <conditionalFormatting sqref="S44:Y44">
    <cfRule type="expression" dxfId="7636" priority="406">
      <formula>S$9&gt;=20/24</formula>
    </cfRule>
    <cfRule type="expression" dxfId="7635" priority="407">
      <formula>AND(S$9&gt;=14/24,S$9&lt;20/24)</formula>
    </cfRule>
    <cfRule type="expression" dxfId="7634" priority="408">
      <formula>AND(S$9&gt;=8/24,S$9&lt;14/24)</formula>
    </cfRule>
    <cfRule type="expression" dxfId="7633" priority="409">
      <formula>S$9&lt;8/24</formula>
    </cfRule>
  </conditionalFormatting>
  <conditionalFormatting sqref="A44">
    <cfRule type="expression" dxfId="7632" priority="405">
      <formula>$AH44=0</formula>
    </cfRule>
  </conditionalFormatting>
  <conditionalFormatting sqref="A79">
    <cfRule type="expression" dxfId="7631" priority="404">
      <formula>$AH79=0</formula>
    </cfRule>
  </conditionalFormatting>
  <conditionalFormatting sqref="A73">
    <cfRule type="expression" dxfId="7630" priority="403">
      <formula>$AH73=0</formula>
    </cfRule>
  </conditionalFormatting>
  <conditionalFormatting sqref="AL34:AL35 AL7:AL31">
    <cfRule type="iconSet" priority="507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7629" priority="399">
      <formula>U$9&gt;=20/24</formula>
    </cfRule>
    <cfRule type="expression" dxfId="7628" priority="400">
      <formula>AND(U$9&gt;=14/24,U$9&lt;20/24)</formula>
    </cfRule>
    <cfRule type="expression" dxfId="7627" priority="401">
      <formula>AND(U$9&gt;=8/24,U$9&lt;14/24)</formula>
    </cfRule>
    <cfRule type="expression" dxfId="7626" priority="402">
      <formula>U$9&lt;8/24</formula>
    </cfRule>
  </conditionalFormatting>
  <conditionalFormatting sqref="S85:T91 P84:R91">
    <cfRule type="expression" dxfId="7625" priority="395">
      <formula>P$9&gt;=20/24</formula>
    </cfRule>
    <cfRule type="expression" dxfId="7624" priority="396">
      <formula>AND(P$9&gt;=14/24,P$9&lt;20/24)</formula>
    </cfRule>
    <cfRule type="expression" dxfId="7623" priority="397">
      <formula>AND(P$9&gt;=8/24,P$9&lt;14/24)</formula>
    </cfRule>
    <cfRule type="expression" dxfId="7622" priority="398">
      <formula>P$9&lt;8/24</formula>
    </cfRule>
  </conditionalFormatting>
  <conditionalFormatting sqref="S84:T84">
    <cfRule type="expression" dxfId="7621" priority="391">
      <formula>S$9&gt;=20/24</formula>
    </cfRule>
    <cfRule type="expression" dxfId="7620" priority="392">
      <formula>AND(S$9&gt;=14/24,S$9&lt;20/24)</formula>
    </cfRule>
    <cfRule type="expression" dxfId="7619" priority="393">
      <formula>AND(S$9&gt;=8/24,S$9&lt;14/24)</formula>
    </cfRule>
    <cfRule type="expression" dxfId="7618" priority="394">
      <formula>S$9&lt;8/24</formula>
    </cfRule>
  </conditionalFormatting>
  <conditionalFormatting sqref="P94:R97">
    <cfRule type="expression" dxfId="7617" priority="383">
      <formula>P$9&gt;=20/24</formula>
    </cfRule>
    <cfRule type="expression" dxfId="7616" priority="384">
      <formula>AND(P$9&gt;=14/24,P$9&lt;20/24)</formula>
    </cfRule>
    <cfRule type="expression" dxfId="7615" priority="385">
      <formula>AND(P$9&gt;=8/24,P$9&lt;14/24)</formula>
    </cfRule>
    <cfRule type="expression" dxfId="7614" priority="386">
      <formula>P$9&lt;8/24</formula>
    </cfRule>
  </conditionalFormatting>
  <conditionalFormatting sqref="S94:T97">
    <cfRule type="expression" dxfId="7613" priority="379">
      <formula>S$9&gt;=20/24</formula>
    </cfRule>
    <cfRule type="expression" dxfId="7612" priority="380">
      <formula>AND(S$9&gt;=14/24,S$9&lt;20/24)</formula>
    </cfRule>
    <cfRule type="expression" dxfId="7611" priority="381">
      <formula>AND(S$9&gt;=8/24,S$9&lt;14/24)</formula>
    </cfRule>
    <cfRule type="expression" dxfId="7610" priority="382">
      <formula>S$9&lt;8/24</formula>
    </cfRule>
  </conditionalFormatting>
  <conditionalFormatting sqref="P98:R98">
    <cfRule type="expression" dxfId="7609" priority="371">
      <formula>P$9&gt;=20/24</formula>
    </cfRule>
    <cfRule type="expression" dxfId="7608" priority="372">
      <formula>AND(P$9&gt;=14/24,P$9&lt;20/24)</formula>
    </cfRule>
    <cfRule type="expression" dxfId="7607" priority="373">
      <formula>AND(P$9&gt;=8/24,P$9&lt;14/24)</formula>
    </cfRule>
    <cfRule type="expression" dxfId="7606" priority="374">
      <formula>P$9&lt;8/24</formula>
    </cfRule>
  </conditionalFormatting>
  <conditionalFormatting sqref="S98:T98">
    <cfRule type="expression" dxfId="7605" priority="367">
      <formula>S$9&gt;=20/24</formula>
    </cfRule>
    <cfRule type="expression" dxfId="7604" priority="368">
      <formula>AND(S$9&gt;=14/24,S$9&lt;20/24)</formula>
    </cfRule>
    <cfRule type="expression" dxfId="7603" priority="369">
      <formula>AND(S$9&gt;=8/24,S$9&lt;14/24)</formula>
    </cfRule>
    <cfRule type="expression" dxfId="7602" priority="370">
      <formula>S$9&lt;8/24</formula>
    </cfRule>
  </conditionalFormatting>
  <conditionalFormatting sqref="U94:W94">
    <cfRule type="expression" dxfId="7601" priority="355">
      <formula>U$9&gt;=20/24</formula>
    </cfRule>
    <cfRule type="expression" dxfId="7600" priority="356">
      <formula>AND(U$9&gt;=14/24,U$9&lt;20/24)</formula>
    </cfRule>
    <cfRule type="expression" dxfId="7599" priority="357">
      <formula>AND(U$9&gt;=8/24,U$9&lt;14/24)</formula>
    </cfRule>
    <cfRule type="expression" dxfId="7598" priority="358">
      <formula>U$9&lt;8/24</formula>
    </cfRule>
  </conditionalFormatting>
  <conditionalFormatting sqref="P94:T94">
    <cfRule type="expression" dxfId="7597" priority="351">
      <formula>P$9&gt;=20/24</formula>
    </cfRule>
    <cfRule type="expression" dxfId="7596" priority="352">
      <formula>AND(P$9&gt;=14/24,P$9&lt;20/24)</formula>
    </cfRule>
    <cfRule type="expression" dxfId="7595" priority="353">
      <formula>AND(P$9&gt;=8/24,P$9&lt;14/24)</formula>
    </cfRule>
    <cfRule type="expression" dxfId="7594" priority="354">
      <formula>P$9&lt;8/24</formula>
    </cfRule>
  </conditionalFormatting>
  <conditionalFormatting sqref="U99:Y100 AA99:AA100">
    <cfRule type="expression" dxfId="7593" priority="347">
      <formula>U$9&gt;=20/24</formula>
    </cfRule>
    <cfRule type="expression" dxfId="7592" priority="348">
      <formula>AND(U$9&gt;=14/24,U$9&lt;20/24)</formula>
    </cfRule>
    <cfRule type="expression" dxfId="7591" priority="349">
      <formula>AND(U$9&gt;=8/24,U$9&lt;14/24)</formula>
    </cfRule>
    <cfRule type="expression" dxfId="7590" priority="350">
      <formula>U$9&lt;8/24</formula>
    </cfRule>
  </conditionalFormatting>
  <conditionalFormatting sqref="P99:R100">
    <cfRule type="expression" dxfId="7589" priority="339">
      <formula>P$9&gt;=20/24</formula>
    </cfRule>
    <cfRule type="expression" dxfId="7588" priority="340">
      <formula>AND(P$9&gt;=14/24,P$9&lt;20/24)</formula>
    </cfRule>
    <cfRule type="expression" dxfId="7587" priority="341">
      <formula>AND(P$9&gt;=8/24,P$9&lt;14/24)</formula>
    </cfRule>
    <cfRule type="expression" dxfId="7586" priority="342">
      <formula>P$9&lt;8/24</formula>
    </cfRule>
  </conditionalFormatting>
  <conditionalFormatting sqref="S99:T100">
    <cfRule type="expression" dxfId="7585" priority="335">
      <formula>S$9&gt;=20/24</formula>
    </cfRule>
    <cfRule type="expression" dxfId="7584" priority="336">
      <formula>AND(S$9&gt;=14/24,S$9&lt;20/24)</formula>
    </cfRule>
    <cfRule type="expression" dxfId="7583" priority="337">
      <formula>AND(S$9&gt;=8/24,S$9&lt;14/24)</formula>
    </cfRule>
    <cfRule type="expression" dxfId="7582" priority="338">
      <formula>S$9&lt;8/24</formula>
    </cfRule>
  </conditionalFormatting>
  <conditionalFormatting sqref="S12:Y12">
    <cfRule type="expression" dxfId="7581" priority="331">
      <formula>S$9&gt;=20/24</formula>
    </cfRule>
    <cfRule type="expression" dxfId="7580" priority="332">
      <formula>AND(S$9&gt;=14/24,S$9&lt;20/24)</formula>
    </cfRule>
    <cfRule type="expression" dxfId="7579" priority="333">
      <formula>AND(S$9&gt;=8/24,S$9&lt;14/24)</formula>
    </cfRule>
    <cfRule type="expression" dxfId="7578" priority="334">
      <formula>S$9&lt;8/24</formula>
    </cfRule>
  </conditionalFormatting>
  <conditionalFormatting sqref="S12:Y12">
    <cfRule type="expression" dxfId="7577" priority="327">
      <formula>S$9&gt;=20/24</formula>
    </cfRule>
    <cfRule type="expression" dxfId="7576" priority="328">
      <formula>AND(S$9&gt;=14/24,S$9&lt;20/24)</formula>
    </cfRule>
    <cfRule type="expression" dxfId="7575" priority="329">
      <formula>AND(S$9&gt;=8/24,S$9&lt;14/24)</formula>
    </cfRule>
    <cfRule type="expression" dxfId="7574" priority="330">
      <formula>S$9&lt;8/24</formula>
    </cfRule>
  </conditionalFormatting>
  <conditionalFormatting sqref="AB58:AE59">
    <cfRule type="expression" dxfId="7573" priority="323">
      <formula>AB$9&gt;=20/24</formula>
    </cfRule>
    <cfRule type="expression" dxfId="7572" priority="324">
      <formula>AND(AB$9&gt;=14/24,AB$9&lt;20/24)</formula>
    </cfRule>
    <cfRule type="expression" dxfId="7571" priority="325">
      <formula>AND(AB$9&gt;=8/24,AB$9&lt;14/24)</formula>
    </cfRule>
    <cfRule type="expression" dxfId="7570" priority="326">
      <formula>AB$9&lt;8/24</formula>
    </cfRule>
  </conditionalFormatting>
  <conditionalFormatting sqref="AL33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569" priority="508">
      <formula>C$9&gt;=20/24</formula>
    </cfRule>
    <cfRule type="expression" dxfId="7568" priority="509">
      <formula>AND(C$9&gt;=14/24,C$9&lt;20/24)</formula>
    </cfRule>
    <cfRule type="expression" dxfId="7567" priority="510">
      <formula>AND(C$9&gt;=8/24,C$9&lt;14/24)</formula>
    </cfRule>
    <cfRule type="expression" dxfId="7566" priority="511">
      <formula>C$9&lt;8/24</formula>
    </cfRule>
  </conditionalFormatting>
  <conditionalFormatting sqref="A201">
    <cfRule type="expression" dxfId="7565" priority="512">
      <formula>$AH201=0</formula>
    </cfRule>
  </conditionalFormatting>
  <conditionalFormatting sqref="AG213">
    <cfRule type="expression" dxfId="7564" priority="513">
      <formula>B$9&gt;=20/24</formula>
    </cfRule>
    <cfRule type="expression" dxfId="7563" priority="514">
      <formula>AND(B$9&gt;=14/24,B$9&lt;20/24)</formula>
    </cfRule>
    <cfRule type="expression" dxfId="7562" priority="515">
      <formula>AND(B$9&gt;=8/24,B$9&lt;14/24)</formula>
    </cfRule>
    <cfRule type="expression" dxfId="7561" priority="516">
      <formula>B$9&lt;8/24</formula>
    </cfRule>
  </conditionalFormatting>
  <conditionalFormatting sqref="S8">
    <cfRule type="expression" dxfId="7560" priority="317">
      <formula>U$9&gt;=20/24</formula>
    </cfRule>
    <cfRule type="expression" dxfId="7559" priority="318">
      <formula>AND(U$9&gt;=14/24,U$9&lt;20/24)</formula>
    </cfRule>
    <cfRule type="expression" dxfId="7558" priority="319">
      <formula>AND(U$9&gt;=8/24,U$9&lt;14/24)</formula>
    </cfRule>
    <cfRule type="expression" dxfId="7557" priority="320">
      <formula>U$9&lt;8/24</formula>
    </cfRule>
  </conditionalFormatting>
  <conditionalFormatting sqref="AB8">
    <cfRule type="expression" dxfId="7556" priority="313">
      <formula>AD$9&gt;=20/24</formula>
    </cfRule>
    <cfRule type="expression" dxfId="7555" priority="314">
      <formula>AND(AD$9&gt;=14/24,AD$9&lt;20/24)</formula>
    </cfRule>
    <cfRule type="expression" dxfId="7554" priority="315">
      <formula>AND(AD$9&gt;=8/24,AD$9&lt;14/24)</formula>
    </cfRule>
    <cfRule type="expression" dxfId="7553" priority="316">
      <formula>AD$9&lt;8/24</formula>
    </cfRule>
  </conditionalFormatting>
  <conditionalFormatting sqref="AH213:AX213">
    <cfRule type="expression" dxfId="7552" priority="517">
      <formula>AG$9&gt;=20/24</formula>
    </cfRule>
    <cfRule type="expression" dxfId="7551" priority="518">
      <formula>AND(AG$9&gt;=14/24,AG$9&lt;20/24)</formula>
    </cfRule>
    <cfRule type="expression" dxfId="7550" priority="519">
      <formula>AND(AG$9&gt;=8/24,AG$9&lt;14/24)</formula>
    </cfRule>
    <cfRule type="expression" dxfId="7549" priority="520">
      <formula>AG$9&lt;8/24</formula>
    </cfRule>
  </conditionalFormatting>
  <conditionalFormatting sqref="T213">
    <cfRule type="expression" dxfId="7548" priority="521">
      <formula>AX$9&gt;=20/24</formula>
    </cfRule>
    <cfRule type="expression" dxfId="7547" priority="522">
      <formula>AND(AX$9&gt;=14/24,AX$9&lt;20/24)</formula>
    </cfRule>
    <cfRule type="expression" dxfId="7546" priority="523">
      <formula>AND(AX$9&gt;=8/24,AX$9&lt;14/24)</formula>
    </cfRule>
    <cfRule type="expression" dxfId="7545" priority="524">
      <formula>AX$9&lt;8/24</formula>
    </cfRule>
  </conditionalFormatting>
  <conditionalFormatting sqref="A99:A100">
    <cfRule type="expression" dxfId="7544" priority="312">
      <formula>$AH99=0</formula>
    </cfRule>
  </conditionalFormatting>
  <conditionalFormatting sqref="P33:Y33">
    <cfRule type="expression" dxfId="7543" priority="308">
      <formula>P$9&gt;=20/24</formula>
    </cfRule>
    <cfRule type="expression" dxfId="7542" priority="309">
      <formula>AND(P$9&gt;=14/24,P$9&lt;20/24)</formula>
    </cfRule>
    <cfRule type="expression" dxfId="7541" priority="310">
      <formula>AND(P$9&gt;=8/24,P$9&lt;14/24)</formula>
    </cfRule>
    <cfRule type="expression" dxfId="7540" priority="311">
      <formula>P$9&lt;8/24</formula>
    </cfRule>
  </conditionalFormatting>
  <conditionalFormatting sqref="P33:Y33">
    <cfRule type="expression" dxfId="7539" priority="307">
      <formula>P33&gt;$AG33</formula>
    </cfRule>
  </conditionalFormatting>
  <conditionalFormatting sqref="Z85:Z91 Z68:Z80 Z82:Z83 AA40:AA43 AA12:AE36 AB42:AE43">
    <cfRule type="expression" dxfId="7538" priority="303">
      <formula>Z$9&gt;=20/24</formula>
    </cfRule>
    <cfRule type="expression" dxfId="7537" priority="304">
      <formula>AND(Z$9&gt;=14/24,Z$9&lt;20/24)</formula>
    </cfRule>
    <cfRule type="expression" dxfId="7536" priority="305">
      <formula>AND(Z$9&gt;=8/24,Z$9&lt;14/24)</formula>
    </cfRule>
    <cfRule type="expression" dxfId="7535" priority="306">
      <formula>Z$9&lt;8/24</formula>
    </cfRule>
  </conditionalFormatting>
  <conditionalFormatting sqref="AA39">
    <cfRule type="expression" dxfId="7534" priority="299">
      <formula>AA$9&gt;=20/24</formula>
    </cfRule>
    <cfRule type="expression" dxfId="7533" priority="300">
      <formula>AND(AA$9&gt;=14/24,AA$9&lt;20/24)</formula>
    </cfRule>
    <cfRule type="expression" dxfId="7532" priority="301">
      <formula>AND(AA$9&gt;=8/24,AA$9&lt;14/24)</formula>
    </cfRule>
    <cfRule type="expression" dxfId="7531" priority="302">
      <formula>AA$9&lt;8/24</formula>
    </cfRule>
  </conditionalFormatting>
  <conditionalFormatting sqref="Z81">
    <cfRule type="expression" dxfId="7530" priority="291">
      <formula>Z$9&gt;=20/24</formula>
    </cfRule>
    <cfRule type="expression" dxfId="7529" priority="292">
      <formula>AND(Z$9&gt;=14/24,Z$9&lt;20/24)</formula>
    </cfRule>
    <cfRule type="expression" dxfId="7528" priority="293">
      <formula>AND(Z$9&gt;=8/24,Z$9&lt;14/24)</formula>
    </cfRule>
    <cfRule type="expression" dxfId="7527" priority="294">
      <formula>Z$9&lt;8/24</formula>
    </cfRule>
  </conditionalFormatting>
  <conditionalFormatting sqref="Z84">
    <cfRule type="expression" dxfId="7526" priority="287">
      <formula>Z$9&gt;=20/24</formula>
    </cfRule>
    <cfRule type="expression" dxfId="7525" priority="288">
      <formula>AND(Z$9&gt;=14/24,Z$9&lt;20/24)</formula>
    </cfRule>
    <cfRule type="expression" dxfId="7524" priority="289">
      <formula>AND(Z$9&gt;=8/24,Z$9&lt;14/24)</formula>
    </cfRule>
    <cfRule type="expression" dxfId="7523" priority="290">
      <formula>Z$9&lt;8/24</formula>
    </cfRule>
  </conditionalFormatting>
  <conditionalFormatting sqref="AA37:AE37">
    <cfRule type="expression" dxfId="7522" priority="283">
      <formula>AA$9&gt;=20/24</formula>
    </cfRule>
    <cfRule type="expression" dxfId="7521" priority="284">
      <formula>AND(AA$9&gt;=14/24,AA$9&lt;20/24)</formula>
    </cfRule>
    <cfRule type="expression" dxfId="7520" priority="285">
      <formula>AND(AA$9&gt;=8/24,AA$9&lt;14/24)</formula>
    </cfRule>
    <cfRule type="expression" dxfId="7519" priority="286">
      <formula>AA$9&lt;8/24</formula>
    </cfRule>
  </conditionalFormatting>
  <conditionalFormatting sqref="AA45:AE48">
    <cfRule type="expression" dxfId="7518" priority="279">
      <formula>AA$9&gt;=20/24</formula>
    </cfRule>
    <cfRule type="expression" dxfId="7517" priority="280">
      <formula>AND(AA$9&gt;=14/24,AA$9&lt;20/24)</formula>
    </cfRule>
    <cfRule type="expression" dxfId="7516" priority="281">
      <formula>AND(AA$9&gt;=8/24,AA$9&lt;14/24)</formula>
    </cfRule>
    <cfRule type="expression" dxfId="7515" priority="282">
      <formula>AA$9&lt;8/24</formula>
    </cfRule>
  </conditionalFormatting>
  <conditionalFormatting sqref="AA49:AE49">
    <cfRule type="expression" dxfId="7514" priority="275">
      <formula>AA$9&gt;=20/24</formula>
    </cfRule>
    <cfRule type="expression" dxfId="7513" priority="276">
      <formula>AND(AA$9&gt;=14/24,AA$9&lt;20/24)</formula>
    </cfRule>
    <cfRule type="expression" dxfId="7512" priority="277">
      <formula>AND(AA$9&gt;=8/24,AA$9&lt;14/24)</formula>
    </cfRule>
    <cfRule type="expression" dxfId="7511" priority="278">
      <formula>AA$9&lt;8/24</formula>
    </cfRule>
  </conditionalFormatting>
  <conditionalFormatting sqref="AA50:AE50">
    <cfRule type="expression" dxfId="7510" priority="271">
      <formula>AA$9&gt;=20/24</formula>
    </cfRule>
    <cfRule type="expression" dxfId="7509" priority="272">
      <formula>AND(AA$9&gt;=14/24,AA$9&lt;20/24)</formula>
    </cfRule>
    <cfRule type="expression" dxfId="7508" priority="273">
      <formula>AND(AA$9&gt;=8/24,AA$9&lt;14/24)</formula>
    </cfRule>
    <cfRule type="expression" dxfId="7507" priority="274">
      <formula>AA$9&lt;8/24</formula>
    </cfRule>
  </conditionalFormatting>
  <conditionalFormatting sqref="Z94:Z97">
    <cfRule type="expression" dxfId="7506" priority="267">
      <formula>Z$9&gt;=20/24</formula>
    </cfRule>
    <cfRule type="expression" dxfId="7505" priority="268">
      <formula>AND(Z$9&gt;=14/24,Z$9&lt;20/24)</formula>
    </cfRule>
    <cfRule type="expression" dxfId="7504" priority="269">
      <formula>AND(Z$9&gt;=8/24,Z$9&lt;14/24)</formula>
    </cfRule>
    <cfRule type="expression" dxfId="7503" priority="270">
      <formula>Z$9&lt;8/24</formula>
    </cfRule>
  </conditionalFormatting>
  <conditionalFormatting sqref="AA39:AA50 AA12:AE37 AB42:AE50">
    <cfRule type="expression" dxfId="7502" priority="266">
      <formula>AA12&gt;$AG12</formula>
    </cfRule>
  </conditionalFormatting>
  <conditionalFormatting sqref="Z98">
    <cfRule type="expression" dxfId="7501" priority="262">
      <formula>Z$9&gt;=20/24</formula>
    </cfRule>
    <cfRule type="expression" dxfId="7500" priority="263">
      <formula>AND(Z$9&gt;=14/24,Z$9&lt;20/24)</formula>
    </cfRule>
    <cfRule type="expression" dxfId="7499" priority="264">
      <formula>AND(Z$9&gt;=8/24,Z$9&lt;14/24)</formula>
    </cfRule>
    <cfRule type="expression" dxfId="7498" priority="265">
      <formula>Z$9&lt;8/24</formula>
    </cfRule>
  </conditionalFormatting>
  <conditionalFormatting sqref="AA44:AE44">
    <cfRule type="expression" dxfId="7497" priority="258">
      <formula>AA$9&gt;=20/24</formula>
    </cfRule>
    <cfRule type="expression" dxfId="7496" priority="259">
      <formula>AND(AA$9&gt;=14/24,AA$9&lt;20/24)</formula>
    </cfRule>
    <cfRule type="expression" dxfId="7495" priority="260">
      <formula>AND(AA$9&gt;=8/24,AA$9&lt;14/24)</formula>
    </cfRule>
    <cfRule type="expression" dxfId="7494" priority="261">
      <formula>AA$9&lt;8/24</formula>
    </cfRule>
  </conditionalFormatting>
  <conditionalFormatting sqref="Z99:Z100">
    <cfRule type="expression" dxfId="7493" priority="254">
      <formula>Z$9&gt;=20/24</formula>
    </cfRule>
    <cfRule type="expression" dxfId="7492" priority="255">
      <formula>AND(Z$9&gt;=14/24,Z$9&lt;20/24)</formula>
    </cfRule>
    <cfRule type="expression" dxfId="7491" priority="256">
      <formula>AND(Z$9&gt;=8/24,Z$9&lt;14/24)</formula>
    </cfRule>
    <cfRule type="expression" dxfId="7490" priority="257">
      <formula>Z$9&lt;8/24</formula>
    </cfRule>
  </conditionalFormatting>
  <conditionalFormatting sqref="Z60:Z67 Z40:Z42 Z13:Z14 Z16:Z32 Z11 Z36 Z45:Z48 Z53:Z56">
    <cfRule type="expression" dxfId="7489" priority="213">
      <formula>Z$9&gt;=20/24</formula>
    </cfRule>
    <cfRule type="expression" dxfId="7488" priority="214">
      <formula>AND(Z$9&gt;=14/24,Z$9&lt;20/24)</formula>
    </cfRule>
    <cfRule type="expression" dxfId="7487" priority="215">
      <formula>AND(Z$9&gt;=8/24,Z$9&lt;14/24)</formula>
    </cfRule>
    <cfRule type="expression" dxfId="7486" priority="216">
      <formula>Z$9&lt;8/24</formula>
    </cfRule>
  </conditionalFormatting>
  <conditionalFormatting sqref="Z39">
    <cfRule type="expression" dxfId="7485" priority="209">
      <formula>Z$9&gt;=20/24</formula>
    </cfRule>
    <cfRule type="expression" dxfId="7484" priority="210">
      <formula>AND(Z$9&gt;=14/24,Z$9&lt;20/24)</formula>
    </cfRule>
    <cfRule type="expression" dxfId="7483" priority="211">
      <formula>AND(Z$9&gt;=8/24,Z$9&lt;14/24)</formula>
    </cfRule>
    <cfRule type="expression" dxfId="7482" priority="212">
      <formula>Z$9&lt;8/24</formula>
    </cfRule>
  </conditionalFormatting>
  <conditionalFormatting sqref="Z57">
    <cfRule type="expression" dxfId="7481" priority="205">
      <formula>Z$9&gt;=20/24</formula>
    </cfRule>
    <cfRule type="expression" dxfId="7480" priority="206">
      <formula>AND(Z$9&gt;=14/24,Z$9&lt;20/24)</formula>
    </cfRule>
    <cfRule type="expression" dxfId="7479" priority="207">
      <formula>AND(Z$9&gt;=8/24,Z$9&lt;14/24)</formula>
    </cfRule>
    <cfRule type="expression" dxfId="7478" priority="208">
      <formula>Z$9&lt;8/24</formula>
    </cfRule>
  </conditionalFormatting>
  <conditionalFormatting sqref="Z35">
    <cfRule type="expression" dxfId="7477" priority="201">
      <formula>Z$9&gt;=20/24</formula>
    </cfRule>
    <cfRule type="expression" dxfId="7476" priority="202">
      <formula>AND(Z$9&gt;=14/24,Z$9&lt;20/24)</formula>
    </cfRule>
    <cfRule type="expression" dxfId="7475" priority="203">
      <formula>AND(Z$9&gt;=8/24,Z$9&lt;14/24)</formula>
    </cfRule>
    <cfRule type="expression" dxfId="7474" priority="204">
      <formula>Z$9&lt;8/24</formula>
    </cfRule>
  </conditionalFormatting>
  <conditionalFormatting sqref="Z49">
    <cfRule type="expression" dxfId="7473" priority="197">
      <formula>Z$9&gt;=20/24</formula>
    </cfRule>
    <cfRule type="expression" dxfId="7472" priority="198">
      <formula>AND(Z$9&gt;=14/24,Z$9&lt;20/24)</formula>
    </cfRule>
    <cfRule type="expression" dxfId="7471" priority="199">
      <formula>AND(Z$9&gt;=8/24,Z$9&lt;14/24)</formula>
    </cfRule>
    <cfRule type="expression" dxfId="7470" priority="200">
      <formula>Z$9&lt;8/24</formula>
    </cfRule>
  </conditionalFormatting>
  <conditionalFormatting sqref="Z50">
    <cfRule type="expression" dxfId="7469" priority="193">
      <formula>Z$9&gt;=20/24</formula>
    </cfRule>
    <cfRule type="expression" dxfId="7468" priority="194">
      <formula>AND(Z$9&gt;=14/24,Z$9&lt;20/24)</formula>
    </cfRule>
    <cfRule type="expression" dxfId="7467" priority="195">
      <formula>AND(Z$9&gt;=8/24,Z$9&lt;14/24)</formula>
    </cfRule>
    <cfRule type="expression" dxfId="7466" priority="196">
      <formula>Z$9&lt;8/24</formula>
    </cfRule>
  </conditionalFormatting>
  <conditionalFormatting sqref="Z45:Z48">
    <cfRule type="expression" dxfId="7465" priority="189">
      <formula>Z$9&gt;=20/24</formula>
    </cfRule>
    <cfRule type="expression" dxfId="7464" priority="190">
      <formula>AND(Z$9&gt;=14/24,Z$9&lt;20/24)</formula>
    </cfRule>
    <cfRule type="expression" dxfId="7463" priority="191">
      <formula>AND(Z$9&gt;=8/24,Z$9&lt;14/24)</formula>
    </cfRule>
    <cfRule type="expression" dxfId="7462" priority="192">
      <formula>Z$9&lt;8/24</formula>
    </cfRule>
  </conditionalFormatting>
  <conditionalFormatting sqref="Z37">
    <cfRule type="expression" dxfId="7461" priority="185">
      <formula>Z$9&gt;=20/24</formula>
    </cfRule>
    <cfRule type="expression" dxfId="7460" priority="186">
      <formula>AND(Z$9&gt;=14/24,Z$9&lt;20/24)</formula>
    </cfRule>
    <cfRule type="expression" dxfId="7459" priority="187">
      <formula>AND(Z$9&gt;=8/24,Z$9&lt;14/24)</formula>
    </cfRule>
    <cfRule type="expression" dxfId="7458" priority="188">
      <formula>Z$9&lt;8/24</formula>
    </cfRule>
  </conditionalFormatting>
  <conditionalFormatting sqref="Z43 Z45:Z48">
    <cfRule type="expression" dxfId="7457" priority="181">
      <formula>Z$9&gt;=20/24</formula>
    </cfRule>
    <cfRule type="expression" dxfId="7456" priority="182">
      <formula>AND(Z$9&gt;=14/24,Z$9&lt;20/24)</formula>
    </cfRule>
    <cfRule type="expression" dxfId="7455" priority="183">
      <formula>AND(Z$9&gt;=8/24,Z$9&lt;14/24)</formula>
    </cfRule>
    <cfRule type="expression" dxfId="7454" priority="184">
      <formula>Z$9&lt;8/24</formula>
    </cfRule>
  </conditionalFormatting>
  <conditionalFormatting sqref="Z49">
    <cfRule type="expression" dxfId="7453" priority="177">
      <formula>Z$9&gt;=20/24</formula>
    </cfRule>
    <cfRule type="expression" dxfId="7452" priority="178">
      <formula>AND(Z$9&gt;=14/24,Z$9&lt;20/24)</formula>
    </cfRule>
    <cfRule type="expression" dxfId="7451" priority="179">
      <formula>AND(Z$9&gt;=8/24,Z$9&lt;14/24)</formula>
    </cfRule>
    <cfRule type="expression" dxfId="7450" priority="180">
      <formula>Z$9&lt;8/24</formula>
    </cfRule>
  </conditionalFormatting>
  <conditionalFormatting sqref="Z50">
    <cfRule type="expression" dxfId="7449" priority="173">
      <formula>Z$9&gt;=20/24</formula>
    </cfRule>
    <cfRule type="expression" dxfId="7448" priority="174">
      <formula>AND(Z$9&gt;=14/24,Z$9&lt;20/24)</formula>
    </cfRule>
    <cfRule type="expression" dxfId="7447" priority="175">
      <formula>AND(Z$9&gt;=8/24,Z$9&lt;14/24)</formula>
    </cfRule>
    <cfRule type="expression" dxfId="7446" priority="176">
      <formula>Z$9&lt;8/24</formula>
    </cfRule>
  </conditionalFormatting>
  <conditionalFormatting sqref="Z13:Z14 Z16:Z32 Z11 Z34:Z56">
    <cfRule type="expression" dxfId="7445" priority="172">
      <formula>Z11&gt;$AG11</formula>
    </cfRule>
  </conditionalFormatting>
  <conditionalFormatting sqref="Z34">
    <cfRule type="expression" dxfId="7444" priority="168">
      <formula>Z$9&gt;=20/24</formula>
    </cfRule>
    <cfRule type="expression" dxfId="7443" priority="169">
      <formula>AND(Z$9&gt;=14/24,Z$9&lt;20/24)</formula>
    </cfRule>
    <cfRule type="expression" dxfId="7442" priority="170">
      <formula>AND(Z$9&gt;=8/24,Z$9&lt;14/24)</formula>
    </cfRule>
    <cfRule type="expression" dxfId="7441" priority="171">
      <formula>Z$9&lt;8/24</formula>
    </cfRule>
  </conditionalFormatting>
  <conditionalFormatting sqref="Z15">
    <cfRule type="expression" dxfId="7440" priority="164">
      <formula>Z$9&gt;=20/24</formula>
    </cfRule>
    <cfRule type="expression" dxfId="7439" priority="165">
      <formula>AND(Z$9&gt;=14/24,Z$9&lt;20/24)</formula>
    </cfRule>
    <cfRule type="expression" dxfId="7438" priority="166">
      <formula>AND(Z$9&gt;=8/24,Z$9&lt;14/24)</formula>
    </cfRule>
    <cfRule type="expression" dxfId="7437" priority="167">
      <formula>Z$9&lt;8/24</formula>
    </cfRule>
  </conditionalFormatting>
  <conditionalFormatting sqref="Z15">
    <cfRule type="expression" dxfId="7436" priority="163">
      <formula>Z15&gt;$AG15</formula>
    </cfRule>
  </conditionalFormatting>
  <conditionalFormatting sqref="Z44">
    <cfRule type="expression" dxfId="7435" priority="159">
      <formula>Z$9&gt;=20/24</formula>
    </cfRule>
    <cfRule type="expression" dxfId="7434" priority="160">
      <formula>AND(Z$9&gt;=14/24,Z$9&lt;20/24)</formula>
    </cfRule>
    <cfRule type="expression" dxfId="7433" priority="161">
      <formula>AND(Z$9&gt;=8/24,Z$9&lt;14/24)</formula>
    </cfRule>
    <cfRule type="expression" dxfId="7432" priority="162">
      <formula>Z$9&lt;8/24</formula>
    </cfRule>
  </conditionalFormatting>
  <conditionalFormatting sqref="Z44">
    <cfRule type="expression" dxfId="7431" priority="155">
      <formula>Z$9&gt;=20/24</formula>
    </cfRule>
    <cfRule type="expression" dxfId="7430" priority="156">
      <formula>AND(Z$9&gt;=14/24,Z$9&lt;20/24)</formula>
    </cfRule>
    <cfRule type="expression" dxfId="7429" priority="157">
      <formula>AND(Z$9&gt;=8/24,Z$9&lt;14/24)</formula>
    </cfRule>
    <cfRule type="expression" dxfId="7428" priority="158">
      <formula>Z$9&lt;8/24</formula>
    </cfRule>
  </conditionalFormatting>
  <conditionalFormatting sqref="Z12">
    <cfRule type="expression" dxfId="7427" priority="151">
      <formula>Z$9&gt;=20/24</formula>
    </cfRule>
    <cfRule type="expression" dxfId="7426" priority="152">
      <formula>AND(Z$9&gt;=14/24,Z$9&lt;20/24)</formula>
    </cfRule>
    <cfRule type="expression" dxfId="7425" priority="153">
      <formula>AND(Z$9&gt;=8/24,Z$9&lt;14/24)</formula>
    </cfRule>
    <cfRule type="expression" dxfId="7424" priority="154">
      <formula>Z$9&lt;8/24</formula>
    </cfRule>
  </conditionalFormatting>
  <conditionalFormatting sqref="Z12">
    <cfRule type="expression" dxfId="7423" priority="147">
      <formula>Z$9&gt;=20/24</formula>
    </cfRule>
    <cfRule type="expression" dxfId="7422" priority="148">
      <formula>AND(Z$9&gt;=14/24,Z$9&lt;20/24)</formula>
    </cfRule>
    <cfRule type="expression" dxfId="7421" priority="149">
      <formula>AND(Z$9&gt;=8/24,Z$9&lt;14/24)</formula>
    </cfRule>
    <cfRule type="expression" dxfId="7420" priority="150">
      <formula>Z$9&lt;8/24</formula>
    </cfRule>
  </conditionalFormatting>
  <conditionalFormatting sqref="Z33">
    <cfRule type="expression" dxfId="7419" priority="143">
      <formula>Z$9&gt;=20/24</formula>
    </cfRule>
    <cfRule type="expression" dxfId="7418" priority="144">
      <formula>AND(Z$9&gt;=14/24,Z$9&lt;20/24)</formula>
    </cfRule>
    <cfRule type="expression" dxfId="7417" priority="145">
      <formula>AND(Z$9&gt;=8/24,Z$9&lt;14/24)</formula>
    </cfRule>
    <cfRule type="expression" dxfId="7416" priority="146">
      <formula>Z$9&lt;8/24</formula>
    </cfRule>
  </conditionalFormatting>
  <conditionalFormatting sqref="Z33">
    <cfRule type="expression" dxfId="7415" priority="142">
      <formula>Z33&gt;$AG33</formula>
    </cfRule>
  </conditionalFormatting>
  <conditionalFormatting sqref="AF94:AF100 AF75:AF91">
    <cfRule type="expression" dxfId="7414" priority="138">
      <formula>AF$9&gt;=20/24</formula>
    </cfRule>
    <cfRule type="expression" dxfId="7413" priority="139">
      <formula>AND(AF$9&gt;=14/24,AF$9&lt;20/24)</formula>
    </cfRule>
    <cfRule type="expression" dxfId="7412" priority="140">
      <formula>AND(AF$9&gt;=8/24,AF$9&lt;14/24)</formula>
    </cfRule>
    <cfRule type="expression" dxfId="7411" priority="141">
      <formula>AF$9&lt;8/24</formula>
    </cfRule>
  </conditionalFormatting>
  <conditionalFormatting sqref="AF53:AF56 AF11 AF40:AF41 AF60:AF74">
    <cfRule type="expression" dxfId="7410" priority="132">
      <formula>AF$9&gt;=20/24</formula>
    </cfRule>
    <cfRule type="expression" dxfId="7409" priority="133">
      <formula>AND(AF$9&gt;=14/24,AF$9&lt;20/24)</formula>
    </cfRule>
    <cfRule type="expression" dxfId="7408" priority="134">
      <formula>AND(AF$9&gt;=8/24,AF$9&lt;14/24)</formula>
    </cfRule>
    <cfRule type="expression" dxfId="7407" priority="135">
      <formula>AF$9&lt;8/24</formula>
    </cfRule>
  </conditionalFormatting>
  <conditionalFormatting sqref="AF39">
    <cfRule type="expression" dxfId="7406" priority="128">
      <formula>AF$9&gt;=20/24</formula>
    </cfRule>
    <cfRule type="expression" dxfId="7405" priority="129">
      <formula>AND(AF$9&gt;=14/24,AF$9&lt;20/24)</formula>
    </cfRule>
    <cfRule type="expression" dxfId="7404" priority="130">
      <formula>AND(AF$9&gt;=8/24,AF$9&lt;14/24)</formula>
    </cfRule>
    <cfRule type="expression" dxfId="7403" priority="131">
      <formula>AF$9&lt;8/24</formula>
    </cfRule>
  </conditionalFormatting>
  <conditionalFormatting sqref="AF57">
    <cfRule type="expression" dxfId="7402" priority="124">
      <formula>AF$9&gt;=20/24</formula>
    </cfRule>
    <cfRule type="expression" dxfId="7401" priority="125">
      <formula>AND(AF$9&gt;=14/24,AF$9&lt;20/24)</formula>
    </cfRule>
    <cfRule type="expression" dxfId="7400" priority="126">
      <formula>AND(AF$9&gt;=8/24,AF$9&lt;14/24)</formula>
    </cfRule>
    <cfRule type="expression" dxfId="7399" priority="127">
      <formula>AF$9&lt;8/24</formula>
    </cfRule>
  </conditionalFormatting>
  <conditionalFormatting sqref="AF11 AF51:AF56 AF38:AF41">
    <cfRule type="expression" dxfId="7398" priority="123">
      <formula>AF11&gt;$AG11</formula>
    </cfRule>
  </conditionalFormatting>
  <conditionalFormatting sqref="AF58:AF59">
    <cfRule type="expression" dxfId="7397" priority="119">
      <formula>AF$9&gt;=20/24</formula>
    </cfRule>
    <cfRule type="expression" dxfId="7396" priority="120">
      <formula>AND(AF$9&gt;=14/24,AF$9&lt;20/24)</formula>
    </cfRule>
    <cfRule type="expression" dxfId="7395" priority="121">
      <formula>AND(AF$9&gt;=8/24,AF$9&lt;14/24)</formula>
    </cfRule>
    <cfRule type="expression" dxfId="7394" priority="122">
      <formula>AF$9&lt;8/24</formula>
    </cfRule>
  </conditionalFormatting>
  <conditionalFormatting sqref="AF12:AF36 AF42:AF43">
    <cfRule type="expression" dxfId="7393" priority="115">
      <formula>AF$9&gt;=20/24</formula>
    </cfRule>
    <cfRule type="expression" dxfId="7392" priority="116">
      <formula>AND(AF$9&gt;=14/24,AF$9&lt;20/24)</formula>
    </cfRule>
    <cfRule type="expression" dxfId="7391" priority="117">
      <formula>AND(AF$9&gt;=8/24,AF$9&lt;14/24)</formula>
    </cfRule>
    <cfRule type="expression" dxfId="7390" priority="118">
      <formula>AF$9&lt;8/24</formula>
    </cfRule>
  </conditionalFormatting>
  <conditionalFormatting sqref="AF37">
    <cfRule type="expression" dxfId="7389" priority="111">
      <formula>AF$9&gt;=20/24</formula>
    </cfRule>
    <cfRule type="expression" dxfId="7388" priority="112">
      <formula>AND(AF$9&gt;=14/24,AF$9&lt;20/24)</formula>
    </cfRule>
    <cfRule type="expression" dxfId="7387" priority="113">
      <formula>AND(AF$9&gt;=8/24,AF$9&lt;14/24)</formula>
    </cfRule>
    <cfRule type="expression" dxfId="7386" priority="114">
      <formula>AF$9&lt;8/24</formula>
    </cfRule>
  </conditionalFormatting>
  <conditionalFormatting sqref="AF45:AF48">
    <cfRule type="expression" dxfId="7385" priority="107">
      <formula>AF$9&gt;=20/24</formula>
    </cfRule>
    <cfRule type="expression" dxfId="7384" priority="108">
      <formula>AND(AF$9&gt;=14/24,AF$9&lt;20/24)</formula>
    </cfRule>
    <cfRule type="expression" dxfId="7383" priority="109">
      <formula>AND(AF$9&gt;=8/24,AF$9&lt;14/24)</formula>
    </cfRule>
    <cfRule type="expression" dxfId="7382" priority="110">
      <formula>AF$9&lt;8/24</formula>
    </cfRule>
  </conditionalFormatting>
  <conditionalFormatting sqref="AF49">
    <cfRule type="expression" dxfId="7381" priority="103">
      <formula>AF$9&gt;=20/24</formula>
    </cfRule>
    <cfRule type="expression" dxfId="7380" priority="104">
      <formula>AND(AF$9&gt;=14/24,AF$9&lt;20/24)</formula>
    </cfRule>
    <cfRule type="expression" dxfId="7379" priority="105">
      <formula>AND(AF$9&gt;=8/24,AF$9&lt;14/24)</formula>
    </cfRule>
    <cfRule type="expression" dxfId="7378" priority="106">
      <formula>AF$9&lt;8/24</formula>
    </cfRule>
  </conditionalFormatting>
  <conditionalFormatting sqref="AF50">
    <cfRule type="expression" dxfId="7377" priority="99">
      <formula>AF$9&gt;=20/24</formula>
    </cfRule>
    <cfRule type="expression" dxfId="7376" priority="100">
      <formula>AND(AF$9&gt;=14/24,AF$9&lt;20/24)</formula>
    </cfRule>
    <cfRule type="expression" dxfId="7375" priority="101">
      <formula>AND(AF$9&gt;=8/24,AF$9&lt;14/24)</formula>
    </cfRule>
    <cfRule type="expression" dxfId="7374" priority="102">
      <formula>AF$9&lt;8/24</formula>
    </cfRule>
  </conditionalFormatting>
  <conditionalFormatting sqref="AF12:AF37 AF42:AF50">
    <cfRule type="expression" dxfId="7373" priority="98">
      <formula>AF12&gt;$AG12</formula>
    </cfRule>
  </conditionalFormatting>
  <conditionalFormatting sqref="AF44">
    <cfRule type="expression" dxfId="7372" priority="94">
      <formula>AF$9&gt;=20/24</formula>
    </cfRule>
    <cfRule type="expression" dxfId="7371" priority="95">
      <formula>AND(AF$9&gt;=14/24,AF$9&lt;20/24)</formula>
    </cfRule>
    <cfRule type="expression" dxfId="7370" priority="96">
      <formula>AND(AF$9&gt;=8/24,AF$9&lt;14/24)</formula>
    </cfRule>
    <cfRule type="expression" dxfId="7369" priority="97">
      <formula>AF$9&lt;8/24</formula>
    </cfRule>
  </conditionalFormatting>
  <conditionalFormatting sqref="O11 C56:O56 B81:O83 B94:B100 B53:B80 C68:O80 B84:B91 C57:L67 B36:L36 N45:O48 M39:O42 M53:O55 M58:O67">
    <cfRule type="expression" dxfId="7368" priority="90">
      <formula>B$9&gt;=20/24</formula>
    </cfRule>
    <cfRule type="expression" dxfId="7367" priority="91">
      <formula>AND(B$9&gt;=14/24,B$9&lt;20/24)</formula>
    </cfRule>
    <cfRule type="expression" dxfId="7366" priority="92">
      <formula>AND(B$9&gt;=8/24,B$9&lt;14/24)</formula>
    </cfRule>
    <cfRule type="expression" dxfId="7365" priority="93">
      <formula>B$9&lt;8/24</formula>
    </cfRule>
  </conditionalFormatting>
  <conditionalFormatting sqref="M57:O57">
    <cfRule type="expression" dxfId="7364" priority="86">
      <formula>M$9&gt;=20/24</formula>
    </cfRule>
    <cfRule type="expression" dxfId="7363" priority="87">
      <formula>AND(M$9&gt;=14/24,M$9&lt;20/24)</formula>
    </cfRule>
    <cfRule type="expression" dxfId="7362" priority="88">
      <formula>AND(M$9&gt;=8/24,M$9&lt;14/24)</formula>
    </cfRule>
    <cfRule type="expression" dxfId="7361" priority="89">
      <formula>M$9&lt;8/24</formula>
    </cfRule>
  </conditionalFormatting>
  <conditionalFormatting sqref="M43:O43">
    <cfRule type="expression" dxfId="7360" priority="82">
      <formula>M$9&gt;=20/24</formula>
    </cfRule>
    <cfRule type="expression" dxfId="7359" priority="83">
      <formula>AND(M$9&gt;=14/24,M$9&lt;20/24)</formula>
    </cfRule>
    <cfRule type="expression" dxfId="7358" priority="84">
      <formula>AND(M$9&gt;=8/24,M$9&lt;14/24)</formula>
    </cfRule>
    <cfRule type="expression" dxfId="7357" priority="85">
      <formula>M$9&lt;8/24</formula>
    </cfRule>
  </conditionalFormatting>
  <conditionalFormatting sqref="M49:O49">
    <cfRule type="expression" dxfId="7356" priority="78">
      <formula>M$9&gt;=20/24</formula>
    </cfRule>
    <cfRule type="expression" dxfId="7355" priority="79">
      <formula>AND(M$9&gt;=14/24,M$9&lt;20/24)</formula>
    </cfRule>
    <cfRule type="expression" dxfId="7354" priority="80">
      <formula>AND(M$9&gt;=8/24,M$9&lt;14/24)</formula>
    </cfRule>
    <cfRule type="expression" dxfId="7353" priority="81">
      <formula>M$9&lt;8/24</formula>
    </cfRule>
  </conditionalFormatting>
  <conditionalFormatting sqref="M50:O50">
    <cfRule type="expression" dxfId="7352" priority="74">
      <formula>M$9&gt;=20/24</formula>
    </cfRule>
    <cfRule type="expression" dxfId="7351" priority="75">
      <formula>AND(M$9&gt;=14/24,M$9&lt;20/24)</formula>
    </cfRule>
    <cfRule type="expression" dxfId="7350" priority="76">
      <formula>AND(M$9&gt;=8/24,M$9&lt;14/24)</formula>
    </cfRule>
    <cfRule type="expression" dxfId="7349" priority="77">
      <formula>M$9&lt;8/24</formula>
    </cfRule>
  </conditionalFormatting>
  <conditionalFormatting sqref="M45:O48">
    <cfRule type="expression" dxfId="7348" priority="70">
      <formula>M$9&gt;=20/24</formula>
    </cfRule>
    <cfRule type="expression" dxfId="7347" priority="71">
      <formula>AND(M$9&gt;=14/24,M$9&lt;20/24)</formula>
    </cfRule>
    <cfRule type="expression" dxfId="7346" priority="72">
      <formula>AND(M$9&gt;=8/24,M$9&lt;14/24)</formula>
    </cfRule>
    <cfRule type="expression" dxfId="7345" priority="73">
      <formula>M$9&lt;8/24</formula>
    </cfRule>
  </conditionalFormatting>
  <conditionalFormatting sqref="O11 B11:L32 B34:L37 B38:O56">
    <cfRule type="expression" dxfId="7344" priority="69">
      <formula>B11&gt;$AG11</formula>
    </cfRule>
  </conditionalFormatting>
  <conditionalFormatting sqref="M44:O44">
    <cfRule type="expression" dxfId="7343" priority="65">
      <formula>M$9&gt;=20/24</formula>
    </cfRule>
    <cfRule type="expression" dxfId="7342" priority="66">
      <formula>AND(M$9&gt;=14/24,M$9&lt;20/24)</formula>
    </cfRule>
    <cfRule type="expression" dxfId="7341" priority="67">
      <formula>AND(M$9&gt;=8/24,M$9&lt;14/24)</formula>
    </cfRule>
    <cfRule type="expression" dxfId="7340" priority="68">
      <formula>M$9&lt;8/24</formula>
    </cfRule>
  </conditionalFormatting>
  <conditionalFormatting sqref="C84:O91">
    <cfRule type="expression" dxfId="7339" priority="61">
      <formula>C$9&gt;=20/24</formula>
    </cfRule>
    <cfRule type="expression" dxfId="7338" priority="62">
      <formula>AND(C$9&gt;=14/24,C$9&lt;20/24)</formula>
    </cfRule>
    <cfRule type="expression" dxfId="7337" priority="63">
      <formula>AND(C$9&gt;=8/24,C$9&lt;14/24)</formula>
    </cfRule>
    <cfRule type="expression" dxfId="7336" priority="64">
      <formula>C$9&lt;8/24</formula>
    </cfRule>
  </conditionalFormatting>
  <conditionalFormatting sqref="C95:M97 C94:F94">
    <cfRule type="expression" dxfId="7335" priority="57">
      <formula>C$9&gt;=20/24</formula>
    </cfRule>
    <cfRule type="expression" dxfId="7334" priority="58">
      <formula>AND(C$9&gt;=14/24,C$9&lt;20/24)</formula>
    </cfRule>
    <cfRule type="expression" dxfId="7333" priority="59">
      <formula>AND(C$9&gt;=8/24,C$9&lt;14/24)</formula>
    </cfRule>
    <cfRule type="expression" dxfId="7332" priority="60">
      <formula>C$9&lt;8/24</formula>
    </cfRule>
  </conditionalFormatting>
  <conditionalFormatting sqref="N95:O97 O94">
    <cfRule type="expression" dxfId="7331" priority="53">
      <formula>N$9&gt;=20/24</formula>
    </cfRule>
    <cfRule type="expression" dxfId="7330" priority="54">
      <formula>AND(N$9&gt;=14/24,N$9&lt;20/24)</formula>
    </cfRule>
    <cfRule type="expression" dxfId="7329" priority="55">
      <formula>AND(N$9&gt;=8/24,N$9&lt;14/24)</formula>
    </cfRule>
    <cfRule type="expression" dxfId="7328" priority="56">
      <formula>N$9&lt;8/24</formula>
    </cfRule>
  </conditionalFormatting>
  <conditionalFormatting sqref="C98:M98">
    <cfRule type="expression" dxfId="7327" priority="49">
      <formula>C$9&gt;=20/24</formula>
    </cfRule>
    <cfRule type="expression" dxfId="7326" priority="50">
      <formula>AND(C$9&gt;=14/24,C$9&lt;20/24)</formula>
    </cfRule>
    <cfRule type="expression" dxfId="7325" priority="51">
      <formula>AND(C$9&gt;=8/24,C$9&lt;14/24)</formula>
    </cfRule>
    <cfRule type="expression" dxfId="7324" priority="52">
      <formula>C$9&lt;8/24</formula>
    </cfRule>
  </conditionalFormatting>
  <conditionalFormatting sqref="N98:O98">
    <cfRule type="expression" dxfId="7323" priority="45">
      <formula>N$9&gt;=20/24</formula>
    </cfRule>
    <cfRule type="expression" dxfId="7322" priority="46">
      <formula>AND(N$9&gt;=14/24,N$9&lt;20/24)</formula>
    </cfRule>
    <cfRule type="expression" dxfId="7321" priority="47">
      <formula>AND(N$9&gt;=8/24,N$9&lt;14/24)</formula>
    </cfRule>
    <cfRule type="expression" dxfId="7320" priority="48">
      <formula>N$9&lt;8/24</formula>
    </cfRule>
  </conditionalFormatting>
  <conditionalFormatting sqref="M94:N94">
    <cfRule type="expression" dxfId="7319" priority="41">
      <formula>M$9&gt;=20/24</formula>
    </cfRule>
    <cfRule type="expression" dxfId="7318" priority="42">
      <formula>AND(M$9&gt;=14/24,M$9&lt;20/24)</formula>
    </cfRule>
    <cfRule type="expression" dxfId="7317" priority="43">
      <formula>AND(M$9&gt;=8/24,M$9&lt;14/24)</formula>
    </cfRule>
    <cfRule type="expression" dxfId="7316" priority="44">
      <formula>M$9&lt;8/24</formula>
    </cfRule>
  </conditionalFormatting>
  <conditionalFormatting sqref="G94:L94">
    <cfRule type="expression" dxfId="7315" priority="37">
      <formula>G$9&gt;=20/24</formula>
    </cfRule>
    <cfRule type="expression" dxfId="7314" priority="38">
      <formula>AND(G$9&gt;=14/24,G$9&lt;20/24)</formula>
    </cfRule>
    <cfRule type="expression" dxfId="7313" priority="39">
      <formula>AND(G$9&gt;=8/24,G$9&lt;14/24)</formula>
    </cfRule>
    <cfRule type="expression" dxfId="7312" priority="40">
      <formula>G$9&lt;8/24</formula>
    </cfRule>
  </conditionalFormatting>
  <conditionalFormatting sqref="N94:O94">
    <cfRule type="expression" dxfId="7311" priority="33">
      <formula>N$9&gt;=20/24</formula>
    </cfRule>
    <cfRule type="expression" dxfId="7310" priority="34">
      <formula>AND(N$9&gt;=14/24,N$9&lt;20/24)</formula>
    </cfRule>
    <cfRule type="expression" dxfId="7309" priority="35">
      <formula>AND(N$9&gt;=8/24,N$9&lt;14/24)</formula>
    </cfRule>
    <cfRule type="expression" dxfId="7308" priority="36">
      <formula>N$9&lt;8/24</formula>
    </cfRule>
  </conditionalFormatting>
  <conditionalFormatting sqref="C99:M100">
    <cfRule type="expression" dxfId="7307" priority="29">
      <formula>C$9&gt;=20/24</formula>
    </cfRule>
    <cfRule type="expression" dxfId="7306" priority="30">
      <formula>AND(C$9&gt;=14/24,C$9&lt;20/24)</formula>
    </cfRule>
    <cfRule type="expression" dxfId="7305" priority="31">
      <formula>AND(C$9&gt;=8/24,C$9&lt;14/24)</formula>
    </cfRule>
    <cfRule type="expression" dxfId="7304" priority="32">
      <formula>C$9&lt;8/24</formula>
    </cfRule>
  </conditionalFormatting>
  <conditionalFormatting sqref="N99:O100">
    <cfRule type="expression" dxfId="7303" priority="25">
      <formula>N$9&gt;=20/24</formula>
    </cfRule>
    <cfRule type="expression" dxfId="7302" priority="26">
      <formula>AND(N$9&gt;=14/24,N$9&lt;20/24)</formula>
    </cfRule>
    <cfRule type="expression" dxfId="7301" priority="27">
      <formula>AND(N$9&gt;=8/24,N$9&lt;14/24)</formula>
    </cfRule>
    <cfRule type="expression" dxfId="7300" priority="28">
      <formula>N$9&lt;8/24</formula>
    </cfRule>
  </conditionalFormatting>
  <conditionalFormatting sqref="B33:L33">
    <cfRule type="expression" dxfId="7299" priority="24">
      <formula>B33&gt;$AG33</formula>
    </cfRule>
  </conditionalFormatting>
  <conditionalFormatting sqref="M11:N14 M36:O37 O12:O14 M16:O32">
    <cfRule type="expression" dxfId="7298" priority="20">
      <formula>M$9&gt;=20/24</formula>
    </cfRule>
    <cfRule type="expression" dxfId="7297" priority="21">
      <formula>AND(M$9&gt;=14/24,M$9&lt;20/24)</formula>
    </cfRule>
    <cfRule type="expression" dxfId="7296" priority="22">
      <formula>AND(M$9&gt;=8/24,M$9&lt;14/24)</formula>
    </cfRule>
    <cfRule type="expression" dxfId="7295" priority="23">
      <formula>M$9&lt;8/24</formula>
    </cfRule>
  </conditionalFormatting>
  <conditionalFormatting sqref="M35:O35">
    <cfRule type="expression" dxfId="7294" priority="16">
      <formula>M$9&gt;=20/24</formula>
    </cfRule>
    <cfRule type="expression" dxfId="7293" priority="17">
      <formula>AND(M$9&gt;=14/24,M$9&lt;20/24)</formula>
    </cfRule>
    <cfRule type="expression" dxfId="7292" priority="18">
      <formula>AND(M$9&gt;=8/24,M$9&lt;14/24)</formula>
    </cfRule>
    <cfRule type="expression" dxfId="7291" priority="19">
      <formula>M$9&lt;8/24</formula>
    </cfRule>
  </conditionalFormatting>
  <conditionalFormatting sqref="M11:N14 O12:O14 M16:O32 M34:O37">
    <cfRule type="expression" dxfId="7290" priority="15">
      <formula>M11&gt;$AG11</formula>
    </cfRule>
  </conditionalFormatting>
  <conditionalFormatting sqref="M34:O34">
    <cfRule type="expression" dxfId="7289" priority="11">
      <formula>M$9&gt;=20/24</formula>
    </cfRule>
    <cfRule type="expression" dxfId="7288" priority="12">
      <formula>AND(M$9&gt;=14/24,M$9&lt;20/24)</formula>
    </cfRule>
    <cfRule type="expression" dxfId="7287" priority="13">
      <formula>AND(M$9&gt;=8/24,M$9&lt;14/24)</formula>
    </cfRule>
    <cfRule type="expression" dxfId="7286" priority="14">
      <formula>M$9&lt;8/24</formula>
    </cfRule>
  </conditionalFormatting>
  <conditionalFormatting sqref="M15:O15">
    <cfRule type="expression" dxfId="7285" priority="7">
      <formula>M$9&gt;=20/24</formula>
    </cfRule>
    <cfRule type="expression" dxfId="7284" priority="8">
      <formula>AND(M$9&gt;=14/24,M$9&lt;20/24)</formula>
    </cfRule>
    <cfRule type="expression" dxfId="7283" priority="9">
      <formula>AND(M$9&gt;=8/24,M$9&lt;14/24)</formula>
    </cfRule>
    <cfRule type="expression" dxfId="7282" priority="10">
      <formula>M$9&lt;8/24</formula>
    </cfRule>
  </conditionalFormatting>
  <conditionalFormatting sqref="M15:O15">
    <cfRule type="expression" dxfId="7281" priority="6">
      <formula>M15&gt;$AG15</formula>
    </cfRule>
  </conditionalFormatting>
  <conditionalFormatting sqref="M33:O33">
    <cfRule type="expression" dxfId="7280" priority="2">
      <formula>M$9&gt;=20/24</formula>
    </cfRule>
    <cfRule type="expression" dxfId="7279" priority="3">
      <formula>AND(M$9&gt;=14/24,M$9&lt;20/24)</formula>
    </cfRule>
    <cfRule type="expression" dxfId="7278" priority="4">
      <formula>AND(M$9&gt;=8/24,M$9&lt;14/24)</formula>
    </cfRule>
    <cfRule type="expression" dxfId="7277" priority="5">
      <formula>M$9&lt;8/24</formula>
    </cfRule>
  </conditionalFormatting>
  <conditionalFormatting sqref="M33:O33">
    <cfRule type="expression" dxfId="7276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2" id="{6196AEEF-636B-4EC0-B76C-F616799CB35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J472"/>
  <sheetViews>
    <sheetView zoomScale="90" zoomScaleNormal="90" workbookViewId="0">
      <pane xSplit="1" ySplit="10" topLeftCell="B11" activePane="bottomRight" state="frozen"/>
      <selection activeCell="P60" sqref="P60"/>
      <selection pane="topRight" activeCell="P60" sqref="P60"/>
      <selection pane="bottomLeft" activeCell="P60" sqref="P60"/>
      <selection pane="bottomRight" activeCell="P7" sqref="P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2078/12/6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277.02999999999997</v>
      </c>
      <c r="C5" s="157">
        <f t="shared" si="0"/>
        <v>278.55</v>
      </c>
      <c r="D5" s="157">
        <f t="shared" si="0"/>
        <v>302.89999999999998</v>
      </c>
      <c r="E5" s="157">
        <f t="shared" si="0"/>
        <v>382.69999999999993</v>
      </c>
      <c r="F5" s="157">
        <f t="shared" si="0"/>
        <v>395.01</v>
      </c>
      <c r="G5" s="157">
        <f t="shared" si="0"/>
        <v>286.75</v>
      </c>
      <c r="H5" s="157">
        <f t="shared" si="0"/>
        <v>334.6</v>
      </c>
      <c r="I5" s="157">
        <f t="shared" si="0"/>
        <v>233</v>
      </c>
      <c r="J5" s="157">
        <f t="shared" si="0"/>
        <v>250.5</v>
      </c>
      <c r="K5" s="157">
        <f t="shared" si="0"/>
        <v>148.69999999999999</v>
      </c>
      <c r="L5" s="157">
        <f t="shared" si="0"/>
        <v>201</v>
      </c>
      <c r="M5" s="157">
        <f t="shared" si="0"/>
        <v>210.04000000000002</v>
      </c>
      <c r="N5" s="157">
        <f t="shared" si="0"/>
        <v>210.04000000000002</v>
      </c>
      <c r="O5" s="157">
        <f t="shared" si="0"/>
        <v>317</v>
      </c>
      <c r="P5" s="157">
        <f t="shared" si="0"/>
        <v>365</v>
      </c>
      <c r="Q5" s="157">
        <f t="shared" si="0"/>
        <v>393.52</v>
      </c>
      <c r="R5" s="157">
        <f t="shared" si="0"/>
        <v>418</v>
      </c>
      <c r="S5" s="157">
        <f t="shared" si="0"/>
        <v>562.5</v>
      </c>
      <c r="T5" s="157">
        <f t="shared" si="0"/>
        <v>554.29999999999995</v>
      </c>
      <c r="U5" s="157">
        <f t="shared" si="0"/>
        <v>445.8</v>
      </c>
      <c r="V5" s="157">
        <f t="shared" si="0"/>
        <v>567.90000000000009</v>
      </c>
      <c r="W5" s="157">
        <f t="shared" si="0"/>
        <v>592.70000000000005</v>
      </c>
      <c r="X5" s="157">
        <f t="shared" si="0"/>
        <v>574.6</v>
      </c>
      <c r="Y5" s="157">
        <f t="shared" si="0"/>
        <v>556</v>
      </c>
      <c r="Z5" s="157">
        <f t="shared" si="0"/>
        <v>341.5</v>
      </c>
      <c r="AA5" s="157">
        <f t="shared" si="0"/>
        <v>301</v>
      </c>
      <c r="AB5" s="157">
        <f t="shared" si="0"/>
        <v>499</v>
      </c>
      <c r="AC5" s="157">
        <f t="shared" si="0"/>
        <v>511</v>
      </c>
      <c r="AD5" s="157">
        <f t="shared" si="0"/>
        <v>290</v>
      </c>
      <c r="AE5" s="157">
        <f t="shared" si="0"/>
        <v>297</v>
      </c>
      <c r="AF5" s="157">
        <f>B68</f>
        <v>282.23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1264MW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Load=953</v>
      </c>
      <c r="B7" s="146">
        <f>B75</f>
        <v>1032.97</v>
      </c>
      <c r="C7" s="146">
        <f t="shared" ref="C7:AF7" si="1">C75</f>
        <v>979.87</v>
      </c>
      <c r="D7" s="146">
        <f t="shared" si="1"/>
        <v>973.59</v>
      </c>
      <c r="E7" s="146">
        <f t="shared" si="1"/>
        <v>952.83999999999992</v>
      </c>
      <c r="F7" s="146">
        <f t="shared" si="1"/>
        <v>958.43999999999994</v>
      </c>
      <c r="G7" s="146">
        <f t="shared" si="1"/>
        <v>980.35</v>
      </c>
      <c r="H7" s="146">
        <f t="shared" si="1"/>
        <v>1041.5899999999999</v>
      </c>
      <c r="I7" s="146">
        <f t="shared" si="1"/>
        <v>1080.8400000000001</v>
      </c>
      <c r="J7" s="146">
        <f t="shared" si="1"/>
        <v>1116.44</v>
      </c>
      <c r="K7" s="146">
        <f t="shared" si="1"/>
        <v>1257.04</v>
      </c>
      <c r="L7" s="146">
        <f t="shared" si="1"/>
        <v>1264.44</v>
      </c>
      <c r="M7" s="146">
        <f t="shared" si="1"/>
        <v>1237.44</v>
      </c>
      <c r="N7" s="146">
        <f t="shared" si="1"/>
        <v>1211.98</v>
      </c>
      <c r="O7" s="146">
        <f t="shared" si="1"/>
        <v>1237.58</v>
      </c>
      <c r="P7" s="146">
        <f t="shared" si="1"/>
        <v>1275.1399999999999</v>
      </c>
      <c r="Q7" s="146">
        <f t="shared" si="1"/>
        <v>1270.54</v>
      </c>
      <c r="R7" s="146">
        <f t="shared" si="1"/>
        <v>1260.26</v>
      </c>
      <c r="S7" s="146">
        <f t="shared" si="1"/>
        <v>1284.74</v>
      </c>
      <c r="T7" s="146">
        <f t="shared" si="1"/>
        <v>1329.8400000000001</v>
      </c>
      <c r="U7" s="146">
        <f t="shared" si="1"/>
        <v>1322.24</v>
      </c>
      <c r="V7" s="146">
        <f t="shared" si="1"/>
        <v>1318.1399999999999</v>
      </c>
      <c r="W7" s="146">
        <f t="shared" si="1"/>
        <v>1353.8400000000001</v>
      </c>
      <c r="X7" s="146">
        <f t="shared" si="1"/>
        <v>1377.04</v>
      </c>
      <c r="Y7" s="146">
        <f t="shared" si="1"/>
        <v>1440.3400000000001</v>
      </c>
      <c r="Z7" s="146">
        <f t="shared" si="1"/>
        <v>1576.3400000000001</v>
      </c>
      <c r="AA7" s="146">
        <f t="shared" si="1"/>
        <v>1519.0400000000002</v>
      </c>
      <c r="AB7" s="146">
        <f t="shared" si="1"/>
        <v>1467.0400000000002</v>
      </c>
      <c r="AC7" s="146">
        <f t="shared" si="1"/>
        <v>1436.3400000000001</v>
      </c>
      <c r="AD7" s="146">
        <f t="shared" si="1"/>
        <v>1378.54</v>
      </c>
      <c r="AE7" s="146">
        <f t="shared" si="1"/>
        <v>1273.0400000000002</v>
      </c>
      <c r="AF7" s="146">
        <f t="shared" si="1"/>
        <v>1194.7400000000002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80</v>
      </c>
      <c r="C11" s="127">
        <v>80</v>
      </c>
      <c r="D11" s="127">
        <v>60</v>
      </c>
      <c r="E11" s="127">
        <v>60</v>
      </c>
      <c r="F11" s="127">
        <v>12</v>
      </c>
      <c r="G11" s="127">
        <v>12</v>
      </c>
      <c r="H11" s="127">
        <v>150</v>
      </c>
      <c r="I11" s="127">
        <v>100</v>
      </c>
      <c r="J11" s="127">
        <v>180</v>
      </c>
      <c r="K11" s="127">
        <v>230</v>
      </c>
      <c r="L11" s="127">
        <v>305</v>
      </c>
      <c r="M11" s="103">
        <v>250</v>
      </c>
      <c r="N11" s="103">
        <v>210</v>
      </c>
      <c r="O11" s="103">
        <v>225</v>
      </c>
      <c r="P11" s="103">
        <v>170</v>
      </c>
      <c r="Q11" s="103">
        <v>150</v>
      </c>
      <c r="R11" s="103">
        <v>140</v>
      </c>
      <c r="S11" s="103">
        <v>140</v>
      </c>
      <c r="T11" s="103">
        <v>12</v>
      </c>
      <c r="U11" s="103">
        <v>12</v>
      </c>
      <c r="V11" s="103">
        <v>40</v>
      </c>
      <c r="W11" s="103">
        <v>40</v>
      </c>
      <c r="X11" s="103">
        <v>40</v>
      </c>
      <c r="Y11" s="103">
        <v>80</v>
      </c>
      <c r="Z11" s="179">
        <v>150</v>
      </c>
      <c r="AA11" s="103">
        <v>350</v>
      </c>
      <c r="AB11" s="103">
        <v>330</v>
      </c>
      <c r="AC11" s="103">
        <v>230</v>
      </c>
      <c r="AD11" s="103">
        <v>170</v>
      </c>
      <c r="AE11" s="103">
        <v>250</v>
      </c>
      <c r="AF11" s="127">
        <v>160</v>
      </c>
      <c r="AG11" s="54">
        <v>456</v>
      </c>
      <c r="AH11" s="21">
        <f>MAX(B11:AF11)</f>
        <v>350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31</v>
      </c>
      <c r="C12" s="127">
        <v>31</v>
      </c>
      <c r="D12" s="127">
        <v>31</v>
      </c>
      <c r="E12" s="127">
        <v>31</v>
      </c>
      <c r="F12" s="127">
        <v>31</v>
      </c>
      <c r="G12" s="127">
        <v>31</v>
      </c>
      <c r="H12" s="127">
        <v>31</v>
      </c>
      <c r="I12" s="127">
        <v>31</v>
      </c>
      <c r="J12" s="127">
        <v>31</v>
      </c>
      <c r="K12" s="127">
        <v>31</v>
      </c>
      <c r="L12" s="127">
        <v>31</v>
      </c>
      <c r="M12" s="127">
        <v>31</v>
      </c>
      <c r="N12" s="127">
        <v>31</v>
      </c>
      <c r="O12" s="127">
        <v>31</v>
      </c>
      <c r="P12" s="127">
        <v>31</v>
      </c>
      <c r="Q12" s="127">
        <v>31</v>
      </c>
      <c r="R12" s="127">
        <v>31</v>
      </c>
      <c r="S12" s="127">
        <v>31</v>
      </c>
      <c r="T12" s="127">
        <v>31</v>
      </c>
      <c r="U12" s="127">
        <v>31</v>
      </c>
      <c r="V12" s="127">
        <v>31</v>
      </c>
      <c r="W12" s="127">
        <v>31</v>
      </c>
      <c r="X12" s="127">
        <v>31</v>
      </c>
      <c r="Y12" s="127">
        <v>31</v>
      </c>
      <c r="Z12" s="103">
        <v>31</v>
      </c>
      <c r="AA12" s="103">
        <v>31</v>
      </c>
      <c r="AB12" s="103">
        <v>31</v>
      </c>
      <c r="AC12" s="103">
        <v>31</v>
      </c>
      <c r="AD12" s="103">
        <v>31</v>
      </c>
      <c r="AE12" s="103">
        <v>31</v>
      </c>
      <c r="AF12" s="103">
        <v>31</v>
      </c>
      <c r="AG12" s="134">
        <v>60</v>
      </c>
      <c r="AH12" s="21">
        <f t="shared" ref="AH12:AH75" si="2">MAX(B12:AF12)</f>
        <v>31</v>
      </c>
      <c r="AI12" s="20">
        <f t="shared" ref="AI12:AI75" si="3">MIN(B12:AF12)</f>
        <v>31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17.600000000000001</v>
      </c>
      <c r="C13" s="127">
        <v>17.8</v>
      </c>
      <c r="D13" s="127">
        <v>19</v>
      </c>
      <c r="E13" s="127">
        <v>19.399999999999999</v>
      </c>
      <c r="F13" s="127">
        <v>19.8</v>
      </c>
      <c r="G13" s="127">
        <v>19.899999999999999</v>
      </c>
      <c r="H13" s="127">
        <v>20.100000000000001</v>
      </c>
      <c r="I13" s="127">
        <v>20.2</v>
      </c>
      <c r="J13" s="127">
        <v>20.2</v>
      </c>
      <c r="K13" s="127">
        <v>20.2</v>
      </c>
      <c r="L13" s="127">
        <v>20.2</v>
      </c>
      <c r="M13" s="127">
        <v>20.2</v>
      </c>
      <c r="N13" s="127">
        <v>19.399999999999999</v>
      </c>
      <c r="O13" s="127">
        <v>19.399999999999999</v>
      </c>
      <c r="P13" s="127">
        <v>19.100000000000001</v>
      </c>
      <c r="Q13" s="127">
        <v>17.600000000000001</v>
      </c>
      <c r="R13" s="127">
        <v>18.899999999999999</v>
      </c>
      <c r="S13" s="127">
        <v>18.899999999999999</v>
      </c>
      <c r="T13" s="127">
        <v>18.899999999999999</v>
      </c>
      <c r="U13" s="127">
        <v>18.899999999999999</v>
      </c>
      <c r="V13" s="127">
        <v>18.899999999999999</v>
      </c>
      <c r="W13" s="127">
        <v>18.899999999999999</v>
      </c>
      <c r="X13" s="127">
        <v>18.899999999999999</v>
      </c>
      <c r="Y13" s="127">
        <v>18.899999999999999</v>
      </c>
      <c r="Z13" s="103">
        <v>14.4</v>
      </c>
      <c r="AA13" s="103">
        <v>14.4</v>
      </c>
      <c r="AB13" s="103">
        <v>14.4</v>
      </c>
      <c r="AC13" s="103">
        <v>14.4</v>
      </c>
      <c r="AD13" s="103">
        <v>14.4</v>
      </c>
      <c r="AE13" s="103">
        <v>14.4</v>
      </c>
      <c r="AF13" s="103">
        <v>14.4</v>
      </c>
      <c r="AG13" s="134">
        <v>52.4</v>
      </c>
      <c r="AH13" s="21">
        <f t="shared" si="2"/>
        <v>20.2</v>
      </c>
      <c r="AI13" s="20">
        <f t="shared" si="3"/>
        <v>14.4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25.4</v>
      </c>
      <c r="C14" s="127">
        <v>25.4</v>
      </c>
      <c r="D14" s="127">
        <v>25.5</v>
      </c>
      <c r="E14" s="127">
        <v>25.5</v>
      </c>
      <c r="F14" s="127">
        <v>25.4</v>
      </c>
      <c r="G14" s="127">
        <v>25.3</v>
      </c>
      <c r="H14" s="127">
        <v>25.3</v>
      </c>
      <c r="I14" s="127">
        <v>25.1</v>
      </c>
      <c r="J14" s="127">
        <v>25.3</v>
      </c>
      <c r="K14" s="127">
        <v>25.3</v>
      </c>
      <c r="L14" s="127">
        <v>25.1</v>
      </c>
      <c r="M14" s="103">
        <v>25.1</v>
      </c>
      <c r="N14" s="103">
        <v>25.4</v>
      </c>
      <c r="O14" s="103">
        <v>25.4</v>
      </c>
      <c r="P14" s="103">
        <v>25.2</v>
      </c>
      <c r="Q14" s="103">
        <v>25.5</v>
      </c>
      <c r="R14" s="103">
        <v>25.3</v>
      </c>
      <c r="S14" s="103">
        <v>25.3</v>
      </c>
      <c r="T14" s="103">
        <v>25.3</v>
      </c>
      <c r="U14" s="103">
        <v>25.3</v>
      </c>
      <c r="V14" s="103">
        <v>25.3</v>
      </c>
      <c r="W14" s="103">
        <v>25.3</v>
      </c>
      <c r="X14" s="103">
        <v>25.3</v>
      </c>
      <c r="Y14" s="103">
        <v>25.3</v>
      </c>
      <c r="Z14" s="103">
        <v>25.3</v>
      </c>
      <c r="AA14" s="103">
        <v>25.3</v>
      </c>
      <c r="AB14" s="103">
        <v>25.3</v>
      </c>
      <c r="AC14" s="103">
        <v>25.3</v>
      </c>
      <c r="AD14" s="103">
        <v>25.3</v>
      </c>
      <c r="AE14" s="103">
        <v>25.3</v>
      </c>
      <c r="AF14" s="103">
        <v>25.3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23</v>
      </c>
      <c r="C15" s="123">
        <v>23</v>
      </c>
      <c r="D15" s="123">
        <v>23.1</v>
      </c>
      <c r="E15" s="123">
        <v>23.1</v>
      </c>
      <c r="F15" s="123">
        <v>23.1</v>
      </c>
      <c r="G15" s="123">
        <v>23.1</v>
      </c>
      <c r="H15" s="123">
        <v>23.1</v>
      </c>
      <c r="I15" s="123">
        <v>23.1</v>
      </c>
      <c r="J15" s="123">
        <v>23</v>
      </c>
      <c r="K15" s="123">
        <v>23</v>
      </c>
      <c r="L15" s="123">
        <v>23</v>
      </c>
      <c r="M15" s="103">
        <v>23</v>
      </c>
      <c r="N15" s="103">
        <v>22.9</v>
      </c>
      <c r="O15" s="103">
        <v>22.9</v>
      </c>
      <c r="P15" s="103">
        <v>23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23</v>
      </c>
      <c r="W15" s="103">
        <v>23</v>
      </c>
      <c r="X15" s="103">
        <v>23</v>
      </c>
      <c r="Y15" s="103">
        <v>23</v>
      </c>
      <c r="Z15" s="103">
        <v>23</v>
      </c>
      <c r="AA15" s="103">
        <v>23</v>
      </c>
      <c r="AB15" s="103">
        <v>23</v>
      </c>
      <c r="AC15" s="103">
        <v>23</v>
      </c>
      <c r="AD15" s="103">
        <v>23</v>
      </c>
      <c r="AE15" s="103">
        <v>23</v>
      </c>
      <c r="AF15" s="103">
        <v>23</v>
      </c>
      <c r="AG15" s="108">
        <v>45</v>
      </c>
      <c r="AH15" s="21">
        <f t="shared" si="2"/>
        <v>23.1</v>
      </c>
      <c r="AI15" s="20">
        <f t="shared" si="3"/>
        <v>0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12</v>
      </c>
      <c r="C16" s="127">
        <v>12</v>
      </c>
      <c r="D16" s="127">
        <v>12</v>
      </c>
      <c r="E16" s="127">
        <v>12</v>
      </c>
      <c r="F16" s="127">
        <v>12</v>
      </c>
      <c r="G16" s="127">
        <v>12</v>
      </c>
      <c r="H16" s="127">
        <v>12</v>
      </c>
      <c r="I16" s="127">
        <v>12</v>
      </c>
      <c r="J16" s="127">
        <v>12</v>
      </c>
      <c r="K16" s="127">
        <v>12</v>
      </c>
      <c r="L16" s="127">
        <v>12</v>
      </c>
      <c r="M16" s="103">
        <v>12</v>
      </c>
      <c r="N16" s="103">
        <v>12</v>
      </c>
      <c r="O16" s="103">
        <v>12</v>
      </c>
      <c r="P16" s="103">
        <v>12</v>
      </c>
      <c r="Q16" s="103">
        <v>12</v>
      </c>
      <c r="R16" s="103">
        <v>12</v>
      </c>
      <c r="S16" s="103">
        <v>12</v>
      </c>
      <c r="T16" s="103">
        <v>12</v>
      </c>
      <c r="U16" s="103">
        <v>12</v>
      </c>
      <c r="V16" s="103">
        <v>12</v>
      </c>
      <c r="W16" s="103">
        <v>12</v>
      </c>
      <c r="X16" s="103">
        <v>12</v>
      </c>
      <c r="Y16" s="103">
        <v>12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12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13.3</v>
      </c>
      <c r="C19" s="127">
        <v>13.3</v>
      </c>
      <c r="D19" s="127">
        <v>13.2</v>
      </c>
      <c r="E19" s="127">
        <v>13.2</v>
      </c>
      <c r="F19" s="127">
        <v>13.2</v>
      </c>
      <c r="G19" s="127">
        <v>13.2</v>
      </c>
      <c r="H19" s="127">
        <v>13.2</v>
      </c>
      <c r="I19" s="127">
        <v>13.2</v>
      </c>
      <c r="J19" s="127">
        <v>13.2</v>
      </c>
      <c r="K19" s="127">
        <v>13.2</v>
      </c>
      <c r="L19" s="127">
        <v>13.2</v>
      </c>
      <c r="M19" s="103">
        <v>13.2</v>
      </c>
      <c r="N19" s="103">
        <v>13.2</v>
      </c>
      <c r="O19" s="103">
        <v>13.2</v>
      </c>
      <c r="P19" s="103">
        <v>13.2</v>
      </c>
      <c r="Q19" s="103">
        <v>12.1</v>
      </c>
      <c r="R19" s="103">
        <v>12.1</v>
      </c>
      <c r="S19" s="103">
        <v>12.1</v>
      </c>
      <c r="T19" s="103">
        <v>12.1</v>
      </c>
      <c r="U19" s="103">
        <v>12.1</v>
      </c>
      <c r="V19" s="103">
        <v>12.1</v>
      </c>
      <c r="W19" s="103">
        <v>12.1</v>
      </c>
      <c r="X19" s="103">
        <v>12.1</v>
      </c>
      <c r="Y19" s="103">
        <v>12.1</v>
      </c>
      <c r="Z19" s="103">
        <v>11.3</v>
      </c>
      <c r="AA19" s="103">
        <v>11.3</v>
      </c>
      <c r="AB19" s="103">
        <v>11.3</v>
      </c>
      <c r="AC19" s="103">
        <v>11.3</v>
      </c>
      <c r="AD19" s="103">
        <v>11.3</v>
      </c>
      <c r="AE19" s="103">
        <v>11.3</v>
      </c>
      <c r="AF19" s="103">
        <v>11.3</v>
      </c>
      <c r="AG19" s="134">
        <v>30</v>
      </c>
      <c r="AH19" s="21">
        <f t="shared" si="2"/>
        <v>13.3</v>
      </c>
      <c r="AI19" s="20">
        <f t="shared" si="3"/>
        <v>11.3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8.4</v>
      </c>
      <c r="C20" s="127">
        <v>8.4</v>
      </c>
      <c r="D20" s="127">
        <v>8.4</v>
      </c>
      <c r="E20" s="127">
        <v>8.4</v>
      </c>
      <c r="F20" s="127">
        <v>8.4</v>
      </c>
      <c r="G20" s="127">
        <v>8.4</v>
      </c>
      <c r="H20" s="127">
        <v>8.4</v>
      </c>
      <c r="I20" s="127">
        <v>8.4</v>
      </c>
      <c r="J20" s="127">
        <v>8.4</v>
      </c>
      <c r="K20" s="127">
        <v>8.4</v>
      </c>
      <c r="L20" s="127">
        <v>8.4</v>
      </c>
      <c r="M20" s="103">
        <v>8.4</v>
      </c>
      <c r="N20" s="103">
        <v>8.4</v>
      </c>
      <c r="O20" s="103">
        <v>8.4</v>
      </c>
      <c r="P20" s="103">
        <v>8</v>
      </c>
      <c r="Q20" s="103">
        <v>8</v>
      </c>
      <c r="R20" s="103">
        <v>8</v>
      </c>
      <c r="S20" s="103">
        <v>8</v>
      </c>
      <c r="T20" s="103">
        <v>8</v>
      </c>
      <c r="U20" s="103">
        <v>8</v>
      </c>
      <c r="V20" s="103">
        <v>8</v>
      </c>
      <c r="W20" s="103">
        <v>8</v>
      </c>
      <c r="X20" s="103">
        <v>8</v>
      </c>
      <c r="Y20" s="103">
        <v>8</v>
      </c>
      <c r="Z20" s="103">
        <v>8.1</v>
      </c>
      <c r="AA20" s="103">
        <v>8.1</v>
      </c>
      <c r="AB20" s="103">
        <v>8.1</v>
      </c>
      <c r="AC20" s="103">
        <v>8.1</v>
      </c>
      <c r="AD20" s="103">
        <v>8.1</v>
      </c>
      <c r="AE20" s="103">
        <v>8.1</v>
      </c>
      <c r="AF20" s="103">
        <v>8.1</v>
      </c>
      <c r="AG20" s="134">
        <v>27</v>
      </c>
      <c r="AH20" s="21">
        <f t="shared" si="2"/>
        <v>8.4</v>
      </c>
      <c r="AI20" s="20">
        <f t="shared" si="3"/>
        <v>8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12.5</v>
      </c>
      <c r="C22" s="127">
        <v>12.5</v>
      </c>
      <c r="D22" s="127">
        <v>22</v>
      </c>
      <c r="E22" s="127">
        <v>22</v>
      </c>
      <c r="F22" s="127">
        <v>22</v>
      </c>
      <c r="G22" s="127">
        <v>21</v>
      </c>
      <c r="H22" s="127">
        <v>21</v>
      </c>
      <c r="I22" s="127">
        <v>21</v>
      </c>
      <c r="J22" s="127">
        <v>21</v>
      </c>
      <c r="K22" s="127">
        <v>21</v>
      </c>
      <c r="L22" s="127">
        <v>21</v>
      </c>
      <c r="M22" s="103">
        <v>21</v>
      </c>
      <c r="N22" s="103">
        <v>21</v>
      </c>
      <c r="O22" s="103">
        <v>21</v>
      </c>
      <c r="P22" s="103">
        <v>11.5</v>
      </c>
      <c r="Q22" s="103">
        <v>19.7</v>
      </c>
      <c r="R22" s="103">
        <v>19.7</v>
      </c>
      <c r="S22" s="103">
        <v>19.7</v>
      </c>
      <c r="T22" s="103">
        <v>19.7</v>
      </c>
      <c r="U22" s="103">
        <v>19.7</v>
      </c>
      <c r="V22" s="103">
        <v>19.7</v>
      </c>
      <c r="W22" s="103">
        <v>19.7</v>
      </c>
      <c r="X22" s="103">
        <v>19.7</v>
      </c>
      <c r="Y22" s="103">
        <v>19.7</v>
      </c>
      <c r="Z22" s="103">
        <v>16.600000000000001</v>
      </c>
      <c r="AA22" s="103">
        <v>16.600000000000001</v>
      </c>
      <c r="AB22" s="103">
        <v>16.600000000000001</v>
      </c>
      <c r="AC22" s="103">
        <v>16.600000000000001</v>
      </c>
      <c r="AD22" s="103">
        <v>16.600000000000001</v>
      </c>
      <c r="AE22" s="103">
        <v>16.600000000000001</v>
      </c>
      <c r="AF22" s="103">
        <v>16.600000000000001</v>
      </c>
      <c r="AG22" s="134">
        <v>25</v>
      </c>
      <c r="AH22" s="21">
        <f t="shared" si="2"/>
        <v>22</v>
      </c>
      <c r="AI22" s="20">
        <f t="shared" si="3"/>
        <v>11.5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10.3</v>
      </c>
      <c r="C24" s="127">
        <v>10.199999999999999</v>
      </c>
      <c r="D24" s="127">
        <v>9.9</v>
      </c>
      <c r="E24" s="127">
        <v>9.9</v>
      </c>
      <c r="F24" s="127">
        <v>9.9</v>
      </c>
      <c r="G24" s="127">
        <v>9.9</v>
      </c>
      <c r="H24" s="127">
        <v>9.9</v>
      </c>
      <c r="I24" s="127">
        <v>9.9</v>
      </c>
      <c r="J24" s="127">
        <v>9.9</v>
      </c>
      <c r="K24" s="127">
        <v>9.9</v>
      </c>
      <c r="L24" s="127">
        <v>9.9</v>
      </c>
      <c r="M24" s="103">
        <v>8</v>
      </c>
      <c r="N24" s="103">
        <v>7.9</v>
      </c>
      <c r="O24" s="103">
        <v>7.9</v>
      </c>
      <c r="P24" s="103">
        <v>8.3000000000000007</v>
      </c>
      <c r="Q24" s="103">
        <v>7</v>
      </c>
      <c r="R24" s="103">
        <v>6.3</v>
      </c>
      <c r="S24" s="103">
        <v>6.3</v>
      </c>
      <c r="T24" s="103">
        <v>6.3</v>
      </c>
      <c r="U24" s="103">
        <v>6.3</v>
      </c>
      <c r="V24" s="103">
        <v>6.3</v>
      </c>
      <c r="W24" s="103">
        <v>6.3</v>
      </c>
      <c r="X24" s="103">
        <v>6.3</v>
      </c>
      <c r="Y24" s="103">
        <v>6.3</v>
      </c>
      <c r="Z24" s="103">
        <v>6.4</v>
      </c>
      <c r="AA24" s="103">
        <v>6.4</v>
      </c>
      <c r="AB24" s="103">
        <v>6.4</v>
      </c>
      <c r="AC24" s="103">
        <v>6.4</v>
      </c>
      <c r="AD24" s="103">
        <v>6.4</v>
      </c>
      <c r="AE24" s="103">
        <v>6.4</v>
      </c>
      <c r="AF24" s="103">
        <v>6.4</v>
      </c>
      <c r="AG24" s="134">
        <v>25</v>
      </c>
      <c r="AH24" s="21">
        <f t="shared" si="2"/>
        <v>10.3</v>
      </c>
      <c r="AI24" s="20">
        <f t="shared" si="3"/>
        <v>6.3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4.5</v>
      </c>
      <c r="C28" s="127">
        <v>4.5</v>
      </c>
      <c r="D28" s="127">
        <v>4.5</v>
      </c>
      <c r="E28" s="127">
        <v>4.5</v>
      </c>
      <c r="F28" s="127">
        <v>4.5</v>
      </c>
      <c r="G28" s="127">
        <v>4.5</v>
      </c>
      <c r="H28" s="127">
        <v>4.5</v>
      </c>
      <c r="I28" s="127">
        <v>4.5</v>
      </c>
      <c r="J28" s="127">
        <v>4.5</v>
      </c>
      <c r="K28" s="127">
        <v>4.5</v>
      </c>
      <c r="L28" s="127">
        <v>4.5</v>
      </c>
      <c r="M28" s="103">
        <v>4.5</v>
      </c>
      <c r="N28" s="103">
        <v>4.5</v>
      </c>
      <c r="O28" s="103">
        <v>4.5</v>
      </c>
      <c r="P28" s="103">
        <v>4.5</v>
      </c>
      <c r="Q28" s="103">
        <v>4.5</v>
      </c>
      <c r="R28" s="103">
        <v>4.5</v>
      </c>
      <c r="S28" s="103">
        <v>4.5</v>
      </c>
      <c r="T28" s="103">
        <v>4.5</v>
      </c>
      <c r="U28" s="103">
        <v>4.5</v>
      </c>
      <c r="V28" s="103">
        <v>4.5</v>
      </c>
      <c r="W28" s="103">
        <v>4.5</v>
      </c>
      <c r="X28" s="103">
        <v>4.5</v>
      </c>
      <c r="Y28" s="103">
        <v>4.5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4.5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4.8</v>
      </c>
      <c r="C34" s="123">
        <v>4.8</v>
      </c>
      <c r="D34" s="123">
        <v>4.8</v>
      </c>
      <c r="E34" s="123">
        <v>4.8</v>
      </c>
      <c r="F34" s="123">
        <v>4.8</v>
      </c>
      <c r="G34" s="123">
        <v>4.8</v>
      </c>
      <c r="H34" s="123">
        <v>4.8</v>
      </c>
      <c r="I34" s="123">
        <v>4.8</v>
      </c>
      <c r="J34" s="123">
        <v>4.8</v>
      </c>
      <c r="K34" s="123">
        <v>4.8</v>
      </c>
      <c r="L34" s="123">
        <v>4.8</v>
      </c>
      <c r="M34" s="103">
        <v>4.8</v>
      </c>
      <c r="N34" s="103">
        <v>4.8</v>
      </c>
      <c r="O34" s="103">
        <v>4.8</v>
      </c>
      <c r="P34" s="103">
        <v>4.8</v>
      </c>
      <c r="Q34" s="103">
        <v>4.8</v>
      </c>
      <c r="R34" s="103">
        <v>4.8</v>
      </c>
      <c r="S34" s="103">
        <v>4.8</v>
      </c>
      <c r="T34" s="103">
        <v>4.8</v>
      </c>
      <c r="U34" s="103">
        <v>4.8</v>
      </c>
      <c r="V34" s="103">
        <v>4.8</v>
      </c>
      <c r="W34" s="103">
        <v>4.8</v>
      </c>
      <c r="X34" s="103">
        <v>4.8</v>
      </c>
      <c r="Y34" s="103">
        <v>4.8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4.8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03">
        <v>160</v>
      </c>
      <c r="AA36" s="103">
        <v>160</v>
      </c>
      <c r="AB36" s="103">
        <v>160</v>
      </c>
      <c r="AC36" s="103">
        <v>160</v>
      </c>
      <c r="AD36" s="103">
        <v>160</v>
      </c>
      <c r="AE36" s="103">
        <v>160</v>
      </c>
      <c r="AF36" s="10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27.4</v>
      </c>
      <c r="C37" s="123">
        <v>28.3</v>
      </c>
      <c r="D37" s="123">
        <v>28.9</v>
      </c>
      <c r="E37" s="123">
        <v>30.2</v>
      </c>
      <c r="F37" s="123">
        <v>29.9</v>
      </c>
      <c r="G37" s="123">
        <v>30.7</v>
      </c>
      <c r="H37" s="123">
        <v>28.8</v>
      </c>
      <c r="I37" s="123">
        <v>28.5</v>
      </c>
      <c r="J37" s="123">
        <v>28.6</v>
      </c>
      <c r="K37" s="123">
        <v>25.4</v>
      </c>
      <c r="L37" s="123">
        <v>25.2</v>
      </c>
      <c r="M37" s="128">
        <v>28.9</v>
      </c>
      <c r="N37" s="128">
        <v>27.4</v>
      </c>
      <c r="O37" s="128">
        <v>27.4</v>
      </c>
      <c r="P37" s="128">
        <f>10.3+16.3</f>
        <v>26.6</v>
      </c>
      <c r="Q37" s="128">
        <f>14.4+20.7</f>
        <v>35.1</v>
      </c>
      <c r="R37" s="128">
        <f>10.4+16.5</f>
        <v>26.9</v>
      </c>
      <c r="S37" s="128">
        <v>28.4</v>
      </c>
      <c r="T37" s="128">
        <v>28</v>
      </c>
      <c r="U37" s="128">
        <v>24.2</v>
      </c>
      <c r="V37" s="128">
        <f>10.2+15.9</f>
        <v>26.1</v>
      </c>
      <c r="W37" s="128">
        <v>26.5</v>
      </c>
      <c r="X37" s="128">
        <v>26.4</v>
      </c>
      <c r="Y37" s="128">
        <v>25</v>
      </c>
      <c r="Z37" s="103">
        <v>25</v>
      </c>
      <c r="AA37" s="128">
        <v>27.4</v>
      </c>
      <c r="AB37" s="128">
        <v>27.4</v>
      </c>
      <c r="AC37" s="128">
        <v>29</v>
      </c>
      <c r="AD37" s="128">
        <v>29</v>
      </c>
      <c r="AE37" s="128">
        <v>29</v>
      </c>
      <c r="AF37" s="128">
        <v>30</v>
      </c>
      <c r="AG37" s="106">
        <v>240</v>
      </c>
      <c r="AH37" s="21">
        <f t="shared" si="2"/>
        <v>35.1</v>
      </c>
      <c r="AI37" s="20">
        <f t="shared" si="3"/>
        <v>24.2</v>
      </c>
      <c r="AK37" s="42"/>
    </row>
    <row r="38" spans="1:88" ht="15.75" thickBot="1" x14ac:dyDescent="0.3">
      <c r="A38" s="100" t="s">
        <v>173</v>
      </c>
      <c r="B38" s="99">
        <v>464.1</v>
      </c>
      <c r="C38" s="99">
        <v>464.20000000000005</v>
      </c>
      <c r="D38" s="99">
        <v>454.70000000000005</v>
      </c>
      <c r="E38" s="99">
        <v>455.1</v>
      </c>
      <c r="F38" s="99">
        <v>407.4</v>
      </c>
      <c r="G38" s="99">
        <v>406.4</v>
      </c>
      <c r="H38" s="99">
        <v>544.59999999999991</v>
      </c>
      <c r="I38" s="99">
        <v>494.5</v>
      </c>
      <c r="J38" s="99">
        <v>574.59999999999991</v>
      </c>
      <c r="K38" s="99">
        <v>624.59999999999991</v>
      </c>
      <c r="L38" s="99">
        <v>699.4</v>
      </c>
      <c r="M38" s="99">
        <v>642.5</v>
      </c>
      <c r="N38" s="99">
        <v>601.79999999999995</v>
      </c>
      <c r="O38" s="99">
        <v>616.79999999999995</v>
      </c>
      <c r="P38" s="99">
        <f t="shared" ref="P38:AF38" si="4">SUM(P11:P36)</f>
        <v>551.9</v>
      </c>
      <c r="Q38" s="99">
        <f t="shared" si="4"/>
        <v>513.5</v>
      </c>
      <c r="R38" s="99">
        <f t="shared" si="4"/>
        <v>503.90000000000003</v>
      </c>
      <c r="S38" s="99">
        <f t="shared" si="4"/>
        <v>503.90000000000003</v>
      </c>
      <c r="T38" s="99">
        <f t="shared" si="4"/>
        <v>375.9</v>
      </c>
      <c r="U38" s="99">
        <f t="shared" si="4"/>
        <v>375.9</v>
      </c>
      <c r="V38" s="99">
        <f t="shared" si="4"/>
        <v>426.9</v>
      </c>
      <c r="W38" s="99">
        <f t="shared" si="4"/>
        <v>426.9</v>
      </c>
      <c r="X38" s="99">
        <f t="shared" si="4"/>
        <v>426.9</v>
      </c>
      <c r="Y38" s="99">
        <f t="shared" si="4"/>
        <v>466.90000000000003</v>
      </c>
      <c r="Z38" s="99">
        <f t="shared" si="4"/>
        <v>526.40000000000009</v>
      </c>
      <c r="AA38" s="99">
        <f t="shared" si="4"/>
        <v>726.40000000000009</v>
      </c>
      <c r="AB38" s="99">
        <f t="shared" si="4"/>
        <v>706.40000000000009</v>
      </c>
      <c r="AC38" s="99">
        <f t="shared" si="4"/>
        <v>606.40000000000009</v>
      </c>
      <c r="AD38" s="99">
        <f t="shared" si="4"/>
        <v>546.40000000000009</v>
      </c>
      <c r="AE38" s="99">
        <f t="shared" si="4"/>
        <v>626.40000000000009</v>
      </c>
      <c r="AF38" s="99">
        <f t="shared" si="4"/>
        <v>536.40000000000009</v>
      </c>
      <c r="AG38" s="106">
        <f>SUM(AG11:AG37)</f>
        <v>1492.8299999999997</v>
      </c>
      <c r="AH38" s="21">
        <f t="shared" si="2"/>
        <v>726.40000000000009</v>
      </c>
      <c r="AI38" s="20">
        <f t="shared" si="3"/>
        <v>375.9</v>
      </c>
      <c r="AK38" s="42"/>
    </row>
    <row r="39" spans="1:88" x14ac:dyDescent="0.25">
      <c r="A39" s="109" t="s">
        <v>172</v>
      </c>
      <c r="B39" s="127">
        <v>60.8</v>
      </c>
      <c r="C39" s="123">
        <v>30.2</v>
      </c>
      <c r="D39" s="123">
        <v>30.3</v>
      </c>
      <c r="E39" s="123">
        <v>0</v>
      </c>
      <c r="F39" s="123">
        <v>0</v>
      </c>
      <c r="G39" s="123">
        <v>0</v>
      </c>
      <c r="H39" s="123">
        <v>35.4</v>
      </c>
      <c r="I39" s="123">
        <v>70</v>
      </c>
      <c r="J39" s="123">
        <v>71.3</v>
      </c>
      <c r="K39" s="123">
        <v>145.30000000000001</v>
      </c>
      <c r="L39" s="123">
        <v>145.4</v>
      </c>
      <c r="M39" s="103">
        <v>131.1</v>
      </c>
      <c r="N39" s="103">
        <v>145.6</v>
      </c>
      <c r="O39" s="103">
        <v>147.19999999999999</v>
      </c>
      <c r="P39" s="103">
        <v>131.1</v>
      </c>
      <c r="Q39" s="103">
        <v>145.30000000000001</v>
      </c>
      <c r="R39" s="103">
        <v>135.30000000000001</v>
      </c>
      <c r="S39" s="103">
        <v>135.30000000000001</v>
      </c>
      <c r="T39" s="103">
        <v>135.30000000000001</v>
      </c>
      <c r="U39" s="103">
        <v>135.30000000000001</v>
      </c>
      <c r="V39" s="103">
        <v>121.4</v>
      </c>
      <c r="W39" s="103">
        <v>121.4</v>
      </c>
      <c r="X39" s="103">
        <v>121.4</v>
      </c>
      <c r="Y39" s="103">
        <v>145</v>
      </c>
      <c r="Z39" s="103">
        <v>145</v>
      </c>
      <c r="AA39" s="103">
        <v>145</v>
      </c>
      <c r="AB39" s="103">
        <v>144</v>
      </c>
      <c r="AC39" s="103">
        <v>70</v>
      </c>
      <c r="AD39" s="103">
        <v>60</v>
      </c>
      <c r="AE39" s="103">
        <v>45</v>
      </c>
      <c r="AF39" s="127">
        <v>45</v>
      </c>
      <c r="AG39" s="108">
        <v>144</v>
      </c>
      <c r="AH39" s="21">
        <f t="shared" si="2"/>
        <v>147.19999999999999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22.9</v>
      </c>
      <c r="C40" s="123">
        <v>0</v>
      </c>
      <c r="D40" s="123">
        <v>0</v>
      </c>
      <c r="E40" s="123">
        <v>0</v>
      </c>
      <c r="F40" s="123">
        <v>24.2</v>
      </c>
      <c r="G40" s="123">
        <v>22</v>
      </c>
      <c r="H40" s="123">
        <v>22.7</v>
      </c>
      <c r="I40" s="123">
        <v>30</v>
      </c>
      <c r="J40" s="123">
        <v>70.7</v>
      </c>
      <c r="K40" s="123">
        <v>71.599999999999994</v>
      </c>
      <c r="L40" s="123">
        <v>71.599999999999994</v>
      </c>
      <c r="M40" s="73">
        <v>60.7</v>
      </c>
      <c r="N40" s="73">
        <v>71.400000000000006</v>
      </c>
      <c r="O40" s="73">
        <v>71.8</v>
      </c>
      <c r="P40" s="73">
        <v>59.9</v>
      </c>
      <c r="Q40" s="73">
        <v>71.3</v>
      </c>
      <c r="R40" s="73">
        <v>68.400000000000006</v>
      </c>
      <c r="S40" s="73">
        <v>68.400000000000006</v>
      </c>
      <c r="T40" s="73">
        <v>50</v>
      </c>
      <c r="U40" s="73">
        <v>47.9</v>
      </c>
      <c r="V40" s="73">
        <v>47.9</v>
      </c>
      <c r="W40" s="73">
        <v>47.9</v>
      </c>
      <c r="X40" s="73">
        <v>47.9</v>
      </c>
      <c r="Y40" s="73">
        <v>48.7</v>
      </c>
      <c r="Z40" s="73">
        <v>70.3</v>
      </c>
      <c r="AA40" s="73">
        <v>70.3</v>
      </c>
      <c r="AB40" s="73">
        <v>70</v>
      </c>
      <c r="AC40" s="73">
        <v>23</v>
      </c>
      <c r="AD40" s="73">
        <v>22</v>
      </c>
      <c r="AE40" s="73">
        <v>25</v>
      </c>
      <c r="AF40" s="123">
        <v>35</v>
      </c>
      <c r="AG40" s="106">
        <v>70</v>
      </c>
      <c r="AH40" s="21">
        <f t="shared" si="2"/>
        <v>71.8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40</v>
      </c>
      <c r="C41" s="123">
        <v>49.2</v>
      </c>
      <c r="D41" s="123">
        <v>40.6</v>
      </c>
      <c r="E41" s="123">
        <v>34.1</v>
      </c>
      <c r="F41" s="123">
        <v>33.799999999999997</v>
      </c>
      <c r="G41" s="123">
        <v>46.6</v>
      </c>
      <c r="H41" s="123">
        <v>35.1</v>
      </c>
      <c r="I41" s="123">
        <v>32.700000000000003</v>
      </c>
      <c r="J41" s="123">
        <v>47.8</v>
      </c>
      <c r="K41" s="123">
        <v>46</v>
      </c>
      <c r="L41" s="123">
        <v>65.3</v>
      </c>
      <c r="M41" s="73">
        <v>68.099999999999994</v>
      </c>
      <c r="N41" s="73">
        <v>59.1</v>
      </c>
      <c r="O41" s="73">
        <v>67.7</v>
      </c>
      <c r="P41" s="73">
        <v>39</v>
      </c>
      <c r="Q41" s="73">
        <v>46.2</v>
      </c>
      <c r="R41" s="73">
        <v>37.1</v>
      </c>
      <c r="S41" s="73">
        <v>37.1</v>
      </c>
      <c r="T41" s="73">
        <v>37.200000000000003</v>
      </c>
      <c r="U41" s="73">
        <v>37.200000000000003</v>
      </c>
      <c r="V41" s="73">
        <v>32.700000000000003</v>
      </c>
      <c r="W41" s="73">
        <v>34</v>
      </c>
      <c r="X41" s="73">
        <v>34</v>
      </c>
      <c r="Y41" s="73">
        <v>50.9</v>
      </c>
      <c r="Z41" s="73">
        <v>68.900000000000006</v>
      </c>
      <c r="AA41" s="73">
        <v>68.900000000000006</v>
      </c>
      <c r="AB41" s="73">
        <v>68</v>
      </c>
      <c r="AC41" s="73">
        <v>53</v>
      </c>
      <c r="AD41" s="73">
        <v>55</v>
      </c>
      <c r="AE41" s="73">
        <v>54</v>
      </c>
      <c r="AF41" s="123">
        <v>54</v>
      </c>
      <c r="AG41" s="106">
        <v>69</v>
      </c>
      <c r="AH41" s="21">
        <f t="shared" si="2"/>
        <v>68.900000000000006</v>
      </c>
      <c r="AI41" s="20">
        <f t="shared" si="3"/>
        <v>32.700000000000003</v>
      </c>
      <c r="AK41" s="42"/>
    </row>
    <row r="42" spans="1:88" x14ac:dyDescent="0.25">
      <c r="A42" s="107" t="s">
        <v>169</v>
      </c>
      <c r="B42" s="123">
        <v>60.4</v>
      </c>
      <c r="C42" s="123">
        <v>60.4</v>
      </c>
      <c r="D42" s="123">
        <v>60.4</v>
      </c>
      <c r="E42" s="123">
        <v>60.7</v>
      </c>
      <c r="F42" s="123">
        <v>60.7</v>
      </c>
      <c r="G42" s="123">
        <v>60.7</v>
      </c>
      <c r="H42" s="123">
        <v>60.4</v>
      </c>
      <c r="I42" s="123">
        <v>60.4</v>
      </c>
      <c r="J42" s="123">
        <v>60.4</v>
      </c>
      <c r="K42" s="123">
        <v>60.4</v>
      </c>
      <c r="L42" s="123">
        <v>60.4</v>
      </c>
      <c r="M42" s="73">
        <v>60.4</v>
      </c>
      <c r="N42" s="73">
        <v>60.4</v>
      </c>
      <c r="O42" s="73">
        <v>60.4</v>
      </c>
      <c r="P42" s="73">
        <v>60.4</v>
      </c>
      <c r="Q42" s="73">
        <v>60.4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60.4</v>
      </c>
      <c r="AF42" s="73">
        <v>60.4</v>
      </c>
      <c r="AG42" s="106">
        <v>60</v>
      </c>
      <c r="AH42" s="21">
        <f t="shared" si="2"/>
        <v>60.7</v>
      </c>
      <c r="AI42" s="20">
        <f t="shared" si="3"/>
        <v>60.4</v>
      </c>
      <c r="AK42" s="42"/>
    </row>
    <row r="43" spans="1:88" x14ac:dyDescent="0.25">
      <c r="A43" s="107" t="s">
        <v>168</v>
      </c>
      <c r="B43" s="123">
        <v>10</v>
      </c>
      <c r="C43" s="123">
        <v>6</v>
      </c>
      <c r="D43" s="123">
        <v>15</v>
      </c>
      <c r="E43" s="123">
        <v>6</v>
      </c>
      <c r="F43" s="123">
        <v>6</v>
      </c>
      <c r="G43" s="123">
        <v>6</v>
      </c>
      <c r="H43" s="123">
        <v>13</v>
      </c>
      <c r="I43" s="123">
        <v>15</v>
      </c>
      <c r="J43" s="123">
        <v>15</v>
      </c>
      <c r="K43" s="123">
        <v>15</v>
      </c>
      <c r="L43" s="123">
        <v>30</v>
      </c>
      <c r="M43" s="103">
        <v>30</v>
      </c>
      <c r="N43" s="103">
        <v>20</v>
      </c>
      <c r="O43" s="103">
        <v>20</v>
      </c>
      <c r="P43" s="103">
        <v>25</v>
      </c>
      <c r="Q43" s="103">
        <v>20</v>
      </c>
      <c r="R43" s="103">
        <v>12.8</v>
      </c>
      <c r="S43" s="103">
        <v>12.8</v>
      </c>
      <c r="T43" s="103">
        <v>10.5</v>
      </c>
      <c r="U43" s="103">
        <v>13.2</v>
      </c>
      <c r="V43" s="103">
        <v>15</v>
      </c>
      <c r="W43" s="103">
        <v>13.3</v>
      </c>
      <c r="X43" s="103">
        <v>13.3</v>
      </c>
      <c r="Y43" s="103">
        <v>13.4</v>
      </c>
      <c r="Z43" s="73">
        <v>30</v>
      </c>
      <c r="AA43" s="7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25</v>
      </c>
      <c r="AG43" s="106">
        <v>30</v>
      </c>
      <c r="AH43" s="21">
        <f t="shared" si="2"/>
        <v>30</v>
      </c>
      <c r="AI43" s="20">
        <f t="shared" si="3"/>
        <v>6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14</v>
      </c>
      <c r="C45" s="120">
        <v>14</v>
      </c>
      <c r="D45" s="120">
        <v>14</v>
      </c>
      <c r="E45" s="120">
        <v>14</v>
      </c>
      <c r="F45" s="120">
        <v>14</v>
      </c>
      <c r="G45" s="120">
        <v>14</v>
      </c>
      <c r="H45" s="120">
        <v>14</v>
      </c>
      <c r="I45" s="120">
        <v>14</v>
      </c>
      <c r="J45" s="120">
        <v>14</v>
      </c>
      <c r="K45" s="120">
        <v>14</v>
      </c>
      <c r="L45" s="120">
        <v>14</v>
      </c>
      <c r="M45" s="103">
        <v>14</v>
      </c>
      <c r="N45" s="103">
        <v>14</v>
      </c>
      <c r="O45" s="103">
        <v>14</v>
      </c>
      <c r="P45" s="103">
        <v>14</v>
      </c>
      <c r="Q45" s="103">
        <v>14</v>
      </c>
      <c r="R45" s="103">
        <v>14</v>
      </c>
      <c r="S45" s="103">
        <v>14</v>
      </c>
      <c r="T45" s="103">
        <v>14</v>
      </c>
      <c r="U45" s="103">
        <v>14</v>
      </c>
      <c r="V45" s="103">
        <v>14</v>
      </c>
      <c r="W45" s="103">
        <v>14</v>
      </c>
      <c r="X45" s="103">
        <v>14</v>
      </c>
      <c r="Y45" s="103">
        <v>14</v>
      </c>
      <c r="Z45" s="103">
        <v>13</v>
      </c>
      <c r="AA45" s="103">
        <v>13</v>
      </c>
      <c r="AB45" s="103">
        <v>13</v>
      </c>
      <c r="AC45" s="103">
        <v>13</v>
      </c>
      <c r="AD45" s="103">
        <v>13</v>
      </c>
      <c r="AE45" s="103">
        <v>13</v>
      </c>
      <c r="AF45" s="103">
        <v>13</v>
      </c>
      <c r="AG45" s="106">
        <v>24</v>
      </c>
      <c r="AH45" s="21">
        <f t="shared" si="2"/>
        <v>14</v>
      </c>
      <c r="AI45" s="20">
        <f t="shared" si="3"/>
        <v>13</v>
      </c>
      <c r="AK45" s="42"/>
    </row>
    <row r="46" spans="1:88" x14ac:dyDescent="0.25">
      <c r="A46" s="107" t="s">
        <v>165</v>
      </c>
      <c r="B46" s="123">
        <v>4</v>
      </c>
      <c r="C46" s="123">
        <v>4</v>
      </c>
      <c r="D46" s="123">
        <v>4</v>
      </c>
      <c r="E46" s="123">
        <v>4</v>
      </c>
      <c r="F46" s="123">
        <v>4</v>
      </c>
      <c r="G46" s="123">
        <v>4</v>
      </c>
      <c r="H46" s="123">
        <v>4</v>
      </c>
      <c r="I46" s="123">
        <v>4</v>
      </c>
      <c r="J46" s="123">
        <v>4</v>
      </c>
      <c r="K46" s="123">
        <v>4</v>
      </c>
      <c r="L46" s="123">
        <v>4</v>
      </c>
      <c r="M46" s="103">
        <v>4</v>
      </c>
      <c r="N46" s="103">
        <v>4</v>
      </c>
      <c r="O46" s="103">
        <v>4</v>
      </c>
      <c r="P46" s="103">
        <v>4</v>
      </c>
      <c r="Q46" s="103">
        <v>4</v>
      </c>
      <c r="R46" s="103">
        <v>4</v>
      </c>
      <c r="S46" s="103">
        <v>4</v>
      </c>
      <c r="T46" s="103">
        <v>4</v>
      </c>
      <c r="U46" s="103">
        <v>4</v>
      </c>
      <c r="V46" s="103">
        <v>4</v>
      </c>
      <c r="W46" s="103">
        <v>4</v>
      </c>
      <c r="X46" s="103">
        <v>4</v>
      </c>
      <c r="Y46" s="103">
        <v>4</v>
      </c>
      <c r="Z46" s="103">
        <v>4</v>
      </c>
      <c r="AA46" s="103">
        <v>4</v>
      </c>
      <c r="AB46" s="103">
        <v>4</v>
      </c>
      <c r="AC46" s="103">
        <v>4</v>
      </c>
      <c r="AD46" s="103">
        <v>4</v>
      </c>
      <c r="AE46" s="103">
        <v>4</v>
      </c>
      <c r="AF46" s="103">
        <v>4</v>
      </c>
      <c r="AG46" s="106">
        <v>15</v>
      </c>
      <c r="AH46" s="21">
        <f t="shared" si="2"/>
        <v>4</v>
      </c>
      <c r="AI46" s="20">
        <f t="shared" si="3"/>
        <v>4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6</v>
      </c>
      <c r="C47" s="123">
        <v>6</v>
      </c>
      <c r="D47" s="123">
        <v>6</v>
      </c>
      <c r="E47" s="123">
        <v>6</v>
      </c>
      <c r="F47" s="123">
        <v>6</v>
      </c>
      <c r="G47" s="123">
        <v>6</v>
      </c>
      <c r="H47" s="123">
        <v>6</v>
      </c>
      <c r="I47" s="123">
        <v>6</v>
      </c>
      <c r="J47" s="123">
        <v>6</v>
      </c>
      <c r="K47" s="123">
        <v>6</v>
      </c>
      <c r="L47" s="123">
        <v>6</v>
      </c>
      <c r="M47" s="103">
        <v>6</v>
      </c>
      <c r="N47" s="103">
        <v>6</v>
      </c>
      <c r="O47" s="103">
        <v>6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10</v>
      </c>
      <c r="AA47" s="103">
        <v>10</v>
      </c>
      <c r="AB47" s="103">
        <v>10</v>
      </c>
      <c r="AC47" s="103">
        <v>10</v>
      </c>
      <c r="AD47" s="103">
        <v>10</v>
      </c>
      <c r="AE47" s="103">
        <v>10</v>
      </c>
      <c r="AF47" s="103">
        <v>10</v>
      </c>
      <c r="AG47" s="106">
        <v>14.1</v>
      </c>
      <c r="AH47" s="21">
        <f t="shared" si="2"/>
        <v>12</v>
      </c>
      <c r="AI47" s="20">
        <f t="shared" si="3"/>
        <v>6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</v>
      </c>
      <c r="C48" s="123">
        <v>7</v>
      </c>
      <c r="D48" s="123">
        <v>7</v>
      </c>
      <c r="E48" s="123">
        <v>7</v>
      </c>
      <c r="F48" s="123">
        <v>7</v>
      </c>
      <c r="G48" s="123">
        <v>7</v>
      </c>
      <c r="H48" s="123">
        <v>7</v>
      </c>
      <c r="I48" s="123">
        <v>7</v>
      </c>
      <c r="J48" s="123">
        <v>7</v>
      </c>
      <c r="K48" s="123">
        <v>7</v>
      </c>
      <c r="L48" s="123">
        <v>7</v>
      </c>
      <c r="M48" s="103">
        <v>7</v>
      </c>
      <c r="N48" s="103">
        <v>7</v>
      </c>
      <c r="O48" s="103">
        <v>7</v>
      </c>
      <c r="P48" s="103">
        <v>7</v>
      </c>
      <c r="Q48" s="103">
        <v>7</v>
      </c>
      <c r="R48" s="103">
        <v>7</v>
      </c>
      <c r="S48" s="103">
        <v>7</v>
      </c>
      <c r="T48" s="103">
        <v>7</v>
      </c>
      <c r="U48" s="103">
        <v>7</v>
      </c>
      <c r="V48" s="103">
        <v>7</v>
      </c>
      <c r="W48" s="103">
        <v>7</v>
      </c>
      <c r="X48" s="103">
        <v>7</v>
      </c>
      <c r="Y48" s="103">
        <v>7</v>
      </c>
      <c r="Z48" s="103">
        <v>6.1</v>
      </c>
      <c r="AA48" s="103">
        <v>6.1</v>
      </c>
      <c r="AB48" s="103">
        <v>6.1</v>
      </c>
      <c r="AC48" s="103">
        <v>6.1</v>
      </c>
      <c r="AD48" s="103">
        <v>6.1</v>
      </c>
      <c r="AE48" s="103">
        <v>6.1</v>
      </c>
      <c r="AF48" s="103">
        <v>6.1</v>
      </c>
      <c r="AG48" s="106">
        <v>14</v>
      </c>
      <c r="AH48" s="21">
        <f t="shared" si="2"/>
        <v>7</v>
      </c>
      <c r="AI48" s="20">
        <f t="shared" si="3"/>
        <v>6.1</v>
      </c>
      <c r="AK48" s="42"/>
    </row>
    <row r="49" spans="1:37" x14ac:dyDescent="0.25">
      <c r="A49" s="107" t="s">
        <v>162</v>
      </c>
      <c r="B49" s="123">
        <v>6.6</v>
      </c>
      <c r="C49" s="123">
        <v>6.6</v>
      </c>
      <c r="D49" s="123">
        <v>6.6</v>
      </c>
      <c r="E49" s="123">
        <v>6.6</v>
      </c>
      <c r="F49" s="123">
        <v>6.6</v>
      </c>
      <c r="G49" s="123">
        <v>6.6</v>
      </c>
      <c r="H49" s="123">
        <v>6.6</v>
      </c>
      <c r="I49" s="123">
        <v>6.6</v>
      </c>
      <c r="J49" s="123">
        <v>6.6</v>
      </c>
      <c r="K49" s="123">
        <v>6.6</v>
      </c>
      <c r="L49" s="123">
        <v>6.6</v>
      </c>
      <c r="M49" s="103">
        <v>6.6</v>
      </c>
      <c r="N49" s="103">
        <v>6.6</v>
      </c>
      <c r="O49" s="103">
        <v>6.6</v>
      </c>
      <c r="P49" s="103">
        <v>5.8</v>
      </c>
      <c r="Q49" s="103">
        <v>5.8</v>
      </c>
      <c r="R49" s="103">
        <v>5.8</v>
      </c>
      <c r="S49" s="103">
        <v>5.8</v>
      </c>
      <c r="T49" s="103">
        <v>5.8</v>
      </c>
      <c r="U49" s="103">
        <v>5.8</v>
      </c>
      <c r="V49" s="103">
        <v>5.8</v>
      </c>
      <c r="W49" s="103">
        <v>5.8</v>
      </c>
      <c r="X49" s="103">
        <v>5.8</v>
      </c>
      <c r="Y49" s="103">
        <v>5.8</v>
      </c>
      <c r="Z49" s="103">
        <v>5.8</v>
      </c>
      <c r="AA49" s="103">
        <v>5.8</v>
      </c>
      <c r="AB49" s="103">
        <v>5.8</v>
      </c>
      <c r="AC49" s="103">
        <v>5.8</v>
      </c>
      <c r="AD49" s="103">
        <v>5.8</v>
      </c>
      <c r="AE49" s="103">
        <v>5.8</v>
      </c>
      <c r="AF49" s="103">
        <v>5.8</v>
      </c>
      <c r="AG49" s="106">
        <v>10.050000000000001</v>
      </c>
      <c r="AH49" s="21">
        <f t="shared" si="2"/>
        <v>6.6</v>
      </c>
      <c r="AI49" s="20">
        <f t="shared" si="3"/>
        <v>5.8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v>237.73999999999998</v>
      </c>
      <c r="C52" s="99">
        <v>189.44</v>
      </c>
      <c r="D52" s="99">
        <v>189.94</v>
      </c>
      <c r="E52" s="99">
        <v>144.44</v>
      </c>
      <c r="F52" s="99">
        <v>168.33999999999997</v>
      </c>
      <c r="G52" s="99">
        <v>178.94</v>
      </c>
      <c r="H52" s="99">
        <v>210.23999999999998</v>
      </c>
      <c r="I52" s="99">
        <v>251.73999999999998</v>
      </c>
      <c r="J52" s="99">
        <v>308.84000000000009</v>
      </c>
      <c r="K52" s="99">
        <v>381.94</v>
      </c>
      <c r="L52" s="99">
        <v>416.34000000000003</v>
      </c>
      <c r="M52" s="99">
        <v>393.94</v>
      </c>
      <c r="N52" s="99">
        <v>400.14000000000004</v>
      </c>
      <c r="O52" s="99">
        <v>410.74</v>
      </c>
      <c r="P52" s="99">
        <f t="shared" ref="P52:AF52" si="6">SUM(P39:P51)</f>
        <v>364.24</v>
      </c>
      <c r="Q52" s="99">
        <f t="shared" si="6"/>
        <v>392.04</v>
      </c>
      <c r="R52" s="99">
        <f t="shared" si="6"/>
        <v>362.84000000000003</v>
      </c>
      <c r="S52" s="99">
        <f t="shared" si="6"/>
        <v>362.84000000000003</v>
      </c>
      <c r="T52" s="99">
        <f t="shared" si="6"/>
        <v>342.24</v>
      </c>
      <c r="U52" s="99">
        <f t="shared" si="6"/>
        <v>342.84000000000003</v>
      </c>
      <c r="V52" s="99">
        <f t="shared" si="6"/>
        <v>326.24</v>
      </c>
      <c r="W52" s="99">
        <f t="shared" si="6"/>
        <v>325.84000000000003</v>
      </c>
      <c r="X52" s="99">
        <f t="shared" si="6"/>
        <v>325.84000000000003</v>
      </c>
      <c r="Y52" s="99">
        <f t="shared" si="6"/>
        <v>367.24</v>
      </c>
      <c r="Z52" s="99">
        <f t="shared" si="6"/>
        <v>419.54000000000008</v>
      </c>
      <c r="AA52" s="99">
        <f t="shared" si="6"/>
        <v>419.54000000000008</v>
      </c>
      <c r="AB52" s="99">
        <f t="shared" si="6"/>
        <v>417.34000000000003</v>
      </c>
      <c r="AC52" s="99">
        <f t="shared" si="6"/>
        <v>281.34000000000003</v>
      </c>
      <c r="AD52" s="99">
        <f t="shared" si="6"/>
        <v>272.34000000000003</v>
      </c>
      <c r="AE52" s="99">
        <f t="shared" si="6"/>
        <v>259.34000000000003</v>
      </c>
      <c r="AF52" s="99">
        <f t="shared" si="6"/>
        <v>264.34000000000003</v>
      </c>
      <c r="AG52" s="98">
        <f>SUM(AG39:AG51)</f>
        <v>489.91</v>
      </c>
      <c r="AH52" s="21">
        <f t="shared" si="2"/>
        <v>419.54000000000008</v>
      </c>
      <c r="AI52" s="20">
        <f t="shared" si="3"/>
        <v>144.44</v>
      </c>
      <c r="AK52" s="42"/>
    </row>
    <row r="53" spans="1:37" x14ac:dyDescent="0.25">
      <c r="A53" s="109" t="s">
        <v>159</v>
      </c>
      <c r="B53" s="103">
        <v>29.4</v>
      </c>
      <c r="C53" s="123">
        <v>29.5</v>
      </c>
      <c r="D53" s="123">
        <v>29.5</v>
      </c>
      <c r="E53" s="123">
        <v>29.5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22">
        <v>0</v>
      </c>
      <c r="N53" s="122">
        <v>0</v>
      </c>
      <c r="O53" s="122">
        <v>0</v>
      </c>
      <c r="P53" s="122">
        <v>24</v>
      </c>
      <c r="Q53" s="122">
        <v>0</v>
      </c>
      <c r="R53" s="103">
        <v>0</v>
      </c>
      <c r="S53" s="103">
        <v>0</v>
      </c>
      <c r="T53" s="103">
        <v>29.6</v>
      </c>
      <c r="U53" s="103">
        <v>29.6</v>
      </c>
      <c r="V53" s="103">
        <v>29.6</v>
      </c>
      <c r="W53" s="103">
        <v>19.7</v>
      </c>
      <c r="X53" s="103">
        <v>19.600000000000001</v>
      </c>
      <c r="Y53" s="103">
        <v>19.600000000000001</v>
      </c>
      <c r="Z53" s="103">
        <v>50</v>
      </c>
      <c r="AA53" s="103">
        <v>20</v>
      </c>
      <c r="AB53" s="103">
        <v>30</v>
      </c>
      <c r="AC53" s="103">
        <v>29</v>
      </c>
      <c r="AD53" s="103">
        <v>29.4</v>
      </c>
      <c r="AE53" s="103">
        <v>59</v>
      </c>
      <c r="AF53" s="103">
        <v>59</v>
      </c>
      <c r="AG53" s="108">
        <v>60</v>
      </c>
      <c r="AH53" s="21">
        <f t="shared" si="2"/>
        <v>59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14.3</v>
      </c>
      <c r="C54" s="123">
        <v>14.4</v>
      </c>
      <c r="D54" s="123">
        <v>15.3</v>
      </c>
      <c r="E54" s="123">
        <v>15.3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22">
        <v>0</v>
      </c>
      <c r="N54" s="122">
        <v>0</v>
      </c>
      <c r="O54" s="122">
        <v>0</v>
      </c>
      <c r="P54" s="122">
        <v>10.199999999999999</v>
      </c>
      <c r="Q54" s="122">
        <v>0</v>
      </c>
      <c r="R54" s="73">
        <v>0</v>
      </c>
      <c r="S54" s="103">
        <v>0</v>
      </c>
      <c r="T54" s="103">
        <v>14.4</v>
      </c>
      <c r="U54" s="103">
        <v>14.4</v>
      </c>
      <c r="V54" s="103">
        <v>14.4</v>
      </c>
      <c r="W54" s="73">
        <v>9.9</v>
      </c>
      <c r="X54" s="73">
        <v>8.8000000000000007</v>
      </c>
      <c r="Y54" s="73">
        <v>8.8000000000000007</v>
      </c>
      <c r="Z54" s="73">
        <v>17.899999999999999</v>
      </c>
      <c r="AA54" s="73">
        <v>8.5</v>
      </c>
      <c r="AB54" s="73">
        <v>9</v>
      </c>
      <c r="AC54" s="73">
        <v>15</v>
      </c>
      <c r="AD54" s="73">
        <v>14.2</v>
      </c>
      <c r="AE54" s="73">
        <v>28</v>
      </c>
      <c r="AF54" s="73">
        <v>28</v>
      </c>
      <c r="AG54" s="106">
        <v>32</v>
      </c>
      <c r="AH54" s="21">
        <f t="shared" si="2"/>
        <v>28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5.2</v>
      </c>
      <c r="C55" s="120">
        <v>5.3</v>
      </c>
      <c r="D55" s="120">
        <v>5.6</v>
      </c>
      <c r="E55" s="120">
        <v>5.6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L55" s="120">
        <v>0</v>
      </c>
      <c r="M55" s="119">
        <v>0</v>
      </c>
      <c r="N55" s="119">
        <v>0</v>
      </c>
      <c r="O55" s="119">
        <v>0</v>
      </c>
      <c r="P55" s="119">
        <v>7.8</v>
      </c>
      <c r="Q55" s="119">
        <v>0</v>
      </c>
      <c r="R55" s="118">
        <v>0</v>
      </c>
      <c r="S55" s="103">
        <v>0</v>
      </c>
      <c r="T55" s="103">
        <v>5.2</v>
      </c>
      <c r="U55" s="103">
        <v>5.2</v>
      </c>
      <c r="V55" s="103">
        <v>5.2</v>
      </c>
      <c r="W55" s="118">
        <v>3.6</v>
      </c>
      <c r="X55" s="118">
        <v>3.2</v>
      </c>
      <c r="Y55" s="118">
        <v>3.2</v>
      </c>
      <c r="Z55" s="118">
        <v>6.5</v>
      </c>
      <c r="AA55" s="118">
        <v>3.1</v>
      </c>
      <c r="AB55" s="118">
        <v>3.3</v>
      </c>
      <c r="AC55" s="118">
        <v>5.6</v>
      </c>
      <c r="AD55" s="118">
        <v>5.2</v>
      </c>
      <c r="AE55" s="118">
        <v>10.3</v>
      </c>
      <c r="AF55" s="118">
        <v>10</v>
      </c>
      <c r="AG55" s="117">
        <v>14</v>
      </c>
      <c r="AH55" s="21">
        <f t="shared" si="2"/>
        <v>10.3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v>48.900000000000006</v>
      </c>
      <c r="C56" s="99">
        <v>49.199999999999996</v>
      </c>
      <c r="D56" s="99">
        <v>50.4</v>
      </c>
      <c r="E56" s="99">
        <v>50.4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f t="shared" ref="P56:AF56" si="7">SUM(P53:P55)</f>
        <v>42</v>
      </c>
      <c r="Q56" s="99">
        <f t="shared" si="7"/>
        <v>0</v>
      </c>
      <c r="R56" s="99">
        <f t="shared" si="7"/>
        <v>0</v>
      </c>
      <c r="S56" s="99">
        <f t="shared" si="7"/>
        <v>0</v>
      </c>
      <c r="T56" s="99">
        <f t="shared" si="7"/>
        <v>49.2</v>
      </c>
      <c r="U56" s="99">
        <f t="shared" si="7"/>
        <v>49.2</v>
      </c>
      <c r="V56" s="99">
        <f t="shared" si="7"/>
        <v>49.2</v>
      </c>
      <c r="W56" s="99">
        <f t="shared" si="7"/>
        <v>33.200000000000003</v>
      </c>
      <c r="X56" s="99">
        <f t="shared" si="7"/>
        <v>31.6</v>
      </c>
      <c r="Y56" s="99">
        <f t="shared" si="7"/>
        <v>31.6</v>
      </c>
      <c r="Z56" s="99">
        <f t="shared" si="7"/>
        <v>74.400000000000006</v>
      </c>
      <c r="AA56" s="99">
        <f t="shared" si="7"/>
        <v>31.6</v>
      </c>
      <c r="AB56" s="99">
        <f t="shared" si="7"/>
        <v>42.3</v>
      </c>
      <c r="AC56" s="99">
        <f t="shared" si="7"/>
        <v>49.6</v>
      </c>
      <c r="AD56" s="99">
        <f t="shared" si="7"/>
        <v>48.8</v>
      </c>
      <c r="AE56" s="99">
        <f t="shared" si="7"/>
        <v>97.3</v>
      </c>
      <c r="AF56" s="99">
        <f t="shared" si="7"/>
        <v>97</v>
      </c>
      <c r="AG56" s="98">
        <f>SUM(AG53:AG55)</f>
        <v>106</v>
      </c>
      <c r="AH56" s="21">
        <f t="shared" si="2"/>
        <v>97.3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20.13</v>
      </c>
      <c r="C57" s="103">
        <v>62.13</v>
      </c>
      <c r="D57" s="103">
        <v>51.25</v>
      </c>
      <c r="E57" s="103">
        <v>62</v>
      </c>
      <c r="F57" s="103">
        <v>70.099999999999994</v>
      </c>
      <c r="G57" s="103">
        <v>70.709999999999994</v>
      </c>
      <c r="H57" s="103">
        <v>67.150000000000006</v>
      </c>
      <c r="I57" s="103">
        <v>69.2</v>
      </c>
      <c r="J57" s="103">
        <v>59.9</v>
      </c>
      <c r="K57" s="103">
        <v>54</v>
      </c>
      <c r="L57" s="103">
        <v>52</v>
      </c>
      <c r="M57" s="103">
        <v>68</v>
      </c>
      <c r="N57" s="103">
        <v>74.14</v>
      </c>
      <c r="O57" s="103">
        <v>74.14</v>
      </c>
      <c r="P57" s="103">
        <v>83</v>
      </c>
      <c r="Q57" s="103">
        <v>70</v>
      </c>
      <c r="R57" s="103">
        <v>70.52</v>
      </c>
      <c r="S57" s="103">
        <v>74</v>
      </c>
      <c r="T57" s="103">
        <v>75.599999999999994</v>
      </c>
      <c r="U57" s="103">
        <v>75.900000000000006</v>
      </c>
      <c r="V57" s="103">
        <v>70</v>
      </c>
      <c r="W57" s="103">
        <v>71.099999999999994</v>
      </c>
      <c r="X57" s="103">
        <v>72.099999999999994</v>
      </c>
      <c r="Y57" s="103">
        <v>59.1</v>
      </c>
      <c r="Z57" s="103">
        <v>60.2</v>
      </c>
      <c r="AA57" s="103">
        <v>55.4</v>
      </c>
      <c r="AB57" s="103">
        <v>56</v>
      </c>
      <c r="AC57" s="103">
        <v>74</v>
      </c>
      <c r="AD57" s="103">
        <v>74</v>
      </c>
      <c r="AE57" s="103">
        <v>70</v>
      </c>
      <c r="AF57" s="103">
        <v>68</v>
      </c>
      <c r="AG57" s="108"/>
      <c r="AH57" s="21">
        <f t="shared" si="2"/>
        <v>83</v>
      </c>
      <c r="AI57" s="20">
        <f t="shared" si="3"/>
        <v>20.13</v>
      </c>
      <c r="AK57" s="42"/>
    </row>
    <row r="58" spans="1:37" x14ac:dyDescent="0.25">
      <c r="A58" s="107" t="s">
        <v>138</v>
      </c>
      <c r="B58" s="73">
        <v>140</v>
      </c>
      <c r="C58" s="73">
        <v>135</v>
      </c>
      <c r="D58" s="73">
        <v>130</v>
      </c>
      <c r="E58" s="73">
        <v>130</v>
      </c>
      <c r="F58" s="73">
        <v>0</v>
      </c>
      <c r="G58" s="73">
        <v>0</v>
      </c>
      <c r="H58" s="73">
        <v>87.2</v>
      </c>
      <c r="I58" s="73">
        <v>80</v>
      </c>
      <c r="J58" s="73">
        <v>78</v>
      </c>
      <c r="K58" s="73">
        <v>80</v>
      </c>
      <c r="L58" s="73">
        <v>0</v>
      </c>
      <c r="M58" s="103">
        <v>0</v>
      </c>
      <c r="N58" s="103">
        <v>0</v>
      </c>
      <c r="O58" s="103">
        <v>0</v>
      </c>
      <c r="P58" s="103">
        <v>0</v>
      </c>
      <c r="Q58" s="103">
        <v>80</v>
      </c>
      <c r="R58" s="103">
        <v>112</v>
      </c>
      <c r="S58" s="103">
        <v>119</v>
      </c>
      <c r="T58" s="103">
        <v>117</v>
      </c>
      <c r="U58" s="103">
        <v>117</v>
      </c>
      <c r="V58" s="103">
        <v>122</v>
      </c>
      <c r="W58" s="103">
        <v>130</v>
      </c>
      <c r="X58" s="116">
        <v>137</v>
      </c>
      <c r="Y58" s="116">
        <v>137</v>
      </c>
      <c r="Z58" s="116">
        <v>140</v>
      </c>
      <c r="AA58" s="116">
        <v>120</v>
      </c>
      <c r="AB58" s="73">
        <v>104</v>
      </c>
      <c r="AC58" s="73">
        <v>100</v>
      </c>
      <c r="AD58" s="73">
        <v>106</v>
      </c>
      <c r="AE58" s="73">
        <v>97</v>
      </c>
      <c r="AF58" s="73">
        <v>99</v>
      </c>
      <c r="AG58" s="106"/>
      <c r="AH58" s="21">
        <f t="shared" si="2"/>
        <v>140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29.6</v>
      </c>
      <c r="C59" s="73">
        <v>-2.9</v>
      </c>
      <c r="D59" s="73">
        <v>2.1</v>
      </c>
      <c r="E59" s="73">
        <v>20</v>
      </c>
      <c r="F59" s="73">
        <v>219.2</v>
      </c>
      <c r="G59" s="73">
        <v>231.9</v>
      </c>
      <c r="H59" s="103">
        <v>29.7</v>
      </c>
      <c r="I59" s="103">
        <v>135.4</v>
      </c>
      <c r="J59" s="103">
        <v>46.1</v>
      </c>
      <c r="K59" s="103">
        <v>65.5</v>
      </c>
      <c r="L59" s="103">
        <v>45.7</v>
      </c>
      <c r="M59" s="73">
        <v>133</v>
      </c>
      <c r="N59" s="73">
        <v>135.9</v>
      </c>
      <c r="O59" s="73">
        <v>135.9</v>
      </c>
      <c r="P59" s="73">
        <v>234</v>
      </c>
      <c r="Q59" s="73">
        <v>215</v>
      </c>
      <c r="R59" s="73">
        <v>211</v>
      </c>
      <c r="S59" s="73">
        <v>225</v>
      </c>
      <c r="T59" s="73">
        <v>256</v>
      </c>
      <c r="U59" s="73">
        <v>234</v>
      </c>
      <c r="V59" s="73">
        <v>198</v>
      </c>
      <c r="W59" s="73">
        <v>241</v>
      </c>
      <c r="X59" s="115">
        <v>266</v>
      </c>
      <c r="Y59" s="115">
        <v>255</v>
      </c>
      <c r="Z59" s="115">
        <v>230.8</v>
      </c>
      <c r="AA59" s="115">
        <v>58.1</v>
      </c>
      <c r="AB59" s="73">
        <v>41</v>
      </c>
      <c r="AC59" s="73">
        <v>190</v>
      </c>
      <c r="AD59" s="73">
        <v>200</v>
      </c>
      <c r="AE59" s="73">
        <v>0</v>
      </c>
      <c r="AF59" s="73">
        <v>4</v>
      </c>
      <c r="AG59" s="113"/>
      <c r="AH59" s="21">
        <f t="shared" si="2"/>
        <v>266</v>
      </c>
      <c r="AI59" s="20">
        <f t="shared" si="3"/>
        <v>-2.9</v>
      </c>
      <c r="AK59" s="42"/>
    </row>
    <row r="60" spans="1:37" x14ac:dyDescent="0.25">
      <c r="A60" s="107" t="s">
        <v>139</v>
      </c>
      <c r="B60" s="77">
        <v>40</v>
      </c>
      <c r="C60" s="77">
        <v>36</v>
      </c>
      <c r="D60" s="77">
        <v>40</v>
      </c>
      <c r="E60" s="77">
        <v>40</v>
      </c>
      <c r="F60" s="77">
        <v>41</v>
      </c>
      <c r="G60" s="77">
        <v>43.2</v>
      </c>
      <c r="H60" s="77">
        <v>50</v>
      </c>
      <c r="I60" s="77">
        <v>50</v>
      </c>
      <c r="J60" s="77">
        <v>49</v>
      </c>
      <c r="K60" s="77">
        <v>51</v>
      </c>
      <c r="L60" s="77">
        <v>51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50.9</v>
      </c>
      <c r="U60" s="73">
        <v>55.8</v>
      </c>
      <c r="V60" s="73">
        <v>55.8</v>
      </c>
      <c r="W60" s="73">
        <v>55.8</v>
      </c>
      <c r="X60" s="73">
        <v>47.6</v>
      </c>
      <c r="Y60" s="73">
        <v>47.6</v>
      </c>
      <c r="Z60" s="73">
        <v>47.8</v>
      </c>
      <c r="AA60" s="73">
        <v>41.3</v>
      </c>
      <c r="AB60" s="73">
        <v>19</v>
      </c>
      <c r="AC60" s="73">
        <v>45</v>
      </c>
      <c r="AD60" s="73">
        <v>45</v>
      </c>
      <c r="AE60" s="73">
        <v>43</v>
      </c>
      <c r="AF60" s="77">
        <v>51</v>
      </c>
      <c r="AG60" s="113"/>
      <c r="AH60" s="21">
        <f t="shared" si="2"/>
        <v>55.8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52.5</v>
      </c>
      <c r="C61" s="103">
        <v>46.8</v>
      </c>
      <c r="D61" s="103">
        <v>55.2</v>
      </c>
      <c r="E61" s="103">
        <v>50.9</v>
      </c>
      <c r="F61" s="77">
        <v>52.4</v>
      </c>
      <c r="G61" s="77">
        <v>49.2</v>
      </c>
      <c r="H61" s="77">
        <v>52.7</v>
      </c>
      <c r="I61" s="77">
        <v>0</v>
      </c>
      <c r="J61" s="77">
        <v>0</v>
      </c>
      <c r="K61" s="77">
        <v>0</v>
      </c>
      <c r="L61" s="77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0</v>
      </c>
      <c r="S61" s="103">
        <v>0</v>
      </c>
      <c r="T61" s="103">
        <v>63</v>
      </c>
      <c r="U61" s="103">
        <v>71.599999999999994</v>
      </c>
      <c r="V61" s="103">
        <v>0</v>
      </c>
      <c r="W61" s="103">
        <v>70</v>
      </c>
      <c r="X61" s="103">
        <v>70</v>
      </c>
      <c r="Y61" s="103">
        <v>75.900000000000006</v>
      </c>
      <c r="Z61" s="103">
        <v>77.2</v>
      </c>
      <c r="AA61" s="103">
        <v>66.7</v>
      </c>
      <c r="AB61" s="103">
        <v>81</v>
      </c>
      <c r="AC61" s="103">
        <v>90</v>
      </c>
      <c r="AD61" s="103">
        <v>86</v>
      </c>
      <c r="AE61" s="103">
        <v>80</v>
      </c>
      <c r="AF61" s="103">
        <v>75</v>
      </c>
      <c r="AG61" s="113"/>
      <c r="AH61" s="21">
        <f t="shared" si="2"/>
        <v>90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0</v>
      </c>
      <c r="C62" s="67">
        <v>0</v>
      </c>
      <c r="D62" s="67">
        <v>0</v>
      </c>
      <c r="E62" s="6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67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67">
        <v>0</v>
      </c>
      <c r="AE62" s="67">
        <v>0</v>
      </c>
      <c r="AF62" s="67">
        <v>0</v>
      </c>
      <c r="AG62" s="113"/>
      <c r="AH62" s="21">
        <f t="shared" si="2"/>
        <v>0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0</v>
      </c>
      <c r="C66" s="70">
        <v>0</v>
      </c>
      <c r="D66" s="70">
        <v>0</v>
      </c>
      <c r="E66" s="70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0">
        <v>0</v>
      </c>
      <c r="T66" s="70">
        <v>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102"/>
      <c r="AH66" s="21">
        <f t="shared" si="2"/>
        <v>0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3">
        <v>0</v>
      </c>
      <c r="N67" s="73">
        <v>0</v>
      </c>
      <c r="O67" s="73">
        <v>0</v>
      </c>
      <c r="P67" s="73">
        <v>0</v>
      </c>
      <c r="Q67" s="73">
        <v>0</v>
      </c>
      <c r="R67" s="73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v>282.23</v>
      </c>
      <c r="C68" s="99">
        <v>277.02999999999997</v>
      </c>
      <c r="D68" s="99">
        <v>278.55</v>
      </c>
      <c r="E68" s="99">
        <v>302.89999999999998</v>
      </c>
      <c r="F68" s="99">
        <v>382.69999999999993</v>
      </c>
      <c r="G68" s="99">
        <v>395.01</v>
      </c>
      <c r="H68" s="99">
        <v>286.75</v>
      </c>
      <c r="I68" s="99">
        <v>334.6</v>
      </c>
      <c r="J68" s="99">
        <v>233</v>
      </c>
      <c r="K68" s="99">
        <v>250.5</v>
      </c>
      <c r="L68" s="99">
        <v>148.69999999999999</v>
      </c>
      <c r="M68" s="99">
        <v>201</v>
      </c>
      <c r="N68" s="99">
        <v>210.04000000000002</v>
      </c>
      <c r="O68" s="99">
        <v>210.04000000000002</v>
      </c>
      <c r="P68" s="99">
        <f t="shared" ref="P68:AF68" si="8">SUM(P57:P67)</f>
        <v>317</v>
      </c>
      <c r="Q68" s="99">
        <f t="shared" si="8"/>
        <v>365</v>
      </c>
      <c r="R68" s="99">
        <f t="shared" si="8"/>
        <v>393.52</v>
      </c>
      <c r="S68" s="99">
        <f t="shared" si="8"/>
        <v>418</v>
      </c>
      <c r="T68" s="99">
        <f t="shared" si="8"/>
        <v>562.5</v>
      </c>
      <c r="U68" s="99">
        <f t="shared" si="8"/>
        <v>554.29999999999995</v>
      </c>
      <c r="V68" s="99">
        <f t="shared" si="8"/>
        <v>445.8</v>
      </c>
      <c r="W68" s="99">
        <f t="shared" si="8"/>
        <v>567.90000000000009</v>
      </c>
      <c r="X68" s="99">
        <f t="shared" si="8"/>
        <v>592.70000000000005</v>
      </c>
      <c r="Y68" s="99">
        <f t="shared" si="8"/>
        <v>574.6</v>
      </c>
      <c r="Z68" s="99">
        <f t="shared" si="8"/>
        <v>556</v>
      </c>
      <c r="AA68" s="99">
        <f t="shared" si="8"/>
        <v>341.5</v>
      </c>
      <c r="AB68" s="99">
        <f t="shared" si="8"/>
        <v>301</v>
      </c>
      <c r="AC68" s="99">
        <f t="shared" si="8"/>
        <v>499</v>
      </c>
      <c r="AD68" s="99">
        <f t="shared" si="8"/>
        <v>511</v>
      </c>
      <c r="AE68" s="99">
        <f t="shared" si="8"/>
        <v>290</v>
      </c>
      <c r="AF68" s="99">
        <f t="shared" si="8"/>
        <v>297</v>
      </c>
      <c r="AG68" s="98">
        <f>SUM(AG57:AG67)</f>
        <v>0</v>
      </c>
      <c r="AH68" s="21">
        <f t="shared" si="2"/>
        <v>592.70000000000005</v>
      </c>
      <c r="AI68" s="20">
        <f t="shared" si="3"/>
        <v>148.69999999999999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v>0</v>
      </c>
      <c r="C72" s="99">
        <v>0</v>
      </c>
      <c r="D72" s="99">
        <v>0</v>
      </c>
      <c r="E72" s="99">
        <v>0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s="99">
        <v>0</v>
      </c>
      <c r="O72" s="99">
        <v>0</v>
      </c>
      <c r="P72" s="99">
        <f t="shared" ref="P72:AF72" si="9">SUM(P69:P71)</f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v>1032.97</v>
      </c>
      <c r="C73" s="110">
        <v>979.87</v>
      </c>
      <c r="D73" s="110">
        <v>973.59</v>
      </c>
      <c r="E73" s="110">
        <v>952.83999999999992</v>
      </c>
      <c r="F73" s="110">
        <v>958.43999999999994</v>
      </c>
      <c r="G73" s="110">
        <v>980.35</v>
      </c>
      <c r="H73" s="110">
        <v>1041.5899999999999</v>
      </c>
      <c r="I73" s="110">
        <v>1080.8400000000001</v>
      </c>
      <c r="J73" s="110">
        <v>1116.44</v>
      </c>
      <c r="K73" s="110">
        <v>1257.04</v>
      </c>
      <c r="L73" s="110">
        <v>1264.44</v>
      </c>
      <c r="M73" s="110">
        <v>1237.44</v>
      </c>
      <c r="N73" s="110">
        <v>1211.98</v>
      </c>
      <c r="O73" s="110">
        <v>1237.58</v>
      </c>
      <c r="P73" s="110">
        <f t="shared" ref="P73:AG73" si="10">P68+P56+P52+P38+P72</f>
        <v>1275.1399999999999</v>
      </c>
      <c r="Q73" s="110">
        <f t="shared" si="10"/>
        <v>1270.54</v>
      </c>
      <c r="R73" s="110">
        <f t="shared" si="10"/>
        <v>1260.26</v>
      </c>
      <c r="S73" s="110">
        <f t="shared" si="10"/>
        <v>1284.74</v>
      </c>
      <c r="T73" s="110">
        <f t="shared" si="10"/>
        <v>1329.8400000000001</v>
      </c>
      <c r="U73" s="110">
        <f t="shared" si="10"/>
        <v>1322.24</v>
      </c>
      <c r="V73" s="110">
        <f t="shared" si="10"/>
        <v>1248.1399999999999</v>
      </c>
      <c r="W73" s="110">
        <f t="shared" si="10"/>
        <v>1353.8400000000001</v>
      </c>
      <c r="X73" s="110">
        <f t="shared" si="10"/>
        <v>1377.04</v>
      </c>
      <c r="Y73" s="110">
        <f t="shared" si="10"/>
        <v>1440.3400000000001</v>
      </c>
      <c r="Z73" s="110">
        <f t="shared" si="10"/>
        <v>1576.3400000000001</v>
      </c>
      <c r="AA73" s="110">
        <f t="shared" si="10"/>
        <v>1519.0400000000002</v>
      </c>
      <c r="AB73" s="110">
        <f t="shared" si="10"/>
        <v>1467.0400000000002</v>
      </c>
      <c r="AC73" s="110">
        <f t="shared" si="10"/>
        <v>1436.3400000000001</v>
      </c>
      <c r="AD73" s="110">
        <f t="shared" si="10"/>
        <v>1378.54</v>
      </c>
      <c r="AE73" s="110">
        <f t="shared" si="10"/>
        <v>1273.0400000000002</v>
      </c>
      <c r="AF73" s="110">
        <f t="shared" si="10"/>
        <v>1194.7400000000002</v>
      </c>
      <c r="AG73" s="110">
        <f t="shared" si="10"/>
        <v>2144.14</v>
      </c>
      <c r="AH73" s="21">
        <f t="shared" si="2"/>
        <v>1576.3400000000001</v>
      </c>
      <c r="AI73" s="20">
        <f t="shared" si="3"/>
        <v>952.83999999999992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>
        <v>70</v>
      </c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70</v>
      </c>
      <c r="AI74" s="20">
        <f t="shared" si="3"/>
        <v>70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v>1032.97</v>
      </c>
      <c r="C75" s="110">
        <v>979.87</v>
      </c>
      <c r="D75" s="110">
        <v>973.59</v>
      </c>
      <c r="E75" s="110">
        <v>952.83999999999992</v>
      </c>
      <c r="F75" s="110">
        <v>958.43999999999994</v>
      </c>
      <c r="G75" s="110">
        <v>980.35</v>
      </c>
      <c r="H75" s="110">
        <v>1041.5899999999999</v>
      </c>
      <c r="I75" s="110">
        <v>1080.8400000000001</v>
      </c>
      <c r="J75" s="110">
        <v>1116.44</v>
      </c>
      <c r="K75" s="110">
        <v>1257.04</v>
      </c>
      <c r="L75" s="110">
        <v>1264.44</v>
      </c>
      <c r="M75" s="110">
        <v>1237.44</v>
      </c>
      <c r="N75" s="110">
        <v>1211.98</v>
      </c>
      <c r="O75" s="110">
        <v>1237.58</v>
      </c>
      <c r="P75" s="110">
        <f t="shared" ref="P75:AF75" si="11">P72+P68+P56+P52+P38+P74</f>
        <v>1275.1399999999999</v>
      </c>
      <c r="Q75" s="110">
        <f t="shared" si="11"/>
        <v>1270.54</v>
      </c>
      <c r="R75" s="110">
        <f t="shared" si="11"/>
        <v>1260.26</v>
      </c>
      <c r="S75" s="110">
        <f t="shared" si="11"/>
        <v>1284.74</v>
      </c>
      <c r="T75" s="110">
        <f t="shared" si="11"/>
        <v>1329.8400000000001</v>
      </c>
      <c r="U75" s="110">
        <f t="shared" si="11"/>
        <v>1322.24</v>
      </c>
      <c r="V75" s="110">
        <f t="shared" si="11"/>
        <v>1318.1399999999999</v>
      </c>
      <c r="W75" s="110">
        <f t="shared" si="11"/>
        <v>1353.8400000000001</v>
      </c>
      <c r="X75" s="110">
        <f t="shared" si="11"/>
        <v>1377.04</v>
      </c>
      <c r="Y75" s="110">
        <f t="shared" si="11"/>
        <v>1440.3400000000001</v>
      </c>
      <c r="Z75" s="110">
        <f t="shared" si="11"/>
        <v>1576.3400000000001</v>
      </c>
      <c r="AA75" s="110">
        <f t="shared" si="11"/>
        <v>1519.0400000000002</v>
      </c>
      <c r="AB75" s="110">
        <f t="shared" si="11"/>
        <v>1467.0400000000002</v>
      </c>
      <c r="AC75" s="110">
        <f t="shared" si="11"/>
        <v>1436.3400000000001</v>
      </c>
      <c r="AD75" s="110">
        <f t="shared" si="11"/>
        <v>1378.54</v>
      </c>
      <c r="AE75" s="110">
        <f t="shared" si="11"/>
        <v>1273.0400000000002</v>
      </c>
      <c r="AF75" s="110">
        <f t="shared" si="11"/>
        <v>1194.7400000000002</v>
      </c>
      <c r="AG75" s="98">
        <f>AG72+AG68+AG56+AG52+AG38+AG74</f>
        <v>2144.14</v>
      </c>
      <c r="AH75" s="21">
        <f t="shared" si="2"/>
        <v>1576.3400000000001</v>
      </c>
      <c r="AI75" s="20">
        <f t="shared" si="3"/>
        <v>952.83999999999992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f t="shared" ref="P76:AF76" si="12">IF(P60&lt;0,P60*-1,0)</f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f t="shared" ref="P77:AF77" si="15">IF(P58&lt;0,P58*-1,0)</f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f t="shared" ref="P78:AF78" si="16">IF(P61&lt;0,P61*-1,0)</f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v>0</v>
      </c>
      <c r="C79" s="77">
        <v>2.9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f t="shared" ref="P79:AF79" si="17">IF(P59&lt;0,P59*-1,0)</f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2.9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f t="shared" ref="P80:AF80" si="18">IF(P57&lt;0,P57*-1,0)</f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v>0</v>
      </c>
      <c r="C82" s="99">
        <v>2.9</v>
      </c>
      <c r="D82" s="99">
        <v>0</v>
      </c>
      <c r="E82" s="99">
        <v>0</v>
      </c>
      <c r="F82" s="99">
        <v>0</v>
      </c>
      <c r="G82" s="99">
        <v>0</v>
      </c>
      <c r="H82" s="99">
        <v>0</v>
      </c>
      <c r="I82" s="99">
        <v>0</v>
      </c>
      <c r="J82" s="99">
        <v>0</v>
      </c>
      <c r="K82" s="99">
        <v>0</v>
      </c>
      <c r="L82" s="99">
        <v>0</v>
      </c>
      <c r="M82" s="99">
        <v>0</v>
      </c>
      <c r="N82" s="99">
        <v>0</v>
      </c>
      <c r="O82" s="99">
        <v>0</v>
      </c>
      <c r="P82" s="99">
        <f t="shared" ref="P82:AG82" si="19">SUM(P76:P81)</f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2.9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v>2065.94</v>
      </c>
      <c r="C83" s="99">
        <v>1965.5400000000002</v>
      </c>
      <c r="D83" s="99">
        <v>1947.18</v>
      </c>
      <c r="E83" s="99">
        <v>1905.6799999999998</v>
      </c>
      <c r="F83" s="99">
        <v>1916.8799999999999</v>
      </c>
      <c r="G83" s="99">
        <v>1960.7</v>
      </c>
      <c r="H83" s="99">
        <v>2083.1799999999998</v>
      </c>
      <c r="I83" s="99">
        <v>2161.6800000000003</v>
      </c>
      <c r="J83" s="99">
        <v>2232.88</v>
      </c>
      <c r="K83" s="99">
        <v>2514.08</v>
      </c>
      <c r="L83" s="99">
        <v>2528.88</v>
      </c>
      <c r="M83" s="99">
        <v>2474.88</v>
      </c>
      <c r="N83" s="99">
        <v>2423.96</v>
      </c>
      <c r="O83" s="99">
        <v>2475.16</v>
      </c>
      <c r="P83" s="99">
        <f t="shared" ref="P83:AG83" si="20">SUM(P70:P82)</f>
        <v>2550.2799999999997</v>
      </c>
      <c r="Q83" s="99">
        <f t="shared" si="20"/>
        <v>2541.08</v>
      </c>
      <c r="R83" s="99">
        <f t="shared" si="20"/>
        <v>2520.52</v>
      </c>
      <c r="S83" s="99">
        <f t="shared" si="20"/>
        <v>2569.48</v>
      </c>
      <c r="T83" s="99">
        <f t="shared" si="20"/>
        <v>2659.6800000000003</v>
      </c>
      <c r="U83" s="99">
        <f t="shared" si="20"/>
        <v>2644.48</v>
      </c>
      <c r="V83" s="99">
        <f t="shared" si="20"/>
        <v>2636.2799999999997</v>
      </c>
      <c r="W83" s="99">
        <f t="shared" si="20"/>
        <v>2707.6800000000003</v>
      </c>
      <c r="X83" s="99">
        <f t="shared" si="20"/>
        <v>2754.08</v>
      </c>
      <c r="Y83" s="99">
        <f t="shared" si="20"/>
        <v>2880.6800000000003</v>
      </c>
      <c r="Z83" s="99">
        <f t="shared" si="20"/>
        <v>3152.6800000000003</v>
      </c>
      <c r="AA83" s="99">
        <f t="shared" si="20"/>
        <v>3038.0800000000004</v>
      </c>
      <c r="AB83" s="99">
        <f t="shared" si="20"/>
        <v>2934.0800000000004</v>
      </c>
      <c r="AC83" s="99">
        <f t="shared" si="20"/>
        <v>2872.6800000000003</v>
      </c>
      <c r="AD83" s="99">
        <f t="shared" si="20"/>
        <v>2757.08</v>
      </c>
      <c r="AE83" s="99">
        <f t="shared" si="20"/>
        <v>2546.0800000000004</v>
      </c>
      <c r="AF83" s="99">
        <f t="shared" si="20"/>
        <v>2389.4800000000005</v>
      </c>
      <c r="AG83" s="98">
        <f t="shared" si="20"/>
        <v>4360.08</v>
      </c>
      <c r="AH83" s="21">
        <f t="shared" si="13"/>
        <v>3152.6800000000003</v>
      </c>
      <c r="AI83" s="20">
        <f t="shared" si="14"/>
        <v>1905.6799999999998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49.963000000000001</v>
      </c>
      <c r="C84" s="96">
        <v>49.886000000000003</v>
      </c>
      <c r="D84" s="96">
        <v>49.994999999999997</v>
      </c>
      <c r="E84" s="96">
        <v>49.978000000000002</v>
      </c>
      <c r="F84" s="96">
        <v>49.938000000000002</v>
      </c>
      <c r="G84" s="96">
        <v>50.064999999999998</v>
      </c>
      <c r="H84" s="96">
        <v>49.899000000000001</v>
      </c>
      <c r="I84" s="96">
        <v>50.033000000000001</v>
      </c>
      <c r="J84" s="96">
        <v>50.012</v>
      </c>
      <c r="K84" s="96">
        <v>50.026000000000003</v>
      </c>
      <c r="L84" s="96">
        <v>50.042000000000002</v>
      </c>
      <c r="M84" s="96">
        <v>50.09</v>
      </c>
      <c r="N84" s="96">
        <v>50.02</v>
      </c>
      <c r="O84" s="96">
        <v>50.03</v>
      </c>
      <c r="P84" s="96">
        <v>50.07</v>
      </c>
      <c r="Q84" s="96">
        <v>49.94</v>
      </c>
      <c r="R84" s="96">
        <v>49.94</v>
      </c>
      <c r="S84" s="96">
        <v>50.024000000000001</v>
      </c>
      <c r="T84" s="96">
        <v>49.984999999999999</v>
      </c>
      <c r="U84" s="96">
        <v>49.912999999999997</v>
      </c>
      <c r="V84" s="96">
        <v>49.935000000000002</v>
      </c>
      <c r="W84" s="96">
        <v>49.96</v>
      </c>
      <c r="X84" s="96">
        <v>49.932000000000002</v>
      </c>
      <c r="Y84" s="96">
        <v>49.854999999999997</v>
      </c>
      <c r="Z84" s="96">
        <v>50.026000000000003</v>
      </c>
      <c r="AA84" s="96">
        <v>49.941000000000003</v>
      </c>
      <c r="AB84" s="96">
        <v>49.97</v>
      </c>
      <c r="AC84" s="96">
        <v>49.98</v>
      </c>
      <c r="AD84" s="96">
        <v>50.05</v>
      </c>
      <c r="AE84" s="96">
        <v>49.98</v>
      </c>
      <c r="AF84" s="96">
        <v>49.9</v>
      </c>
      <c r="AG84" s="95"/>
      <c r="AH84" s="21">
        <f t="shared" si="13"/>
        <v>50.09</v>
      </c>
      <c r="AI84" s="20">
        <f t="shared" si="14"/>
        <v>49.854999999999997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132.80000000000001</v>
      </c>
      <c r="C85" s="73">
        <v>132.9</v>
      </c>
      <c r="D85" s="73">
        <v>133.4</v>
      </c>
      <c r="E85" s="73">
        <v>132.6</v>
      </c>
      <c r="F85" s="73">
        <v>132.9</v>
      </c>
      <c r="G85" s="73">
        <v>132.4</v>
      </c>
      <c r="H85" s="73">
        <v>132.19999999999999</v>
      </c>
      <c r="I85" s="73">
        <v>129.9</v>
      </c>
      <c r="J85" s="73">
        <v>127.1</v>
      </c>
      <c r="K85" s="73">
        <v>126</v>
      </c>
      <c r="L85" s="73">
        <v>126.5</v>
      </c>
      <c r="M85" s="73">
        <v>125.4</v>
      </c>
      <c r="N85" s="73">
        <v>125.1</v>
      </c>
      <c r="O85" s="73">
        <v>123.9</v>
      </c>
      <c r="P85" s="73">
        <v>125.4</v>
      </c>
      <c r="Q85" s="73">
        <v>121.9</v>
      </c>
      <c r="R85" s="73">
        <v>121.3</v>
      </c>
      <c r="S85" s="73">
        <v>122.1</v>
      </c>
      <c r="T85" s="73">
        <v>126.5</v>
      </c>
      <c r="U85" s="94">
        <v>126.8</v>
      </c>
      <c r="V85" s="94">
        <v>127.8</v>
      </c>
      <c r="W85" s="94">
        <v>127</v>
      </c>
      <c r="X85" s="94">
        <v>126.5</v>
      </c>
      <c r="Y85" s="94">
        <v>126.1</v>
      </c>
      <c r="Z85" s="94">
        <v>125.5</v>
      </c>
      <c r="AA85" s="94">
        <v>126.1</v>
      </c>
      <c r="AB85" s="73">
        <v>128</v>
      </c>
      <c r="AC85" s="73">
        <v>127</v>
      </c>
      <c r="AD85" s="73">
        <v>127</v>
      </c>
      <c r="AE85" s="73">
        <v>129</v>
      </c>
      <c r="AF85" s="73">
        <v>129</v>
      </c>
      <c r="AG85" s="89"/>
      <c r="AH85" s="21">
        <f t="shared" si="13"/>
        <v>133.4</v>
      </c>
      <c r="AI85" s="20">
        <f t="shared" si="14"/>
        <v>121.3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135.30000000000001</v>
      </c>
      <c r="C86" s="73">
        <v>135.19999999999999</v>
      </c>
      <c r="D86" s="73">
        <v>135.6</v>
      </c>
      <c r="E86" s="73">
        <v>135.19999999999999</v>
      </c>
      <c r="F86" s="73">
        <v>135.19999999999999</v>
      </c>
      <c r="G86" s="73">
        <v>134.69999999999999</v>
      </c>
      <c r="H86" s="73">
        <v>134.4</v>
      </c>
      <c r="I86" s="73">
        <v>132.1</v>
      </c>
      <c r="J86" s="73">
        <v>129</v>
      </c>
      <c r="K86" s="73">
        <v>127.8</v>
      </c>
      <c r="L86" s="73">
        <v>128.30000000000001</v>
      </c>
      <c r="M86" s="73">
        <v>127.4</v>
      </c>
      <c r="N86" s="73">
        <v>127.3</v>
      </c>
      <c r="O86" s="73">
        <v>126.3</v>
      </c>
      <c r="P86" s="73">
        <v>127.8</v>
      </c>
      <c r="Q86" s="73">
        <v>125.1</v>
      </c>
      <c r="R86" s="73">
        <v>124.7</v>
      </c>
      <c r="S86" s="73">
        <v>125</v>
      </c>
      <c r="T86" s="73">
        <v>129.30000000000001</v>
      </c>
      <c r="U86" s="94">
        <v>129.5</v>
      </c>
      <c r="V86" s="94">
        <v>130.1</v>
      </c>
      <c r="W86" s="94">
        <v>130.19999999999999</v>
      </c>
      <c r="X86" s="94">
        <v>129.19999999999999</v>
      </c>
      <c r="Y86" s="94">
        <v>128.80000000000001</v>
      </c>
      <c r="Z86" s="94">
        <v>128.5</v>
      </c>
      <c r="AA86" s="94">
        <v>129.1</v>
      </c>
      <c r="AB86" s="73">
        <v>132</v>
      </c>
      <c r="AC86" s="73">
        <v>130</v>
      </c>
      <c r="AD86" s="73">
        <v>131</v>
      </c>
      <c r="AE86" s="73">
        <v>132</v>
      </c>
      <c r="AF86" s="73">
        <v>132</v>
      </c>
      <c r="AG86" s="89"/>
      <c r="AH86" s="21">
        <f t="shared" si="13"/>
        <v>135.6</v>
      </c>
      <c r="AI86" s="20">
        <f t="shared" si="14"/>
        <v>124.7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125.4</v>
      </c>
      <c r="C87" s="73">
        <v>126.7</v>
      </c>
      <c r="D87" s="73">
        <v>127.3</v>
      </c>
      <c r="E87" s="73">
        <v>126.2</v>
      </c>
      <c r="F87" s="73">
        <v>126.1</v>
      </c>
      <c r="G87" s="73">
        <v>129.19999999999999</v>
      </c>
      <c r="H87" s="73">
        <v>131.5</v>
      </c>
      <c r="I87" s="73">
        <v>130</v>
      </c>
      <c r="J87" s="73">
        <v>127.1</v>
      </c>
      <c r="K87" s="73">
        <v>124.2</v>
      </c>
      <c r="L87" s="73">
        <v>125.6</v>
      </c>
      <c r="M87" s="73">
        <v>123.3</v>
      </c>
      <c r="N87" s="73">
        <v>123.4</v>
      </c>
      <c r="O87" s="73">
        <v>122.8</v>
      </c>
      <c r="P87" s="73">
        <v>124.5</v>
      </c>
      <c r="Q87" s="73">
        <v>126.1</v>
      </c>
      <c r="R87" s="73">
        <v>127.3</v>
      </c>
      <c r="S87" s="73">
        <v>127.8</v>
      </c>
      <c r="T87" s="73">
        <v>127.1</v>
      </c>
      <c r="U87" s="73">
        <v>128.4</v>
      </c>
      <c r="V87" s="73">
        <v>129</v>
      </c>
      <c r="W87" s="73">
        <v>129</v>
      </c>
      <c r="X87" s="94">
        <v>128.19999999999999</v>
      </c>
      <c r="Y87" s="94">
        <v>127.3</v>
      </c>
      <c r="Z87" s="94">
        <v>127.7</v>
      </c>
      <c r="AA87" s="94">
        <v>126.9</v>
      </c>
      <c r="AB87" s="73">
        <v>128</v>
      </c>
      <c r="AC87" s="73">
        <v>130</v>
      </c>
      <c r="AD87" s="73">
        <v>130</v>
      </c>
      <c r="AE87" s="73">
        <v>132</v>
      </c>
      <c r="AF87" s="73">
        <v>132</v>
      </c>
      <c r="AG87" s="89"/>
      <c r="AH87" s="21">
        <f t="shared" si="13"/>
        <v>132</v>
      </c>
      <c r="AI87" s="20">
        <f t="shared" si="14"/>
        <v>122.8</v>
      </c>
      <c r="AK87">
        <v>175.767</v>
      </c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126.2</v>
      </c>
      <c r="C88" s="73">
        <v>127.5</v>
      </c>
      <c r="D88" s="73">
        <v>128.5</v>
      </c>
      <c r="E88" s="73">
        <v>127.9</v>
      </c>
      <c r="F88" s="73">
        <v>127.8</v>
      </c>
      <c r="G88" s="73">
        <v>130.4</v>
      </c>
      <c r="H88" s="73">
        <v>133.9</v>
      </c>
      <c r="I88" s="73">
        <v>132.1</v>
      </c>
      <c r="J88" s="73">
        <v>128.80000000000001</v>
      </c>
      <c r="K88" s="73">
        <v>126.2</v>
      </c>
      <c r="L88" s="73">
        <v>127.5</v>
      </c>
      <c r="M88" s="73">
        <v>125</v>
      </c>
      <c r="N88" s="73">
        <v>125.5</v>
      </c>
      <c r="O88" s="73">
        <v>123.6</v>
      </c>
      <c r="P88" s="73">
        <v>125.8</v>
      </c>
      <c r="Q88" s="73">
        <v>128.19999999999999</v>
      </c>
      <c r="R88" s="73">
        <v>127.9</v>
      </c>
      <c r="S88" s="73">
        <v>128</v>
      </c>
      <c r="T88" s="73">
        <v>127.6</v>
      </c>
      <c r="U88" s="73">
        <v>128.69999999999999</v>
      </c>
      <c r="V88" s="73">
        <v>128.80000000000001</v>
      </c>
      <c r="W88" s="73">
        <v>129</v>
      </c>
      <c r="X88" s="94">
        <v>128.30000000000001</v>
      </c>
      <c r="Y88" s="94">
        <v>123</v>
      </c>
      <c r="Z88" s="94">
        <v>123.3</v>
      </c>
      <c r="AA88" s="94">
        <v>126.5</v>
      </c>
      <c r="AB88" s="73">
        <v>130</v>
      </c>
      <c r="AC88" s="73">
        <v>132</v>
      </c>
      <c r="AD88" s="73">
        <v>133</v>
      </c>
      <c r="AE88" s="73">
        <v>133</v>
      </c>
      <c r="AF88" s="73">
        <v>133</v>
      </c>
      <c r="AG88" s="89"/>
      <c r="AH88" s="21">
        <f t="shared" si="13"/>
        <v>133.9</v>
      </c>
      <c r="AI88" s="20">
        <f t="shared" si="14"/>
        <v>123</v>
      </c>
      <c r="AK88">
        <f>AK87/24</f>
        <v>7.3236249999999998</v>
      </c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134.5</v>
      </c>
      <c r="C89" s="66">
        <v>135.6</v>
      </c>
      <c r="D89" s="66">
        <v>134.6</v>
      </c>
      <c r="E89" s="66">
        <v>135.4</v>
      </c>
      <c r="F89" s="66">
        <v>134.80000000000001</v>
      </c>
      <c r="G89" s="66">
        <v>135</v>
      </c>
      <c r="H89" s="66">
        <v>135.6</v>
      </c>
      <c r="I89" s="66">
        <v>137</v>
      </c>
      <c r="J89" s="66">
        <v>132.19999999999999</v>
      </c>
      <c r="K89" s="66">
        <v>135.80000000000001</v>
      </c>
      <c r="L89" s="66">
        <v>135.9</v>
      </c>
      <c r="M89" s="66">
        <v>132.6</v>
      </c>
      <c r="N89" s="66">
        <v>134.6</v>
      </c>
      <c r="O89" s="66">
        <v>131.69999999999999</v>
      </c>
      <c r="P89" s="66">
        <v>133.80000000000001</v>
      </c>
      <c r="Q89" s="66">
        <v>131.1</v>
      </c>
      <c r="R89" s="66">
        <v>130.9</v>
      </c>
      <c r="S89" s="66">
        <v>130</v>
      </c>
      <c r="T89" s="66">
        <v>133.30000000000001</v>
      </c>
      <c r="U89" s="66">
        <v>137.4</v>
      </c>
      <c r="V89" s="66">
        <v>135.4</v>
      </c>
      <c r="W89" s="66">
        <v>134.30000000000001</v>
      </c>
      <c r="X89" s="94">
        <v>135.19999999999999</v>
      </c>
      <c r="Y89" s="94">
        <v>135.80000000000001</v>
      </c>
      <c r="Z89" s="94">
        <v>133.19999999999999</v>
      </c>
      <c r="AA89" s="94">
        <v>135.6</v>
      </c>
      <c r="AB89" s="66">
        <v>133.6</v>
      </c>
      <c r="AC89" s="66">
        <v>133</v>
      </c>
      <c r="AD89" s="66">
        <v>133</v>
      </c>
      <c r="AE89" s="66">
        <v>131</v>
      </c>
      <c r="AF89" s="66">
        <v>131</v>
      </c>
      <c r="AG89" s="91"/>
      <c r="AH89" s="21">
        <f t="shared" si="13"/>
        <v>137.4</v>
      </c>
      <c r="AI89" s="20">
        <f t="shared" si="14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135.6</v>
      </c>
      <c r="C90" s="73">
        <v>133</v>
      </c>
      <c r="D90" s="73">
        <v>134.1</v>
      </c>
      <c r="E90" s="73">
        <v>135.6</v>
      </c>
      <c r="F90" s="73">
        <v>135.80000000000001</v>
      </c>
      <c r="G90" s="73">
        <v>135.30000000000001</v>
      </c>
      <c r="H90" s="73">
        <v>134.1</v>
      </c>
      <c r="I90" s="73">
        <v>132</v>
      </c>
      <c r="J90" s="73">
        <v>132.5</v>
      </c>
      <c r="K90" s="73">
        <v>130.6</v>
      </c>
      <c r="L90" s="73">
        <v>128.19999999999999</v>
      </c>
      <c r="M90" s="73">
        <v>129</v>
      </c>
      <c r="N90" s="73">
        <v>129.1</v>
      </c>
      <c r="O90" s="73">
        <v>128.80000000000001</v>
      </c>
      <c r="P90" s="73">
        <v>132</v>
      </c>
      <c r="Q90" s="73">
        <v>131.80000000000001</v>
      </c>
      <c r="R90" s="73">
        <v>130.9</v>
      </c>
      <c r="S90" s="73">
        <v>132.69999999999999</v>
      </c>
      <c r="T90" s="73">
        <v>137.69999999999999</v>
      </c>
      <c r="U90" s="73">
        <v>126</v>
      </c>
      <c r="V90" s="73">
        <v>136.1</v>
      </c>
      <c r="W90" s="73">
        <v>136</v>
      </c>
      <c r="X90" s="94">
        <v>134.4</v>
      </c>
      <c r="Y90" s="94">
        <v>130.80000000000001</v>
      </c>
      <c r="Z90" s="94">
        <v>135.80000000000001</v>
      </c>
      <c r="AA90" s="94">
        <v>132.6</v>
      </c>
      <c r="AB90" s="73">
        <v>128</v>
      </c>
      <c r="AC90" s="73">
        <v>132</v>
      </c>
      <c r="AD90" s="73">
        <v>131</v>
      </c>
      <c r="AE90" s="73">
        <v>132</v>
      </c>
      <c r="AF90" s="73">
        <v>132</v>
      </c>
      <c r="AG90" s="89"/>
      <c r="AH90" s="21">
        <f t="shared" si="13"/>
        <v>137.69999999999999</v>
      </c>
      <c r="AI90" s="20">
        <f t="shared" si="14"/>
        <v>126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67.8</v>
      </c>
      <c r="C91" s="87">
        <v>67.7</v>
      </c>
      <c r="D91" s="87">
        <v>67.900000000000006</v>
      </c>
      <c r="E91" s="87">
        <v>67.8</v>
      </c>
      <c r="F91" s="87">
        <v>67.7</v>
      </c>
      <c r="G91" s="87">
        <v>67.400000000000006</v>
      </c>
      <c r="H91" s="87">
        <v>67.2</v>
      </c>
      <c r="I91" s="87">
        <v>66</v>
      </c>
      <c r="J91" s="87">
        <v>64.2</v>
      </c>
      <c r="K91" s="87">
        <v>64.599999999999994</v>
      </c>
      <c r="L91" s="87">
        <v>64.5</v>
      </c>
      <c r="M91" s="87">
        <v>64</v>
      </c>
      <c r="N91" s="87">
        <v>63.9</v>
      </c>
      <c r="O91" s="87">
        <v>63.6</v>
      </c>
      <c r="P91" s="87">
        <v>64.400000000000006</v>
      </c>
      <c r="Q91" s="87">
        <v>63</v>
      </c>
      <c r="R91" s="87">
        <v>62.5</v>
      </c>
      <c r="S91" s="87">
        <v>62.5</v>
      </c>
      <c r="T91" s="87">
        <v>65.400000000000006</v>
      </c>
      <c r="U91" s="87">
        <v>65.2</v>
      </c>
      <c r="V91" s="87">
        <v>65.599999999999994</v>
      </c>
      <c r="W91" s="87">
        <v>65.8</v>
      </c>
      <c r="X91" s="87">
        <v>65.400000000000006</v>
      </c>
      <c r="Y91" s="87">
        <v>65.2</v>
      </c>
      <c r="Z91" s="87">
        <v>65.099999999999994</v>
      </c>
      <c r="AA91" s="87">
        <v>65.5</v>
      </c>
      <c r="AB91" s="87">
        <v>66.7</v>
      </c>
      <c r="AC91" s="87">
        <v>66.3</v>
      </c>
      <c r="AD91" s="87">
        <v>66.2</v>
      </c>
      <c r="AE91" s="87">
        <v>66.599999999999994</v>
      </c>
      <c r="AF91" s="87">
        <v>66.599999999999994</v>
      </c>
      <c r="AG91" s="86"/>
      <c r="AH91" s="21">
        <f t="shared" si="13"/>
        <v>67.900000000000006</v>
      </c>
      <c r="AI91" s="20">
        <f t="shared" si="14"/>
        <v>62.5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2">
        <v>150.44</v>
      </c>
      <c r="C93" s="82">
        <v>132.33999999999997</v>
      </c>
      <c r="D93" s="82">
        <v>139.13999999999999</v>
      </c>
      <c r="E93" s="82">
        <v>141.23999999999998</v>
      </c>
      <c r="F93" s="82">
        <v>143.34</v>
      </c>
      <c r="G93" s="80">
        <v>166.84</v>
      </c>
      <c r="H93" s="80">
        <v>191.14</v>
      </c>
      <c r="I93" s="80">
        <v>226.03999999999996</v>
      </c>
      <c r="J93" s="80">
        <v>263.94000000000005</v>
      </c>
      <c r="K93" s="80">
        <v>309.84000000000003</v>
      </c>
      <c r="L93" s="80">
        <v>310.04000000000002</v>
      </c>
      <c r="M93" s="80">
        <v>312.54000000000002</v>
      </c>
      <c r="N93" s="80">
        <v>293.44</v>
      </c>
      <c r="O93" s="80">
        <v>294.6400000000001</v>
      </c>
      <c r="P93" s="80">
        <f t="shared" ref="P93:AF93" si="21">SUM(P15,P18,P21:P22,P42,P44:P45,P47,P49,P94:P97,P103,P109,P115,P124,P126,P138,P145,P148:P149,P156,P158,P160,P164:P166,P168:P170,P175,P181:P182,P184:P186,P194,P199)</f>
        <v>288.24</v>
      </c>
      <c r="Q93" s="80">
        <f t="shared" si="21"/>
        <v>282.04000000000002</v>
      </c>
      <c r="R93" s="80">
        <f t="shared" si="21"/>
        <v>285.64000000000004</v>
      </c>
      <c r="S93" s="80">
        <f t="shared" si="21"/>
        <v>282.94</v>
      </c>
      <c r="T93" s="80">
        <f t="shared" si="21"/>
        <v>286.74</v>
      </c>
      <c r="U93" s="80">
        <f t="shared" si="21"/>
        <v>286.94</v>
      </c>
      <c r="V93" s="80">
        <f t="shared" si="21"/>
        <v>298.24000000000007</v>
      </c>
      <c r="W93" s="80">
        <f t="shared" si="21"/>
        <v>294.84000000000003</v>
      </c>
      <c r="X93" s="80">
        <f t="shared" si="21"/>
        <v>321.34000000000003</v>
      </c>
      <c r="Y93" s="80">
        <f t="shared" si="21"/>
        <v>350.34000000000003</v>
      </c>
      <c r="Z93" s="80">
        <f t="shared" si="21"/>
        <v>383.94000000000005</v>
      </c>
      <c r="AA93" s="80">
        <f t="shared" si="21"/>
        <v>353.54</v>
      </c>
      <c r="AB93" s="80">
        <f t="shared" si="21"/>
        <v>313.14000000000004</v>
      </c>
      <c r="AC93" s="80">
        <f t="shared" si="21"/>
        <v>281.14</v>
      </c>
      <c r="AD93" s="80">
        <f t="shared" si="21"/>
        <v>274.14000000000004</v>
      </c>
      <c r="AE93" s="80">
        <f t="shared" si="21"/>
        <v>215.73999999999998</v>
      </c>
      <c r="AF93" s="80">
        <f t="shared" si="21"/>
        <v>176.14</v>
      </c>
      <c r="AG93" s="79"/>
      <c r="AH93" s="21">
        <f>MAX(C93:AF93)</f>
        <v>383.94000000000005</v>
      </c>
      <c r="AI93" s="20">
        <f>MIN(C93:AF93)</f>
        <v>132.33999999999997</v>
      </c>
    </row>
    <row r="94" spans="1:88" x14ac:dyDescent="0.25">
      <c r="A94" s="48" t="s">
        <v>122</v>
      </c>
      <c r="B94" s="78">
        <v>-7.3</v>
      </c>
      <c r="C94" s="77">
        <v>-6.7</v>
      </c>
      <c r="D94" s="77">
        <v>-9</v>
      </c>
      <c r="E94" s="77">
        <v>-17.100000000000001</v>
      </c>
      <c r="F94" s="77">
        <v>-6.1</v>
      </c>
      <c r="G94" s="76">
        <v>-1.6</v>
      </c>
      <c r="H94" s="76">
        <v>4.3</v>
      </c>
      <c r="I94" s="76">
        <v>18.899999999999999</v>
      </c>
      <c r="J94" s="76">
        <v>33.299999999999997</v>
      </c>
      <c r="K94" s="76">
        <v>61.3</v>
      </c>
      <c r="L94" s="76">
        <v>67</v>
      </c>
      <c r="M94" s="75">
        <v>54.9</v>
      </c>
      <c r="N94" s="76">
        <v>64.8</v>
      </c>
      <c r="O94" s="76">
        <v>66.2</v>
      </c>
      <c r="P94" s="76">
        <v>34.5</v>
      </c>
      <c r="Q94" s="76">
        <v>39.1</v>
      </c>
      <c r="R94" s="76">
        <v>40.1</v>
      </c>
      <c r="S94" s="76">
        <v>32.6</v>
      </c>
      <c r="T94" s="76">
        <v>38.5</v>
      </c>
      <c r="U94" s="75">
        <v>39.4</v>
      </c>
      <c r="V94" s="75">
        <v>25</v>
      </c>
      <c r="W94" s="75">
        <v>21.1</v>
      </c>
      <c r="X94" s="76">
        <v>25.5</v>
      </c>
      <c r="Y94" s="76">
        <v>39.4</v>
      </c>
      <c r="Z94" s="76">
        <v>38.700000000000003</v>
      </c>
      <c r="AA94" s="76">
        <v>37.200000000000003</v>
      </c>
      <c r="AB94" s="75">
        <v>30</v>
      </c>
      <c r="AC94" s="75">
        <v>7</v>
      </c>
      <c r="AD94" s="75">
        <v>2</v>
      </c>
      <c r="AE94" s="75">
        <v>2.6</v>
      </c>
      <c r="AF94" s="75">
        <v>12</v>
      </c>
      <c r="AG94" s="3">
        <v>75</v>
      </c>
      <c r="AH94" s="21">
        <f t="shared" ref="AH94:AH100" si="22">IF(ABS(MAX(C94:AF94))&gt;ABS(MIN(C94:AF94)),MAX(C94:AF94),MIN(C94:AF94))</f>
        <v>67</v>
      </c>
      <c r="AI94" s="64">
        <f t="shared" ref="AI94:AI100" si="23">INDEX($C$9:$AF$9,1,MATCH(AH94,C94:AF94,0))</f>
        <v>0.3125</v>
      </c>
    </row>
    <row r="95" spans="1:88" x14ac:dyDescent="0.25">
      <c r="A95" s="45" t="s">
        <v>121</v>
      </c>
      <c r="B95" s="74">
        <v>-45</v>
      </c>
      <c r="C95" s="67">
        <v>-50</v>
      </c>
      <c r="D95" s="67">
        <v>-48</v>
      </c>
      <c r="E95" s="67">
        <v>-46</v>
      </c>
      <c r="F95" s="67">
        <v>-50.1</v>
      </c>
      <c r="G95" s="67">
        <v>-40.1</v>
      </c>
      <c r="H95" s="67">
        <v>-34.9</v>
      </c>
      <c r="I95" s="67">
        <v>-28.3</v>
      </c>
      <c r="J95" s="67">
        <v>-18.7</v>
      </c>
      <c r="K95" s="67">
        <v>-9.1999999999999993</v>
      </c>
      <c r="L95" s="67">
        <v>-10.4</v>
      </c>
      <c r="M95" s="67">
        <v>-7.8000000000000007</v>
      </c>
      <c r="N95" s="67">
        <v>-17.899999999999999</v>
      </c>
      <c r="O95" s="67">
        <v>-20.6</v>
      </c>
      <c r="P95" s="67">
        <f>-6.2-8.8</f>
        <v>-15</v>
      </c>
      <c r="Q95" s="67">
        <f>-7.4-8.5</f>
        <v>-15.9</v>
      </c>
      <c r="R95" s="67">
        <f>-6-7.2</f>
        <v>-13.2</v>
      </c>
      <c r="S95" s="67">
        <v>-11.5</v>
      </c>
      <c r="T95" s="67">
        <v>4</v>
      </c>
      <c r="U95" s="67">
        <v>3.6</v>
      </c>
      <c r="V95" s="67">
        <v>4</v>
      </c>
      <c r="W95" s="67">
        <v>2.9</v>
      </c>
      <c r="X95" s="67">
        <v>14</v>
      </c>
      <c r="Y95" s="67">
        <v>21</v>
      </c>
      <c r="Z95" s="67">
        <v>40</v>
      </c>
      <c r="AA95" s="67">
        <v>35</v>
      </c>
      <c r="AB95" s="73">
        <v>-3</v>
      </c>
      <c r="AC95" s="73">
        <v>10</v>
      </c>
      <c r="AD95" s="73">
        <v>-4</v>
      </c>
      <c r="AE95" s="73">
        <v>-28</v>
      </c>
      <c r="AF95" s="73">
        <v>-45</v>
      </c>
      <c r="AG95" s="3">
        <v>240</v>
      </c>
      <c r="AH95" s="21">
        <f t="shared" si="22"/>
        <v>-50.1</v>
      </c>
      <c r="AI95" s="64">
        <f t="shared" si="23"/>
        <v>0.16666666666666699</v>
      </c>
    </row>
    <row r="96" spans="1:88" x14ac:dyDescent="0.25">
      <c r="A96" s="45" t="s">
        <v>120</v>
      </c>
      <c r="B96" s="74">
        <v>17.100000000000001</v>
      </c>
      <c r="C96" s="67">
        <v>14.9</v>
      </c>
      <c r="D96" s="67">
        <v>14.3</v>
      </c>
      <c r="E96" s="67">
        <v>0.5</v>
      </c>
      <c r="F96" s="67">
        <v>0.4</v>
      </c>
      <c r="G96" s="67">
        <v>2.7</v>
      </c>
      <c r="H96" s="67">
        <v>4.7</v>
      </c>
      <c r="I96" s="67">
        <v>7.2</v>
      </c>
      <c r="J96" s="67">
        <v>10.4</v>
      </c>
      <c r="K96" s="67">
        <v>14.2</v>
      </c>
      <c r="L96" s="67">
        <v>14.1</v>
      </c>
      <c r="M96" s="67">
        <v>13.6</v>
      </c>
      <c r="N96" s="67">
        <v>10.5</v>
      </c>
      <c r="O96" s="67">
        <v>6.4</v>
      </c>
      <c r="P96" s="67">
        <v>11.7</v>
      </c>
      <c r="Q96" s="67">
        <v>2.5</v>
      </c>
      <c r="R96" s="67">
        <v>0.4</v>
      </c>
      <c r="S96" s="67">
        <v>6.2</v>
      </c>
      <c r="T96" s="67">
        <v>21.8</v>
      </c>
      <c r="U96" s="67">
        <v>25</v>
      </c>
      <c r="V96" s="67">
        <v>29.3</v>
      </c>
      <c r="W96" s="67">
        <v>19.7</v>
      </c>
      <c r="X96" s="67">
        <v>18.5</v>
      </c>
      <c r="Y96" s="67">
        <v>22.5</v>
      </c>
      <c r="Z96" s="67">
        <v>40.700000000000003</v>
      </c>
      <c r="AA96" s="67">
        <v>29.1</v>
      </c>
      <c r="AB96" s="73">
        <v>18</v>
      </c>
      <c r="AC96" s="73">
        <v>14</v>
      </c>
      <c r="AD96" s="73">
        <v>14</v>
      </c>
      <c r="AE96" s="73">
        <v>24</v>
      </c>
      <c r="AF96" s="73">
        <v>17</v>
      </c>
      <c r="AG96" s="3">
        <v>60</v>
      </c>
      <c r="AH96" s="21">
        <f t="shared" si="22"/>
        <v>40.700000000000003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16.8</v>
      </c>
      <c r="C97" s="70">
        <v>5.3</v>
      </c>
      <c r="D97" s="70">
        <v>3.4</v>
      </c>
      <c r="E97" s="70">
        <v>25.1</v>
      </c>
      <c r="F97" s="70">
        <v>20.399999999999999</v>
      </c>
      <c r="G97" s="70">
        <v>28.1</v>
      </c>
      <c r="H97" s="70">
        <v>39.6</v>
      </c>
      <c r="I97" s="70">
        <v>50.8</v>
      </c>
      <c r="J97" s="70">
        <v>61.6</v>
      </c>
      <c r="K97" s="70">
        <v>66.2</v>
      </c>
      <c r="L97" s="70">
        <v>62</v>
      </c>
      <c r="M97" s="70">
        <v>74.5</v>
      </c>
      <c r="N97" s="70">
        <v>58.8</v>
      </c>
      <c r="O97" s="70">
        <v>65.400000000000006</v>
      </c>
      <c r="P97" s="70">
        <v>84</v>
      </c>
      <c r="Q97" s="70">
        <v>98.1</v>
      </c>
      <c r="R97" s="70">
        <v>100.1</v>
      </c>
      <c r="S97" s="70">
        <v>97.4</v>
      </c>
      <c r="T97" s="70">
        <v>64.2</v>
      </c>
      <c r="U97" s="70">
        <v>60.7</v>
      </c>
      <c r="V97" s="70">
        <v>58.7</v>
      </c>
      <c r="W97" s="70">
        <v>69.900000000000006</v>
      </c>
      <c r="X97" s="70">
        <v>82.1</v>
      </c>
      <c r="Y97" s="70">
        <v>86.2</v>
      </c>
      <c r="Z97" s="70">
        <v>89.4</v>
      </c>
      <c r="AA97" s="70">
        <v>77.099999999999994</v>
      </c>
      <c r="AB97" s="69">
        <v>93</v>
      </c>
      <c r="AC97" s="69">
        <v>75</v>
      </c>
      <c r="AD97" s="69">
        <v>87</v>
      </c>
      <c r="AE97" s="69">
        <v>42</v>
      </c>
      <c r="AF97" s="69">
        <v>17</v>
      </c>
      <c r="AG97" s="72">
        <v>120</v>
      </c>
      <c r="AH97" s="21">
        <f t="shared" si="22"/>
        <v>100.1</v>
      </c>
      <c r="AI97" s="64">
        <f t="shared" si="23"/>
        <v>0.54166666666666696</v>
      </c>
    </row>
    <row r="98" spans="1:37" x14ac:dyDescent="0.25">
      <c r="A98" s="41" t="s">
        <v>118</v>
      </c>
      <c r="B98" s="71">
        <v>20.6</v>
      </c>
      <c r="C98" s="70">
        <v>11.4</v>
      </c>
      <c r="D98" s="70">
        <v>10.199999999999999</v>
      </c>
      <c r="E98" s="70">
        <v>28.1</v>
      </c>
      <c r="F98" s="70">
        <v>23.1</v>
      </c>
      <c r="G98" s="70">
        <v>25.7</v>
      </c>
      <c r="H98" s="70">
        <v>29.2</v>
      </c>
      <c r="I98" s="70">
        <v>47.4</v>
      </c>
      <c r="J98" s="70">
        <v>46.8</v>
      </c>
      <c r="K98" s="70">
        <v>38.9</v>
      </c>
      <c r="L98" s="70">
        <v>34.700000000000003</v>
      </c>
      <c r="M98" s="70">
        <v>52.1</v>
      </c>
      <c r="N98" s="70">
        <v>41</v>
      </c>
      <c r="O98" s="70">
        <v>49</v>
      </c>
      <c r="P98" s="70">
        <v>72.099999999999994</v>
      </c>
      <c r="Q98" s="70">
        <v>86.4</v>
      </c>
      <c r="R98" s="70">
        <v>90.9</v>
      </c>
      <c r="S98" s="70">
        <v>89.5</v>
      </c>
      <c r="T98" s="70">
        <v>51.5</v>
      </c>
      <c r="U98" s="70">
        <v>49.5</v>
      </c>
      <c r="V98" s="70">
        <v>49.4</v>
      </c>
      <c r="W98" s="70">
        <v>58.6</v>
      </c>
      <c r="X98" s="70">
        <v>69</v>
      </c>
      <c r="Y98" s="70">
        <v>66.400000000000006</v>
      </c>
      <c r="Z98" s="70">
        <v>79</v>
      </c>
      <c r="AA98" s="70">
        <v>86.1</v>
      </c>
      <c r="AB98" s="69">
        <v>61</v>
      </c>
      <c r="AC98" s="69">
        <v>83</v>
      </c>
      <c r="AD98" s="69">
        <v>72</v>
      </c>
      <c r="AE98" s="69">
        <v>30</v>
      </c>
      <c r="AF98" s="69">
        <v>15</v>
      </c>
      <c r="AG98" s="72"/>
      <c r="AH98" s="21">
        <f t="shared" si="22"/>
        <v>90.9</v>
      </c>
      <c r="AI98" s="64">
        <f t="shared" si="23"/>
        <v>0.54166666666666696</v>
      </c>
    </row>
    <row r="99" spans="1:37" x14ac:dyDescent="0.25">
      <c r="A99" s="41" t="s">
        <v>117</v>
      </c>
      <c r="B99" s="71">
        <v>67.2</v>
      </c>
      <c r="C99" s="70">
        <v>55.3</v>
      </c>
      <c r="D99" s="70">
        <v>53.2</v>
      </c>
      <c r="E99" s="70">
        <v>57.9</v>
      </c>
      <c r="F99" s="70">
        <v>57.8</v>
      </c>
      <c r="G99" s="70">
        <v>57.8</v>
      </c>
      <c r="H99" s="70">
        <v>45.4</v>
      </c>
      <c r="I99" s="70">
        <v>29.6</v>
      </c>
      <c r="J99" s="70">
        <v>39</v>
      </c>
      <c r="K99" s="70">
        <v>13.1</v>
      </c>
      <c r="L99" s="70">
        <v>7.5</v>
      </c>
      <c r="M99" s="70">
        <v>24</v>
      </c>
      <c r="N99" s="70">
        <v>11.2</v>
      </c>
      <c r="O99" s="70">
        <v>18.5</v>
      </c>
      <c r="P99" s="70">
        <v>33.4</v>
      </c>
      <c r="Q99" s="70">
        <v>36.700000000000003</v>
      </c>
      <c r="R99" s="70">
        <v>37.799999999999997</v>
      </c>
      <c r="S99" s="70">
        <v>41.8</v>
      </c>
      <c r="T99" s="70">
        <v>19.2</v>
      </c>
      <c r="U99" s="70">
        <v>18.5</v>
      </c>
      <c r="V99" s="70">
        <v>27.4</v>
      </c>
      <c r="W99" s="70">
        <v>31.9</v>
      </c>
      <c r="X99" s="70">
        <v>25.8</v>
      </c>
      <c r="Y99" s="70">
        <v>23</v>
      </c>
      <c r="Z99" s="70">
        <v>45</v>
      </c>
      <c r="AA99" s="70">
        <v>47.8</v>
      </c>
      <c r="AB99" s="69">
        <v>51</v>
      </c>
      <c r="AC99" s="69">
        <v>50</v>
      </c>
      <c r="AD99" s="69">
        <v>54</v>
      </c>
      <c r="AE99" s="69">
        <v>57</v>
      </c>
      <c r="AF99" s="69">
        <v>52</v>
      </c>
      <c r="AG99" s="65"/>
      <c r="AH99" s="21">
        <f t="shared" si="22"/>
        <v>57.9</v>
      </c>
      <c r="AI99" s="64">
        <f t="shared" si="23"/>
        <v>0.125</v>
      </c>
    </row>
    <row r="100" spans="1:37" ht="15.75" thickBot="1" x14ac:dyDescent="0.3">
      <c r="A100" s="68" t="s">
        <v>116</v>
      </c>
      <c r="B100" s="66">
        <v>23</v>
      </c>
      <c r="C100" s="67">
        <v>22.6</v>
      </c>
      <c r="D100" s="67">
        <v>18.8</v>
      </c>
      <c r="E100" s="67">
        <v>85.8</v>
      </c>
      <c r="F100" s="67">
        <v>83.8</v>
      </c>
      <c r="G100" s="67">
        <v>84.1</v>
      </c>
      <c r="H100" s="67">
        <v>48.1</v>
      </c>
      <c r="I100" s="67">
        <v>51.5</v>
      </c>
      <c r="J100" s="67">
        <v>55.2</v>
      </c>
      <c r="K100" s="67">
        <v>110.1</v>
      </c>
      <c r="L100" s="67">
        <v>108.3</v>
      </c>
      <c r="M100" s="67">
        <v>114.2</v>
      </c>
      <c r="N100" s="67">
        <v>115</v>
      </c>
      <c r="O100" s="67">
        <v>120.5</v>
      </c>
      <c r="P100" s="67">
        <v>105</v>
      </c>
      <c r="Q100" s="67">
        <v>60.5</v>
      </c>
      <c r="R100" s="67">
        <v>81.7</v>
      </c>
      <c r="S100" s="67">
        <v>45.9</v>
      </c>
      <c r="T100" s="67">
        <v>54.2</v>
      </c>
      <c r="U100" s="67">
        <v>50.3</v>
      </c>
      <c r="V100" s="67">
        <v>50</v>
      </c>
      <c r="W100" s="67">
        <v>45.1</v>
      </c>
      <c r="X100" s="67">
        <v>44</v>
      </c>
      <c r="Y100" s="67">
        <v>60</v>
      </c>
      <c r="Z100" s="67">
        <v>66</v>
      </c>
      <c r="AA100" s="67">
        <v>70</v>
      </c>
      <c r="AB100" s="66">
        <v>78</v>
      </c>
      <c r="AC100" s="66">
        <v>73</v>
      </c>
      <c r="AD100" s="66">
        <v>72</v>
      </c>
      <c r="AE100" s="66">
        <v>62</v>
      </c>
      <c r="AF100" s="66">
        <v>53</v>
      </c>
      <c r="AG100" s="65"/>
      <c r="AH100" s="21">
        <f t="shared" si="22"/>
        <v>120.5</v>
      </c>
      <c r="AI100" s="64">
        <f t="shared" si="23"/>
        <v>0.41666666666666702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1264.44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6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2078/12/6)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2078/12/6)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1032.97</v>
      </c>
      <c r="U214" s="9">
        <f t="shared" si="60"/>
        <v>979.87</v>
      </c>
      <c r="V214" s="9">
        <f t="shared" si="60"/>
        <v>973.59</v>
      </c>
      <c r="W214" s="9">
        <f t="shared" si="60"/>
        <v>952.83999999999992</v>
      </c>
      <c r="X214" s="9">
        <f t="shared" si="60"/>
        <v>958.43999999999994</v>
      </c>
      <c r="Y214" s="9">
        <f t="shared" si="60"/>
        <v>980.35</v>
      </c>
      <c r="Z214" s="9">
        <f t="shared" si="60"/>
        <v>1041.5899999999999</v>
      </c>
      <c r="AA214" s="9">
        <f t="shared" si="60"/>
        <v>1080.8400000000001</v>
      </c>
      <c r="AB214" s="9">
        <f t="shared" si="60"/>
        <v>1116.44</v>
      </c>
      <c r="AC214" s="9">
        <f t="shared" si="60"/>
        <v>1257.04</v>
      </c>
      <c r="AD214" s="9">
        <f t="shared" si="60"/>
        <v>1264.44</v>
      </c>
      <c r="AE214" s="9">
        <f t="shared" si="60"/>
        <v>1237.44</v>
      </c>
      <c r="AF214" s="9">
        <f t="shared" si="60"/>
        <v>1211.98</v>
      </c>
      <c r="AG214" s="9">
        <f t="shared" si="60"/>
        <v>1237.58</v>
      </c>
      <c r="AH214" s="9">
        <f t="shared" si="60"/>
        <v>1275.1399999999999</v>
      </c>
      <c r="AI214" s="9">
        <f t="shared" si="60"/>
        <v>1270.54</v>
      </c>
      <c r="AJ214" s="9">
        <f t="shared" si="60"/>
        <v>1260.26</v>
      </c>
      <c r="AK214" s="9">
        <f t="shared" si="60"/>
        <v>1284.74</v>
      </c>
      <c r="AL214" s="9">
        <f t="shared" si="60"/>
        <v>1329.8400000000001</v>
      </c>
      <c r="AM214" s="9">
        <f t="shared" si="60"/>
        <v>1322.24</v>
      </c>
      <c r="AN214" s="9">
        <f t="shared" si="60"/>
        <v>1318.1399999999999</v>
      </c>
      <c r="AO214" s="9">
        <f t="shared" si="60"/>
        <v>1353.8400000000001</v>
      </c>
      <c r="AP214" s="9">
        <f t="shared" si="60"/>
        <v>1377.04</v>
      </c>
      <c r="AQ214" s="9">
        <f t="shared" si="60"/>
        <v>1440.3400000000001</v>
      </c>
      <c r="AR214" s="9">
        <f t="shared" si="60"/>
        <v>1576.3400000000001</v>
      </c>
      <c r="AS214" s="9">
        <f t="shared" si="60"/>
        <v>1519.0400000000002</v>
      </c>
      <c r="AT214" s="9">
        <f t="shared" si="60"/>
        <v>1467.0400000000002</v>
      </c>
      <c r="AU214" s="9">
        <f t="shared" si="60"/>
        <v>1436.3400000000001</v>
      </c>
      <c r="AV214" s="9">
        <f t="shared" si="60"/>
        <v>1378.54</v>
      </c>
      <c r="AW214" s="9">
        <f t="shared" si="60"/>
        <v>1273.0400000000002</v>
      </c>
      <c r="AX214" s="9">
        <f t="shared" si="60"/>
        <v>1194.7400000000002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P39:R39 P40:Q42 R40:T41 X85:AA91 AB81:AF81 B81:R81 C56:AF56 B82:AF83 D194:AF200 B194:B200 C68:AF72 B9:AF10 B192:AF192 AF57:AF61 AG73 AB94:AF100 B94:B100 U213:AF213 B53:B73 B73:AF80 B83:B91 C57:L67 B36:L36 M39:P42 S58:W59 M58:R67 R39:S42 U40:Y42 O11:AE11 N45:Y48 M53:AF55 Z12:Z37 Z40:AE43 AA12:AF36 AF42:AF43 AB84:AF91">
    <cfRule type="expression" dxfId="7274" priority="275">
      <formula>B$9&gt;=20/24</formula>
    </cfRule>
    <cfRule type="expression" dxfId="7273" priority="276">
      <formula>AND(B$9&gt;=14/24,B$9&lt;20/24)</formula>
    </cfRule>
    <cfRule type="expression" dxfId="7272" priority="277">
      <formula>AND(B$9&gt;=8/24,B$9&lt;14/24)</formula>
    </cfRule>
    <cfRule type="expression" dxfId="7271" priority="278">
      <formula>B$9&lt;8/24</formula>
    </cfRule>
  </conditionalFormatting>
  <conditionalFormatting sqref="AL4:AL6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270" priority="270">
      <formula>M$9&gt;=20/24</formula>
    </cfRule>
    <cfRule type="expression" dxfId="7269" priority="271">
      <formula>AND(M$9&gt;=14/24,M$9&lt;20/24)</formula>
    </cfRule>
    <cfRule type="expression" dxfId="7268" priority="272">
      <formula>AND(M$9&gt;=8/24,M$9&lt;14/24)</formula>
    </cfRule>
    <cfRule type="expression" dxfId="7267" priority="273">
      <formula>M$9&lt;8/24</formula>
    </cfRule>
  </conditionalFormatting>
  <conditionalFormatting sqref="M43:S43">
    <cfRule type="expression" dxfId="7266" priority="266">
      <formula>M$9&gt;=20/24</formula>
    </cfRule>
    <cfRule type="expression" dxfId="7265" priority="267">
      <formula>AND(M$9&gt;=14/24,M$9&lt;20/24)</formula>
    </cfRule>
    <cfRule type="expression" dxfId="7264" priority="268">
      <formula>AND(M$9&gt;=8/24,M$9&lt;14/24)</formula>
    </cfRule>
    <cfRule type="expression" dxfId="7263" priority="269">
      <formula>M$9&lt;8/24</formula>
    </cfRule>
  </conditionalFormatting>
  <conditionalFormatting sqref="S39:AE39">
    <cfRule type="expression" dxfId="7262" priority="258">
      <formula>S$9&gt;=20/24</formula>
    </cfRule>
    <cfRule type="expression" dxfId="7261" priority="259">
      <formula>AND(S$9&gt;=14/24,S$9&lt;20/24)</formula>
    </cfRule>
    <cfRule type="expression" dxfId="7260" priority="260">
      <formula>AND(S$9&gt;=8/24,S$9&lt;14/24)</formula>
    </cfRule>
    <cfRule type="expression" dxfId="7259" priority="261">
      <formula>S$9&lt;8/24</formula>
    </cfRule>
  </conditionalFormatting>
  <conditionalFormatting sqref="S57:AE57">
    <cfRule type="expression" dxfId="7258" priority="254">
      <formula>S$9&gt;=20/24</formula>
    </cfRule>
    <cfRule type="expression" dxfId="7257" priority="255">
      <formula>AND(S$9&gt;=14/24,S$9&lt;20/24)</formula>
    </cfRule>
    <cfRule type="expression" dxfId="7256" priority="256">
      <formula>AND(S$9&gt;=8/24,S$9&lt;14/24)</formula>
    </cfRule>
    <cfRule type="expression" dxfId="7255" priority="257">
      <formula>S$9&lt;8/24</formula>
    </cfRule>
  </conditionalFormatting>
  <conditionalFormatting sqref="S81:AA81">
    <cfRule type="expression" dxfId="7254" priority="250">
      <formula>S$9&gt;=20/24</formula>
    </cfRule>
    <cfRule type="expression" dxfId="7253" priority="251">
      <formula>AND(S$9&gt;=14/24,S$9&lt;20/24)</formula>
    </cfRule>
    <cfRule type="expression" dxfId="7252" priority="252">
      <formula>AND(S$9&gt;=8/24,S$9&lt;14/24)</formula>
    </cfRule>
    <cfRule type="expression" dxfId="7251" priority="253">
      <formula>S$9&lt;8/24</formula>
    </cfRule>
  </conditionalFormatting>
  <conditionalFormatting sqref="U84:AA84">
    <cfRule type="expression" dxfId="7250" priority="246">
      <formula>U$9&gt;=20/24</formula>
    </cfRule>
    <cfRule type="expression" dxfId="7249" priority="247">
      <formula>AND(U$9&gt;=14/24,U$9&lt;20/24)</formula>
    </cfRule>
    <cfRule type="expression" dxfId="7248" priority="248">
      <formula>AND(U$9&gt;=8/24,U$9&lt;14/24)</formula>
    </cfRule>
    <cfRule type="expression" dxfId="7247" priority="249">
      <formula>U$9&lt;8/24</formula>
    </cfRule>
  </conditionalFormatting>
  <conditionalFormatting sqref="M49:Y49">
    <cfRule type="expression" dxfId="7246" priority="238">
      <formula>M$9&gt;=20/24</formula>
    </cfRule>
    <cfRule type="expression" dxfId="7245" priority="239">
      <formula>AND(M$9&gt;=14/24,M$9&lt;20/24)</formula>
    </cfRule>
    <cfRule type="expression" dxfId="7244" priority="240">
      <formula>AND(M$9&gt;=8/24,M$9&lt;14/24)</formula>
    </cfRule>
    <cfRule type="expression" dxfId="7243" priority="241">
      <formula>M$9&lt;8/24</formula>
    </cfRule>
  </conditionalFormatting>
  <conditionalFormatting sqref="M50:Y50">
    <cfRule type="expression" dxfId="7242" priority="234">
      <formula>M$9&gt;=20/24</formula>
    </cfRule>
    <cfRule type="expression" dxfId="7241" priority="235">
      <formula>AND(M$9&gt;=14/24,M$9&lt;20/24)</formula>
    </cfRule>
    <cfRule type="expression" dxfId="7240" priority="236">
      <formula>AND(M$9&gt;=8/24,M$9&lt;14/24)</formula>
    </cfRule>
    <cfRule type="expression" dxfId="7239" priority="237">
      <formula>M$9&lt;8/24</formula>
    </cfRule>
  </conditionalFormatting>
  <conditionalFormatting sqref="M45:Y48">
    <cfRule type="expression" dxfId="7238" priority="230">
      <formula>M$9&gt;=20/24</formula>
    </cfRule>
    <cfRule type="expression" dxfId="7237" priority="231">
      <formula>AND(M$9&gt;=14/24,M$9&lt;20/24)</formula>
    </cfRule>
    <cfRule type="expression" dxfId="7236" priority="232">
      <formula>AND(M$9&gt;=8/24,M$9&lt;14/24)</formula>
    </cfRule>
    <cfRule type="expression" dxfId="7235" priority="233">
      <formula>M$9&lt;8/24</formula>
    </cfRule>
  </conditionalFormatting>
  <conditionalFormatting sqref="S37:Y37 AA37:AF37">
    <cfRule type="expression" dxfId="7234" priority="226">
      <formula>S$9&gt;=20/24</formula>
    </cfRule>
    <cfRule type="expression" dxfId="7233" priority="227">
      <formula>AND(S$9&gt;=14/24,S$9&lt;20/24)</formula>
    </cfRule>
    <cfRule type="expression" dxfId="7232" priority="228">
      <formula>AND(S$9&gt;=8/24,S$9&lt;14/24)</formula>
    </cfRule>
    <cfRule type="expression" dxfId="7231" priority="229">
      <formula>S$9&lt;8/24</formula>
    </cfRule>
  </conditionalFormatting>
  <conditionalFormatting sqref="U43:Y43 S42:X43 S45:AF48">
    <cfRule type="expression" dxfId="7230" priority="218">
      <formula>S$9&gt;=20/24</formula>
    </cfRule>
    <cfRule type="expression" dxfId="7229" priority="219">
      <formula>AND(S$9&gt;=14/24,S$9&lt;20/24)</formula>
    </cfRule>
    <cfRule type="expression" dxfId="7228" priority="220">
      <formula>AND(S$9&gt;=8/24,S$9&lt;14/24)</formula>
    </cfRule>
    <cfRule type="expression" dxfId="7227" priority="221">
      <formula>S$9&lt;8/24</formula>
    </cfRule>
  </conditionalFormatting>
  <conditionalFormatting sqref="S49:AF49">
    <cfRule type="expression" dxfId="7226" priority="214">
      <formula>S$9&gt;=20/24</formula>
    </cfRule>
    <cfRule type="expression" dxfId="7225" priority="215">
      <formula>AND(S$9&gt;=14/24,S$9&lt;20/24)</formula>
    </cfRule>
    <cfRule type="expression" dxfId="7224" priority="216">
      <formula>AND(S$9&gt;=8/24,S$9&lt;14/24)</formula>
    </cfRule>
    <cfRule type="expression" dxfId="7223" priority="217">
      <formula>S$9&lt;8/24</formula>
    </cfRule>
  </conditionalFormatting>
  <conditionalFormatting sqref="S50:AF50">
    <cfRule type="expression" dxfId="7222" priority="210">
      <formula>S$9&gt;=20/24</formula>
    </cfRule>
    <cfRule type="expression" dxfId="7221" priority="211">
      <formula>AND(S$9&gt;=14/24,S$9&lt;20/24)</formula>
    </cfRule>
    <cfRule type="expression" dxfId="7220" priority="212">
      <formula>AND(S$9&gt;=8/24,S$9&lt;14/24)</formula>
    </cfRule>
    <cfRule type="expression" dxfId="7219" priority="213">
      <formula>S$9&lt;8/24</formula>
    </cfRule>
  </conditionalFormatting>
  <conditionalFormatting sqref="S60:T67 X60:AE61 X62:AF67">
    <cfRule type="expression" dxfId="7218" priority="206">
      <formula>S$9&gt;=20/24</formula>
    </cfRule>
    <cfRule type="expression" dxfId="7217" priority="207">
      <formula>AND(S$9&gt;=14/24,S$9&lt;20/24)</formula>
    </cfRule>
    <cfRule type="expression" dxfId="7216" priority="208">
      <formula>AND(S$9&gt;=8/24,S$9&lt;14/24)</formula>
    </cfRule>
    <cfRule type="expression" dxfId="7215" priority="209">
      <formula>S$9&lt;8/24</formula>
    </cfRule>
  </conditionalFormatting>
  <conditionalFormatting sqref="U94:AA97">
    <cfRule type="expression" dxfId="7214" priority="198">
      <formula>U$9&gt;=20/24</formula>
    </cfRule>
    <cfRule type="expression" dxfId="7213" priority="199">
      <formula>AND(U$9&gt;=14/24,U$9&lt;20/24)</formula>
    </cfRule>
    <cfRule type="expression" dxfId="7212" priority="200">
      <formula>AND(U$9&gt;=8/24,U$9&lt;14/24)</formula>
    </cfRule>
    <cfRule type="expression" dxfId="7211" priority="201">
      <formula>U$9&lt;8/24</formula>
    </cfRule>
  </conditionalFormatting>
  <conditionalFormatting sqref="AG51 B11:L32 B34:L37 S37:Y37 O11:AF11 Z12:AF37 B38:AF56">
    <cfRule type="expression" dxfId="7210" priority="197">
      <formula>B11&gt;$AG11</formula>
    </cfRule>
  </conditionalFormatting>
  <conditionalFormatting sqref="A101:A157 A84:A97 A11:A14 A16:A32 A45:A72 A80:A82 A74:A78 A35:A43 A170:A200">
    <cfRule type="expression" dxfId="7209" priority="196">
      <formula>$AH11=0</formula>
    </cfRule>
  </conditionalFormatting>
  <conditionalFormatting sqref="U98:AA98">
    <cfRule type="expression" dxfId="7208" priority="192">
      <formula>U$9&gt;=20/24</formula>
    </cfRule>
    <cfRule type="expression" dxfId="7207" priority="193">
      <formula>AND(U$9&gt;=14/24,U$9&lt;20/24)</formula>
    </cfRule>
    <cfRule type="expression" dxfId="7206" priority="194">
      <formula>AND(U$9&gt;=8/24,U$9&lt;14/24)</formula>
    </cfRule>
    <cfRule type="expression" dxfId="7205" priority="195">
      <formula>U$9&lt;8/24</formula>
    </cfRule>
  </conditionalFormatting>
  <conditionalFormatting sqref="A98">
    <cfRule type="expression" dxfId="7204" priority="191">
      <formula>$AH98=0</formula>
    </cfRule>
  </conditionalFormatting>
  <conditionalFormatting sqref="AL32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7203" priority="165">
      <formula>$AH34=0</formula>
    </cfRule>
  </conditionalFormatting>
  <conditionalFormatting sqref="A83">
    <cfRule type="expression" dxfId="7202" priority="164">
      <formula>$AH83=0</formula>
    </cfRule>
  </conditionalFormatting>
  <conditionalFormatting sqref="A15">
    <cfRule type="expression" dxfId="7201" priority="154">
      <formula>$AH15=0</formula>
    </cfRule>
  </conditionalFormatting>
  <conditionalFormatting sqref="A164:A169">
    <cfRule type="expression" dxfId="7200" priority="153">
      <formula>$AH164=0</formula>
    </cfRule>
  </conditionalFormatting>
  <conditionalFormatting sqref="A158:A163">
    <cfRule type="expression" dxfId="7199" priority="152">
      <formula>$AH158=0</formula>
    </cfRule>
  </conditionalFormatting>
  <conditionalFormatting sqref="Z44:AF44">
    <cfRule type="expression" dxfId="7198" priority="148">
      <formula>Z$9&gt;=20/24</formula>
    </cfRule>
    <cfRule type="expression" dxfId="7197" priority="149">
      <formula>AND(Z$9&gt;=14/24,Z$9&lt;20/24)</formula>
    </cfRule>
    <cfRule type="expression" dxfId="7196" priority="150">
      <formula>AND(Z$9&gt;=8/24,Z$9&lt;14/24)</formula>
    </cfRule>
    <cfRule type="expression" dxfId="7195" priority="151">
      <formula>Z$9&lt;8/24</formula>
    </cfRule>
  </conditionalFormatting>
  <conditionalFormatting sqref="M44:Y44">
    <cfRule type="expression" dxfId="7194" priority="144">
      <formula>M$9&gt;=20/24</formula>
    </cfRule>
    <cfRule type="expression" dxfId="7193" priority="145">
      <formula>AND(M$9&gt;=14/24,M$9&lt;20/24)</formula>
    </cfRule>
    <cfRule type="expression" dxfId="7192" priority="146">
      <formula>AND(M$9&gt;=8/24,M$9&lt;14/24)</formula>
    </cfRule>
    <cfRule type="expression" dxfId="7191" priority="147">
      <formula>M$9&lt;8/24</formula>
    </cfRule>
  </conditionalFormatting>
  <conditionalFormatting sqref="S44:Y44">
    <cfRule type="expression" dxfId="7190" priority="140">
      <formula>S$9&gt;=20/24</formula>
    </cfRule>
    <cfRule type="expression" dxfId="7189" priority="141">
      <formula>AND(S$9&gt;=14/24,S$9&lt;20/24)</formula>
    </cfRule>
    <cfRule type="expression" dxfId="7188" priority="142">
      <formula>AND(S$9&gt;=8/24,S$9&lt;14/24)</formula>
    </cfRule>
    <cfRule type="expression" dxfId="7187" priority="143">
      <formula>S$9&lt;8/24</formula>
    </cfRule>
  </conditionalFormatting>
  <conditionalFormatting sqref="A44">
    <cfRule type="expression" dxfId="7186" priority="139">
      <formula>$AH44=0</formula>
    </cfRule>
  </conditionalFormatting>
  <conditionalFormatting sqref="A79">
    <cfRule type="expression" dxfId="7185" priority="138">
      <formula>$AH79=0</formula>
    </cfRule>
  </conditionalFormatting>
  <conditionalFormatting sqref="A73">
    <cfRule type="expression" dxfId="7184" priority="137">
      <formula>$AH73=0</formula>
    </cfRule>
  </conditionalFormatting>
  <conditionalFormatting sqref="AL34:AL35 AL7:AL31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7183" priority="133">
      <formula>U$9&gt;=20/24</formula>
    </cfRule>
    <cfRule type="expression" dxfId="7182" priority="134">
      <formula>AND(U$9&gt;=14/24,U$9&lt;20/24)</formula>
    </cfRule>
    <cfRule type="expression" dxfId="7181" priority="135">
      <formula>AND(U$9&gt;=8/24,U$9&lt;14/24)</formula>
    </cfRule>
    <cfRule type="expression" dxfId="7180" priority="136">
      <formula>U$9&lt;8/24</formula>
    </cfRule>
  </conditionalFormatting>
  <conditionalFormatting sqref="U85:W91">
    <cfRule type="expression" dxfId="7179" priority="129">
      <formula>U$9&gt;=20/24</formula>
    </cfRule>
    <cfRule type="expression" dxfId="7178" priority="130">
      <formula>AND(U$9&gt;=14/24,U$9&lt;20/24)</formula>
    </cfRule>
    <cfRule type="expression" dxfId="7177" priority="131">
      <formula>AND(U$9&gt;=8/24,U$9&lt;14/24)</formula>
    </cfRule>
    <cfRule type="expression" dxfId="7176" priority="132">
      <formula>U$9&lt;8/24</formula>
    </cfRule>
  </conditionalFormatting>
  <conditionalFormatting sqref="S85:T91 C84:R91">
    <cfRule type="expression" dxfId="7175" priority="125">
      <formula>C$9&gt;=20/24</formula>
    </cfRule>
    <cfRule type="expression" dxfId="7174" priority="126">
      <formula>AND(C$9&gt;=14/24,C$9&lt;20/24)</formula>
    </cfRule>
    <cfRule type="expression" dxfId="7173" priority="127">
      <formula>AND(C$9&gt;=8/24,C$9&lt;14/24)</formula>
    </cfRule>
    <cfRule type="expression" dxfId="7172" priority="128">
      <formula>C$9&lt;8/24</formula>
    </cfRule>
  </conditionalFormatting>
  <conditionalFormatting sqref="S84:T84">
    <cfRule type="expression" dxfId="7171" priority="121">
      <formula>S$9&gt;=20/24</formula>
    </cfRule>
    <cfRule type="expression" dxfId="7170" priority="122">
      <formula>AND(S$9&gt;=14/24,S$9&lt;20/24)</formula>
    </cfRule>
    <cfRule type="expression" dxfId="7169" priority="123">
      <formula>AND(S$9&gt;=8/24,S$9&lt;14/24)</formula>
    </cfRule>
    <cfRule type="expression" dxfId="7168" priority="124">
      <formula>S$9&lt;8/24</formula>
    </cfRule>
  </conditionalFormatting>
  <conditionalFormatting sqref="C95:M97 C94:F94">
    <cfRule type="expression" dxfId="7167" priority="117">
      <formula>C$9&gt;=20/24</formula>
    </cfRule>
    <cfRule type="expression" dxfId="7166" priority="118">
      <formula>AND(C$9&gt;=14/24,C$9&lt;20/24)</formula>
    </cfRule>
    <cfRule type="expression" dxfId="7165" priority="119">
      <formula>AND(C$9&gt;=8/24,C$9&lt;14/24)</formula>
    </cfRule>
    <cfRule type="expression" dxfId="7164" priority="120">
      <formula>C$9&lt;8/24</formula>
    </cfRule>
  </conditionalFormatting>
  <conditionalFormatting sqref="N95:Q97 O94:Q94 R94:R97">
    <cfRule type="expression" dxfId="7163" priority="113">
      <formula>N$9&gt;=20/24</formula>
    </cfRule>
    <cfRule type="expression" dxfId="7162" priority="114">
      <formula>AND(N$9&gt;=14/24,N$9&lt;20/24)</formula>
    </cfRule>
    <cfRule type="expression" dxfId="7161" priority="115">
      <formula>AND(N$9&gt;=8/24,N$9&lt;14/24)</formula>
    </cfRule>
    <cfRule type="expression" dxfId="7160" priority="116">
      <formula>N$9&lt;8/24</formula>
    </cfRule>
  </conditionalFormatting>
  <conditionalFormatting sqref="S94:T97">
    <cfRule type="expression" dxfId="7159" priority="109">
      <formula>S$9&gt;=20/24</formula>
    </cfRule>
    <cfRule type="expression" dxfId="7158" priority="110">
      <formula>AND(S$9&gt;=14/24,S$9&lt;20/24)</formula>
    </cfRule>
    <cfRule type="expression" dxfId="7157" priority="111">
      <formula>AND(S$9&gt;=8/24,S$9&lt;14/24)</formula>
    </cfRule>
    <cfRule type="expression" dxfId="7156" priority="112">
      <formula>S$9&lt;8/24</formula>
    </cfRule>
  </conditionalFormatting>
  <conditionalFormatting sqref="C98:M98">
    <cfRule type="expression" dxfId="7155" priority="105">
      <formula>C$9&gt;=20/24</formula>
    </cfRule>
    <cfRule type="expression" dxfId="7154" priority="106">
      <formula>AND(C$9&gt;=14/24,C$9&lt;20/24)</formula>
    </cfRule>
    <cfRule type="expression" dxfId="7153" priority="107">
      <formula>AND(C$9&gt;=8/24,C$9&lt;14/24)</formula>
    </cfRule>
    <cfRule type="expression" dxfId="7152" priority="108">
      <formula>C$9&lt;8/24</formula>
    </cfRule>
  </conditionalFormatting>
  <conditionalFormatting sqref="N98:R98">
    <cfRule type="expression" dxfId="7151" priority="101">
      <formula>N$9&gt;=20/24</formula>
    </cfRule>
    <cfRule type="expression" dxfId="7150" priority="102">
      <formula>AND(N$9&gt;=14/24,N$9&lt;20/24)</formula>
    </cfRule>
    <cfRule type="expression" dxfId="7149" priority="103">
      <formula>AND(N$9&gt;=8/24,N$9&lt;14/24)</formula>
    </cfRule>
    <cfRule type="expression" dxfId="7148" priority="104">
      <formula>N$9&lt;8/24</formula>
    </cfRule>
  </conditionalFormatting>
  <conditionalFormatting sqref="S98:T98">
    <cfRule type="expression" dxfId="7147" priority="97">
      <formula>S$9&gt;=20/24</formula>
    </cfRule>
    <cfRule type="expression" dxfId="7146" priority="98">
      <formula>AND(S$9&gt;=14/24,S$9&lt;20/24)</formula>
    </cfRule>
    <cfRule type="expression" dxfId="7145" priority="99">
      <formula>AND(S$9&gt;=8/24,S$9&lt;14/24)</formula>
    </cfRule>
    <cfRule type="expression" dxfId="7144" priority="100">
      <formula>S$9&lt;8/24</formula>
    </cfRule>
  </conditionalFormatting>
  <conditionalFormatting sqref="M94:N94">
    <cfRule type="expression" dxfId="7143" priority="93">
      <formula>M$9&gt;=20/24</formula>
    </cfRule>
    <cfRule type="expression" dxfId="7142" priority="94">
      <formula>AND(M$9&gt;=14/24,M$9&lt;20/24)</formula>
    </cfRule>
    <cfRule type="expression" dxfId="7141" priority="95">
      <formula>AND(M$9&gt;=8/24,M$9&lt;14/24)</formula>
    </cfRule>
    <cfRule type="expression" dxfId="7140" priority="96">
      <formula>M$9&lt;8/24</formula>
    </cfRule>
  </conditionalFormatting>
  <conditionalFormatting sqref="G94:L94">
    <cfRule type="expression" dxfId="7139" priority="89">
      <formula>G$9&gt;=20/24</formula>
    </cfRule>
    <cfRule type="expression" dxfId="7138" priority="90">
      <formula>AND(G$9&gt;=14/24,G$9&lt;20/24)</formula>
    </cfRule>
    <cfRule type="expression" dxfId="7137" priority="91">
      <formula>AND(G$9&gt;=8/24,G$9&lt;14/24)</formula>
    </cfRule>
    <cfRule type="expression" dxfId="7136" priority="92">
      <formula>G$9&lt;8/24</formula>
    </cfRule>
  </conditionalFormatting>
  <conditionalFormatting sqref="U94:W94">
    <cfRule type="expression" dxfId="7135" priority="85">
      <formula>U$9&gt;=20/24</formula>
    </cfRule>
    <cfRule type="expression" dxfId="7134" priority="86">
      <formula>AND(U$9&gt;=14/24,U$9&lt;20/24)</formula>
    </cfRule>
    <cfRule type="expression" dxfId="7133" priority="87">
      <formula>AND(U$9&gt;=8/24,U$9&lt;14/24)</formula>
    </cfRule>
    <cfRule type="expression" dxfId="7132" priority="88">
      <formula>U$9&lt;8/24</formula>
    </cfRule>
  </conditionalFormatting>
  <conditionalFormatting sqref="N94:T94">
    <cfRule type="expression" dxfId="7131" priority="81">
      <formula>N$9&gt;=20/24</formula>
    </cfRule>
    <cfRule type="expression" dxfId="7130" priority="82">
      <formula>AND(N$9&gt;=14/24,N$9&lt;20/24)</formula>
    </cfRule>
    <cfRule type="expression" dxfId="7129" priority="83">
      <formula>AND(N$9&gt;=8/24,N$9&lt;14/24)</formula>
    </cfRule>
    <cfRule type="expression" dxfId="7128" priority="84">
      <formula>N$9&lt;8/24</formula>
    </cfRule>
  </conditionalFormatting>
  <conditionalFormatting sqref="U99:AA100">
    <cfRule type="expression" dxfId="7127" priority="77">
      <formula>U$9&gt;=20/24</formula>
    </cfRule>
    <cfRule type="expression" dxfId="7126" priority="78">
      <formula>AND(U$9&gt;=14/24,U$9&lt;20/24)</formula>
    </cfRule>
    <cfRule type="expression" dxfId="7125" priority="79">
      <formula>AND(U$9&gt;=8/24,U$9&lt;14/24)</formula>
    </cfRule>
    <cfRule type="expression" dxfId="7124" priority="80">
      <formula>U$9&lt;8/24</formula>
    </cfRule>
  </conditionalFormatting>
  <conditionalFormatting sqref="C99:M100">
    <cfRule type="expression" dxfId="7123" priority="73">
      <formula>C$9&gt;=20/24</formula>
    </cfRule>
    <cfRule type="expression" dxfId="7122" priority="74">
      <formula>AND(C$9&gt;=14/24,C$9&lt;20/24)</formula>
    </cfRule>
    <cfRule type="expression" dxfId="7121" priority="75">
      <formula>AND(C$9&gt;=8/24,C$9&lt;14/24)</formula>
    </cfRule>
    <cfRule type="expression" dxfId="7120" priority="76">
      <formula>C$9&lt;8/24</formula>
    </cfRule>
  </conditionalFormatting>
  <conditionalFormatting sqref="N99:R100">
    <cfRule type="expression" dxfId="7119" priority="69">
      <formula>N$9&gt;=20/24</formula>
    </cfRule>
    <cfRule type="expression" dxfId="7118" priority="70">
      <formula>AND(N$9&gt;=14/24,N$9&lt;20/24)</formula>
    </cfRule>
    <cfRule type="expression" dxfId="7117" priority="71">
      <formula>AND(N$9&gt;=8/24,N$9&lt;14/24)</formula>
    </cfRule>
    <cfRule type="expression" dxfId="7116" priority="72">
      <formula>N$9&lt;8/24</formula>
    </cfRule>
  </conditionalFormatting>
  <conditionalFormatting sqref="S99:T100">
    <cfRule type="expression" dxfId="7115" priority="65">
      <formula>S$9&gt;=20/24</formula>
    </cfRule>
    <cfRule type="expression" dxfId="7114" priority="66">
      <formula>AND(S$9&gt;=14/24,S$9&lt;20/24)</formula>
    </cfRule>
    <cfRule type="expression" dxfId="7113" priority="67">
      <formula>AND(S$9&gt;=8/24,S$9&lt;14/24)</formula>
    </cfRule>
    <cfRule type="expression" dxfId="7112" priority="68">
      <formula>S$9&lt;8/24</formula>
    </cfRule>
  </conditionalFormatting>
  <conditionalFormatting sqref="AB58:AE59">
    <cfRule type="expression" dxfId="7111" priority="49">
      <formula>AB$9&gt;=20/24</formula>
    </cfRule>
    <cfRule type="expression" dxfId="7110" priority="50">
      <formula>AND(AB$9&gt;=14/24,AB$9&lt;20/24)</formula>
    </cfRule>
    <cfRule type="expression" dxfId="7109" priority="51">
      <formula>AND(AB$9&gt;=8/24,AB$9&lt;14/24)</formula>
    </cfRule>
    <cfRule type="expression" dxfId="7108" priority="52">
      <formula>AB$9&lt;8/24</formula>
    </cfRule>
  </conditionalFormatting>
  <conditionalFormatting sqref="AL33">
    <cfRule type="iconSet" priority="4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107" priority="282">
      <formula>C$9&gt;=20/24</formula>
    </cfRule>
    <cfRule type="expression" dxfId="7106" priority="283">
      <formula>AND(C$9&gt;=14/24,C$9&lt;20/24)</formula>
    </cfRule>
    <cfRule type="expression" dxfId="7105" priority="284">
      <formula>AND(C$9&gt;=8/24,C$9&lt;14/24)</formula>
    </cfRule>
    <cfRule type="expression" dxfId="7104" priority="285">
      <formula>C$9&lt;8/24</formula>
    </cfRule>
  </conditionalFormatting>
  <conditionalFormatting sqref="A201">
    <cfRule type="expression" dxfId="7103" priority="286">
      <formula>$AH201=0</formula>
    </cfRule>
  </conditionalFormatting>
  <conditionalFormatting sqref="AG213">
    <cfRule type="expression" dxfId="7102" priority="287">
      <formula>B$9&gt;=20/24</formula>
    </cfRule>
    <cfRule type="expression" dxfId="7101" priority="288">
      <formula>AND(B$9&gt;=14/24,B$9&lt;20/24)</formula>
    </cfRule>
    <cfRule type="expression" dxfId="7100" priority="289">
      <formula>AND(B$9&gt;=8/24,B$9&lt;14/24)</formula>
    </cfRule>
    <cfRule type="expression" dxfId="7099" priority="290">
      <formula>B$9&lt;8/24</formula>
    </cfRule>
  </conditionalFormatting>
  <conditionalFormatting sqref="S8">
    <cfRule type="expression" dxfId="7098" priority="43">
      <formula>U$9&gt;=20/24</formula>
    </cfRule>
    <cfRule type="expression" dxfId="7097" priority="44">
      <formula>AND(U$9&gt;=14/24,U$9&lt;20/24)</formula>
    </cfRule>
    <cfRule type="expression" dxfId="7096" priority="45">
      <formula>AND(U$9&gt;=8/24,U$9&lt;14/24)</formula>
    </cfRule>
    <cfRule type="expression" dxfId="7095" priority="46">
      <formula>U$9&lt;8/24</formula>
    </cfRule>
  </conditionalFormatting>
  <conditionalFormatting sqref="AB8">
    <cfRule type="expression" dxfId="7094" priority="39">
      <formula>AD$9&gt;=20/24</formula>
    </cfRule>
    <cfRule type="expression" dxfId="7093" priority="40">
      <formula>AND(AD$9&gt;=14/24,AD$9&lt;20/24)</formula>
    </cfRule>
    <cfRule type="expression" dxfId="7092" priority="41">
      <formula>AND(AD$9&gt;=8/24,AD$9&lt;14/24)</formula>
    </cfRule>
    <cfRule type="expression" dxfId="7091" priority="42">
      <formula>AD$9&lt;8/24</formula>
    </cfRule>
  </conditionalFormatting>
  <conditionalFormatting sqref="AH213:AX213">
    <cfRule type="expression" dxfId="7090" priority="291">
      <formula>AG$9&gt;=20/24</formula>
    </cfRule>
    <cfRule type="expression" dxfId="7089" priority="292">
      <formula>AND(AG$9&gt;=14/24,AG$9&lt;20/24)</formula>
    </cfRule>
    <cfRule type="expression" dxfId="7088" priority="293">
      <formula>AND(AG$9&gt;=8/24,AG$9&lt;14/24)</formula>
    </cfRule>
    <cfRule type="expression" dxfId="7087" priority="294">
      <formula>AG$9&lt;8/24</formula>
    </cfRule>
  </conditionalFormatting>
  <conditionalFormatting sqref="T213">
    <cfRule type="expression" dxfId="7086" priority="295">
      <formula>AX$9&gt;=20/24</formula>
    </cfRule>
    <cfRule type="expression" dxfId="7085" priority="296">
      <formula>AND(AX$9&gt;=14/24,AX$9&lt;20/24)</formula>
    </cfRule>
    <cfRule type="expression" dxfId="7084" priority="297">
      <formula>AND(AX$9&gt;=8/24,AX$9&lt;14/24)</formula>
    </cfRule>
    <cfRule type="expression" dxfId="7083" priority="298">
      <formula>AX$9&lt;8/24</formula>
    </cfRule>
  </conditionalFormatting>
  <conditionalFormatting sqref="A99:A100">
    <cfRule type="expression" dxfId="7082" priority="38">
      <formula>$AH99=0</formula>
    </cfRule>
  </conditionalFormatting>
  <conditionalFormatting sqref="B33:L33">
    <cfRule type="expression" dxfId="7081" priority="25">
      <formula>B33&gt;$AG33</formula>
    </cfRule>
  </conditionalFormatting>
  <conditionalFormatting sqref="M11:N14 M36:R37 S36:Y36 O12:Y14 M16:Y32">
    <cfRule type="expression" dxfId="7080" priority="20">
      <formula>M$9&gt;=20/24</formula>
    </cfRule>
    <cfRule type="expression" dxfId="7079" priority="21">
      <formula>AND(M$9&gt;=14/24,M$9&lt;20/24)</formula>
    </cfRule>
    <cfRule type="expression" dxfId="7078" priority="22">
      <formula>AND(M$9&gt;=8/24,M$9&lt;14/24)</formula>
    </cfRule>
    <cfRule type="expression" dxfId="7077" priority="23">
      <formula>M$9&lt;8/24</formula>
    </cfRule>
  </conditionalFormatting>
  <conditionalFormatting sqref="M35:Y35">
    <cfRule type="expression" dxfId="7076" priority="16">
      <formula>M$9&gt;=20/24</formula>
    </cfRule>
    <cfRule type="expression" dxfId="7075" priority="17">
      <formula>AND(M$9&gt;=14/24,M$9&lt;20/24)</formula>
    </cfRule>
    <cfRule type="expression" dxfId="7074" priority="18">
      <formula>AND(M$9&gt;=8/24,M$9&lt;14/24)</formula>
    </cfRule>
    <cfRule type="expression" dxfId="7073" priority="19">
      <formula>M$9&lt;8/24</formula>
    </cfRule>
  </conditionalFormatting>
  <conditionalFormatting sqref="M11:N14 M34:R37 O12:Y14 M16:Y32 S34:Y36">
    <cfRule type="expression" dxfId="7072" priority="15">
      <formula>M11&gt;$AG11</formula>
    </cfRule>
  </conditionalFormatting>
  <conditionalFormatting sqref="M34:Y34">
    <cfRule type="expression" dxfId="7071" priority="11">
      <formula>M$9&gt;=20/24</formula>
    </cfRule>
    <cfRule type="expression" dxfId="7070" priority="12">
      <formula>AND(M$9&gt;=14/24,M$9&lt;20/24)</formula>
    </cfRule>
    <cfRule type="expression" dxfId="7069" priority="13">
      <formula>AND(M$9&gt;=8/24,M$9&lt;14/24)</formula>
    </cfRule>
    <cfRule type="expression" dxfId="7068" priority="14">
      <formula>M$9&lt;8/24</formula>
    </cfRule>
  </conditionalFormatting>
  <conditionalFormatting sqref="M15:Y15">
    <cfRule type="expression" dxfId="7067" priority="7">
      <formula>M$9&gt;=20/24</formula>
    </cfRule>
    <cfRule type="expression" dxfId="7066" priority="8">
      <formula>AND(M$9&gt;=14/24,M$9&lt;20/24)</formula>
    </cfRule>
    <cfRule type="expression" dxfId="7065" priority="9">
      <formula>AND(M$9&gt;=8/24,M$9&lt;14/24)</formula>
    </cfRule>
    <cfRule type="expression" dxfId="7064" priority="10">
      <formula>M$9&lt;8/24</formula>
    </cfRule>
  </conditionalFormatting>
  <conditionalFormatting sqref="M15:Y15">
    <cfRule type="expression" dxfId="7063" priority="6">
      <formula>M15&gt;$AG15</formula>
    </cfRule>
  </conditionalFormatting>
  <conditionalFormatting sqref="M33:Y33">
    <cfRule type="expression" dxfId="7062" priority="2">
      <formula>M$9&gt;=20/24</formula>
    </cfRule>
    <cfRule type="expression" dxfId="7061" priority="3">
      <formula>AND(M$9&gt;=14/24,M$9&lt;20/24)</formula>
    </cfRule>
    <cfRule type="expression" dxfId="7060" priority="4">
      <formula>AND(M$9&gt;=8/24,M$9&lt;14/24)</formula>
    </cfRule>
    <cfRule type="expression" dxfId="7059" priority="5">
      <formula>M$9&lt;8/24</formula>
    </cfRule>
  </conditionalFormatting>
  <conditionalFormatting sqref="M33:Y33">
    <cfRule type="expression" dxfId="7058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8" id="{703B8D6F-61DC-4092-82CF-F4D07B3A7EA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F5" sqref="F1:F104857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2078/12/7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445</v>
      </c>
      <c r="C5" s="157">
        <f t="shared" si="0"/>
        <v>311</v>
      </c>
      <c r="D5" s="157">
        <f t="shared" si="0"/>
        <v>559</v>
      </c>
      <c r="E5" s="157">
        <f t="shared" si="0"/>
        <v>581</v>
      </c>
      <c r="F5" s="157">
        <f t="shared" si="0"/>
        <v>466.7</v>
      </c>
      <c r="G5" s="157">
        <f t="shared" si="0"/>
        <v>365</v>
      </c>
      <c r="H5" s="157">
        <f t="shared" si="0"/>
        <v>463</v>
      </c>
      <c r="I5" s="157">
        <f t="shared" si="0"/>
        <v>391.4</v>
      </c>
      <c r="J5" s="157">
        <f t="shared" si="0"/>
        <v>331.9</v>
      </c>
      <c r="K5" s="157">
        <f t="shared" si="0"/>
        <v>331.3</v>
      </c>
      <c r="L5" s="157">
        <f t="shared" si="0"/>
        <v>349.4</v>
      </c>
      <c r="M5" s="157">
        <f t="shared" si="0"/>
        <v>421.90000000000003</v>
      </c>
      <c r="N5" s="157">
        <f t="shared" si="0"/>
        <v>357.4</v>
      </c>
      <c r="O5" s="157">
        <f t="shared" si="0"/>
        <v>316.70000000000005</v>
      </c>
      <c r="P5" s="157">
        <f t="shared" si="0"/>
        <v>279.27</v>
      </c>
      <c r="Q5" s="157">
        <f t="shared" si="0"/>
        <v>310</v>
      </c>
      <c r="R5" s="157">
        <f t="shared" si="0"/>
        <v>443.3</v>
      </c>
      <c r="S5" s="157">
        <f t="shared" si="0"/>
        <v>433.3</v>
      </c>
      <c r="T5" s="157">
        <f t="shared" si="0"/>
        <v>365.9</v>
      </c>
      <c r="U5" s="157">
        <f t="shared" si="0"/>
        <v>374</v>
      </c>
      <c r="V5" s="157">
        <f t="shared" si="0"/>
        <v>412.2</v>
      </c>
      <c r="W5" s="157">
        <f t="shared" si="0"/>
        <v>389.29999999999995</v>
      </c>
      <c r="X5" s="157">
        <f t="shared" si="0"/>
        <v>413.6</v>
      </c>
      <c r="Y5" s="157">
        <f t="shared" si="0"/>
        <v>357.7</v>
      </c>
      <c r="Z5" s="157">
        <f t="shared" si="0"/>
        <v>348.29999999999995</v>
      </c>
      <c r="AA5" s="157">
        <f t="shared" si="0"/>
        <v>371.75</v>
      </c>
      <c r="AB5" s="157">
        <f t="shared" si="0"/>
        <v>367.6</v>
      </c>
      <c r="AC5" s="157">
        <f t="shared" si="0"/>
        <v>371.9</v>
      </c>
      <c r="AD5" s="157">
        <f t="shared" si="0"/>
        <v>335.29999999999995</v>
      </c>
      <c r="AE5" s="157">
        <f t="shared" si="0"/>
        <v>328</v>
      </c>
      <c r="AF5" s="157">
        <f>B68</f>
        <v>300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1392MW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Load=1123</v>
      </c>
      <c r="B7" s="146">
        <f>B75</f>
        <v>1183.6400000000001</v>
      </c>
      <c r="C7" s="146">
        <f t="shared" ref="C7:AF7" si="1">C75</f>
        <v>1170.24</v>
      </c>
      <c r="D7" s="146">
        <f t="shared" si="1"/>
        <v>1138.04</v>
      </c>
      <c r="E7" s="146">
        <f t="shared" si="1"/>
        <v>1129.8400000000001</v>
      </c>
      <c r="F7" s="146">
        <f t="shared" si="1"/>
        <v>1123.3400000000001</v>
      </c>
      <c r="G7" s="146">
        <f t="shared" si="1"/>
        <v>1123.54</v>
      </c>
      <c r="H7" s="146">
        <f t="shared" si="1"/>
        <v>1180.8400000000001</v>
      </c>
      <c r="I7" s="146">
        <f t="shared" si="1"/>
        <v>1229.8400000000001</v>
      </c>
      <c r="J7" s="146">
        <f t="shared" si="1"/>
        <v>1308.8400000000001</v>
      </c>
      <c r="K7" s="146">
        <f t="shared" si="1"/>
        <v>1343.74</v>
      </c>
      <c r="L7" s="146">
        <f t="shared" si="1"/>
        <v>1392.14</v>
      </c>
      <c r="M7" s="146">
        <f t="shared" si="1"/>
        <v>1341.54</v>
      </c>
      <c r="N7" s="146">
        <f t="shared" si="1"/>
        <v>1333.0400000000002</v>
      </c>
      <c r="O7" s="146">
        <f t="shared" si="1"/>
        <v>1341.8400000000001</v>
      </c>
      <c r="P7" s="146">
        <f t="shared" si="1"/>
        <v>1312.94</v>
      </c>
      <c r="Q7" s="146">
        <f t="shared" si="1"/>
        <v>1332.01</v>
      </c>
      <c r="R7" s="146">
        <f t="shared" si="1"/>
        <v>1242.74</v>
      </c>
      <c r="S7" s="146">
        <f t="shared" si="1"/>
        <v>1352.6399999999999</v>
      </c>
      <c r="T7" s="146">
        <f t="shared" si="1"/>
        <v>1338.6399999999999</v>
      </c>
      <c r="U7" s="146">
        <f t="shared" si="1"/>
        <v>1377.8400000000001</v>
      </c>
      <c r="V7" s="146">
        <f t="shared" si="1"/>
        <v>1331.74</v>
      </c>
      <c r="W7" s="146">
        <f t="shared" si="1"/>
        <v>1350.8400000000001</v>
      </c>
      <c r="X7" s="146">
        <f t="shared" si="1"/>
        <v>1367.94</v>
      </c>
      <c r="Y7" s="146">
        <f t="shared" si="1"/>
        <v>1431.44</v>
      </c>
      <c r="Z7" s="146">
        <f t="shared" si="1"/>
        <v>1518.04</v>
      </c>
      <c r="AA7" s="146">
        <f t="shared" si="1"/>
        <v>1464.74</v>
      </c>
      <c r="AB7" s="146">
        <f t="shared" si="1"/>
        <v>1454.19</v>
      </c>
      <c r="AC7" s="146">
        <f t="shared" si="1"/>
        <v>1379.2400000000002</v>
      </c>
      <c r="AD7" s="146">
        <f t="shared" si="1"/>
        <v>1349.24</v>
      </c>
      <c r="AE7" s="146">
        <f t="shared" si="1"/>
        <v>1263.44</v>
      </c>
      <c r="AF7" s="146">
        <f t="shared" si="1"/>
        <v>1188.24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160</v>
      </c>
      <c r="C11" s="127">
        <v>60</v>
      </c>
      <c r="D11" s="127">
        <v>110</v>
      </c>
      <c r="E11" s="127">
        <v>12</v>
      </c>
      <c r="F11" s="127">
        <v>12</v>
      </c>
      <c r="G11" s="127">
        <v>12</v>
      </c>
      <c r="H11" s="127">
        <v>12</v>
      </c>
      <c r="I11" s="127">
        <v>12</v>
      </c>
      <c r="J11" s="127">
        <v>60</v>
      </c>
      <c r="K11" s="127">
        <v>150</v>
      </c>
      <c r="L11" s="127">
        <v>150</v>
      </c>
      <c r="M11" s="103">
        <v>130</v>
      </c>
      <c r="N11" s="103">
        <v>90</v>
      </c>
      <c r="O11" s="103">
        <v>145</v>
      </c>
      <c r="P11" s="103">
        <v>138.5</v>
      </c>
      <c r="Q11" s="103">
        <v>170</v>
      </c>
      <c r="R11" s="103">
        <v>50</v>
      </c>
      <c r="S11" s="103">
        <v>50</v>
      </c>
      <c r="T11" s="103">
        <v>50</v>
      </c>
      <c r="U11" s="103">
        <v>160</v>
      </c>
      <c r="V11" s="103">
        <v>140</v>
      </c>
      <c r="W11" s="103">
        <v>110</v>
      </c>
      <c r="X11" s="103">
        <v>120</v>
      </c>
      <c r="Y11" s="103">
        <v>180</v>
      </c>
      <c r="Z11" s="179">
        <v>260</v>
      </c>
      <c r="AA11" s="103">
        <v>220</v>
      </c>
      <c r="AB11" s="103">
        <v>200</v>
      </c>
      <c r="AC11" s="103">
        <v>190</v>
      </c>
      <c r="AD11" s="103">
        <v>190</v>
      </c>
      <c r="AE11" s="103">
        <v>150</v>
      </c>
      <c r="AF11" s="103">
        <v>110</v>
      </c>
      <c r="AG11" s="54">
        <v>456</v>
      </c>
      <c r="AH11" s="21">
        <f>MAX(B11:AF11)</f>
        <v>260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31</v>
      </c>
      <c r="C12" s="127">
        <v>31</v>
      </c>
      <c r="D12" s="127">
        <v>31</v>
      </c>
      <c r="E12" s="127">
        <v>31</v>
      </c>
      <c r="F12" s="127">
        <v>31</v>
      </c>
      <c r="G12" s="127">
        <v>31</v>
      </c>
      <c r="H12" s="127">
        <v>31</v>
      </c>
      <c r="I12" s="127">
        <v>31</v>
      </c>
      <c r="J12" s="127">
        <v>31</v>
      </c>
      <c r="K12" s="127">
        <v>31</v>
      </c>
      <c r="L12" s="127">
        <v>31</v>
      </c>
      <c r="M12" s="127">
        <v>31</v>
      </c>
      <c r="N12" s="127">
        <v>31</v>
      </c>
      <c r="O12" s="127">
        <v>31</v>
      </c>
      <c r="P12" s="127">
        <v>31</v>
      </c>
      <c r="Q12" s="127">
        <v>31</v>
      </c>
      <c r="R12" s="127">
        <v>31</v>
      </c>
      <c r="S12" s="127">
        <v>31</v>
      </c>
      <c r="T12" s="127">
        <v>31</v>
      </c>
      <c r="U12" s="127">
        <v>31</v>
      </c>
      <c r="V12" s="127">
        <v>31</v>
      </c>
      <c r="W12" s="127">
        <v>31</v>
      </c>
      <c r="X12" s="127">
        <v>31</v>
      </c>
      <c r="Y12" s="127">
        <v>31</v>
      </c>
      <c r="Z12" s="103">
        <v>31</v>
      </c>
      <c r="AA12" s="103">
        <v>31</v>
      </c>
      <c r="AB12" s="103">
        <v>31</v>
      </c>
      <c r="AC12" s="103">
        <v>31</v>
      </c>
      <c r="AD12" s="103">
        <v>31</v>
      </c>
      <c r="AE12" s="103">
        <v>31</v>
      </c>
      <c r="AF12" s="103">
        <v>31</v>
      </c>
      <c r="AG12" s="134">
        <v>60</v>
      </c>
      <c r="AH12" s="21">
        <f t="shared" ref="AH12:AH75" si="2">MAX(B12:AF12)</f>
        <v>31</v>
      </c>
      <c r="AI12" s="20">
        <f t="shared" ref="AI12:AI75" si="3">MIN(B12:AF12)</f>
        <v>31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14.4</v>
      </c>
      <c r="C13" s="127">
        <v>14.4</v>
      </c>
      <c r="D13" s="127">
        <v>14.4</v>
      </c>
      <c r="E13" s="127">
        <v>19</v>
      </c>
      <c r="F13" s="127">
        <v>19</v>
      </c>
      <c r="G13" s="127">
        <v>19</v>
      </c>
      <c r="H13" s="127">
        <v>19</v>
      </c>
      <c r="I13" s="127">
        <v>19</v>
      </c>
      <c r="J13" s="127">
        <v>19</v>
      </c>
      <c r="K13" s="127">
        <v>19</v>
      </c>
      <c r="L13" s="127">
        <v>19</v>
      </c>
      <c r="M13" s="127">
        <v>19</v>
      </c>
      <c r="N13" s="127">
        <v>19</v>
      </c>
      <c r="O13" s="127">
        <v>19</v>
      </c>
      <c r="P13" s="127">
        <v>19</v>
      </c>
      <c r="Q13" s="127">
        <v>19</v>
      </c>
      <c r="R13" s="127">
        <v>19</v>
      </c>
      <c r="S13" s="127">
        <v>19</v>
      </c>
      <c r="T13" s="127">
        <v>19</v>
      </c>
      <c r="U13" s="127">
        <v>19</v>
      </c>
      <c r="V13" s="127">
        <v>19</v>
      </c>
      <c r="W13" s="127">
        <v>19</v>
      </c>
      <c r="X13" s="127">
        <v>19</v>
      </c>
      <c r="Y13" s="127">
        <v>19</v>
      </c>
      <c r="Z13" s="103">
        <v>19</v>
      </c>
      <c r="AA13" s="103">
        <v>19</v>
      </c>
      <c r="AB13" s="103">
        <v>19</v>
      </c>
      <c r="AC13" s="103">
        <v>19</v>
      </c>
      <c r="AD13" s="103">
        <v>19</v>
      </c>
      <c r="AE13" s="103">
        <v>19</v>
      </c>
      <c r="AF13" s="103">
        <v>17</v>
      </c>
      <c r="AG13" s="134">
        <v>52.4</v>
      </c>
      <c r="AH13" s="21">
        <f t="shared" si="2"/>
        <v>19</v>
      </c>
      <c r="AI13" s="20">
        <f t="shared" si="3"/>
        <v>14.4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25.3</v>
      </c>
      <c r="C14" s="127">
        <v>25.3</v>
      </c>
      <c r="D14" s="127">
        <v>25.3</v>
      </c>
      <c r="E14" s="127">
        <v>25.3</v>
      </c>
      <c r="F14" s="127">
        <v>25.3</v>
      </c>
      <c r="G14" s="127">
        <v>25.3</v>
      </c>
      <c r="H14" s="127">
        <v>25.3</v>
      </c>
      <c r="I14" s="127">
        <v>25.3</v>
      </c>
      <c r="J14" s="127">
        <v>25.3</v>
      </c>
      <c r="K14" s="127">
        <v>25.3</v>
      </c>
      <c r="L14" s="127">
        <v>25.3</v>
      </c>
      <c r="M14" s="103">
        <v>25.3</v>
      </c>
      <c r="N14" s="103">
        <v>25.3</v>
      </c>
      <c r="O14" s="103">
        <v>25.3</v>
      </c>
      <c r="P14" s="103">
        <v>25.3</v>
      </c>
      <c r="Q14" s="103">
        <v>25.3</v>
      </c>
      <c r="R14" s="103">
        <v>25.3</v>
      </c>
      <c r="S14" s="103">
        <v>25.3</v>
      </c>
      <c r="T14" s="103">
        <v>25.3</v>
      </c>
      <c r="U14" s="103">
        <v>25.3</v>
      </c>
      <c r="V14" s="103">
        <v>25.3</v>
      </c>
      <c r="W14" s="103">
        <v>25.3</v>
      </c>
      <c r="X14" s="103">
        <v>25.3</v>
      </c>
      <c r="Y14" s="103">
        <v>25.3</v>
      </c>
      <c r="Z14" s="103">
        <v>25.3</v>
      </c>
      <c r="AA14" s="103">
        <v>25.3</v>
      </c>
      <c r="AB14" s="103">
        <v>25.3</v>
      </c>
      <c r="AC14" s="103">
        <v>25.3</v>
      </c>
      <c r="AD14" s="103">
        <v>25.3</v>
      </c>
      <c r="AE14" s="103">
        <v>25.5</v>
      </c>
      <c r="AF14" s="103">
        <v>25.5</v>
      </c>
      <c r="AG14" s="134">
        <v>50</v>
      </c>
      <c r="AH14" s="21">
        <f t="shared" si="2"/>
        <v>25.5</v>
      </c>
      <c r="AI14" s="20">
        <f t="shared" si="3"/>
        <v>25.3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23</v>
      </c>
      <c r="C15" s="123">
        <v>23</v>
      </c>
      <c r="D15" s="123">
        <v>23</v>
      </c>
      <c r="E15" s="123">
        <v>23</v>
      </c>
      <c r="F15" s="123">
        <v>23</v>
      </c>
      <c r="G15" s="123">
        <v>23</v>
      </c>
      <c r="H15" s="123">
        <v>23</v>
      </c>
      <c r="I15" s="123">
        <v>23</v>
      </c>
      <c r="J15" s="123">
        <v>23</v>
      </c>
      <c r="K15" s="123">
        <v>23</v>
      </c>
      <c r="L15" s="123">
        <v>23</v>
      </c>
      <c r="M15" s="103">
        <v>23</v>
      </c>
      <c r="N15" s="103">
        <v>23</v>
      </c>
      <c r="O15" s="103">
        <v>23</v>
      </c>
      <c r="P15" s="103">
        <v>23</v>
      </c>
      <c r="Q15" s="103">
        <v>23</v>
      </c>
      <c r="R15" s="103">
        <v>23</v>
      </c>
      <c r="S15" s="103">
        <v>23</v>
      </c>
      <c r="T15" s="103">
        <v>23</v>
      </c>
      <c r="U15" s="103">
        <v>23</v>
      </c>
      <c r="V15" s="103">
        <v>23</v>
      </c>
      <c r="W15" s="103">
        <v>23</v>
      </c>
      <c r="X15" s="103">
        <v>23</v>
      </c>
      <c r="Y15" s="103">
        <v>23</v>
      </c>
      <c r="Z15" s="103">
        <v>23</v>
      </c>
      <c r="AA15" s="103">
        <v>23</v>
      </c>
      <c r="AB15" s="103">
        <v>23</v>
      </c>
      <c r="AC15" s="103">
        <v>23</v>
      </c>
      <c r="AD15" s="103">
        <v>23</v>
      </c>
      <c r="AE15" s="103">
        <v>23.1</v>
      </c>
      <c r="AF15" s="103">
        <v>23.1</v>
      </c>
      <c r="AG15" s="108">
        <v>45</v>
      </c>
      <c r="AH15" s="21">
        <f t="shared" si="2"/>
        <v>23.1</v>
      </c>
      <c r="AI15" s="20">
        <f t="shared" si="3"/>
        <v>23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11.3</v>
      </c>
      <c r="C19" s="127">
        <v>11.3</v>
      </c>
      <c r="D19" s="127">
        <v>11.3</v>
      </c>
      <c r="E19" s="127">
        <v>11.3</v>
      </c>
      <c r="F19" s="127">
        <v>11.3</v>
      </c>
      <c r="G19" s="127">
        <v>11.3</v>
      </c>
      <c r="H19" s="127">
        <v>11.3</v>
      </c>
      <c r="I19" s="127">
        <v>11.3</v>
      </c>
      <c r="J19" s="127">
        <v>11.3</v>
      </c>
      <c r="K19" s="127">
        <v>11.3</v>
      </c>
      <c r="L19" s="127">
        <v>11.3</v>
      </c>
      <c r="M19" s="103">
        <v>11.3</v>
      </c>
      <c r="N19" s="103">
        <v>11.3</v>
      </c>
      <c r="O19" s="103">
        <v>11.3</v>
      </c>
      <c r="P19" s="103">
        <v>11.3</v>
      </c>
      <c r="Q19" s="103">
        <v>11.3</v>
      </c>
      <c r="R19" s="103">
        <v>11.3</v>
      </c>
      <c r="S19" s="103">
        <v>11.3</v>
      </c>
      <c r="T19" s="103">
        <v>11.3</v>
      </c>
      <c r="U19" s="103">
        <v>11.3</v>
      </c>
      <c r="V19" s="103">
        <v>11.3</v>
      </c>
      <c r="W19" s="103">
        <v>11.3</v>
      </c>
      <c r="X19" s="103">
        <v>11.3</v>
      </c>
      <c r="Y19" s="103">
        <v>11.3</v>
      </c>
      <c r="Z19" s="103">
        <v>11.3</v>
      </c>
      <c r="AA19" s="103">
        <v>11.3</v>
      </c>
      <c r="AB19" s="103">
        <v>11.3</v>
      </c>
      <c r="AC19" s="103">
        <v>11.3</v>
      </c>
      <c r="AD19" s="103">
        <v>11.3</v>
      </c>
      <c r="AE19" s="103">
        <v>10.9</v>
      </c>
      <c r="AF19" s="103">
        <v>11.4</v>
      </c>
      <c r="AG19" s="134">
        <v>30</v>
      </c>
      <c r="AH19" s="21">
        <f t="shared" si="2"/>
        <v>11.4</v>
      </c>
      <c r="AI19" s="20">
        <f t="shared" si="3"/>
        <v>10.9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8.1</v>
      </c>
      <c r="C20" s="127">
        <v>8.1</v>
      </c>
      <c r="D20" s="127">
        <v>8.1</v>
      </c>
      <c r="E20" s="127">
        <v>8.1</v>
      </c>
      <c r="F20" s="127">
        <v>8.1</v>
      </c>
      <c r="G20" s="127">
        <v>8.1</v>
      </c>
      <c r="H20" s="127">
        <v>8.1</v>
      </c>
      <c r="I20" s="127">
        <v>8.1</v>
      </c>
      <c r="J20" s="127">
        <v>8.1</v>
      </c>
      <c r="K20" s="127">
        <v>8.1</v>
      </c>
      <c r="L20" s="127">
        <v>8.1</v>
      </c>
      <c r="M20" s="103">
        <v>8.1</v>
      </c>
      <c r="N20" s="103">
        <v>8.1</v>
      </c>
      <c r="O20" s="103">
        <v>8.1</v>
      </c>
      <c r="P20" s="103">
        <v>8.1</v>
      </c>
      <c r="Q20" s="103">
        <v>8.1</v>
      </c>
      <c r="R20" s="103">
        <v>8.1</v>
      </c>
      <c r="S20" s="103">
        <v>8.1</v>
      </c>
      <c r="T20" s="103">
        <v>8.1</v>
      </c>
      <c r="U20" s="103">
        <v>8.1</v>
      </c>
      <c r="V20" s="103">
        <v>8.1</v>
      </c>
      <c r="W20" s="103">
        <v>8.1</v>
      </c>
      <c r="X20" s="103">
        <v>8.1</v>
      </c>
      <c r="Y20" s="103">
        <v>8.1</v>
      </c>
      <c r="Z20" s="103">
        <v>8.1</v>
      </c>
      <c r="AA20" s="103">
        <v>8.1</v>
      </c>
      <c r="AB20" s="103">
        <v>8.1</v>
      </c>
      <c r="AC20" s="103">
        <v>8.1</v>
      </c>
      <c r="AD20" s="103">
        <v>8.1</v>
      </c>
      <c r="AE20" s="103">
        <v>8.1</v>
      </c>
      <c r="AF20" s="103">
        <v>8.1</v>
      </c>
      <c r="AG20" s="134">
        <v>27</v>
      </c>
      <c r="AH20" s="21">
        <f t="shared" si="2"/>
        <v>8.1</v>
      </c>
      <c r="AI20" s="20">
        <f t="shared" si="3"/>
        <v>8.1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20</v>
      </c>
      <c r="C22" s="127">
        <v>20</v>
      </c>
      <c r="D22" s="127">
        <v>20</v>
      </c>
      <c r="E22" s="127">
        <v>20</v>
      </c>
      <c r="F22" s="127">
        <v>20</v>
      </c>
      <c r="G22" s="127">
        <v>20</v>
      </c>
      <c r="H22" s="127">
        <v>20</v>
      </c>
      <c r="I22" s="127">
        <v>20</v>
      </c>
      <c r="J22" s="127">
        <v>20</v>
      </c>
      <c r="K22" s="127">
        <v>20</v>
      </c>
      <c r="L22" s="127">
        <v>20</v>
      </c>
      <c r="M22" s="103">
        <v>20</v>
      </c>
      <c r="N22" s="103">
        <v>20</v>
      </c>
      <c r="O22" s="103">
        <v>20</v>
      </c>
      <c r="P22" s="103">
        <v>20</v>
      </c>
      <c r="Q22" s="103">
        <v>20</v>
      </c>
      <c r="R22" s="103">
        <v>20</v>
      </c>
      <c r="S22" s="103">
        <v>20</v>
      </c>
      <c r="T22" s="103">
        <v>20</v>
      </c>
      <c r="U22" s="103">
        <v>20</v>
      </c>
      <c r="V22" s="103">
        <v>20</v>
      </c>
      <c r="W22" s="103">
        <v>20</v>
      </c>
      <c r="X22" s="103">
        <v>20</v>
      </c>
      <c r="Y22" s="103">
        <v>20</v>
      </c>
      <c r="Z22" s="103">
        <v>20</v>
      </c>
      <c r="AA22" s="103">
        <v>20</v>
      </c>
      <c r="AB22" s="103">
        <v>20</v>
      </c>
      <c r="AC22" s="103">
        <v>20</v>
      </c>
      <c r="AD22" s="103">
        <v>20</v>
      </c>
      <c r="AE22" s="103">
        <v>19.600000000000001</v>
      </c>
      <c r="AF22" s="103">
        <v>19.7</v>
      </c>
      <c r="AG22" s="134">
        <v>25</v>
      </c>
      <c r="AH22" s="21">
        <f t="shared" si="2"/>
        <v>20</v>
      </c>
      <c r="AI22" s="20">
        <f t="shared" si="3"/>
        <v>19.600000000000001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6.4</v>
      </c>
      <c r="C24" s="127">
        <v>6.4</v>
      </c>
      <c r="D24" s="127">
        <v>6.4</v>
      </c>
      <c r="E24" s="127">
        <v>7.5</v>
      </c>
      <c r="F24" s="127">
        <v>7.5</v>
      </c>
      <c r="G24" s="127">
        <v>7.5</v>
      </c>
      <c r="H24" s="127">
        <v>6</v>
      </c>
      <c r="I24" s="127">
        <v>6</v>
      </c>
      <c r="J24" s="127">
        <v>6</v>
      </c>
      <c r="K24" s="127">
        <v>6</v>
      </c>
      <c r="L24" s="127">
        <v>6</v>
      </c>
      <c r="M24" s="103">
        <v>6</v>
      </c>
      <c r="N24" s="103">
        <v>6</v>
      </c>
      <c r="O24" s="103">
        <v>6</v>
      </c>
      <c r="P24" s="103">
        <v>6</v>
      </c>
      <c r="Q24" s="103">
        <v>6</v>
      </c>
      <c r="R24" s="103">
        <v>6</v>
      </c>
      <c r="S24" s="103">
        <v>6</v>
      </c>
      <c r="T24" s="103">
        <v>6</v>
      </c>
      <c r="U24" s="103">
        <v>6</v>
      </c>
      <c r="V24" s="103">
        <v>6</v>
      </c>
      <c r="W24" s="103">
        <v>6</v>
      </c>
      <c r="X24" s="103">
        <v>6</v>
      </c>
      <c r="Y24" s="103">
        <v>6</v>
      </c>
      <c r="Z24" s="103">
        <v>6</v>
      </c>
      <c r="AA24" s="103">
        <v>6</v>
      </c>
      <c r="AB24" s="103">
        <v>6</v>
      </c>
      <c r="AC24" s="103">
        <v>6</v>
      </c>
      <c r="AD24" s="103">
        <v>6</v>
      </c>
      <c r="AE24" s="103">
        <v>8.9</v>
      </c>
      <c r="AF24" s="103">
        <v>9.5</v>
      </c>
      <c r="AG24" s="134">
        <v>25</v>
      </c>
      <c r="AH24" s="21">
        <f t="shared" si="2"/>
        <v>9.5</v>
      </c>
      <c r="AI24" s="20">
        <f t="shared" si="3"/>
        <v>6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0</v>
      </c>
      <c r="C28" s="127">
        <v>0</v>
      </c>
      <c r="D28" s="127">
        <v>0</v>
      </c>
      <c r="E28" s="127">
        <v>0</v>
      </c>
      <c r="F28" s="127">
        <v>0</v>
      </c>
      <c r="G28" s="127">
        <v>0</v>
      </c>
      <c r="H28" s="127">
        <v>0</v>
      </c>
      <c r="I28" s="127">
        <v>0</v>
      </c>
      <c r="J28" s="127">
        <v>0</v>
      </c>
      <c r="K28" s="127">
        <v>0</v>
      </c>
      <c r="L28" s="127">
        <v>0</v>
      </c>
      <c r="M28" s="103">
        <v>0</v>
      </c>
      <c r="N28" s="103">
        <v>0</v>
      </c>
      <c r="O28" s="103">
        <v>0</v>
      </c>
      <c r="P28" s="103">
        <v>0</v>
      </c>
      <c r="Q28" s="103">
        <v>0</v>
      </c>
      <c r="R28" s="103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0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33</v>
      </c>
      <c r="C37" s="123">
        <v>33</v>
      </c>
      <c r="D37" s="123">
        <v>32.700000000000003</v>
      </c>
      <c r="E37" s="123">
        <v>33</v>
      </c>
      <c r="F37" s="123">
        <v>33</v>
      </c>
      <c r="G37" s="123">
        <v>33</v>
      </c>
      <c r="H37" s="123">
        <v>33</v>
      </c>
      <c r="I37" s="123">
        <v>38.6</v>
      </c>
      <c r="J37" s="123">
        <v>38.6</v>
      </c>
      <c r="K37" s="123">
        <v>36.6</v>
      </c>
      <c r="L37" s="123">
        <v>35.4</v>
      </c>
      <c r="M37" s="128">
        <v>35.4</v>
      </c>
      <c r="N37" s="128">
        <v>35.4</v>
      </c>
      <c r="O37" s="128">
        <f>12.7+20.3</f>
        <v>33</v>
      </c>
      <c r="P37" s="128">
        <f>12.7+20.3</f>
        <v>33</v>
      </c>
      <c r="Q37" s="128">
        <f>12.2+18.4</f>
        <v>30.599999999999998</v>
      </c>
      <c r="R37" s="128">
        <f>13+18.4</f>
        <v>31.4</v>
      </c>
      <c r="S37" s="128">
        <f>12.3+20.7</f>
        <v>33</v>
      </c>
      <c r="T37" s="128">
        <v>35.4</v>
      </c>
      <c r="U37" s="128">
        <v>31</v>
      </c>
      <c r="V37" s="128">
        <v>31</v>
      </c>
      <c r="W37" s="128">
        <f>13.2+21.4</f>
        <v>34.599999999999994</v>
      </c>
      <c r="X37" s="128">
        <v>27.4</v>
      </c>
      <c r="Y37" s="128">
        <v>33.4</v>
      </c>
      <c r="Z37" s="128">
        <v>31.8</v>
      </c>
      <c r="AA37" s="128">
        <v>32</v>
      </c>
      <c r="AB37" s="128">
        <f>11.9+21.5</f>
        <v>33.4</v>
      </c>
      <c r="AC37" s="128">
        <f>12.6+22.9</f>
        <v>35.5</v>
      </c>
      <c r="AD37" s="128">
        <f>12.4+21.9</f>
        <v>34.299999999999997</v>
      </c>
      <c r="AE37" s="128">
        <f>13.4+24.7</f>
        <v>38.1</v>
      </c>
      <c r="AF37" s="128">
        <f>13.7+24.5</f>
        <v>38.200000000000003</v>
      </c>
      <c r="AG37" s="106">
        <v>240</v>
      </c>
      <c r="AH37" s="21">
        <f t="shared" si="2"/>
        <v>38.6</v>
      </c>
      <c r="AI37" s="20">
        <f t="shared" si="3"/>
        <v>27.4</v>
      </c>
      <c r="AK37" s="42"/>
    </row>
    <row r="38" spans="1:88" ht="15.75" thickBot="1" x14ac:dyDescent="0.3">
      <c r="A38" s="100" t="s">
        <v>173</v>
      </c>
      <c r="B38" s="99">
        <f>SUM(B11:B36)</f>
        <v>539.80000000000007</v>
      </c>
      <c r="C38" s="99">
        <f t="shared" ref="C38:AF38" si="4">SUM(C11:C36)</f>
        <v>439.8</v>
      </c>
      <c r="D38" s="99">
        <f t="shared" si="4"/>
        <v>489.8</v>
      </c>
      <c r="E38" s="99">
        <f t="shared" si="4"/>
        <v>397.5</v>
      </c>
      <c r="F38" s="99">
        <f t="shared" si="4"/>
        <v>397.5</v>
      </c>
      <c r="G38" s="99">
        <f t="shared" si="4"/>
        <v>397.5</v>
      </c>
      <c r="H38" s="99">
        <f t="shared" si="4"/>
        <v>396</v>
      </c>
      <c r="I38" s="99">
        <f t="shared" si="4"/>
        <v>396</v>
      </c>
      <c r="J38" s="99">
        <f t="shared" si="4"/>
        <v>444</v>
      </c>
      <c r="K38" s="99">
        <f t="shared" si="4"/>
        <v>534</v>
      </c>
      <c r="L38" s="99">
        <f t="shared" si="4"/>
        <v>534</v>
      </c>
      <c r="M38" s="99">
        <f t="shared" si="4"/>
        <v>514</v>
      </c>
      <c r="N38" s="99">
        <f t="shared" si="4"/>
        <v>474.00000000000006</v>
      </c>
      <c r="O38" s="99">
        <f t="shared" si="4"/>
        <v>529</v>
      </c>
      <c r="P38" s="99">
        <f t="shared" si="4"/>
        <v>522.5</v>
      </c>
      <c r="Q38" s="99">
        <f t="shared" si="4"/>
        <v>554</v>
      </c>
      <c r="R38" s="99">
        <f t="shared" si="4"/>
        <v>434</v>
      </c>
      <c r="S38" s="99">
        <f t="shared" si="4"/>
        <v>434</v>
      </c>
      <c r="T38" s="99">
        <f t="shared" si="4"/>
        <v>434</v>
      </c>
      <c r="U38" s="99">
        <f t="shared" si="4"/>
        <v>544</v>
      </c>
      <c r="V38" s="99">
        <f t="shared" si="4"/>
        <v>524</v>
      </c>
      <c r="W38" s="99">
        <f t="shared" si="4"/>
        <v>494.00000000000006</v>
      </c>
      <c r="X38" s="99">
        <f t="shared" si="4"/>
        <v>504.00000000000006</v>
      </c>
      <c r="Y38" s="99">
        <f t="shared" si="4"/>
        <v>564</v>
      </c>
      <c r="Z38" s="99">
        <f t="shared" si="4"/>
        <v>644</v>
      </c>
      <c r="AA38" s="99">
        <f t="shared" si="4"/>
        <v>604</v>
      </c>
      <c r="AB38" s="99">
        <f t="shared" si="4"/>
        <v>584</v>
      </c>
      <c r="AC38" s="99">
        <f t="shared" si="4"/>
        <v>574</v>
      </c>
      <c r="AD38" s="99">
        <f t="shared" si="4"/>
        <v>574</v>
      </c>
      <c r="AE38" s="99">
        <f t="shared" si="4"/>
        <v>536.40000000000009</v>
      </c>
      <c r="AF38" s="99">
        <f t="shared" si="4"/>
        <v>495.6</v>
      </c>
      <c r="AG38" s="106">
        <f>SUM(AG11:AG37)</f>
        <v>1492.8299999999997</v>
      </c>
      <c r="AH38" s="21">
        <f t="shared" si="2"/>
        <v>644</v>
      </c>
      <c r="AI38" s="20">
        <f t="shared" si="3"/>
        <v>396</v>
      </c>
      <c r="AK38" s="42"/>
    </row>
    <row r="39" spans="1:88" x14ac:dyDescent="0.25">
      <c r="A39" s="109" t="s">
        <v>172</v>
      </c>
      <c r="B39" s="127">
        <v>45</v>
      </c>
      <c r="C39" s="123">
        <v>30</v>
      </c>
      <c r="D39" s="123">
        <v>45</v>
      </c>
      <c r="E39" s="123">
        <v>30</v>
      </c>
      <c r="F39" s="123">
        <v>20</v>
      </c>
      <c r="G39" s="123">
        <v>35</v>
      </c>
      <c r="H39" s="123">
        <v>97</v>
      </c>
      <c r="I39" s="123">
        <v>111</v>
      </c>
      <c r="J39" s="123">
        <v>145</v>
      </c>
      <c r="K39" s="123">
        <v>145.5</v>
      </c>
      <c r="L39" s="123">
        <v>145.5</v>
      </c>
      <c r="M39" s="123">
        <v>145.5</v>
      </c>
      <c r="N39" s="123">
        <v>137</v>
      </c>
      <c r="O39" s="123">
        <v>136.30000000000001</v>
      </c>
      <c r="P39" s="123">
        <v>136.30000000000001</v>
      </c>
      <c r="Q39" s="123">
        <v>145.80000000000001</v>
      </c>
      <c r="R39" s="123">
        <v>145.80000000000001</v>
      </c>
      <c r="S39" s="103">
        <v>121.4</v>
      </c>
      <c r="T39" s="103">
        <v>121.4</v>
      </c>
      <c r="U39" s="103">
        <v>144.9</v>
      </c>
      <c r="V39" s="103">
        <v>131.19999999999999</v>
      </c>
      <c r="W39" s="103">
        <v>131.30000000000001</v>
      </c>
      <c r="X39" s="103">
        <v>131.30000000000001</v>
      </c>
      <c r="Y39" s="103">
        <v>121.1</v>
      </c>
      <c r="Z39" s="103">
        <v>144.4</v>
      </c>
      <c r="AA39" s="103">
        <v>140.5</v>
      </c>
      <c r="AB39" s="103">
        <v>136.4</v>
      </c>
      <c r="AC39" s="103">
        <v>101.7</v>
      </c>
      <c r="AD39" s="103">
        <v>101.3</v>
      </c>
      <c r="AE39" s="103">
        <v>70</v>
      </c>
      <c r="AF39" s="127">
        <v>60.8</v>
      </c>
      <c r="AG39" s="108">
        <v>144</v>
      </c>
      <c r="AH39" s="21">
        <f t="shared" si="2"/>
        <v>145.80000000000001</v>
      </c>
      <c r="AI39" s="20">
        <f t="shared" si="3"/>
        <v>20</v>
      </c>
      <c r="AK39" s="42"/>
    </row>
    <row r="40" spans="1:88" x14ac:dyDescent="0.25">
      <c r="A40" s="107" t="s">
        <v>171</v>
      </c>
      <c r="B40" s="123">
        <v>35</v>
      </c>
      <c r="C40" s="123">
        <v>25</v>
      </c>
      <c r="D40" s="123">
        <v>25</v>
      </c>
      <c r="E40" s="123">
        <v>0</v>
      </c>
      <c r="F40" s="123">
        <v>0</v>
      </c>
      <c r="G40" s="123">
        <v>0</v>
      </c>
      <c r="H40" s="123">
        <v>35</v>
      </c>
      <c r="I40" s="123">
        <v>35</v>
      </c>
      <c r="J40" s="123">
        <v>69</v>
      </c>
      <c r="K40" s="123">
        <v>69.5</v>
      </c>
      <c r="L40" s="123">
        <v>69.5</v>
      </c>
      <c r="M40" s="123">
        <v>61</v>
      </c>
      <c r="N40" s="123">
        <v>60.5</v>
      </c>
      <c r="O40" s="123">
        <v>61.2</v>
      </c>
      <c r="P40" s="123">
        <v>61.2</v>
      </c>
      <c r="Q40" s="123">
        <v>60.3</v>
      </c>
      <c r="R40" s="123">
        <v>60.3</v>
      </c>
      <c r="S40" s="73">
        <v>62.8</v>
      </c>
      <c r="T40" s="73">
        <v>62.8</v>
      </c>
      <c r="U40" s="73">
        <v>70.099999999999994</v>
      </c>
      <c r="V40" s="73">
        <v>62.6</v>
      </c>
      <c r="W40" s="73">
        <v>60.4</v>
      </c>
      <c r="X40" s="73">
        <v>60.4</v>
      </c>
      <c r="Y40" s="73">
        <v>50</v>
      </c>
      <c r="Z40" s="73">
        <v>68.2</v>
      </c>
      <c r="AA40" s="73">
        <v>68.2</v>
      </c>
      <c r="AB40" s="73">
        <v>59.4</v>
      </c>
      <c r="AC40" s="73">
        <v>45.3</v>
      </c>
      <c r="AD40" s="73">
        <v>46.5</v>
      </c>
      <c r="AE40" s="73">
        <v>45.3</v>
      </c>
      <c r="AF40" s="123">
        <v>31.1</v>
      </c>
      <c r="AG40" s="106">
        <v>70</v>
      </c>
      <c r="AH40" s="21">
        <f t="shared" si="2"/>
        <v>70.099999999999994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54</v>
      </c>
      <c r="C41" s="123">
        <v>56</v>
      </c>
      <c r="D41" s="123">
        <v>56</v>
      </c>
      <c r="E41" s="123">
        <v>32</v>
      </c>
      <c r="F41" s="123">
        <v>0</v>
      </c>
      <c r="G41" s="123">
        <v>0</v>
      </c>
      <c r="H41" s="123">
        <v>47</v>
      </c>
      <c r="I41" s="123">
        <v>34</v>
      </c>
      <c r="J41" s="123">
        <v>65.599999999999994</v>
      </c>
      <c r="K41" s="123">
        <v>69</v>
      </c>
      <c r="L41" s="123">
        <v>69</v>
      </c>
      <c r="M41" s="123">
        <v>61.3</v>
      </c>
      <c r="N41" s="123">
        <v>40.9</v>
      </c>
      <c r="O41" s="123">
        <v>46.9</v>
      </c>
      <c r="P41" s="123">
        <v>61.9</v>
      </c>
      <c r="Q41" s="123">
        <v>67</v>
      </c>
      <c r="R41" s="123">
        <v>67</v>
      </c>
      <c r="S41" s="73">
        <v>66.400000000000006</v>
      </c>
      <c r="T41" s="73">
        <v>66.400000000000006</v>
      </c>
      <c r="U41" s="73">
        <v>36.5</v>
      </c>
      <c r="V41" s="73">
        <v>17.600000000000001</v>
      </c>
      <c r="W41" s="73">
        <v>34.299999999999997</v>
      </c>
      <c r="X41" s="73">
        <v>34.299999999999997</v>
      </c>
      <c r="Y41" s="73">
        <v>34.1</v>
      </c>
      <c r="Z41" s="73">
        <v>69.3</v>
      </c>
      <c r="AA41" s="73">
        <v>69.3</v>
      </c>
      <c r="AB41" s="73">
        <v>67.7</v>
      </c>
      <c r="AC41" s="73">
        <v>61.8</v>
      </c>
      <c r="AD41" s="73">
        <v>61.6</v>
      </c>
      <c r="AE41" s="73">
        <v>61.4</v>
      </c>
      <c r="AF41" s="123">
        <v>56.3</v>
      </c>
      <c r="AG41" s="106">
        <v>69</v>
      </c>
      <c r="AH41" s="21">
        <f t="shared" si="2"/>
        <v>69.3</v>
      </c>
      <c r="AI41" s="20">
        <f t="shared" si="3"/>
        <v>0</v>
      </c>
      <c r="AK41" s="42"/>
    </row>
    <row r="42" spans="1:88" x14ac:dyDescent="0.25">
      <c r="A42" s="107" t="s">
        <v>169</v>
      </c>
      <c r="B42" s="123">
        <v>60.4</v>
      </c>
      <c r="C42" s="123">
        <v>60.4</v>
      </c>
      <c r="D42" s="123">
        <v>60.4</v>
      </c>
      <c r="E42" s="123">
        <v>60.4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123">
        <v>60.3</v>
      </c>
      <c r="N42" s="123">
        <v>60.3</v>
      </c>
      <c r="O42" s="123">
        <v>60.9</v>
      </c>
      <c r="P42" s="123">
        <v>60.9</v>
      </c>
      <c r="Q42" s="123">
        <v>60.9</v>
      </c>
      <c r="R42" s="123">
        <v>60.9</v>
      </c>
      <c r="S42" s="73">
        <v>60.4</v>
      </c>
      <c r="T42" s="73">
        <v>56.4</v>
      </c>
      <c r="U42" s="73">
        <v>56.7</v>
      </c>
      <c r="V42" s="73">
        <v>58.2</v>
      </c>
      <c r="W42" s="73">
        <v>58.2</v>
      </c>
      <c r="X42" s="73">
        <v>58.2</v>
      </c>
      <c r="Y42" s="73">
        <v>58.2</v>
      </c>
      <c r="Z42" s="73">
        <v>58</v>
      </c>
      <c r="AA42" s="73">
        <v>58</v>
      </c>
      <c r="AB42" s="73">
        <v>58</v>
      </c>
      <c r="AC42" s="73">
        <v>58.2</v>
      </c>
      <c r="AD42" s="73">
        <v>58.2</v>
      </c>
      <c r="AE42" s="73">
        <v>58.5</v>
      </c>
      <c r="AF42" s="123">
        <v>58.2</v>
      </c>
      <c r="AG42" s="106">
        <v>60</v>
      </c>
      <c r="AH42" s="21">
        <f t="shared" si="2"/>
        <v>60.9</v>
      </c>
      <c r="AI42" s="20">
        <f t="shared" si="3"/>
        <v>56.4</v>
      </c>
      <c r="AK42" s="42"/>
    </row>
    <row r="43" spans="1:88" x14ac:dyDescent="0.25">
      <c r="A43" s="107" t="s">
        <v>168</v>
      </c>
      <c r="B43" s="123">
        <v>0</v>
      </c>
      <c r="C43" s="123">
        <v>0</v>
      </c>
      <c r="D43" s="123">
        <v>0</v>
      </c>
      <c r="E43" s="123">
        <v>0</v>
      </c>
      <c r="F43" s="123">
        <v>13</v>
      </c>
      <c r="G43" s="123">
        <v>15</v>
      </c>
      <c r="H43" s="123">
        <v>30</v>
      </c>
      <c r="I43" s="123">
        <v>22</v>
      </c>
      <c r="J43" s="123">
        <v>30</v>
      </c>
      <c r="K43" s="123">
        <v>30</v>
      </c>
      <c r="L43" s="123">
        <v>30</v>
      </c>
      <c r="M43" s="123">
        <v>24.3</v>
      </c>
      <c r="N43" s="123">
        <v>24.3</v>
      </c>
      <c r="O43" s="123">
        <v>14</v>
      </c>
      <c r="P43" s="123">
        <v>14</v>
      </c>
      <c r="Q43" s="123">
        <v>14</v>
      </c>
      <c r="R43" s="123">
        <v>14</v>
      </c>
      <c r="S43" s="103">
        <v>13.9</v>
      </c>
      <c r="T43" s="103">
        <v>13.9</v>
      </c>
      <c r="U43" s="103">
        <v>9.3000000000000007</v>
      </c>
      <c r="V43" s="103">
        <v>13.7</v>
      </c>
      <c r="W43" s="103">
        <v>10</v>
      </c>
      <c r="X43" s="103">
        <v>10</v>
      </c>
      <c r="Y43" s="103">
        <v>10</v>
      </c>
      <c r="Z43" s="73">
        <v>30</v>
      </c>
      <c r="AA43" s="73">
        <v>30</v>
      </c>
      <c r="AB43" s="73">
        <v>30</v>
      </c>
      <c r="AC43" s="73">
        <v>24.1</v>
      </c>
      <c r="AD43" s="73">
        <v>24.1</v>
      </c>
      <c r="AE43" s="73">
        <v>9.1999999999999993</v>
      </c>
      <c r="AF43" s="123">
        <v>10.199999999999999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0</v>
      </c>
      <c r="O44" s="123">
        <v>0</v>
      </c>
      <c r="P44" s="123">
        <v>0</v>
      </c>
      <c r="Q44" s="123">
        <v>0</v>
      </c>
      <c r="R44" s="12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2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</v>
      </c>
      <c r="C45" s="123">
        <v>17</v>
      </c>
      <c r="D45" s="123">
        <v>17</v>
      </c>
      <c r="E45" s="123">
        <v>17</v>
      </c>
      <c r="F45" s="123">
        <v>17</v>
      </c>
      <c r="G45" s="123">
        <v>17</v>
      </c>
      <c r="H45" s="123">
        <v>17</v>
      </c>
      <c r="I45" s="123">
        <v>17</v>
      </c>
      <c r="J45" s="123">
        <v>17</v>
      </c>
      <c r="K45" s="123">
        <v>17</v>
      </c>
      <c r="L45" s="123">
        <v>17</v>
      </c>
      <c r="M45" s="123">
        <v>17</v>
      </c>
      <c r="N45" s="123">
        <v>17</v>
      </c>
      <c r="O45" s="123">
        <v>17</v>
      </c>
      <c r="P45" s="123">
        <v>17</v>
      </c>
      <c r="Q45" s="123">
        <v>17</v>
      </c>
      <c r="R45" s="123">
        <v>17</v>
      </c>
      <c r="S45" s="123">
        <v>17</v>
      </c>
      <c r="T45" s="123">
        <v>17</v>
      </c>
      <c r="U45" s="123">
        <v>17</v>
      </c>
      <c r="V45" s="123">
        <v>17</v>
      </c>
      <c r="W45" s="123">
        <v>17</v>
      </c>
      <c r="X45" s="123">
        <v>17</v>
      </c>
      <c r="Y45" s="123">
        <v>17</v>
      </c>
      <c r="Z45" s="103">
        <v>17</v>
      </c>
      <c r="AA45" s="103">
        <v>17</v>
      </c>
      <c r="AB45" s="103">
        <v>17</v>
      </c>
      <c r="AC45" s="103">
        <v>17</v>
      </c>
      <c r="AD45" s="103">
        <v>17</v>
      </c>
      <c r="AE45" s="103">
        <v>17</v>
      </c>
      <c r="AF45" s="103">
        <v>17</v>
      </c>
      <c r="AG45" s="106">
        <v>24</v>
      </c>
      <c r="AH45" s="21">
        <f t="shared" si="2"/>
        <v>17</v>
      </c>
      <c r="AI45" s="20">
        <f t="shared" si="3"/>
        <v>17</v>
      </c>
      <c r="AK45" s="42"/>
    </row>
    <row r="46" spans="1:88" x14ac:dyDescent="0.25">
      <c r="A46" s="107" t="s">
        <v>165</v>
      </c>
      <c r="B46" s="123">
        <v>4</v>
      </c>
      <c r="C46" s="123">
        <v>4</v>
      </c>
      <c r="D46" s="123">
        <v>4</v>
      </c>
      <c r="E46" s="123">
        <v>4</v>
      </c>
      <c r="F46" s="123">
        <v>4</v>
      </c>
      <c r="G46" s="123">
        <v>4</v>
      </c>
      <c r="H46" s="123">
        <v>4</v>
      </c>
      <c r="I46" s="123">
        <v>4</v>
      </c>
      <c r="J46" s="123">
        <v>4</v>
      </c>
      <c r="K46" s="123">
        <v>4</v>
      </c>
      <c r="L46" s="123">
        <v>4</v>
      </c>
      <c r="M46" s="123">
        <v>4</v>
      </c>
      <c r="N46" s="123">
        <v>4</v>
      </c>
      <c r="O46" s="123">
        <v>4</v>
      </c>
      <c r="P46" s="123">
        <v>4</v>
      </c>
      <c r="Q46" s="123">
        <v>4</v>
      </c>
      <c r="R46" s="123">
        <v>4</v>
      </c>
      <c r="S46" s="123">
        <v>4</v>
      </c>
      <c r="T46" s="123">
        <v>4</v>
      </c>
      <c r="U46" s="123">
        <v>4</v>
      </c>
      <c r="V46" s="123">
        <v>4</v>
      </c>
      <c r="W46" s="123">
        <v>4</v>
      </c>
      <c r="X46" s="123">
        <v>4</v>
      </c>
      <c r="Y46" s="123">
        <v>4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4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6.1</v>
      </c>
      <c r="C48" s="123">
        <v>6.1</v>
      </c>
      <c r="D48" s="123">
        <v>6.1</v>
      </c>
      <c r="E48" s="123">
        <v>6.1</v>
      </c>
      <c r="F48" s="123">
        <v>6.1</v>
      </c>
      <c r="G48" s="123">
        <v>6.1</v>
      </c>
      <c r="H48" s="123">
        <v>6.1</v>
      </c>
      <c r="I48" s="123">
        <v>6.1</v>
      </c>
      <c r="J48" s="123">
        <v>6.1</v>
      </c>
      <c r="K48" s="123">
        <v>6.1</v>
      </c>
      <c r="L48" s="123">
        <v>6.1</v>
      </c>
      <c r="M48" s="123">
        <v>6.1</v>
      </c>
      <c r="N48" s="123">
        <v>6.1</v>
      </c>
      <c r="O48" s="123">
        <v>6.1</v>
      </c>
      <c r="P48" s="123">
        <v>6.1</v>
      </c>
      <c r="Q48" s="123">
        <v>6.1</v>
      </c>
      <c r="R48" s="123">
        <v>6.1</v>
      </c>
      <c r="S48" s="123">
        <v>6.1</v>
      </c>
      <c r="T48" s="123">
        <v>6.1</v>
      </c>
      <c r="U48" s="123">
        <v>6.1</v>
      </c>
      <c r="V48" s="123">
        <v>6.1</v>
      </c>
      <c r="W48" s="123">
        <v>6.1</v>
      </c>
      <c r="X48" s="123">
        <v>6.1</v>
      </c>
      <c r="Y48" s="123">
        <v>6.1</v>
      </c>
      <c r="Z48" s="103">
        <v>6.1</v>
      </c>
      <c r="AA48" s="103">
        <v>6.1</v>
      </c>
      <c r="AB48" s="103">
        <v>6.1</v>
      </c>
      <c r="AC48" s="103">
        <v>6.1</v>
      </c>
      <c r="AD48" s="103">
        <v>6.1</v>
      </c>
      <c r="AE48" s="103">
        <v>6.1</v>
      </c>
      <c r="AF48" s="103">
        <v>6.1</v>
      </c>
      <c r="AG48" s="106">
        <v>14</v>
      </c>
      <c r="AH48" s="21">
        <f t="shared" si="2"/>
        <v>6.1</v>
      </c>
      <c r="AI48" s="20">
        <f t="shared" si="3"/>
        <v>6.1</v>
      </c>
      <c r="AK48" s="42"/>
    </row>
    <row r="49" spans="1:37" x14ac:dyDescent="0.25">
      <c r="A49" s="107" t="s">
        <v>162</v>
      </c>
      <c r="B49" s="123">
        <v>5.8</v>
      </c>
      <c r="C49" s="123">
        <v>5.8</v>
      </c>
      <c r="D49" s="123">
        <v>5.8</v>
      </c>
      <c r="E49" s="123">
        <v>5.8</v>
      </c>
      <c r="F49" s="123">
        <v>5.8</v>
      </c>
      <c r="G49" s="123">
        <v>5.8</v>
      </c>
      <c r="H49" s="123">
        <v>5.8</v>
      </c>
      <c r="I49" s="123">
        <v>5.8</v>
      </c>
      <c r="J49" s="123">
        <v>5.8</v>
      </c>
      <c r="K49" s="123">
        <v>5.8</v>
      </c>
      <c r="L49" s="123">
        <v>5.8</v>
      </c>
      <c r="M49" s="123">
        <v>5.8</v>
      </c>
      <c r="N49" s="123">
        <v>5.8</v>
      </c>
      <c r="O49" s="123">
        <v>5.8</v>
      </c>
      <c r="P49" s="123">
        <v>5.8</v>
      </c>
      <c r="Q49" s="123">
        <v>5.8</v>
      </c>
      <c r="R49" s="123">
        <v>5.8</v>
      </c>
      <c r="S49" s="123">
        <v>5.8</v>
      </c>
      <c r="T49" s="123">
        <v>5.8</v>
      </c>
      <c r="U49" s="123">
        <v>5.8</v>
      </c>
      <c r="V49" s="123">
        <v>5.8</v>
      </c>
      <c r="W49" s="123">
        <v>5.8</v>
      </c>
      <c r="X49" s="123">
        <v>5.8</v>
      </c>
      <c r="Y49" s="123">
        <v>5.8</v>
      </c>
      <c r="Z49" s="103">
        <v>5.8</v>
      </c>
      <c r="AA49" s="103">
        <v>5.8</v>
      </c>
      <c r="AB49" s="103">
        <v>5.8</v>
      </c>
      <c r="AC49" s="103">
        <v>5.8</v>
      </c>
      <c r="AD49" s="103">
        <v>5.8</v>
      </c>
      <c r="AE49" s="103">
        <v>5.8</v>
      </c>
      <c r="AF49" s="103">
        <v>5.8</v>
      </c>
      <c r="AG49" s="106">
        <v>10.050000000000001</v>
      </c>
      <c r="AH49" s="21">
        <f t="shared" si="2"/>
        <v>5.8</v>
      </c>
      <c r="AI49" s="20">
        <f t="shared" si="3"/>
        <v>5.8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245.34</v>
      </c>
      <c r="C52" s="99">
        <f t="shared" ref="C52:AF52" si="6">SUM(C39:C51)</f>
        <v>222.34</v>
      </c>
      <c r="D52" s="99">
        <f t="shared" si="6"/>
        <v>237.34</v>
      </c>
      <c r="E52" s="99">
        <f t="shared" si="6"/>
        <v>173.34</v>
      </c>
      <c r="F52" s="99">
        <f t="shared" si="6"/>
        <v>144.84</v>
      </c>
      <c r="G52" s="99">
        <f t="shared" si="6"/>
        <v>161.84</v>
      </c>
      <c r="H52" s="99">
        <f t="shared" si="6"/>
        <v>320.84000000000003</v>
      </c>
      <c r="I52" s="99">
        <f t="shared" si="6"/>
        <v>313.84000000000003</v>
      </c>
      <c r="J52" s="99">
        <f t="shared" si="6"/>
        <v>421.44000000000005</v>
      </c>
      <c r="K52" s="99">
        <f t="shared" si="6"/>
        <v>425.84000000000003</v>
      </c>
      <c r="L52" s="99">
        <f t="shared" si="6"/>
        <v>425.84000000000003</v>
      </c>
      <c r="M52" s="99">
        <f t="shared" si="6"/>
        <v>403.34000000000009</v>
      </c>
      <c r="N52" s="99">
        <f t="shared" si="6"/>
        <v>373.94000000000005</v>
      </c>
      <c r="O52" s="99">
        <f t="shared" si="6"/>
        <v>370.24000000000007</v>
      </c>
      <c r="P52" s="99">
        <f t="shared" si="6"/>
        <v>385.24</v>
      </c>
      <c r="Q52" s="99">
        <f t="shared" si="6"/>
        <v>398.94000000000005</v>
      </c>
      <c r="R52" s="99">
        <f t="shared" si="6"/>
        <v>398.94000000000005</v>
      </c>
      <c r="S52" s="99">
        <f t="shared" si="6"/>
        <v>375.84000000000003</v>
      </c>
      <c r="T52" s="99">
        <f t="shared" si="6"/>
        <v>371.84000000000003</v>
      </c>
      <c r="U52" s="99">
        <f t="shared" si="6"/>
        <v>368.44000000000005</v>
      </c>
      <c r="V52" s="99">
        <f t="shared" si="6"/>
        <v>334.24</v>
      </c>
      <c r="W52" s="99">
        <f t="shared" si="6"/>
        <v>345.14000000000004</v>
      </c>
      <c r="X52" s="99">
        <f t="shared" si="6"/>
        <v>345.14000000000004</v>
      </c>
      <c r="Y52" s="99">
        <f t="shared" si="6"/>
        <v>324.34000000000003</v>
      </c>
      <c r="Z52" s="99">
        <f t="shared" si="6"/>
        <v>416.84000000000009</v>
      </c>
      <c r="AA52" s="99">
        <f t="shared" si="6"/>
        <v>412.94000000000005</v>
      </c>
      <c r="AB52" s="99">
        <f t="shared" si="6"/>
        <v>398.44000000000005</v>
      </c>
      <c r="AC52" s="99">
        <f t="shared" si="6"/>
        <v>338.04000000000008</v>
      </c>
      <c r="AD52" s="99">
        <f t="shared" si="6"/>
        <v>338.6400000000001</v>
      </c>
      <c r="AE52" s="99">
        <f t="shared" si="6"/>
        <v>291.34000000000003</v>
      </c>
      <c r="AF52" s="99">
        <f t="shared" si="6"/>
        <v>263.53999999999996</v>
      </c>
      <c r="AG52" s="98">
        <f>SUM(AG39:AG51)</f>
        <v>489.91</v>
      </c>
      <c r="AH52" s="21">
        <f t="shared" si="2"/>
        <v>425.84000000000003</v>
      </c>
      <c r="AI52" s="20">
        <f t="shared" si="3"/>
        <v>144.84</v>
      </c>
      <c r="AK52" s="42"/>
    </row>
    <row r="53" spans="1:37" x14ac:dyDescent="0.25">
      <c r="A53" s="109" t="s">
        <v>159</v>
      </c>
      <c r="B53" s="103">
        <v>59</v>
      </c>
      <c r="C53" s="123">
        <v>40</v>
      </c>
      <c r="D53" s="123">
        <v>60</v>
      </c>
      <c r="E53" s="123">
        <v>0</v>
      </c>
      <c r="F53" s="123">
        <v>0</v>
      </c>
      <c r="G53" s="123">
        <v>59</v>
      </c>
      <c r="H53" s="123">
        <v>59</v>
      </c>
      <c r="I53" s="123">
        <v>30</v>
      </c>
      <c r="J53" s="123">
        <v>30</v>
      </c>
      <c r="K53" s="123">
        <v>30</v>
      </c>
      <c r="L53" s="123">
        <v>60</v>
      </c>
      <c r="M53" s="122">
        <v>44</v>
      </c>
      <c r="N53" s="122">
        <v>40</v>
      </c>
      <c r="O53" s="122">
        <v>50</v>
      </c>
      <c r="P53" s="122">
        <v>50</v>
      </c>
      <c r="Q53" s="103">
        <v>60</v>
      </c>
      <c r="R53" s="103">
        <v>60</v>
      </c>
      <c r="S53" s="103">
        <v>60</v>
      </c>
      <c r="T53" s="103">
        <v>60</v>
      </c>
      <c r="U53" s="103">
        <v>60</v>
      </c>
      <c r="V53" s="103">
        <v>60</v>
      </c>
      <c r="W53" s="103">
        <v>60</v>
      </c>
      <c r="X53" s="103">
        <v>60</v>
      </c>
      <c r="Y53" s="103">
        <v>60</v>
      </c>
      <c r="Z53" s="103">
        <v>60</v>
      </c>
      <c r="AA53" s="103">
        <v>60</v>
      </c>
      <c r="AB53" s="103">
        <v>60</v>
      </c>
      <c r="AC53" s="103">
        <v>59.6</v>
      </c>
      <c r="AD53" s="103">
        <v>40</v>
      </c>
      <c r="AE53" s="103">
        <v>60</v>
      </c>
      <c r="AF53" s="103">
        <v>60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29</v>
      </c>
      <c r="C54" s="123">
        <v>17</v>
      </c>
      <c r="D54" s="123">
        <v>29</v>
      </c>
      <c r="E54" s="123">
        <v>0</v>
      </c>
      <c r="F54" s="123">
        <v>0</v>
      </c>
      <c r="G54" s="123">
        <v>28</v>
      </c>
      <c r="H54" s="123">
        <v>29</v>
      </c>
      <c r="I54" s="123">
        <v>20</v>
      </c>
      <c r="J54" s="123">
        <v>15</v>
      </c>
      <c r="K54" s="123">
        <v>15</v>
      </c>
      <c r="L54" s="123">
        <v>30</v>
      </c>
      <c r="M54" s="122">
        <v>22.7</v>
      </c>
      <c r="N54" s="122">
        <v>17</v>
      </c>
      <c r="O54" s="122">
        <v>25.8</v>
      </c>
      <c r="P54" s="122">
        <v>28.2</v>
      </c>
      <c r="Q54" s="73">
        <v>29</v>
      </c>
      <c r="R54" s="73">
        <v>29</v>
      </c>
      <c r="S54" s="103">
        <v>28.9</v>
      </c>
      <c r="T54" s="103">
        <v>28.9</v>
      </c>
      <c r="U54" s="103">
        <v>28.9</v>
      </c>
      <c r="V54" s="103">
        <v>28.9</v>
      </c>
      <c r="W54" s="103">
        <v>28.9</v>
      </c>
      <c r="X54" s="103">
        <v>28.9</v>
      </c>
      <c r="Y54" s="103">
        <v>28.9</v>
      </c>
      <c r="Z54" s="73">
        <v>28.9</v>
      </c>
      <c r="AA54" s="73">
        <v>28.9</v>
      </c>
      <c r="AB54" s="73">
        <v>29.3</v>
      </c>
      <c r="AC54" s="73">
        <v>29.3</v>
      </c>
      <c r="AD54" s="73">
        <v>18.100000000000001</v>
      </c>
      <c r="AE54" s="73">
        <v>29.6</v>
      </c>
      <c r="AF54" s="73">
        <v>30.1</v>
      </c>
      <c r="AG54" s="106">
        <v>32</v>
      </c>
      <c r="AH54" s="21">
        <f t="shared" si="2"/>
        <v>30.1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10.5</v>
      </c>
      <c r="C55" s="120">
        <v>6.1</v>
      </c>
      <c r="D55" s="120">
        <v>10.9</v>
      </c>
      <c r="E55" s="120">
        <v>0</v>
      </c>
      <c r="F55" s="120">
        <v>0</v>
      </c>
      <c r="G55" s="120">
        <v>10.5</v>
      </c>
      <c r="H55" s="120">
        <v>11</v>
      </c>
      <c r="I55" s="120">
        <v>7</v>
      </c>
      <c r="J55" s="120">
        <v>7</v>
      </c>
      <c r="K55" s="120">
        <v>7</v>
      </c>
      <c r="L55" s="120">
        <v>11</v>
      </c>
      <c r="M55" s="119">
        <v>8.1</v>
      </c>
      <c r="N55" s="119">
        <v>6.2</v>
      </c>
      <c r="O55" s="119">
        <v>9.4</v>
      </c>
      <c r="P55" s="119">
        <v>10.3</v>
      </c>
      <c r="Q55" s="118">
        <v>10.8</v>
      </c>
      <c r="R55" s="118">
        <v>10.8</v>
      </c>
      <c r="S55" s="103">
        <v>10.6</v>
      </c>
      <c r="T55" s="103">
        <v>10.6</v>
      </c>
      <c r="U55" s="103">
        <v>10.6</v>
      </c>
      <c r="V55" s="103">
        <v>10.6</v>
      </c>
      <c r="W55" s="103">
        <v>10.6</v>
      </c>
      <c r="X55" s="103">
        <v>10.6</v>
      </c>
      <c r="Y55" s="103">
        <v>10.6</v>
      </c>
      <c r="Z55" s="118">
        <v>10.6</v>
      </c>
      <c r="AA55" s="118">
        <v>10.6</v>
      </c>
      <c r="AB55" s="118">
        <v>10.7</v>
      </c>
      <c r="AC55" s="118">
        <v>10.7</v>
      </c>
      <c r="AD55" s="118">
        <v>6.6</v>
      </c>
      <c r="AE55" s="118">
        <v>10.8</v>
      </c>
      <c r="AF55" s="118">
        <v>11</v>
      </c>
      <c r="AG55" s="117">
        <v>14</v>
      </c>
      <c r="AH55" s="21">
        <f t="shared" si="2"/>
        <v>11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98.5</v>
      </c>
      <c r="C56" s="99">
        <f>SUM(C53:C55)</f>
        <v>63.1</v>
      </c>
      <c r="D56" s="99">
        <f t="shared" ref="D56:AF56" si="7">SUM(D53:D55)</f>
        <v>99.9</v>
      </c>
      <c r="E56" s="99">
        <f t="shared" si="7"/>
        <v>0</v>
      </c>
      <c r="F56" s="99">
        <f t="shared" si="7"/>
        <v>0</v>
      </c>
      <c r="G56" s="99">
        <f t="shared" si="7"/>
        <v>97.5</v>
      </c>
      <c r="H56" s="99">
        <f t="shared" si="7"/>
        <v>99</v>
      </c>
      <c r="I56" s="99">
        <f t="shared" si="7"/>
        <v>57</v>
      </c>
      <c r="J56" s="99">
        <f t="shared" si="7"/>
        <v>52</v>
      </c>
      <c r="K56" s="99">
        <f t="shared" si="7"/>
        <v>52</v>
      </c>
      <c r="L56" s="99">
        <f t="shared" si="7"/>
        <v>101</v>
      </c>
      <c r="M56" s="99">
        <f t="shared" si="7"/>
        <v>74.8</v>
      </c>
      <c r="N56" s="99">
        <f t="shared" si="7"/>
        <v>63.2</v>
      </c>
      <c r="O56" s="99">
        <f t="shared" si="7"/>
        <v>85.2</v>
      </c>
      <c r="P56" s="99">
        <f t="shared" si="7"/>
        <v>88.5</v>
      </c>
      <c r="Q56" s="99">
        <f t="shared" si="7"/>
        <v>99.8</v>
      </c>
      <c r="R56" s="99">
        <f t="shared" si="7"/>
        <v>99.8</v>
      </c>
      <c r="S56" s="99">
        <f t="shared" si="7"/>
        <v>99.5</v>
      </c>
      <c r="T56" s="99">
        <f t="shared" si="7"/>
        <v>99.5</v>
      </c>
      <c r="U56" s="99">
        <f t="shared" si="7"/>
        <v>99.5</v>
      </c>
      <c r="V56" s="99">
        <f t="shared" si="7"/>
        <v>99.5</v>
      </c>
      <c r="W56" s="99">
        <f t="shared" si="7"/>
        <v>99.5</v>
      </c>
      <c r="X56" s="99">
        <f t="shared" si="7"/>
        <v>99.5</v>
      </c>
      <c r="Y56" s="99">
        <f t="shared" si="7"/>
        <v>99.5</v>
      </c>
      <c r="Z56" s="99">
        <f t="shared" si="7"/>
        <v>99.5</v>
      </c>
      <c r="AA56" s="99">
        <f t="shared" si="7"/>
        <v>99.5</v>
      </c>
      <c r="AB56" s="99">
        <f t="shared" si="7"/>
        <v>100</v>
      </c>
      <c r="AC56" s="99">
        <f t="shared" si="7"/>
        <v>99.600000000000009</v>
      </c>
      <c r="AD56" s="99">
        <f t="shared" si="7"/>
        <v>64.7</v>
      </c>
      <c r="AE56" s="99">
        <f t="shared" si="7"/>
        <v>100.39999999999999</v>
      </c>
      <c r="AF56" s="99">
        <f t="shared" si="7"/>
        <v>101.1</v>
      </c>
      <c r="AG56" s="98">
        <f>SUM(AG53:AG55)</f>
        <v>106</v>
      </c>
      <c r="AH56" s="21">
        <f t="shared" si="2"/>
        <v>101.1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53</v>
      </c>
      <c r="C57" s="103">
        <v>73</v>
      </c>
      <c r="D57" s="103">
        <v>73</v>
      </c>
      <c r="E57" s="103">
        <v>71</v>
      </c>
      <c r="F57" s="103">
        <v>71</v>
      </c>
      <c r="G57" s="103">
        <v>69</v>
      </c>
      <c r="H57" s="103">
        <v>60</v>
      </c>
      <c r="I57" s="103">
        <v>68</v>
      </c>
      <c r="J57" s="103">
        <v>61</v>
      </c>
      <c r="K57" s="103">
        <v>28</v>
      </c>
      <c r="L57" s="103">
        <v>30</v>
      </c>
      <c r="M57" s="103">
        <v>55.5</v>
      </c>
      <c r="N57" s="103">
        <v>72.5</v>
      </c>
      <c r="O57" s="103">
        <v>62</v>
      </c>
      <c r="P57" s="103">
        <v>65.900000000000006</v>
      </c>
      <c r="Q57" s="103">
        <v>19.57</v>
      </c>
      <c r="R57" s="103">
        <v>73.400000000000006</v>
      </c>
      <c r="S57" s="103">
        <v>74</v>
      </c>
      <c r="T57" s="103">
        <v>70</v>
      </c>
      <c r="U57" s="103">
        <v>67.3</v>
      </c>
      <c r="V57" s="103">
        <v>43.6</v>
      </c>
      <c r="W57" s="103">
        <v>52</v>
      </c>
      <c r="X57" s="103">
        <v>50.2</v>
      </c>
      <c r="Y57" s="103">
        <v>58</v>
      </c>
      <c r="Z57" s="103">
        <v>22</v>
      </c>
      <c r="AA57" s="103">
        <v>22</v>
      </c>
      <c r="AB57" s="103">
        <v>21.25</v>
      </c>
      <c r="AC57" s="103">
        <v>58.2</v>
      </c>
      <c r="AD57" s="103">
        <v>55.9</v>
      </c>
      <c r="AE57" s="103">
        <v>30.6</v>
      </c>
      <c r="AF57" s="103">
        <v>28.6</v>
      </c>
      <c r="AG57" s="108"/>
      <c r="AH57" s="21">
        <f t="shared" si="2"/>
        <v>74</v>
      </c>
      <c r="AI57" s="20">
        <f t="shared" si="3"/>
        <v>19.57</v>
      </c>
      <c r="AK57" s="42"/>
    </row>
    <row r="58" spans="1:37" x14ac:dyDescent="0.25">
      <c r="A58" s="107" t="s">
        <v>138</v>
      </c>
      <c r="B58" s="73">
        <v>99</v>
      </c>
      <c r="C58" s="73">
        <v>99</v>
      </c>
      <c r="D58" s="73">
        <v>100</v>
      </c>
      <c r="E58" s="73">
        <v>72</v>
      </c>
      <c r="F58" s="73">
        <v>83</v>
      </c>
      <c r="G58" s="73">
        <v>168</v>
      </c>
      <c r="H58" s="73">
        <v>167</v>
      </c>
      <c r="I58" s="73">
        <v>165</v>
      </c>
      <c r="J58" s="73">
        <v>165</v>
      </c>
      <c r="K58" s="73">
        <v>121</v>
      </c>
      <c r="L58" s="73">
        <v>124</v>
      </c>
      <c r="M58" s="73">
        <v>130</v>
      </c>
      <c r="N58" s="73">
        <v>110</v>
      </c>
      <c r="O58" s="73">
        <v>110.3</v>
      </c>
      <c r="P58" s="73">
        <v>108</v>
      </c>
      <c r="Q58" s="103">
        <f>103+20</f>
        <v>123</v>
      </c>
      <c r="R58" s="103">
        <v>113</v>
      </c>
      <c r="S58" s="103">
        <f>114.1</f>
        <v>114.1</v>
      </c>
      <c r="T58" s="103">
        <v>99</v>
      </c>
      <c r="U58" s="103">
        <v>110.7</v>
      </c>
      <c r="V58" s="103">
        <v>151</v>
      </c>
      <c r="W58" s="103">
        <f>121.9+32</f>
        <v>153.9</v>
      </c>
      <c r="X58" s="116">
        <f>32+121</f>
        <v>153</v>
      </c>
      <c r="Y58" s="116">
        <f>130+41</f>
        <v>171</v>
      </c>
      <c r="Z58" s="116">
        <v>126</v>
      </c>
      <c r="AA58" s="116">
        <f>109+41</f>
        <v>150</v>
      </c>
      <c r="AB58" s="73">
        <f>105.1+44</f>
        <v>149.1</v>
      </c>
      <c r="AC58" s="73">
        <v>145</v>
      </c>
      <c r="AD58" s="73">
        <v>140</v>
      </c>
      <c r="AE58" s="73">
        <v>145</v>
      </c>
      <c r="AF58" s="73">
        <v>138</v>
      </c>
      <c r="AG58" s="106"/>
      <c r="AH58" s="21">
        <f t="shared" si="2"/>
        <v>171</v>
      </c>
      <c r="AI58" s="20">
        <f t="shared" si="3"/>
        <v>72</v>
      </c>
      <c r="AK58" s="42"/>
    </row>
    <row r="59" spans="1:37" x14ac:dyDescent="0.25">
      <c r="A59" s="107" t="s">
        <v>155</v>
      </c>
      <c r="B59" s="73">
        <v>8</v>
      </c>
      <c r="C59" s="73">
        <v>140</v>
      </c>
      <c r="D59" s="73">
        <v>9</v>
      </c>
      <c r="E59" s="73">
        <v>291</v>
      </c>
      <c r="F59" s="73">
        <v>301</v>
      </c>
      <c r="G59" s="73">
        <v>111</v>
      </c>
      <c r="H59" s="103">
        <v>14</v>
      </c>
      <c r="I59" s="103">
        <v>109</v>
      </c>
      <c r="J59" s="103">
        <v>46</v>
      </c>
      <c r="K59" s="103">
        <v>65</v>
      </c>
      <c r="L59" s="103">
        <v>52</v>
      </c>
      <c r="M59" s="103">
        <v>40</v>
      </c>
      <c r="N59" s="103">
        <v>116</v>
      </c>
      <c r="O59" s="103">
        <v>47</v>
      </c>
      <c r="P59" s="103">
        <v>20</v>
      </c>
      <c r="Q59" s="73">
        <v>0</v>
      </c>
      <c r="R59" s="73">
        <v>0</v>
      </c>
      <c r="S59" s="73">
        <v>131.6</v>
      </c>
      <c r="T59" s="73">
        <v>125.3</v>
      </c>
      <c r="U59" s="73">
        <v>40.299999999999997</v>
      </c>
      <c r="V59" s="73">
        <v>38.1</v>
      </c>
      <c r="W59" s="73">
        <v>69.099999999999994</v>
      </c>
      <c r="X59" s="115">
        <v>54.4</v>
      </c>
      <c r="Y59" s="115">
        <v>40.6</v>
      </c>
      <c r="Z59" s="115">
        <v>60</v>
      </c>
      <c r="AA59" s="115">
        <v>35</v>
      </c>
      <c r="AB59" s="73">
        <v>59.8</v>
      </c>
      <c r="AC59" s="73">
        <v>37.799999999999997</v>
      </c>
      <c r="AD59" s="73">
        <v>45</v>
      </c>
      <c r="AE59" s="73">
        <v>15</v>
      </c>
      <c r="AF59" s="73">
        <v>12</v>
      </c>
      <c r="AG59" s="113"/>
      <c r="AH59" s="21">
        <f t="shared" si="2"/>
        <v>301</v>
      </c>
      <c r="AI59" s="20">
        <f t="shared" si="3"/>
        <v>0</v>
      </c>
      <c r="AK59" s="42"/>
    </row>
    <row r="60" spans="1:37" x14ac:dyDescent="0.25">
      <c r="A60" s="107" t="s">
        <v>139</v>
      </c>
      <c r="B60" s="77">
        <v>55</v>
      </c>
      <c r="C60" s="77">
        <v>50</v>
      </c>
      <c r="D60" s="77">
        <v>55</v>
      </c>
      <c r="E60" s="77">
        <v>50</v>
      </c>
      <c r="F60" s="77">
        <v>48</v>
      </c>
      <c r="G60" s="77">
        <v>48</v>
      </c>
      <c r="H60" s="77">
        <v>48</v>
      </c>
      <c r="I60" s="77">
        <v>48</v>
      </c>
      <c r="J60" s="77">
        <v>42.5</v>
      </c>
      <c r="K60" s="77">
        <v>47</v>
      </c>
      <c r="L60" s="77">
        <v>48.5</v>
      </c>
      <c r="M60" s="77">
        <v>55</v>
      </c>
      <c r="N60" s="77">
        <v>57.6</v>
      </c>
      <c r="O60" s="77">
        <v>58.5</v>
      </c>
      <c r="P60" s="77">
        <v>52.2</v>
      </c>
      <c r="Q60" s="73">
        <v>52.4</v>
      </c>
      <c r="R60" s="73">
        <v>51.8</v>
      </c>
      <c r="S60" s="73">
        <v>51.8</v>
      </c>
      <c r="T60" s="73">
        <v>51.8</v>
      </c>
      <c r="U60" s="73">
        <v>57</v>
      </c>
      <c r="V60" s="73">
        <v>56.6</v>
      </c>
      <c r="W60" s="73">
        <v>56.9</v>
      </c>
      <c r="X60" s="73">
        <v>56.9</v>
      </c>
      <c r="Y60" s="73">
        <v>56.9</v>
      </c>
      <c r="Z60" s="73">
        <v>53.7</v>
      </c>
      <c r="AA60" s="73">
        <v>53.7</v>
      </c>
      <c r="AB60" s="73">
        <v>54.1</v>
      </c>
      <c r="AC60" s="73">
        <v>51.3</v>
      </c>
      <c r="AD60" s="73">
        <v>53</v>
      </c>
      <c r="AE60" s="73">
        <v>50.8</v>
      </c>
      <c r="AF60" s="77">
        <v>51.2</v>
      </c>
      <c r="AG60" s="113"/>
      <c r="AH60" s="21">
        <f t="shared" si="2"/>
        <v>58.5</v>
      </c>
      <c r="AI60" s="20">
        <f t="shared" si="3"/>
        <v>42.5</v>
      </c>
      <c r="AK60" s="42"/>
    </row>
    <row r="61" spans="1:37" x14ac:dyDescent="0.25">
      <c r="A61" s="107" t="s">
        <v>154</v>
      </c>
      <c r="B61" s="103">
        <v>85</v>
      </c>
      <c r="C61" s="77">
        <v>83</v>
      </c>
      <c r="D61" s="77">
        <v>74</v>
      </c>
      <c r="E61" s="77">
        <v>75</v>
      </c>
      <c r="F61" s="77">
        <v>78</v>
      </c>
      <c r="G61" s="77">
        <v>70.7</v>
      </c>
      <c r="H61" s="77">
        <v>76</v>
      </c>
      <c r="I61" s="77">
        <v>73</v>
      </c>
      <c r="J61" s="77">
        <v>76.900000000000006</v>
      </c>
      <c r="K61" s="77">
        <v>70.900000000000006</v>
      </c>
      <c r="L61" s="77">
        <v>76.8</v>
      </c>
      <c r="M61" s="77">
        <v>68.900000000000006</v>
      </c>
      <c r="N61" s="77">
        <v>65.8</v>
      </c>
      <c r="O61" s="77">
        <v>79.599999999999994</v>
      </c>
      <c r="P61" s="77">
        <v>70.599999999999994</v>
      </c>
      <c r="Q61" s="103">
        <v>84.3</v>
      </c>
      <c r="R61" s="103">
        <v>71.8</v>
      </c>
      <c r="S61" s="103">
        <v>71.8</v>
      </c>
      <c r="T61" s="103">
        <v>87.2</v>
      </c>
      <c r="U61" s="103">
        <v>80.599999999999994</v>
      </c>
      <c r="V61" s="103">
        <v>74.7</v>
      </c>
      <c r="W61" s="103">
        <v>70.3</v>
      </c>
      <c r="X61" s="103">
        <v>64.8</v>
      </c>
      <c r="Y61" s="103">
        <v>77.099999999999994</v>
      </c>
      <c r="Z61" s="103">
        <v>83</v>
      </c>
      <c r="AA61" s="103">
        <v>74.599999999999994</v>
      </c>
      <c r="AB61" s="103">
        <v>74.5</v>
      </c>
      <c r="AC61" s="103">
        <v>75.3</v>
      </c>
      <c r="AD61" s="103">
        <v>78</v>
      </c>
      <c r="AE61" s="103">
        <v>78.900000000000006</v>
      </c>
      <c r="AF61" s="103">
        <v>83.2</v>
      </c>
      <c r="AG61" s="113"/>
      <c r="AH61" s="21">
        <f t="shared" si="2"/>
        <v>87.2</v>
      </c>
      <c r="AI61" s="20">
        <f t="shared" si="3"/>
        <v>64.8</v>
      </c>
      <c r="AK61" s="42"/>
    </row>
    <row r="62" spans="1:37" x14ac:dyDescent="0.25">
      <c r="A62" s="107" t="s">
        <v>153</v>
      </c>
      <c r="B62" s="67">
        <v>0</v>
      </c>
      <c r="C62" s="67">
        <v>0</v>
      </c>
      <c r="D62" s="67">
        <v>0</v>
      </c>
      <c r="E62" s="67">
        <v>0</v>
      </c>
      <c r="F62" s="67">
        <v>0</v>
      </c>
      <c r="G62" s="67">
        <v>0</v>
      </c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0</v>
      </c>
      <c r="N62" s="67">
        <v>0</v>
      </c>
      <c r="O62" s="67">
        <v>0</v>
      </c>
      <c r="P62" s="67">
        <v>0</v>
      </c>
      <c r="Q62" s="67">
        <v>0</v>
      </c>
      <c r="R62" s="67">
        <v>0</v>
      </c>
      <c r="S62" s="67">
        <v>0</v>
      </c>
      <c r="T62" s="67">
        <v>0</v>
      </c>
      <c r="U62" s="67">
        <v>5</v>
      </c>
      <c r="V62" s="67">
        <v>5</v>
      </c>
      <c r="W62" s="67">
        <v>5</v>
      </c>
      <c r="X62" s="67">
        <v>5</v>
      </c>
      <c r="Y62" s="67">
        <v>5</v>
      </c>
      <c r="Z62" s="67">
        <v>8</v>
      </c>
      <c r="AA62" s="67">
        <v>8</v>
      </c>
      <c r="AB62" s="67">
        <v>8</v>
      </c>
      <c r="AC62" s="67">
        <v>0</v>
      </c>
      <c r="AD62" s="67">
        <v>0</v>
      </c>
      <c r="AE62" s="67">
        <v>9</v>
      </c>
      <c r="AF62" s="67">
        <v>9</v>
      </c>
      <c r="AG62" s="113"/>
      <c r="AH62" s="21">
        <f t="shared" si="2"/>
        <v>9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67">
        <v>0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0</v>
      </c>
      <c r="N66" s="67">
        <v>0</v>
      </c>
      <c r="O66" s="67">
        <v>0</v>
      </c>
      <c r="P66" s="67">
        <v>0</v>
      </c>
      <c r="Q66" s="70">
        <v>0</v>
      </c>
      <c r="R66" s="70">
        <v>0</v>
      </c>
      <c r="S66" s="70">
        <v>0</v>
      </c>
      <c r="T66" s="70">
        <v>0</v>
      </c>
      <c r="U66" s="70">
        <v>5</v>
      </c>
      <c r="V66" s="70">
        <v>5</v>
      </c>
      <c r="W66" s="70">
        <v>5</v>
      </c>
      <c r="X66" s="70">
        <v>5</v>
      </c>
      <c r="Y66" s="70">
        <v>5</v>
      </c>
      <c r="Z66" s="70">
        <v>5</v>
      </c>
      <c r="AA66" s="70">
        <v>5</v>
      </c>
      <c r="AB66" s="70">
        <v>5</v>
      </c>
      <c r="AC66" s="70">
        <v>0</v>
      </c>
      <c r="AD66" s="70">
        <v>0</v>
      </c>
      <c r="AE66" s="70">
        <v>6</v>
      </c>
      <c r="AF66" s="70">
        <v>6</v>
      </c>
      <c r="AG66" s="102"/>
      <c r="AH66" s="21">
        <f t="shared" si="2"/>
        <v>6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67">
        <v>0</v>
      </c>
      <c r="C67" s="67">
        <v>0</v>
      </c>
      <c r="D67" s="67">
        <v>0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300</v>
      </c>
      <c r="C68" s="99">
        <f>SUM(C57:C67)</f>
        <v>445</v>
      </c>
      <c r="D68" s="99">
        <f t="shared" ref="D68:AF68" si="8">SUM(D57:D67)</f>
        <v>311</v>
      </c>
      <c r="E68" s="99">
        <f t="shared" si="8"/>
        <v>559</v>
      </c>
      <c r="F68" s="99">
        <f t="shared" si="8"/>
        <v>581</v>
      </c>
      <c r="G68" s="99">
        <f t="shared" si="8"/>
        <v>466.7</v>
      </c>
      <c r="H68" s="99">
        <f t="shared" si="8"/>
        <v>365</v>
      </c>
      <c r="I68" s="99">
        <f t="shared" si="8"/>
        <v>463</v>
      </c>
      <c r="J68" s="99">
        <f t="shared" si="8"/>
        <v>391.4</v>
      </c>
      <c r="K68" s="99">
        <f t="shared" si="8"/>
        <v>331.9</v>
      </c>
      <c r="L68" s="99">
        <f t="shared" si="8"/>
        <v>331.3</v>
      </c>
      <c r="M68" s="99">
        <f t="shared" si="8"/>
        <v>349.4</v>
      </c>
      <c r="N68" s="99">
        <f t="shared" si="8"/>
        <v>421.90000000000003</v>
      </c>
      <c r="O68" s="99">
        <f t="shared" si="8"/>
        <v>357.4</v>
      </c>
      <c r="P68" s="99">
        <f t="shared" si="8"/>
        <v>316.70000000000005</v>
      </c>
      <c r="Q68" s="99">
        <f t="shared" si="8"/>
        <v>279.27</v>
      </c>
      <c r="R68" s="99">
        <f t="shared" si="8"/>
        <v>310</v>
      </c>
      <c r="S68" s="99">
        <f t="shared" si="8"/>
        <v>443.3</v>
      </c>
      <c r="T68" s="99">
        <f t="shared" si="8"/>
        <v>433.3</v>
      </c>
      <c r="U68" s="99">
        <f t="shared" si="8"/>
        <v>365.9</v>
      </c>
      <c r="V68" s="99">
        <f t="shared" si="8"/>
        <v>374</v>
      </c>
      <c r="W68" s="99">
        <f t="shared" si="8"/>
        <v>412.2</v>
      </c>
      <c r="X68" s="99">
        <f t="shared" si="8"/>
        <v>389.29999999999995</v>
      </c>
      <c r="Y68" s="99">
        <f t="shared" si="8"/>
        <v>413.6</v>
      </c>
      <c r="Z68" s="99">
        <f t="shared" si="8"/>
        <v>357.7</v>
      </c>
      <c r="AA68" s="99">
        <f t="shared" si="8"/>
        <v>348.29999999999995</v>
      </c>
      <c r="AB68" s="99">
        <f t="shared" si="8"/>
        <v>371.75</v>
      </c>
      <c r="AC68" s="99">
        <f t="shared" si="8"/>
        <v>367.6</v>
      </c>
      <c r="AD68" s="99">
        <f t="shared" si="8"/>
        <v>371.9</v>
      </c>
      <c r="AE68" s="99">
        <f t="shared" si="8"/>
        <v>335.29999999999995</v>
      </c>
      <c r="AF68" s="99">
        <f t="shared" si="8"/>
        <v>328</v>
      </c>
      <c r="AG68" s="98">
        <f>SUM(AG57:AG67)</f>
        <v>0</v>
      </c>
      <c r="AH68" s="21">
        <f t="shared" si="2"/>
        <v>581</v>
      </c>
      <c r="AI68" s="20">
        <f t="shared" si="3"/>
        <v>279.27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1183.6400000000001</v>
      </c>
      <c r="C73" s="110">
        <f>C68+C56+C52+C38+C72</f>
        <v>1170.24</v>
      </c>
      <c r="D73" s="110">
        <f t="shared" ref="D73:AG73" si="10">D68+D56+D52+D38+D72</f>
        <v>1138.04</v>
      </c>
      <c r="E73" s="110">
        <f t="shared" si="10"/>
        <v>1129.8400000000001</v>
      </c>
      <c r="F73" s="110">
        <f t="shared" si="10"/>
        <v>1123.3400000000001</v>
      </c>
      <c r="G73" s="110">
        <f t="shared" si="10"/>
        <v>1123.54</v>
      </c>
      <c r="H73" s="110">
        <f t="shared" si="10"/>
        <v>1180.8400000000001</v>
      </c>
      <c r="I73" s="110">
        <f t="shared" si="10"/>
        <v>1229.8400000000001</v>
      </c>
      <c r="J73" s="110">
        <f t="shared" si="10"/>
        <v>1308.8400000000001</v>
      </c>
      <c r="K73" s="110">
        <f t="shared" si="10"/>
        <v>1343.74</v>
      </c>
      <c r="L73" s="110">
        <f t="shared" si="10"/>
        <v>1392.14</v>
      </c>
      <c r="M73" s="110">
        <f t="shared" si="10"/>
        <v>1341.54</v>
      </c>
      <c r="N73" s="110">
        <f t="shared" si="10"/>
        <v>1333.0400000000002</v>
      </c>
      <c r="O73" s="110">
        <f t="shared" si="10"/>
        <v>1341.8400000000001</v>
      </c>
      <c r="P73" s="110">
        <f t="shared" si="10"/>
        <v>1312.94</v>
      </c>
      <c r="Q73" s="110">
        <f t="shared" si="10"/>
        <v>1332.01</v>
      </c>
      <c r="R73" s="110">
        <f t="shared" si="10"/>
        <v>1242.74</v>
      </c>
      <c r="S73" s="110">
        <f t="shared" si="10"/>
        <v>1352.6399999999999</v>
      </c>
      <c r="T73" s="110">
        <f t="shared" si="10"/>
        <v>1338.6399999999999</v>
      </c>
      <c r="U73" s="110">
        <f t="shared" si="10"/>
        <v>1377.8400000000001</v>
      </c>
      <c r="V73" s="110">
        <f t="shared" si="10"/>
        <v>1331.74</v>
      </c>
      <c r="W73" s="110">
        <f t="shared" si="10"/>
        <v>1350.8400000000001</v>
      </c>
      <c r="X73" s="110">
        <f t="shared" si="10"/>
        <v>1337.94</v>
      </c>
      <c r="Y73" s="110">
        <f t="shared" si="10"/>
        <v>1401.44</v>
      </c>
      <c r="Z73" s="110">
        <f t="shared" si="10"/>
        <v>1518.04</v>
      </c>
      <c r="AA73" s="110">
        <f t="shared" si="10"/>
        <v>1464.74</v>
      </c>
      <c r="AB73" s="110">
        <f t="shared" si="10"/>
        <v>1454.19</v>
      </c>
      <c r="AC73" s="110">
        <f t="shared" si="10"/>
        <v>1379.2400000000002</v>
      </c>
      <c r="AD73" s="110">
        <f t="shared" si="10"/>
        <v>1349.24</v>
      </c>
      <c r="AE73" s="110">
        <f t="shared" si="10"/>
        <v>1263.44</v>
      </c>
      <c r="AF73" s="110">
        <f t="shared" si="10"/>
        <v>1188.24</v>
      </c>
      <c r="AG73" s="110">
        <f t="shared" si="10"/>
        <v>2144.14</v>
      </c>
      <c r="AH73" s="21">
        <f t="shared" si="2"/>
        <v>1518.04</v>
      </c>
      <c r="AI73" s="20">
        <f t="shared" si="3"/>
        <v>1123.3400000000001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>
        <v>30</v>
      </c>
      <c r="Y74" s="111">
        <v>30</v>
      </c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30</v>
      </c>
      <c r="AI74" s="20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1183.6400000000001</v>
      </c>
      <c r="C75" s="110">
        <f>C73+C74</f>
        <v>1170.24</v>
      </c>
      <c r="D75" s="110">
        <f t="shared" ref="D75:AF75" si="11">D72+D68+D56+D52+D38+D74</f>
        <v>1138.04</v>
      </c>
      <c r="E75" s="110">
        <f t="shared" si="11"/>
        <v>1129.8400000000001</v>
      </c>
      <c r="F75" s="110">
        <f t="shared" si="11"/>
        <v>1123.3400000000001</v>
      </c>
      <c r="G75" s="110">
        <f t="shared" si="11"/>
        <v>1123.54</v>
      </c>
      <c r="H75" s="110">
        <f t="shared" si="11"/>
        <v>1180.8400000000001</v>
      </c>
      <c r="I75" s="110">
        <f t="shared" si="11"/>
        <v>1229.8400000000001</v>
      </c>
      <c r="J75" s="110">
        <f t="shared" si="11"/>
        <v>1308.8400000000001</v>
      </c>
      <c r="K75" s="110">
        <f t="shared" si="11"/>
        <v>1343.74</v>
      </c>
      <c r="L75" s="110">
        <f t="shared" si="11"/>
        <v>1392.14</v>
      </c>
      <c r="M75" s="110">
        <f t="shared" si="11"/>
        <v>1341.54</v>
      </c>
      <c r="N75" s="110">
        <f t="shared" si="11"/>
        <v>1333.0400000000002</v>
      </c>
      <c r="O75" s="110">
        <f t="shared" si="11"/>
        <v>1341.8400000000001</v>
      </c>
      <c r="P75" s="110">
        <f t="shared" si="11"/>
        <v>1312.94</v>
      </c>
      <c r="Q75" s="110">
        <f t="shared" si="11"/>
        <v>1332.01</v>
      </c>
      <c r="R75" s="110">
        <f t="shared" si="11"/>
        <v>1242.74</v>
      </c>
      <c r="S75" s="110">
        <f t="shared" si="11"/>
        <v>1352.6399999999999</v>
      </c>
      <c r="T75" s="110">
        <f t="shared" si="11"/>
        <v>1338.6399999999999</v>
      </c>
      <c r="U75" s="110">
        <f t="shared" si="11"/>
        <v>1377.8400000000001</v>
      </c>
      <c r="V75" s="110">
        <f t="shared" si="11"/>
        <v>1331.74</v>
      </c>
      <c r="W75" s="110">
        <f t="shared" si="11"/>
        <v>1350.8400000000001</v>
      </c>
      <c r="X75" s="110">
        <f t="shared" si="11"/>
        <v>1367.94</v>
      </c>
      <c r="Y75" s="110">
        <f t="shared" si="11"/>
        <v>1431.44</v>
      </c>
      <c r="Z75" s="110">
        <f t="shared" si="11"/>
        <v>1518.04</v>
      </c>
      <c r="AA75" s="110">
        <f t="shared" si="11"/>
        <v>1464.74</v>
      </c>
      <c r="AB75" s="110">
        <f t="shared" si="11"/>
        <v>1454.19</v>
      </c>
      <c r="AC75" s="110">
        <f t="shared" si="11"/>
        <v>1379.2400000000002</v>
      </c>
      <c r="AD75" s="110">
        <f t="shared" si="11"/>
        <v>1349.24</v>
      </c>
      <c r="AE75" s="110">
        <f t="shared" si="11"/>
        <v>1263.44</v>
      </c>
      <c r="AF75" s="110">
        <f t="shared" si="11"/>
        <v>1188.24</v>
      </c>
      <c r="AG75" s="98">
        <f>AG72+AG68+AG56+AG52+AG38+AG74</f>
        <v>2144.14</v>
      </c>
      <c r="AH75" s="21">
        <f t="shared" si="2"/>
        <v>1518.04</v>
      </c>
      <c r="AI75" s="20">
        <f t="shared" si="3"/>
        <v>1123.3400000000001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2367.2800000000002</v>
      </c>
      <c r="C83" s="99">
        <f t="shared" ref="C83:AG83" si="20">SUM(C70:C82)</f>
        <v>2340.48</v>
      </c>
      <c r="D83" s="99">
        <f t="shared" si="20"/>
        <v>2276.08</v>
      </c>
      <c r="E83" s="99">
        <f t="shared" si="20"/>
        <v>2259.6800000000003</v>
      </c>
      <c r="F83" s="99">
        <f t="shared" si="20"/>
        <v>2246.6800000000003</v>
      </c>
      <c r="G83" s="99">
        <f t="shared" si="20"/>
        <v>2247.08</v>
      </c>
      <c r="H83" s="99">
        <f t="shared" si="20"/>
        <v>2361.6800000000003</v>
      </c>
      <c r="I83" s="99">
        <f t="shared" si="20"/>
        <v>2459.6800000000003</v>
      </c>
      <c r="J83" s="99">
        <f t="shared" si="20"/>
        <v>2617.6800000000003</v>
      </c>
      <c r="K83" s="99">
        <f t="shared" si="20"/>
        <v>2687.48</v>
      </c>
      <c r="L83" s="99">
        <f t="shared" si="20"/>
        <v>2784.28</v>
      </c>
      <c r="M83" s="99">
        <f t="shared" si="20"/>
        <v>2683.08</v>
      </c>
      <c r="N83" s="99">
        <f t="shared" si="20"/>
        <v>2666.0800000000004</v>
      </c>
      <c r="O83" s="99">
        <f t="shared" si="20"/>
        <v>2683.6800000000003</v>
      </c>
      <c r="P83" s="99">
        <f t="shared" si="20"/>
        <v>2625.88</v>
      </c>
      <c r="Q83" s="99">
        <f t="shared" si="20"/>
        <v>2664.02</v>
      </c>
      <c r="R83" s="99">
        <f t="shared" si="20"/>
        <v>2485.48</v>
      </c>
      <c r="S83" s="99">
        <f t="shared" si="20"/>
        <v>2705.2799999999997</v>
      </c>
      <c r="T83" s="99">
        <f t="shared" si="20"/>
        <v>2677.2799999999997</v>
      </c>
      <c r="U83" s="99">
        <f t="shared" si="20"/>
        <v>2755.6800000000003</v>
      </c>
      <c r="V83" s="99">
        <f t="shared" si="20"/>
        <v>2663.48</v>
      </c>
      <c r="W83" s="99">
        <f t="shared" si="20"/>
        <v>2701.6800000000003</v>
      </c>
      <c r="X83" s="99">
        <f t="shared" si="20"/>
        <v>2735.88</v>
      </c>
      <c r="Y83" s="99">
        <f t="shared" si="20"/>
        <v>2862.88</v>
      </c>
      <c r="Z83" s="99">
        <f t="shared" si="20"/>
        <v>3036.08</v>
      </c>
      <c r="AA83" s="99">
        <f t="shared" si="20"/>
        <v>2929.48</v>
      </c>
      <c r="AB83" s="99">
        <f t="shared" si="20"/>
        <v>2908.38</v>
      </c>
      <c r="AC83" s="99">
        <f t="shared" si="20"/>
        <v>2758.4800000000005</v>
      </c>
      <c r="AD83" s="99">
        <f t="shared" si="20"/>
        <v>2698.48</v>
      </c>
      <c r="AE83" s="99">
        <f t="shared" si="20"/>
        <v>2526.88</v>
      </c>
      <c r="AF83" s="99">
        <f t="shared" si="20"/>
        <v>2376.48</v>
      </c>
      <c r="AG83" s="98">
        <f t="shared" si="20"/>
        <v>4360.08</v>
      </c>
      <c r="AH83" s="21">
        <f t="shared" si="13"/>
        <v>3036.08</v>
      </c>
      <c r="AI83" s="20">
        <f t="shared" si="14"/>
        <v>2246.6800000000003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49.87</v>
      </c>
      <c r="C84" s="96">
        <v>49.99</v>
      </c>
      <c r="D84" s="96">
        <v>49.85</v>
      </c>
      <c r="E84" s="96">
        <v>49.942999999999998</v>
      </c>
      <c r="F84" s="96">
        <v>50.027999999999999</v>
      </c>
      <c r="G84" s="96">
        <v>49.956000000000003</v>
      </c>
      <c r="H84" s="96">
        <v>49.981999999999999</v>
      </c>
      <c r="I84" s="96">
        <v>50.01</v>
      </c>
      <c r="J84" s="96">
        <v>50.015999999999998</v>
      </c>
      <c r="K84" s="96">
        <v>49.972000000000001</v>
      </c>
      <c r="L84" s="96">
        <v>49.994999999999997</v>
      </c>
      <c r="M84" s="96">
        <v>49.97</v>
      </c>
      <c r="N84" s="96">
        <v>50.02</v>
      </c>
      <c r="O84" s="96">
        <v>50.04</v>
      </c>
      <c r="P84" s="96">
        <v>49.94</v>
      </c>
      <c r="Q84" s="96">
        <v>49.98</v>
      </c>
      <c r="R84" s="96">
        <v>50.07</v>
      </c>
      <c r="S84" s="96">
        <v>49.768999999999998</v>
      </c>
      <c r="T84" s="96">
        <v>49.749000000000002</v>
      </c>
      <c r="U84" s="96">
        <v>49.734999999999999</v>
      </c>
      <c r="V84" s="96">
        <v>49.817</v>
      </c>
      <c r="W84" s="96">
        <v>50.067</v>
      </c>
      <c r="X84" s="96">
        <v>49.98</v>
      </c>
      <c r="Y84" s="96">
        <v>50.045000000000002</v>
      </c>
      <c r="Z84" s="96">
        <v>49.948999999999998</v>
      </c>
      <c r="AA84" s="96">
        <v>50.034999999999997</v>
      </c>
      <c r="AB84" s="96">
        <v>50.034999999999997</v>
      </c>
      <c r="AC84" s="96">
        <v>50.031999999999996</v>
      </c>
      <c r="AD84" s="96">
        <v>49.991</v>
      </c>
      <c r="AE84" s="96">
        <v>50.01</v>
      </c>
      <c r="AF84" s="96">
        <v>49.99</v>
      </c>
      <c r="AG84" s="95"/>
      <c r="AH84" s="21">
        <f t="shared" si="13"/>
        <v>50.07</v>
      </c>
      <c r="AI84" s="20">
        <f t="shared" si="14"/>
        <v>49.734999999999999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130</v>
      </c>
      <c r="C85" s="73">
        <v>130.6</v>
      </c>
      <c r="D85" s="73">
        <v>130.6</v>
      </c>
      <c r="E85" s="73">
        <v>127</v>
      </c>
      <c r="F85" s="73">
        <v>127</v>
      </c>
      <c r="G85" s="73">
        <v>130</v>
      </c>
      <c r="H85" s="73">
        <v>130</v>
      </c>
      <c r="I85" s="73">
        <v>129</v>
      </c>
      <c r="J85" s="73">
        <v>127</v>
      </c>
      <c r="K85" s="73">
        <v>126</v>
      </c>
      <c r="L85" s="73">
        <v>126</v>
      </c>
      <c r="M85" s="73">
        <v>126.4</v>
      </c>
      <c r="N85" s="73">
        <v>126</v>
      </c>
      <c r="O85" s="73">
        <v>126.6</v>
      </c>
      <c r="P85" s="73">
        <v>126.6</v>
      </c>
      <c r="Q85" s="73">
        <v>126.4</v>
      </c>
      <c r="R85" s="73">
        <v>126.7</v>
      </c>
      <c r="S85" s="73">
        <v>126.3</v>
      </c>
      <c r="T85" s="73">
        <v>127</v>
      </c>
      <c r="U85" s="94">
        <v>126.1</v>
      </c>
      <c r="V85" s="94">
        <v>127.8</v>
      </c>
      <c r="W85" s="94">
        <v>128.30000000000001</v>
      </c>
      <c r="X85" s="94">
        <v>128.19999999999999</v>
      </c>
      <c r="Y85" s="94">
        <v>127.9</v>
      </c>
      <c r="Z85" s="94">
        <v>126.9</v>
      </c>
      <c r="AA85" s="94">
        <v>127.4</v>
      </c>
      <c r="AB85" s="73">
        <v>127.5</v>
      </c>
      <c r="AC85" s="73">
        <v>127.7</v>
      </c>
      <c r="AD85" s="73">
        <v>128.4</v>
      </c>
      <c r="AE85" s="73">
        <v>128.5</v>
      </c>
      <c r="AF85" s="73">
        <v>128.69999999999999</v>
      </c>
      <c r="AG85" s="89"/>
      <c r="AH85" s="21">
        <f t="shared" si="13"/>
        <v>130.6</v>
      </c>
      <c r="AI85" s="20">
        <f t="shared" si="14"/>
        <v>126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133</v>
      </c>
      <c r="C86" s="73">
        <v>134</v>
      </c>
      <c r="D86" s="73">
        <v>134</v>
      </c>
      <c r="E86" s="73">
        <v>131</v>
      </c>
      <c r="F86" s="73">
        <v>131</v>
      </c>
      <c r="G86" s="73">
        <v>132</v>
      </c>
      <c r="H86" s="73">
        <v>132</v>
      </c>
      <c r="I86" s="73">
        <v>132</v>
      </c>
      <c r="J86" s="73">
        <v>130</v>
      </c>
      <c r="K86" s="73">
        <v>128</v>
      </c>
      <c r="L86" s="73">
        <v>128</v>
      </c>
      <c r="M86" s="73">
        <v>128.5</v>
      </c>
      <c r="N86" s="73">
        <v>128.5</v>
      </c>
      <c r="O86" s="73">
        <v>129.4</v>
      </c>
      <c r="P86" s="73">
        <v>129.4</v>
      </c>
      <c r="Q86" s="73">
        <v>129.4</v>
      </c>
      <c r="R86" s="73">
        <v>129.6</v>
      </c>
      <c r="S86" s="73">
        <v>129.1</v>
      </c>
      <c r="T86" s="73">
        <v>129.5</v>
      </c>
      <c r="U86" s="94">
        <v>128.69999999999999</v>
      </c>
      <c r="V86" s="94">
        <v>130.4</v>
      </c>
      <c r="W86" s="94">
        <v>131</v>
      </c>
      <c r="X86" s="94">
        <v>130.80000000000001</v>
      </c>
      <c r="Y86" s="94">
        <v>129.69999999999999</v>
      </c>
      <c r="Z86" s="94">
        <v>129</v>
      </c>
      <c r="AA86" s="94">
        <v>129.69999999999999</v>
      </c>
      <c r="AB86" s="73">
        <v>130.4</v>
      </c>
      <c r="AC86" s="73">
        <v>130.19999999999999</v>
      </c>
      <c r="AD86" s="73">
        <v>131.30000000000001</v>
      </c>
      <c r="AE86" s="73">
        <v>131.4</v>
      </c>
      <c r="AF86" s="73">
        <v>131.69999999999999</v>
      </c>
      <c r="AG86" s="89"/>
      <c r="AH86" s="21">
        <f t="shared" si="13"/>
        <v>134</v>
      </c>
      <c r="AI86" s="20">
        <f t="shared" si="14"/>
        <v>128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131</v>
      </c>
      <c r="C87" s="73">
        <v>132</v>
      </c>
      <c r="D87" s="73">
        <v>132</v>
      </c>
      <c r="E87" s="73">
        <v>127</v>
      </c>
      <c r="F87" s="73">
        <v>127</v>
      </c>
      <c r="G87" s="73">
        <v>129</v>
      </c>
      <c r="H87" s="73">
        <v>128</v>
      </c>
      <c r="I87" s="73">
        <v>129</v>
      </c>
      <c r="J87" s="73">
        <v>130</v>
      </c>
      <c r="K87" s="73">
        <v>131</v>
      </c>
      <c r="L87" s="73">
        <v>131</v>
      </c>
      <c r="M87" s="73">
        <v>129.80000000000001</v>
      </c>
      <c r="N87" s="73">
        <v>128.5</v>
      </c>
      <c r="O87" s="73">
        <v>128.30000000000001</v>
      </c>
      <c r="P87" s="73">
        <v>130.6</v>
      </c>
      <c r="Q87" s="73">
        <v>127.3</v>
      </c>
      <c r="R87" s="73">
        <v>128.19999999999999</v>
      </c>
      <c r="S87" s="73">
        <v>127.6</v>
      </c>
      <c r="T87" s="73">
        <v>129.19999999999999</v>
      </c>
      <c r="U87" s="73">
        <v>130</v>
      </c>
      <c r="V87" s="73">
        <v>126.6</v>
      </c>
      <c r="W87" s="73">
        <v>126.9</v>
      </c>
      <c r="X87" s="94">
        <v>127</v>
      </c>
      <c r="Y87" s="94">
        <v>125.6</v>
      </c>
      <c r="Z87" s="94">
        <v>124.5</v>
      </c>
      <c r="AA87" s="94">
        <v>125.5</v>
      </c>
      <c r="AB87" s="73">
        <v>126.7</v>
      </c>
      <c r="AC87" s="73">
        <v>125.3</v>
      </c>
      <c r="AD87" s="73">
        <v>126.5</v>
      </c>
      <c r="AE87" s="73">
        <v>133.1</v>
      </c>
      <c r="AF87" s="73">
        <v>135</v>
      </c>
      <c r="AG87" s="89"/>
      <c r="AH87" s="21">
        <f t="shared" si="13"/>
        <v>135</v>
      </c>
      <c r="AI87" s="20">
        <f t="shared" si="14"/>
        <v>124.5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134</v>
      </c>
      <c r="C88" s="73">
        <v>132</v>
      </c>
      <c r="D88" s="73">
        <v>132</v>
      </c>
      <c r="E88" s="73">
        <v>128</v>
      </c>
      <c r="F88" s="73">
        <v>128</v>
      </c>
      <c r="G88" s="73">
        <v>130</v>
      </c>
      <c r="H88" s="73">
        <v>129</v>
      </c>
      <c r="I88" s="73">
        <v>129</v>
      </c>
      <c r="J88" s="73">
        <v>132</v>
      </c>
      <c r="K88" s="73">
        <v>132</v>
      </c>
      <c r="L88" s="73">
        <v>132</v>
      </c>
      <c r="M88" s="73">
        <v>130.9</v>
      </c>
      <c r="N88" s="73">
        <v>129.6</v>
      </c>
      <c r="O88" s="73">
        <v>128.9</v>
      </c>
      <c r="P88" s="73"/>
      <c r="Q88" s="73"/>
      <c r="R88" s="73">
        <v>128.9</v>
      </c>
      <c r="S88" s="73">
        <v>127.1</v>
      </c>
      <c r="T88" s="73">
        <v>128.9</v>
      </c>
      <c r="U88" s="73">
        <v>129</v>
      </c>
      <c r="V88" s="73">
        <v>133.80000000000001</v>
      </c>
      <c r="W88" s="73">
        <v>134.5</v>
      </c>
      <c r="X88" s="94">
        <v>135.69999999999999</v>
      </c>
      <c r="Y88" s="94">
        <v>134.19999999999999</v>
      </c>
      <c r="Z88" s="94">
        <v>136.80000000000001</v>
      </c>
      <c r="AA88" s="94">
        <v>133.80000000000001</v>
      </c>
      <c r="AB88" s="73">
        <v>133.19999999999999</v>
      </c>
      <c r="AC88" s="73">
        <v>132.6</v>
      </c>
      <c r="AD88" s="73">
        <v>132.30000000000001</v>
      </c>
      <c r="AE88" s="73">
        <v>132.9</v>
      </c>
      <c r="AF88" s="73">
        <v>135</v>
      </c>
      <c r="AG88" s="89"/>
      <c r="AH88" s="21">
        <f t="shared" si="13"/>
        <v>136.80000000000001</v>
      </c>
      <c r="AI88" s="20">
        <f t="shared" si="14"/>
        <v>127.1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131.4</v>
      </c>
      <c r="C89" s="66">
        <v>134</v>
      </c>
      <c r="D89" s="66">
        <v>134</v>
      </c>
      <c r="E89" s="66">
        <v>129</v>
      </c>
      <c r="F89" s="66">
        <v>129</v>
      </c>
      <c r="G89" s="66">
        <v>132</v>
      </c>
      <c r="H89" s="66">
        <v>132</v>
      </c>
      <c r="I89" s="66">
        <v>136</v>
      </c>
      <c r="J89" s="66">
        <v>135</v>
      </c>
      <c r="K89" s="66">
        <v>131</v>
      </c>
      <c r="L89" s="66">
        <v>131</v>
      </c>
      <c r="M89" s="66">
        <v>134.5</v>
      </c>
      <c r="N89" s="66">
        <v>134.80000000000001</v>
      </c>
      <c r="O89" s="66">
        <v>133.5</v>
      </c>
      <c r="P89" s="66">
        <v>136.69999999999999</v>
      </c>
      <c r="Q89" s="66">
        <v>128.4</v>
      </c>
      <c r="R89" s="66">
        <v>136.19999999999999</v>
      </c>
      <c r="S89" s="66">
        <v>134.4</v>
      </c>
      <c r="T89" s="66">
        <v>132.9</v>
      </c>
      <c r="U89" s="66">
        <v>133.4</v>
      </c>
      <c r="V89" s="66">
        <v>133.6</v>
      </c>
      <c r="W89" s="66">
        <v>135.69999999999999</v>
      </c>
      <c r="X89" s="94">
        <v>131.6</v>
      </c>
      <c r="Y89" s="94">
        <v>134.80000000000001</v>
      </c>
      <c r="Z89" s="94">
        <v>134.5</v>
      </c>
      <c r="AA89" s="94">
        <v>134.30000000000001</v>
      </c>
      <c r="AB89" s="66">
        <v>136.19999999999999</v>
      </c>
      <c r="AC89" s="66">
        <v>131.80000000000001</v>
      </c>
      <c r="AD89" s="66">
        <v>135</v>
      </c>
      <c r="AE89" s="66">
        <v>130.6</v>
      </c>
      <c r="AF89" s="66">
        <v>131.80000000000001</v>
      </c>
      <c r="AG89" s="91"/>
      <c r="AH89" s="21">
        <f t="shared" si="13"/>
        <v>136.69999999999999</v>
      </c>
      <c r="AI89" s="20">
        <f t="shared" si="14"/>
        <v>128.4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135</v>
      </c>
      <c r="C90" s="73">
        <v>134</v>
      </c>
      <c r="D90" s="73">
        <v>134</v>
      </c>
      <c r="E90" s="73">
        <v>136</v>
      </c>
      <c r="F90" s="73">
        <v>136</v>
      </c>
      <c r="G90" s="73">
        <v>136</v>
      </c>
      <c r="H90" s="73">
        <v>135</v>
      </c>
      <c r="I90" s="73">
        <v>134</v>
      </c>
      <c r="J90" s="73">
        <v>132</v>
      </c>
      <c r="K90" s="73">
        <v>128</v>
      </c>
      <c r="L90" s="73">
        <v>128</v>
      </c>
      <c r="M90" s="73">
        <v>130.4</v>
      </c>
      <c r="N90" s="73">
        <v>129.1</v>
      </c>
      <c r="O90" s="73">
        <v>128.30000000000001</v>
      </c>
      <c r="P90" s="73">
        <v>129.4</v>
      </c>
      <c r="Q90" s="73">
        <v>131.69999999999999</v>
      </c>
      <c r="R90" s="73">
        <v>13</v>
      </c>
      <c r="S90" s="73">
        <v>130.9</v>
      </c>
      <c r="T90" s="73">
        <v>131.6</v>
      </c>
      <c r="U90" s="73">
        <v>133.6</v>
      </c>
      <c r="V90" s="73">
        <v>133.4</v>
      </c>
      <c r="W90" s="73">
        <v>132.6</v>
      </c>
      <c r="X90" s="94">
        <v>129.19999999999999</v>
      </c>
      <c r="Y90" s="94">
        <v>126.1</v>
      </c>
      <c r="Z90" s="94">
        <v>132.4</v>
      </c>
      <c r="AA90" s="94">
        <v>130.1</v>
      </c>
      <c r="AB90" s="73">
        <v>135.19999999999999</v>
      </c>
      <c r="AC90" s="73">
        <v>128.9</v>
      </c>
      <c r="AD90" s="73">
        <v>133.30000000000001</v>
      </c>
      <c r="AE90" s="73">
        <v>130.9</v>
      </c>
      <c r="AF90" s="73">
        <v>133.1</v>
      </c>
      <c r="AG90" s="89"/>
      <c r="AH90" s="21">
        <f t="shared" si="13"/>
        <v>136</v>
      </c>
      <c r="AI90" s="20">
        <f t="shared" si="14"/>
        <v>13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67</v>
      </c>
      <c r="C91" s="87">
        <v>67.7</v>
      </c>
      <c r="D91" s="87">
        <v>67.7</v>
      </c>
      <c r="E91" s="87">
        <v>66</v>
      </c>
      <c r="F91" s="87">
        <v>66</v>
      </c>
      <c r="G91" s="87">
        <v>67</v>
      </c>
      <c r="H91" s="87">
        <v>67</v>
      </c>
      <c r="I91" s="87">
        <v>66.5</v>
      </c>
      <c r="J91" s="87">
        <v>65.5</v>
      </c>
      <c r="K91" s="87">
        <v>65</v>
      </c>
      <c r="L91" s="87">
        <v>65</v>
      </c>
      <c r="M91" s="87">
        <v>65.099999999999994</v>
      </c>
      <c r="N91" s="87">
        <v>65.2</v>
      </c>
      <c r="O91" s="87">
        <v>65.400000000000006</v>
      </c>
      <c r="P91" s="87">
        <v>65.2</v>
      </c>
      <c r="Q91" s="87">
        <v>64.900000000000006</v>
      </c>
      <c r="R91" s="87">
        <v>65.3</v>
      </c>
      <c r="S91" s="87">
        <v>65.099999999999994</v>
      </c>
      <c r="T91" s="87">
        <v>65.400000000000006</v>
      </c>
      <c r="U91" s="87">
        <v>65.2</v>
      </c>
      <c r="V91" s="87">
        <v>65.900000000000006</v>
      </c>
      <c r="W91" s="87">
        <v>66</v>
      </c>
      <c r="X91" s="87">
        <v>66</v>
      </c>
      <c r="Y91" s="87">
        <v>65.400000000000006</v>
      </c>
      <c r="Z91" s="87">
        <v>65.099999999999994</v>
      </c>
      <c r="AA91" s="87">
        <v>65.7</v>
      </c>
      <c r="AB91" s="87">
        <v>66</v>
      </c>
      <c r="AC91" s="87">
        <v>65.8</v>
      </c>
      <c r="AD91" s="87">
        <v>66.3</v>
      </c>
      <c r="AE91" s="87">
        <v>66.2</v>
      </c>
      <c r="AF91" s="87">
        <v>66.5</v>
      </c>
      <c r="AG91" s="86"/>
      <c r="AH91" s="21">
        <f t="shared" si="13"/>
        <v>67.7</v>
      </c>
      <c r="AI91" s="20">
        <f t="shared" si="14"/>
        <v>64.900000000000006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170.54</v>
      </c>
      <c r="C93" s="82">
        <f t="shared" si="21"/>
        <v>160.23999999999998</v>
      </c>
      <c r="D93" s="82">
        <f t="shared" si="21"/>
        <v>156.54</v>
      </c>
      <c r="E93" s="82">
        <f t="shared" si="21"/>
        <v>158.04</v>
      </c>
      <c r="F93" s="82">
        <f t="shared" si="21"/>
        <v>159.63999999999999</v>
      </c>
      <c r="G93" s="80">
        <f t="shared" si="21"/>
        <v>179.94</v>
      </c>
      <c r="H93" s="80">
        <f t="shared" si="21"/>
        <v>206.14000000000001</v>
      </c>
      <c r="I93" s="80">
        <f t="shared" si="21"/>
        <v>240.94</v>
      </c>
      <c r="J93" s="80">
        <f t="shared" si="21"/>
        <v>281.44000000000005</v>
      </c>
      <c r="K93" s="80">
        <f t="shared" si="21"/>
        <v>313.24000000000007</v>
      </c>
      <c r="L93" s="80">
        <f t="shared" si="21"/>
        <v>329.54000000000008</v>
      </c>
      <c r="M93" s="80">
        <f t="shared" si="21"/>
        <v>323.64000000000004</v>
      </c>
      <c r="N93" s="80">
        <f t="shared" si="21"/>
        <v>303.1400000000001</v>
      </c>
      <c r="O93" s="80">
        <f t="shared" si="21"/>
        <v>248.13999999999996</v>
      </c>
      <c r="P93" s="80">
        <f t="shared" si="21"/>
        <v>299.44</v>
      </c>
      <c r="Q93" s="80">
        <f t="shared" si="21"/>
        <v>297.24000000000007</v>
      </c>
      <c r="R93" s="80">
        <f t="shared" si="21"/>
        <v>296.44000000000005</v>
      </c>
      <c r="S93" s="80">
        <f t="shared" si="21"/>
        <v>299.14000000000004</v>
      </c>
      <c r="T93" s="80">
        <f t="shared" si="21"/>
        <v>297.24000000000007</v>
      </c>
      <c r="U93" s="80">
        <f t="shared" si="21"/>
        <v>307.94000000000005</v>
      </c>
      <c r="V93" s="80">
        <f t="shared" si="21"/>
        <v>307.94000000000005</v>
      </c>
      <c r="W93" s="80">
        <f t="shared" si="21"/>
        <v>316.54000000000002</v>
      </c>
      <c r="X93" s="80">
        <f t="shared" si="21"/>
        <v>334.54</v>
      </c>
      <c r="Y93" s="80">
        <f t="shared" si="21"/>
        <v>375.54</v>
      </c>
      <c r="Z93" s="80">
        <f t="shared" si="21"/>
        <v>383.54</v>
      </c>
      <c r="AA93" s="80">
        <f t="shared" si="21"/>
        <v>354.84000000000003</v>
      </c>
      <c r="AB93" s="80">
        <f t="shared" si="21"/>
        <v>328.24</v>
      </c>
      <c r="AC93" s="80">
        <f t="shared" si="21"/>
        <v>303.94</v>
      </c>
      <c r="AD93" s="80">
        <f t="shared" si="21"/>
        <v>277.34000000000003</v>
      </c>
      <c r="AE93" s="80">
        <f t="shared" si="21"/>
        <v>212.14</v>
      </c>
      <c r="AF93" s="80">
        <f t="shared" si="21"/>
        <v>197.14</v>
      </c>
      <c r="AG93" s="79"/>
      <c r="AH93" s="21">
        <f>MAX(C93:AF93)</f>
        <v>383.54</v>
      </c>
      <c r="AI93" s="20">
        <f>MIN(C93:AF93)</f>
        <v>156.54</v>
      </c>
    </row>
    <row r="94" spans="1:88" x14ac:dyDescent="0.25">
      <c r="A94" s="48" t="s">
        <v>122</v>
      </c>
      <c r="B94" s="78">
        <v>0</v>
      </c>
      <c r="C94" s="77">
        <v>-3.3</v>
      </c>
      <c r="D94" s="77">
        <v>7</v>
      </c>
      <c r="E94" s="77">
        <v>-29.2</v>
      </c>
      <c r="F94" s="77">
        <v>-26.4</v>
      </c>
      <c r="G94" s="76">
        <v>-19.7</v>
      </c>
      <c r="H94" s="76">
        <v>31.4</v>
      </c>
      <c r="I94" s="76">
        <v>29.9</v>
      </c>
      <c r="J94" s="76">
        <v>73.7</v>
      </c>
      <c r="K94" s="76">
        <v>52.7</v>
      </c>
      <c r="L94" s="76">
        <v>47.5</v>
      </c>
      <c r="M94" s="76">
        <v>63.4</v>
      </c>
      <c r="N94" s="76">
        <v>48.9</v>
      </c>
      <c r="O94" s="76">
        <v>48.3</v>
      </c>
      <c r="P94" s="76">
        <v>53.3</v>
      </c>
      <c r="Q94" s="76">
        <v>41.4</v>
      </c>
      <c r="R94" s="76">
        <v>47.9</v>
      </c>
      <c r="S94" s="76">
        <v>48.2</v>
      </c>
      <c r="T94" s="76">
        <v>48.2</v>
      </c>
      <c r="U94" s="75">
        <v>45.1</v>
      </c>
      <c r="V94" s="75">
        <v>20.9</v>
      </c>
      <c r="W94" s="75">
        <v>27.7</v>
      </c>
      <c r="X94" s="76">
        <v>26.2</v>
      </c>
      <c r="Y94" s="76">
        <v>22.5</v>
      </c>
      <c r="Z94" s="76">
        <v>14.1</v>
      </c>
      <c r="AA94" s="76">
        <v>26.6</v>
      </c>
      <c r="AB94" s="75">
        <v>23.6</v>
      </c>
      <c r="AC94" s="75">
        <v>14.2</v>
      </c>
      <c r="AD94" s="75">
        <v>24.5</v>
      </c>
      <c r="AE94" s="75">
        <v>1.4</v>
      </c>
      <c r="AF94" s="75">
        <v>-6.3</v>
      </c>
      <c r="AG94" s="3">
        <v>75</v>
      </c>
      <c r="AH94" s="21">
        <f t="shared" ref="AH94:AH100" si="22">IF(ABS(MAX(C94:AF94))&gt;ABS(MIN(C94:AF94)),MAX(C94:AF94),MIN(C94:AF94))</f>
        <v>73.7</v>
      </c>
      <c r="AI94" s="64">
        <f t="shared" ref="AI94:AI100" si="23">INDEX($C$9:$AF$9,1,MATCH(AH94,C94:AF94,0))</f>
        <v>0.27083333333333331</v>
      </c>
    </row>
    <row r="95" spans="1:88" x14ac:dyDescent="0.25">
      <c r="A95" s="45" t="s">
        <v>121</v>
      </c>
      <c r="B95" s="74">
        <v>-49</v>
      </c>
      <c r="C95" s="67">
        <v>-56</v>
      </c>
      <c r="D95" s="67">
        <v>-55</v>
      </c>
      <c r="E95" s="67">
        <v>-45</v>
      </c>
      <c r="F95" s="67">
        <v>-54</v>
      </c>
      <c r="G95" s="67">
        <v>-39.5</v>
      </c>
      <c r="H95" s="67">
        <v>-33.6</v>
      </c>
      <c r="I95" s="67">
        <v>-19.8</v>
      </c>
      <c r="J95" s="67">
        <v>-14.8</v>
      </c>
      <c r="K95" s="67">
        <v>-2</v>
      </c>
      <c r="L95" s="67">
        <v>7.6</v>
      </c>
      <c r="M95" s="67">
        <f>3.1-1.4</f>
        <v>1.7000000000000002</v>
      </c>
      <c r="N95" s="67">
        <f>0.7-4.4</f>
        <v>-3.7</v>
      </c>
      <c r="O95" s="67">
        <f>-9-17.9</f>
        <v>-26.9</v>
      </c>
      <c r="P95" s="67">
        <f>-8.1-17.7</f>
        <v>-25.799999999999997</v>
      </c>
      <c r="Q95" s="67">
        <f>-5-14.9</f>
        <v>-19.899999999999999</v>
      </c>
      <c r="R95" s="67">
        <f>-6.7-16.5</f>
        <v>-23.2</v>
      </c>
      <c r="S95" s="67">
        <v>-24</v>
      </c>
      <c r="T95" s="67">
        <v>-27</v>
      </c>
      <c r="U95" s="67">
        <v>-22</v>
      </c>
      <c r="V95" s="67">
        <v>-9</v>
      </c>
      <c r="W95" s="67">
        <v>-15</v>
      </c>
      <c r="X95" s="67">
        <v>-9.1</v>
      </c>
      <c r="Y95" s="67">
        <v>44</v>
      </c>
      <c r="Z95" s="67">
        <v>43</v>
      </c>
      <c r="AA95" s="67">
        <v>25</v>
      </c>
      <c r="AB95" s="73">
        <v>18</v>
      </c>
      <c r="AC95" s="73">
        <v>15</v>
      </c>
      <c r="AD95" s="73">
        <v>4</v>
      </c>
      <c r="AE95" s="73">
        <v>-9.1</v>
      </c>
      <c r="AF95" s="73">
        <f>-1.2-10.8</f>
        <v>-12</v>
      </c>
      <c r="AG95" s="3">
        <v>240</v>
      </c>
      <c r="AH95" s="21">
        <f t="shared" si="22"/>
        <v>-56</v>
      </c>
      <c r="AI95" s="64">
        <f t="shared" si="23"/>
        <v>4.1666666666666664E-2</v>
      </c>
    </row>
    <row r="96" spans="1:88" x14ac:dyDescent="0.25">
      <c r="A96" s="45" t="s">
        <v>120</v>
      </c>
      <c r="B96" s="74">
        <v>20</v>
      </c>
      <c r="C96" s="67">
        <v>15</v>
      </c>
      <c r="D96" s="67">
        <v>20</v>
      </c>
      <c r="E96" s="67">
        <v>-13.3</v>
      </c>
      <c r="F96" s="67">
        <v>-11</v>
      </c>
      <c r="G96" s="67">
        <v>21.5</v>
      </c>
      <c r="H96" s="67">
        <v>24.8</v>
      </c>
      <c r="I96" s="67">
        <v>7.8</v>
      </c>
      <c r="J96" s="67">
        <v>12</v>
      </c>
      <c r="K96" s="67">
        <v>18.5</v>
      </c>
      <c r="L96" s="67">
        <v>35.4</v>
      </c>
      <c r="M96" s="67">
        <v>24.2</v>
      </c>
      <c r="N96" s="67">
        <v>27</v>
      </c>
      <c r="O96" s="67">
        <v>30.1</v>
      </c>
      <c r="P96" s="67">
        <v>23.2</v>
      </c>
      <c r="Q96" s="67">
        <v>32.6</v>
      </c>
      <c r="R96" s="67">
        <v>27.1</v>
      </c>
      <c r="S96" s="67">
        <v>28.6</v>
      </c>
      <c r="T96" s="67">
        <v>32</v>
      </c>
      <c r="U96" s="67">
        <v>32.700000000000003</v>
      </c>
      <c r="V96" s="67">
        <v>38.299999999999997</v>
      </c>
      <c r="W96" s="67">
        <v>40.9</v>
      </c>
      <c r="X96" s="67">
        <v>44</v>
      </c>
      <c r="Y96" s="67">
        <v>51.2</v>
      </c>
      <c r="Z96" s="67">
        <v>55.3</v>
      </c>
      <c r="AA96" s="67">
        <v>45.8</v>
      </c>
      <c r="AB96" s="73">
        <v>41.1</v>
      </c>
      <c r="AC96" s="73">
        <v>40.5</v>
      </c>
      <c r="AD96" s="73">
        <v>30.4</v>
      </c>
      <c r="AE96" s="73">
        <v>30.5</v>
      </c>
      <c r="AF96" s="73">
        <v>26.9</v>
      </c>
      <c r="AG96" s="3">
        <v>60</v>
      </c>
      <c r="AH96" s="21">
        <f t="shared" si="22"/>
        <v>55.3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15</v>
      </c>
      <c r="C97" s="70">
        <v>20</v>
      </c>
      <c r="D97" s="70">
        <v>0</v>
      </c>
      <c r="E97" s="70">
        <v>61</v>
      </c>
      <c r="F97" s="70">
        <v>66</v>
      </c>
      <c r="G97" s="70">
        <v>32.6</v>
      </c>
      <c r="H97" s="70">
        <v>-1.5</v>
      </c>
      <c r="I97" s="70">
        <v>38</v>
      </c>
      <c r="J97" s="70">
        <v>25.5</v>
      </c>
      <c r="K97" s="70">
        <v>59</v>
      </c>
      <c r="L97" s="70">
        <v>54</v>
      </c>
      <c r="M97" s="70">
        <v>49.9</v>
      </c>
      <c r="N97" s="70">
        <v>46.5</v>
      </c>
      <c r="O97" s="70">
        <v>11.6</v>
      </c>
      <c r="P97" s="70">
        <v>63.7</v>
      </c>
      <c r="Q97" s="70">
        <v>58.1</v>
      </c>
      <c r="R97" s="70">
        <v>59.6</v>
      </c>
      <c r="S97" s="70">
        <v>61.8</v>
      </c>
      <c r="T97" s="70">
        <v>63.5</v>
      </c>
      <c r="U97" s="70">
        <v>71.3</v>
      </c>
      <c r="V97" s="70">
        <v>75.400000000000006</v>
      </c>
      <c r="W97" s="70">
        <v>80.599999999999994</v>
      </c>
      <c r="X97" s="70">
        <v>91.1</v>
      </c>
      <c r="Y97" s="70">
        <v>75.5</v>
      </c>
      <c r="Z97" s="70">
        <v>89</v>
      </c>
      <c r="AA97" s="70">
        <v>75.3</v>
      </c>
      <c r="AB97" s="69">
        <v>63.4</v>
      </c>
      <c r="AC97" s="69">
        <v>51.9</v>
      </c>
      <c r="AD97" s="69">
        <v>36.1</v>
      </c>
      <c r="AE97" s="69">
        <v>7</v>
      </c>
      <c r="AF97" s="69">
        <v>6.4</v>
      </c>
      <c r="AG97" s="72">
        <v>120</v>
      </c>
      <c r="AH97" s="21">
        <f t="shared" si="22"/>
        <v>91.1</v>
      </c>
      <c r="AI97" s="64">
        <f t="shared" si="23"/>
        <v>0.75</v>
      </c>
    </row>
    <row r="98" spans="1:37" x14ac:dyDescent="0.25">
      <c r="A98" s="41" t="s">
        <v>118</v>
      </c>
      <c r="B98" s="71">
        <v>15</v>
      </c>
      <c r="C98" s="70">
        <v>23</v>
      </c>
      <c r="D98" s="70">
        <v>6.4</v>
      </c>
      <c r="E98" s="70">
        <v>69.400000000000006</v>
      </c>
      <c r="F98" s="70">
        <v>75</v>
      </c>
      <c r="G98" s="70">
        <v>42.3</v>
      </c>
      <c r="H98" s="70">
        <v>7</v>
      </c>
      <c r="I98" s="70">
        <v>39.4</v>
      </c>
      <c r="J98" s="70">
        <v>20.7</v>
      </c>
      <c r="K98" s="70">
        <v>42</v>
      </c>
      <c r="L98" s="70">
        <v>36.6</v>
      </c>
      <c r="M98" s="70">
        <v>36.5</v>
      </c>
      <c r="N98" s="70">
        <v>36.700000000000003</v>
      </c>
      <c r="O98" s="70">
        <v>76.7</v>
      </c>
      <c r="P98" s="70">
        <v>22.4</v>
      </c>
      <c r="Q98" s="70">
        <v>17.5</v>
      </c>
      <c r="R98" s="70">
        <v>24.5</v>
      </c>
      <c r="S98" s="70">
        <v>20</v>
      </c>
      <c r="T98" s="70">
        <v>11</v>
      </c>
      <c r="U98" s="70">
        <v>14.6</v>
      </c>
      <c r="V98" s="70">
        <v>31.2</v>
      </c>
      <c r="W98" s="70">
        <v>12.5</v>
      </c>
      <c r="X98" s="70">
        <v>17.5</v>
      </c>
      <c r="Y98" s="70">
        <v>51.6</v>
      </c>
      <c r="Z98" s="70">
        <v>72.3</v>
      </c>
      <c r="AA98" s="70">
        <v>67.099999999999994</v>
      </c>
      <c r="AB98" s="69">
        <v>60.9</v>
      </c>
      <c r="AC98" s="69">
        <v>62.3</v>
      </c>
      <c r="AD98" s="69">
        <v>57.2</v>
      </c>
      <c r="AE98" s="69">
        <v>48.4</v>
      </c>
      <c r="AF98" s="69">
        <v>50.9</v>
      </c>
      <c r="AG98" s="72"/>
      <c r="AH98" s="21">
        <f t="shared" si="22"/>
        <v>76.7</v>
      </c>
      <c r="AI98" s="64">
        <f t="shared" si="23"/>
        <v>0.41666666666666702</v>
      </c>
    </row>
    <row r="99" spans="1:37" x14ac:dyDescent="0.25">
      <c r="A99" s="41" t="s">
        <v>117</v>
      </c>
      <c r="B99" s="71">
        <v>68</v>
      </c>
      <c r="C99" s="70">
        <v>65</v>
      </c>
      <c r="D99" s="70">
        <v>58</v>
      </c>
      <c r="E99" s="70">
        <v>62</v>
      </c>
      <c r="F99" s="70">
        <v>54.6</v>
      </c>
      <c r="G99" s="70">
        <v>48</v>
      </c>
      <c r="H99" s="70">
        <v>30</v>
      </c>
      <c r="I99" s="70">
        <v>20.2</v>
      </c>
      <c r="J99" s="70">
        <v>3.5</v>
      </c>
      <c r="K99" s="70">
        <v>30.4</v>
      </c>
      <c r="L99" s="70">
        <v>29.5</v>
      </c>
      <c r="M99" s="70">
        <v>9.4</v>
      </c>
      <c r="N99" s="70">
        <v>13.9</v>
      </c>
      <c r="O99" s="70">
        <v>17.100000000000001</v>
      </c>
      <c r="P99" s="70">
        <v>18.399999999999999</v>
      </c>
      <c r="Q99" s="70">
        <v>44.3</v>
      </c>
      <c r="R99" s="70">
        <v>24.3</v>
      </c>
      <c r="S99" s="70">
        <v>25.4</v>
      </c>
      <c r="T99" s="70">
        <v>25.7</v>
      </c>
      <c r="U99" s="70">
        <v>20.9</v>
      </c>
      <c r="V99" s="70">
        <v>31.5</v>
      </c>
      <c r="W99" s="70">
        <v>30.1</v>
      </c>
      <c r="X99" s="70">
        <v>32.700000000000003</v>
      </c>
      <c r="Y99" s="70">
        <v>32.799999999999997</v>
      </c>
      <c r="Z99" s="70">
        <v>72.400000000000006</v>
      </c>
      <c r="AA99" s="70">
        <v>63.3</v>
      </c>
      <c r="AB99" s="69">
        <v>61.4</v>
      </c>
      <c r="AC99" s="69">
        <v>60.7</v>
      </c>
      <c r="AD99" s="69">
        <v>51.2</v>
      </c>
      <c r="AE99" s="69">
        <v>78.2</v>
      </c>
      <c r="AF99" s="69">
        <v>78.099999999999994</v>
      </c>
      <c r="AG99" s="65"/>
      <c r="AH99" s="21">
        <f t="shared" si="22"/>
        <v>78.2</v>
      </c>
      <c r="AI99" s="64">
        <f t="shared" si="23"/>
        <v>0.91666666666666696</v>
      </c>
    </row>
    <row r="100" spans="1:37" ht="15.75" thickBot="1" x14ac:dyDescent="0.3">
      <c r="A100" s="68" t="s">
        <v>116</v>
      </c>
      <c r="B100" s="66">
        <v>52</v>
      </c>
      <c r="C100" s="67">
        <v>46</v>
      </c>
      <c r="D100" s="67">
        <v>45</v>
      </c>
      <c r="E100" s="67">
        <v>49.3</v>
      </c>
      <c r="F100" s="67">
        <v>50</v>
      </c>
      <c r="G100" s="67">
        <v>7.6</v>
      </c>
      <c r="H100" s="67">
        <v>5.6</v>
      </c>
      <c r="I100" s="67">
        <v>6.6</v>
      </c>
      <c r="J100" s="67">
        <v>17</v>
      </c>
      <c r="K100" s="67">
        <v>42.8</v>
      </c>
      <c r="L100" s="67">
        <v>44.2</v>
      </c>
      <c r="M100" s="67">
        <v>44.3</v>
      </c>
      <c r="N100" s="67">
        <v>49.6</v>
      </c>
      <c r="O100" s="67">
        <v>57.2</v>
      </c>
      <c r="P100" s="67">
        <v>49.5</v>
      </c>
      <c r="Q100" s="67">
        <v>45.5</v>
      </c>
      <c r="R100" s="67">
        <v>43.1</v>
      </c>
      <c r="S100" s="67">
        <v>48.7</v>
      </c>
      <c r="T100" s="67">
        <v>52</v>
      </c>
      <c r="U100" s="67">
        <v>46</v>
      </c>
      <c r="V100" s="67">
        <v>32</v>
      </c>
      <c r="W100" s="67">
        <v>33</v>
      </c>
      <c r="X100" s="67">
        <v>32</v>
      </c>
      <c r="Y100" s="67">
        <v>22.5</v>
      </c>
      <c r="Z100" s="67">
        <v>28</v>
      </c>
      <c r="AA100" s="67">
        <v>27.1</v>
      </c>
      <c r="AB100" s="66">
        <v>27.5</v>
      </c>
      <c r="AC100" s="66">
        <v>27.7</v>
      </c>
      <c r="AD100" s="66">
        <v>27.5</v>
      </c>
      <c r="AE100" s="66">
        <v>20.399999999999999</v>
      </c>
      <c r="AF100" s="66">
        <v>14.1</v>
      </c>
      <c r="AG100" s="65"/>
      <c r="AH100" s="21">
        <f t="shared" si="22"/>
        <v>57.2</v>
      </c>
      <c r="AI100" s="64">
        <f t="shared" si="23"/>
        <v>0.41666666666666702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1392.14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7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2078/12/7)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2078/12/7)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1183.6400000000001</v>
      </c>
      <c r="U214" s="9">
        <f t="shared" si="60"/>
        <v>1170.24</v>
      </c>
      <c r="V214" s="9">
        <f t="shared" si="60"/>
        <v>1138.04</v>
      </c>
      <c r="W214" s="9">
        <f t="shared" si="60"/>
        <v>1129.8400000000001</v>
      </c>
      <c r="X214" s="9">
        <f t="shared" si="60"/>
        <v>1123.3400000000001</v>
      </c>
      <c r="Y214" s="9">
        <f t="shared" si="60"/>
        <v>1123.54</v>
      </c>
      <c r="Z214" s="9">
        <f t="shared" si="60"/>
        <v>1180.8400000000001</v>
      </c>
      <c r="AA214" s="9">
        <f t="shared" si="60"/>
        <v>1229.8400000000001</v>
      </c>
      <c r="AB214" s="9">
        <f t="shared" si="60"/>
        <v>1308.8400000000001</v>
      </c>
      <c r="AC214" s="9">
        <f t="shared" si="60"/>
        <v>1343.74</v>
      </c>
      <c r="AD214" s="9">
        <f t="shared" si="60"/>
        <v>1392.14</v>
      </c>
      <c r="AE214" s="9">
        <f t="shared" si="60"/>
        <v>1341.54</v>
      </c>
      <c r="AF214" s="9">
        <f t="shared" si="60"/>
        <v>1333.0400000000002</v>
      </c>
      <c r="AG214" s="9">
        <f t="shared" si="60"/>
        <v>1341.8400000000001</v>
      </c>
      <c r="AH214" s="9">
        <f t="shared" si="60"/>
        <v>1312.94</v>
      </c>
      <c r="AI214" s="9">
        <f t="shared" si="60"/>
        <v>1332.01</v>
      </c>
      <c r="AJ214" s="9">
        <f t="shared" si="60"/>
        <v>1242.74</v>
      </c>
      <c r="AK214" s="9">
        <f t="shared" si="60"/>
        <v>1352.6399999999999</v>
      </c>
      <c r="AL214" s="9">
        <f t="shared" si="60"/>
        <v>1338.6399999999999</v>
      </c>
      <c r="AM214" s="9">
        <f t="shared" si="60"/>
        <v>1377.8400000000001</v>
      </c>
      <c r="AN214" s="9">
        <f t="shared" si="60"/>
        <v>1331.74</v>
      </c>
      <c r="AO214" s="9">
        <f t="shared" si="60"/>
        <v>1350.8400000000001</v>
      </c>
      <c r="AP214" s="9">
        <f t="shared" si="60"/>
        <v>1367.94</v>
      </c>
      <c r="AQ214" s="9">
        <f t="shared" si="60"/>
        <v>1431.44</v>
      </c>
      <c r="AR214" s="9">
        <f t="shared" si="60"/>
        <v>1518.04</v>
      </c>
      <c r="AS214" s="9">
        <f t="shared" si="60"/>
        <v>1464.74</v>
      </c>
      <c r="AT214" s="9">
        <f t="shared" si="60"/>
        <v>1454.19</v>
      </c>
      <c r="AU214" s="9">
        <f t="shared" si="60"/>
        <v>1379.2400000000002</v>
      </c>
      <c r="AV214" s="9">
        <f t="shared" si="60"/>
        <v>1349.24</v>
      </c>
      <c r="AW214" s="9">
        <f t="shared" si="60"/>
        <v>1263.44</v>
      </c>
      <c r="AX214" s="9">
        <f t="shared" si="60"/>
        <v>1188.24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X85:AA91 AB81:AF81 B81:R81 C56:AF56 B82:AF83 D194:AF200 B194:B200 C68:AF72 AB84:AF91 B84:B91 B9:AF10 B192:AF192 AF57:AF62 AG73 AB94:AF100 B94:B100 U213:AF213 B53:B72 B36:L36 C57:P67 M39:R42 S58:W59 Q58:R67 S60:S67 R40:T41 S11:AD11 U40:Y42 N45:Y48 B73:AF80 M53:AF55 Z12:AD14 Z40:AE43 Z16:AF31 Z36:AF36 AE11:AF14">
    <cfRule type="expression" dxfId="7056" priority="274">
      <formula>B$9&gt;=20/24</formula>
    </cfRule>
    <cfRule type="expression" dxfId="7055" priority="275">
      <formula>AND(B$9&gt;=14/24,B$9&lt;20/24)</formula>
    </cfRule>
    <cfRule type="expression" dxfId="7054" priority="276">
      <formula>AND(B$9&gt;=8/24,B$9&lt;14/24)</formula>
    </cfRule>
    <cfRule type="expression" dxfId="7053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Q57:R57">
    <cfRule type="expression" dxfId="7052" priority="269">
      <formula>Q$9&gt;=20/24</formula>
    </cfRule>
    <cfRule type="expression" dxfId="7051" priority="270">
      <formula>AND(Q$9&gt;=14/24,Q$9&lt;20/24)</formula>
    </cfRule>
    <cfRule type="expression" dxfId="7050" priority="271">
      <formula>AND(Q$9&gt;=8/24,Q$9&lt;14/24)</formula>
    </cfRule>
    <cfRule type="expression" dxfId="7049" priority="272">
      <formula>Q$9&lt;8/24</formula>
    </cfRule>
  </conditionalFormatting>
  <conditionalFormatting sqref="M43:R43">
    <cfRule type="expression" dxfId="7048" priority="265">
      <formula>M$9&gt;=20/24</formula>
    </cfRule>
    <cfRule type="expression" dxfId="7047" priority="266">
      <formula>AND(M$9&gt;=14/24,M$9&lt;20/24)</formula>
    </cfRule>
    <cfRule type="expression" dxfId="7046" priority="267">
      <formula>AND(M$9&gt;=8/24,M$9&lt;14/24)</formula>
    </cfRule>
    <cfRule type="expression" dxfId="7045" priority="268">
      <formula>M$9&lt;8/24</formula>
    </cfRule>
  </conditionalFormatting>
  <conditionalFormatting sqref="Z32:AF32">
    <cfRule type="expression" dxfId="7044" priority="261">
      <formula>Z$9&gt;=20/24</formula>
    </cfRule>
    <cfRule type="expression" dxfId="7043" priority="262">
      <formula>AND(Z$9&gt;=14/24,Z$9&lt;20/24)</formula>
    </cfRule>
    <cfRule type="expression" dxfId="7042" priority="263">
      <formula>AND(Z$9&gt;=8/24,Z$9&lt;14/24)</formula>
    </cfRule>
    <cfRule type="expression" dxfId="7041" priority="264">
      <formula>Z$9&lt;8/24</formula>
    </cfRule>
  </conditionalFormatting>
  <conditionalFormatting sqref="S39:AE39">
    <cfRule type="expression" dxfId="7040" priority="257">
      <formula>S$9&gt;=20/24</formula>
    </cfRule>
    <cfRule type="expression" dxfId="7039" priority="258">
      <formula>AND(S$9&gt;=14/24,S$9&lt;20/24)</formula>
    </cfRule>
    <cfRule type="expression" dxfId="7038" priority="259">
      <formula>AND(S$9&gt;=8/24,S$9&lt;14/24)</formula>
    </cfRule>
    <cfRule type="expression" dxfId="7037" priority="260">
      <formula>S$9&lt;8/24</formula>
    </cfRule>
  </conditionalFormatting>
  <conditionalFormatting sqref="S57:AE57">
    <cfRule type="expression" dxfId="7036" priority="253">
      <formula>S$9&gt;=20/24</formula>
    </cfRule>
    <cfRule type="expression" dxfId="7035" priority="254">
      <formula>AND(S$9&gt;=14/24,S$9&lt;20/24)</formula>
    </cfRule>
    <cfRule type="expression" dxfId="7034" priority="255">
      <formula>AND(S$9&gt;=8/24,S$9&lt;14/24)</formula>
    </cfRule>
    <cfRule type="expression" dxfId="7033" priority="256">
      <formula>S$9&lt;8/24</formula>
    </cfRule>
  </conditionalFormatting>
  <conditionalFormatting sqref="S81:AA81">
    <cfRule type="expression" dxfId="7032" priority="249">
      <formula>S$9&gt;=20/24</formula>
    </cfRule>
    <cfRule type="expression" dxfId="7031" priority="250">
      <formula>AND(S$9&gt;=14/24,S$9&lt;20/24)</formula>
    </cfRule>
    <cfRule type="expression" dxfId="7030" priority="251">
      <formula>AND(S$9&gt;=8/24,S$9&lt;14/24)</formula>
    </cfRule>
    <cfRule type="expression" dxfId="7029" priority="252">
      <formula>S$9&lt;8/24</formula>
    </cfRule>
  </conditionalFormatting>
  <conditionalFormatting sqref="U84:AA84">
    <cfRule type="expression" dxfId="7028" priority="245">
      <formula>U$9&gt;=20/24</formula>
    </cfRule>
    <cfRule type="expression" dxfId="7027" priority="246">
      <formula>AND(U$9&gt;=14/24,U$9&lt;20/24)</formula>
    </cfRule>
    <cfRule type="expression" dxfId="7026" priority="247">
      <formula>AND(U$9&gt;=8/24,U$9&lt;14/24)</formula>
    </cfRule>
    <cfRule type="expression" dxfId="7025" priority="248">
      <formula>U$9&lt;8/24</formula>
    </cfRule>
  </conditionalFormatting>
  <conditionalFormatting sqref="M49:Y49">
    <cfRule type="expression" dxfId="7024" priority="237">
      <formula>M$9&gt;=20/24</formula>
    </cfRule>
    <cfRule type="expression" dxfId="7023" priority="238">
      <formula>AND(M$9&gt;=14/24,M$9&lt;20/24)</formula>
    </cfRule>
    <cfRule type="expression" dxfId="7022" priority="239">
      <formula>AND(M$9&gt;=8/24,M$9&lt;14/24)</formula>
    </cfRule>
    <cfRule type="expression" dxfId="7021" priority="240">
      <formula>M$9&lt;8/24</formula>
    </cfRule>
  </conditionalFormatting>
  <conditionalFormatting sqref="M50:Y50">
    <cfRule type="expression" dxfId="7020" priority="233">
      <formula>M$9&gt;=20/24</formula>
    </cfRule>
    <cfRule type="expression" dxfId="7019" priority="234">
      <formula>AND(M$9&gt;=14/24,M$9&lt;20/24)</formula>
    </cfRule>
    <cfRule type="expression" dxfId="7018" priority="235">
      <formula>AND(M$9&gt;=8/24,M$9&lt;14/24)</formula>
    </cfRule>
    <cfRule type="expression" dxfId="7017" priority="236">
      <formula>M$9&lt;8/24</formula>
    </cfRule>
  </conditionalFormatting>
  <conditionalFormatting sqref="M45:Y48">
    <cfRule type="expression" dxfId="7016" priority="229">
      <formula>M$9&gt;=20/24</formula>
    </cfRule>
    <cfRule type="expression" dxfId="7015" priority="230">
      <formula>AND(M$9&gt;=14/24,M$9&lt;20/24)</formula>
    </cfRule>
    <cfRule type="expression" dxfId="7014" priority="231">
      <formula>AND(M$9&gt;=8/24,M$9&lt;14/24)</formula>
    </cfRule>
    <cfRule type="expression" dxfId="7013" priority="232">
      <formula>M$9&lt;8/24</formula>
    </cfRule>
  </conditionalFormatting>
  <conditionalFormatting sqref="S37:AF37">
    <cfRule type="expression" dxfId="7012" priority="225">
      <formula>S$9&gt;=20/24</formula>
    </cfRule>
    <cfRule type="expression" dxfId="7011" priority="226">
      <formula>AND(S$9&gt;=14/24,S$9&lt;20/24)</formula>
    </cfRule>
    <cfRule type="expression" dxfId="7010" priority="227">
      <formula>AND(S$9&gt;=8/24,S$9&lt;14/24)</formula>
    </cfRule>
    <cfRule type="expression" dxfId="7009" priority="228">
      <formula>S$9&lt;8/24</formula>
    </cfRule>
  </conditionalFormatting>
  <conditionalFormatting sqref="Z35:AF35">
    <cfRule type="expression" dxfId="7008" priority="221">
      <formula>Z$9&gt;=20/24</formula>
    </cfRule>
    <cfRule type="expression" dxfId="7007" priority="222">
      <formula>AND(Z$9&gt;=14/24,Z$9&lt;20/24)</formula>
    </cfRule>
    <cfRule type="expression" dxfId="7006" priority="223">
      <formula>AND(Z$9&gt;=8/24,Z$9&lt;14/24)</formula>
    </cfRule>
    <cfRule type="expression" dxfId="7005" priority="224">
      <formula>Z$9&lt;8/24</formula>
    </cfRule>
  </conditionalFormatting>
  <conditionalFormatting sqref="S42:T43 U43:Y43 S45:AF48">
    <cfRule type="expression" dxfId="7004" priority="217">
      <formula>S$9&gt;=20/24</formula>
    </cfRule>
    <cfRule type="expression" dxfId="7003" priority="218">
      <formula>AND(S$9&gt;=14/24,S$9&lt;20/24)</formula>
    </cfRule>
    <cfRule type="expression" dxfId="7002" priority="219">
      <formula>AND(S$9&gt;=8/24,S$9&lt;14/24)</formula>
    </cfRule>
    <cfRule type="expression" dxfId="7001" priority="220">
      <formula>S$9&lt;8/24</formula>
    </cfRule>
  </conditionalFormatting>
  <conditionalFormatting sqref="S49:AF49">
    <cfRule type="expression" dxfId="7000" priority="213">
      <formula>S$9&gt;=20/24</formula>
    </cfRule>
    <cfRule type="expression" dxfId="6999" priority="214">
      <formula>AND(S$9&gt;=14/24,S$9&lt;20/24)</formula>
    </cfRule>
    <cfRule type="expression" dxfId="6998" priority="215">
      <formula>AND(S$9&gt;=8/24,S$9&lt;14/24)</formula>
    </cfRule>
    <cfRule type="expression" dxfId="6997" priority="216">
      <formula>S$9&lt;8/24</formula>
    </cfRule>
  </conditionalFormatting>
  <conditionalFormatting sqref="S50:AF50">
    <cfRule type="expression" dxfId="6996" priority="209">
      <formula>S$9&gt;=20/24</formula>
    </cfRule>
    <cfRule type="expression" dxfId="6995" priority="210">
      <formula>AND(S$9&gt;=14/24,S$9&lt;20/24)</formula>
    </cfRule>
    <cfRule type="expression" dxfId="6994" priority="211">
      <formula>AND(S$9&gt;=8/24,S$9&lt;14/24)</formula>
    </cfRule>
    <cfRule type="expression" dxfId="6993" priority="212">
      <formula>S$9&lt;8/24</formula>
    </cfRule>
  </conditionalFormatting>
  <conditionalFormatting sqref="T60:T67 X60:AE67 AF63:AF67">
    <cfRule type="expression" dxfId="6992" priority="205">
      <formula>T$9&gt;=20/24</formula>
    </cfRule>
    <cfRule type="expression" dxfId="6991" priority="206">
      <formula>AND(T$9&gt;=14/24,T$9&lt;20/24)</formula>
    </cfRule>
    <cfRule type="expression" dxfId="6990" priority="207">
      <formula>AND(T$9&gt;=8/24,T$9&lt;14/24)</formula>
    </cfRule>
    <cfRule type="expression" dxfId="6989" priority="208">
      <formula>T$9&lt;8/24</formula>
    </cfRule>
  </conditionalFormatting>
  <conditionalFormatting sqref="U94:AA97">
    <cfRule type="expression" dxfId="6988" priority="197">
      <formula>U$9&gt;=20/24</formula>
    </cfRule>
    <cfRule type="expression" dxfId="6987" priority="198">
      <formula>AND(U$9&gt;=14/24,U$9&lt;20/24)</formula>
    </cfRule>
    <cfRule type="expression" dxfId="6986" priority="199">
      <formula>AND(U$9&gt;=8/24,U$9&lt;14/24)</formula>
    </cfRule>
    <cfRule type="expression" dxfId="6985" priority="200">
      <formula>U$9&lt;8/24</formula>
    </cfRule>
  </conditionalFormatting>
  <conditionalFormatting sqref="AG51 B11:L32 B34:L37 S37:AD37 S11:AD11 Z34:AD36 Z12:AD32 AE34:AF37 AE11:AF32 B38:AF56">
    <cfRule type="expression" dxfId="6984" priority="196">
      <formula>B11&gt;$AG11</formula>
    </cfRule>
  </conditionalFormatting>
  <conditionalFormatting sqref="A101:A157 A84:A97 A11:A14 A16:A32 A45:A72 A80:A82 A74:A78 A35:A43 A170:A200">
    <cfRule type="expression" dxfId="6983" priority="195">
      <formula>$AH11=0</formula>
    </cfRule>
  </conditionalFormatting>
  <conditionalFormatting sqref="U98:AA98">
    <cfRule type="expression" dxfId="6982" priority="191">
      <formula>U$9&gt;=20/24</formula>
    </cfRule>
    <cfRule type="expression" dxfId="6981" priority="192">
      <formula>AND(U$9&gt;=14/24,U$9&lt;20/24)</formula>
    </cfRule>
    <cfRule type="expression" dxfId="6980" priority="193">
      <formula>AND(U$9&gt;=8/24,U$9&lt;14/24)</formula>
    </cfRule>
    <cfRule type="expression" dxfId="6979" priority="194">
      <formula>U$9&lt;8/24</formula>
    </cfRule>
  </conditionalFormatting>
  <conditionalFormatting sqref="A98">
    <cfRule type="expression" dxfId="6978" priority="190">
      <formula>$AH98=0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6977" priority="173">
      <formula>Z$9&gt;=20/24</formula>
    </cfRule>
    <cfRule type="expression" dxfId="6976" priority="174">
      <formula>AND(Z$9&gt;=14/24,Z$9&lt;20/24)</formula>
    </cfRule>
    <cfRule type="expression" dxfId="6975" priority="175">
      <formula>AND(Z$9&gt;=8/24,Z$9&lt;14/24)</formula>
    </cfRule>
    <cfRule type="expression" dxfId="6974" priority="176">
      <formula>Z$9&lt;8/24</formula>
    </cfRule>
  </conditionalFormatting>
  <conditionalFormatting sqref="A34">
    <cfRule type="expression" dxfId="6973" priority="164">
      <formula>$AH34=0</formula>
    </cfRule>
  </conditionalFormatting>
  <conditionalFormatting sqref="A83">
    <cfRule type="expression" dxfId="6972" priority="163">
      <formula>$AH83=0</formula>
    </cfRule>
  </conditionalFormatting>
  <conditionalFormatting sqref="Z15:AF15">
    <cfRule type="expression" dxfId="6971" priority="159">
      <formula>Z$9&gt;=20/24</formula>
    </cfRule>
    <cfRule type="expression" dxfId="6970" priority="160">
      <formula>AND(Z$9&gt;=14/24,Z$9&lt;20/24)</formula>
    </cfRule>
    <cfRule type="expression" dxfId="6969" priority="161">
      <formula>AND(Z$9&gt;=8/24,Z$9&lt;14/24)</formula>
    </cfRule>
    <cfRule type="expression" dxfId="6968" priority="162">
      <formula>Z$9&lt;8/24</formula>
    </cfRule>
  </conditionalFormatting>
  <conditionalFormatting sqref="A15">
    <cfRule type="expression" dxfId="6967" priority="153">
      <formula>$AH15=0</formula>
    </cfRule>
  </conditionalFormatting>
  <conditionalFormatting sqref="A164:A169">
    <cfRule type="expression" dxfId="6966" priority="152">
      <formula>$AH164=0</formula>
    </cfRule>
  </conditionalFormatting>
  <conditionalFormatting sqref="A158:A163">
    <cfRule type="expression" dxfId="6965" priority="151">
      <formula>$AH158=0</formula>
    </cfRule>
  </conditionalFormatting>
  <conditionalFormatting sqref="Z44:AE44">
    <cfRule type="expression" dxfId="6964" priority="147">
      <formula>Z$9&gt;=20/24</formula>
    </cfRule>
    <cfRule type="expression" dxfId="6963" priority="148">
      <formula>AND(Z$9&gt;=14/24,Z$9&lt;20/24)</formula>
    </cfRule>
    <cfRule type="expression" dxfId="6962" priority="149">
      <formula>AND(Z$9&gt;=8/24,Z$9&lt;14/24)</formula>
    </cfRule>
    <cfRule type="expression" dxfId="6961" priority="150">
      <formula>Z$9&lt;8/24</formula>
    </cfRule>
  </conditionalFormatting>
  <conditionalFormatting sqref="M44:R44">
    <cfRule type="expression" dxfId="6960" priority="143">
      <formula>M$9&gt;=20/24</formula>
    </cfRule>
    <cfRule type="expression" dxfId="6959" priority="144">
      <formula>AND(M$9&gt;=14/24,M$9&lt;20/24)</formula>
    </cfRule>
    <cfRule type="expression" dxfId="6958" priority="145">
      <formula>AND(M$9&gt;=8/24,M$9&lt;14/24)</formula>
    </cfRule>
    <cfRule type="expression" dxfId="6957" priority="146">
      <formula>M$9&lt;8/24</formula>
    </cfRule>
  </conditionalFormatting>
  <conditionalFormatting sqref="S44:Y44">
    <cfRule type="expression" dxfId="6956" priority="139">
      <formula>S$9&gt;=20/24</formula>
    </cfRule>
    <cfRule type="expression" dxfId="6955" priority="140">
      <formula>AND(S$9&gt;=14/24,S$9&lt;20/24)</formula>
    </cfRule>
    <cfRule type="expression" dxfId="6954" priority="141">
      <formula>AND(S$9&gt;=8/24,S$9&lt;14/24)</formula>
    </cfRule>
    <cfRule type="expression" dxfId="6953" priority="142">
      <formula>S$9&lt;8/24</formula>
    </cfRule>
  </conditionalFormatting>
  <conditionalFormatting sqref="A44">
    <cfRule type="expression" dxfId="6952" priority="138">
      <formula>$AH44=0</formula>
    </cfRule>
  </conditionalFormatting>
  <conditionalFormatting sqref="A79">
    <cfRule type="expression" dxfId="6951" priority="137">
      <formula>$AH79=0</formula>
    </cfRule>
  </conditionalFormatting>
  <conditionalFormatting sqref="A73">
    <cfRule type="expression" dxfId="6950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6949" priority="132">
      <formula>U$9&gt;=20/24</formula>
    </cfRule>
    <cfRule type="expression" dxfId="6948" priority="133">
      <formula>AND(U$9&gt;=14/24,U$9&lt;20/24)</formula>
    </cfRule>
    <cfRule type="expression" dxfId="6947" priority="134">
      <formula>AND(U$9&gt;=8/24,U$9&lt;14/24)</formula>
    </cfRule>
    <cfRule type="expression" dxfId="6946" priority="135">
      <formula>U$9&lt;8/24</formula>
    </cfRule>
  </conditionalFormatting>
  <conditionalFormatting sqref="U85:W91">
    <cfRule type="expression" dxfId="6945" priority="128">
      <formula>U$9&gt;=20/24</formula>
    </cfRule>
    <cfRule type="expression" dxfId="6944" priority="129">
      <formula>AND(U$9&gt;=14/24,U$9&lt;20/24)</formula>
    </cfRule>
    <cfRule type="expression" dxfId="6943" priority="130">
      <formula>AND(U$9&gt;=8/24,U$9&lt;14/24)</formula>
    </cfRule>
    <cfRule type="expression" dxfId="6942" priority="131">
      <formula>U$9&lt;8/24</formula>
    </cfRule>
  </conditionalFormatting>
  <conditionalFormatting sqref="S85:T91 C84:R91">
    <cfRule type="expression" dxfId="6941" priority="124">
      <formula>C$9&gt;=20/24</formula>
    </cfRule>
    <cfRule type="expression" dxfId="6940" priority="125">
      <formula>AND(C$9&gt;=14/24,C$9&lt;20/24)</formula>
    </cfRule>
    <cfRule type="expression" dxfId="6939" priority="126">
      <formula>AND(C$9&gt;=8/24,C$9&lt;14/24)</formula>
    </cfRule>
    <cfRule type="expression" dxfId="6938" priority="127">
      <formula>C$9&lt;8/24</formula>
    </cfRule>
  </conditionalFormatting>
  <conditionalFormatting sqref="S84:T84">
    <cfRule type="expression" dxfId="6937" priority="120">
      <formula>S$9&gt;=20/24</formula>
    </cfRule>
    <cfRule type="expression" dxfId="6936" priority="121">
      <formula>AND(S$9&gt;=14/24,S$9&lt;20/24)</formula>
    </cfRule>
    <cfRule type="expression" dxfId="6935" priority="122">
      <formula>AND(S$9&gt;=8/24,S$9&lt;14/24)</formula>
    </cfRule>
    <cfRule type="expression" dxfId="6934" priority="123">
      <formula>S$9&lt;8/24</formula>
    </cfRule>
  </conditionalFormatting>
  <conditionalFormatting sqref="C94:F94 C95:M97">
    <cfRule type="expression" dxfId="6933" priority="116">
      <formula>C$9&gt;=20/24</formula>
    </cfRule>
    <cfRule type="expression" dxfId="6932" priority="117">
      <formula>AND(C$9&gt;=14/24,C$9&lt;20/24)</formula>
    </cfRule>
    <cfRule type="expression" dxfId="6931" priority="118">
      <formula>AND(C$9&gt;=8/24,C$9&lt;14/24)</formula>
    </cfRule>
    <cfRule type="expression" dxfId="6930" priority="119">
      <formula>C$9&lt;8/24</formula>
    </cfRule>
  </conditionalFormatting>
  <conditionalFormatting sqref="N95:O97 O94 P94:R97">
    <cfRule type="expression" dxfId="6929" priority="112">
      <formula>N$9&gt;=20/24</formula>
    </cfRule>
    <cfRule type="expression" dxfId="6928" priority="113">
      <formula>AND(N$9&gt;=14/24,N$9&lt;20/24)</formula>
    </cfRule>
    <cfRule type="expression" dxfId="6927" priority="114">
      <formula>AND(N$9&gt;=8/24,N$9&lt;14/24)</formula>
    </cfRule>
    <cfRule type="expression" dxfId="6926" priority="115">
      <formula>N$9&lt;8/24</formula>
    </cfRule>
  </conditionalFormatting>
  <conditionalFormatting sqref="S94:T97">
    <cfRule type="expression" dxfId="6925" priority="108">
      <formula>S$9&gt;=20/24</formula>
    </cfRule>
    <cfRule type="expression" dxfId="6924" priority="109">
      <formula>AND(S$9&gt;=14/24,S$9&lt;20/24)</formula>
    </cfRule>
    <cfRule type="expression" dxfId="6923" priority="110">
      <formula>AND(S$9&gt;=8/24,S$9&lt;14/24)</formula>
    </cfRule>
    <cfRule type="expression" dxfId="6922" priority="111">
      <formula>S$9&lt;8/24</formula>
    </cfRule>
  </conditionalFormatting>
  <conditionalFormatting sqref="C98:M98">
    <cfRule type="expression" dxfId="6921" priority="104">
      <formula>C$9&gt;=20/24</formula>
    </cfRule>
    <cfRule type="expression" dxfId="6920" priority="105">
      <formula>AND(C$9&gt;=14/24,C$9&lt;20/24)</formula>
    </cfRule>
    <cfRule type="expression" dxfId="6919" priority="106">
      <formula>AND(C$9&gt;=8/24,C$9&lt;14/24)</formula>
    </cfRule>
    <cfRule type="expression" dxfId="6918" priority="107">
      <formula>C$9&lt;8/24</formula>
    </cfRule>
  </conditionalFormatting>
  <conditionalFormatting sqref="N98:R98">
    <cfRule type="expression" dxfId="6917" priority="100">
      <formula>N$9&gt;=20/24</formula>
    </cfRule>
    <cfRule type="expression" dxfId="6916" priority="101">
      <formula>AND(N$9&gt;=14/24,N$9&lt;20/24)</formula>
    </cfRule>
    <cfRule type="expression" dxfId="6915" priority="102">
      <formula>AND(N$9&gt;=8/24,N$9&lt;14/24)</formula>
    </cfRule>
    <cfRule type="expression" dxfId="6914" priority="103">
      <formula>N$9&lt;8/24</formula>
    </cfRule>
  </conditionalFormatting>
  <conditionalFormatting sqref="S98:T98">
    <cfRule type="expression" dxfId="6913" priority="96">
      <formula>S$9&gt;=20/24</formula>
    </cfRule>
    <cfRule type="expression" dxfId="6912" priority="97">
      <formula>AND(S$9&gt;=14/24,S$9&lt;20/24)</formula>
    </cfRule>
    <cfRule type="expression" dxfId="6911" priority="98">
      <formula>AND(S$9&gt;=8/24,S$9&lt;14/24)</formula>
    </cfRule>
    <cfRule type="expression" dxfId="6910" priority="99">
      <formula>S$9&lt;8/24</formula>
    </cfRule>
  </conditionalFormatting>
  <conditionalFormatting sqref="N94">
    <cfRule type="expression" dxfId="6909" priority="92">
      <formula>N$9&gt;=20/24</formula>
    </cfRule>
    <cfRule type="expression" dxfId="6908" priority="93">
      <formula>AND(N$9&gt;=14/24,N$9&lt;20/24)</formula>
    </cfRule>
    <cfRule type="expression" dxfId="6907" priority="94">
      <formula>AND(N$9&gt;=8/24,N$9&lt;14/24)</formula>
    </cfRule>
    <cfRule type="expression" dxfId="6906" priority="95">
      <formula>N$9&lt;8/24</formula>
    </cfRule>
  </conditionalFormatting>
  <conditionalFormatting sqref="G94:M94">
    <cfRule type="expression" dxfId="6905" priority="88">
      <formula>G$9&gt;=20/24</formula>
    </cfRule>
    <cfRule type="expression" dxfId="6904" priority="89">
      <formula>AND(G$9&gt;=14/24,G$9&lt;20/24)</formula>
    </cfRule>
    <cfRule type="expression" dxfId="6903" priority="90">
      <formula>AND(G$9&gt;=8/24,G$9&lt;14/24)</formula>
    </cfRule>
    <cfRule type="expression" dxfId="6902" priority="91">
      <formula>G$9&lt;8/24</formula>
    </cfRule>
  </conditionalFormatting>
  <conditionalFormatting sqref="U94:W94">
    <cfRule type="expression" dxfId="6901" priority="84">
      <formula>U$9&gt;=20/24</formula>
    </cfRule>
    <cfRule type="expression" dxfId="6900" priority="85">
      <formula>AND(U$9&gt;=14/24,U$9&lt;20/24)</formula>
    </cfRule>
    <cfRule type="expression" dxfId="6899" priority="86">
      <formula>AND(U$9&gt;=8/24,U$9&lt;14/24)</formula>
    </cfRule>
    <cfRule type="expression" dxfId="6898" priority="87">
      <formula>U$9&lt;8/24</formula>
    </cfRule>
  </conditionalFormatting>
  <conditionalFormatting sqref="N94:T94">
    <cfRule type="expression" dxfId="6897" priority="80">
      <formula>N$9&gt;=20/24</formula>
    </cfRule>
    <cfRule type="expression" dxfId="6896" priority="81">
      <formula>AND(N$9&gt;=14/24,N$9&lt;20/24)</formula>
    </cfRule>
    <cfRule type="expression" dxfId="6895" priority="82">
      <formula>AND(N$9&gt;=8/24,N$9&lt;14/24)</formula>
    </cfRule>
    <cfRule type="expression" dxfId="6894" priority="83">
      <formula>N$9&lt;8/24</formula>
    </cfRule>
  </conditionalFormatting>
  <conditionalFormatting sqref="U99:AA100">
    <cfRule type="expression" dxfId="6893" priority="76">
      <formula>U$9&gt;=20/24</formula>
    </cfRule>
    <cfRule type="expression" dxfId="6892" priority="77">
      <formula>AND(U$9&gt;=14/24,U$9&lt;20/24)</formula>
    </cfRule>
    <cfRule type="expression" dxfId="6891" priority="78">
      <formula>AND(U$9&gt;=8/24,U$9&lt;14/24)</formula>
    </cfRule>
    <cfRule type="expression" dxfId="6890" priority="79">
      <formula>U$9&lt;8/24</formula>
    </cfRule>
  </conditionalFormatting>
  <conditionalFormatting sqref="C99:M100">
    <cfRule type="expression" dxfId="6889" priority="72">
      <formula>C$9&gt;=20/24</formula>
    </cfRule>
    <cfRule type="expression" dxfId="6888" priority="73">
      <formula>AND(C$9&gt;=14/24,C$9&lt;20/24)</formula>
    </cfRule>
    <cfRule type="expression" dxfId="6887" priority="74">
      <formula>AND(C$9&gt;=8/24,C$9&lt;14/24)</formula>
    </cfRule>
    <cfRule type="expression" dxfId="6886" priority="75">
      <formula>C$9&lt;8/24</formula>
    </cfRule>
  </conditionalFormatting>
  <conditionalFormatting sqref="N99:R100">
    <cfRule type="expression" dxfId="6885" priority="68">
      <formula>N$9&gt;=20/24</formula>
    </cfRule>
    <cfRule type="expression" dxfId="6884" priority="69">
      <formula>AND(N$9&gt;=14/24,N$9&lt;20/24)</formula>
    </cfRule>
    <cfRule type="expression" dxfId="6883" priority="70">
      <formula>AND(N$9&gt;=8/24,N$9&lt;14/24)</formula>
    </cfRule>
    <cfRule type="expression" dxfId="6882" priority="71">
      <formula>N$9&lt;8/24</formula>
    </cfRule>
  </conditionalFormatting>
  <conditionalFormatting sqref="S99:T100">
    <cfRule type="expression" dxfId="6881" priority="64">
      <formula>S$9&gt;=20/24</formula>
    </cfRule>
    <cfRule type="expression" dxfId="6880" priority="65">
      <formula>AND(S$9&gt;=14/24,S$9&lt;20/24)</formula>
    </cfRule>
    <cfRule type="expression" dxfId="6879" priority="66">
      <formula>AND(S$9&gt;=8/24,S$9&lt;14/24)</formula>
    </cfRule>
    <cfRule type="expression" dxfId="6878" priority="67">
      <formula>S$9&lt;8/24</formula>
    </cfRule>
  </conditionalFormatting>
  <conditionalFormatting sqref="AB58:AE59">
    <cfRule type="expression" dxfId="6877" priority="48">
      <formula>AB$9&gt;=20/24</formula>
    </cfRule>
    <cfRule type="expression" dxfId="6876" priority="49">
      <formula>AND(AB$9&gt;=14/24,AB$9&lt;20/24)</formula>
    </cfRule>
    <cfRule type="expression" dxfId="6875" priority="50">
      <formula>AND(AB$9&gt;=8/24,AB$9&lt;14/24)</formula>
    </cfRule>
    <cfRule type="expression" dxfId="6874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873" priority="281">
      <formula>C$9&gt;=20/24</formula>
    </cfRule>
    <cfRule type="expression" dxfId="6872" priority="282">
      <formula>AND(C$9&gt;=14/24,C$9&lt;20/24)</formula>
    </cfRule>
    <cfRule type="expression" dxfId="6871" priority="283">
      <formula>AND(C$9&gt;=8/24,C$9&lt;14/24)</formula>
    </cfRule>
    <cfRule type="expression" dxfId="6870" priority="284">
      <formula>C$9&lt;8/24</formula>
    </cfRule>
  </conditionalFormatting>
  <conditionalFormatting sqref="A201">
    <cfRule type="expression" dxfId="6869" priority="285">
      <formula>$AH201=0</formula>
    </cfRule>
  </conditionalFormatting>
  <conditionalFormatting sqref="AG213">
    <cfRule type="expression" dxfId="6868" priority="286">
      <formula>B$9&gt;=20/24</formula>
    </cfRule>
    <cfRule type="expression" dxfId="6867" priority="287">
      <formula>AND(B$9&gt;=14/24,B$9&lt;20/24)</formula>
    </cfRule>
    <cfRule type="expression" dxfId="6866" priority="288">
      <formula>AND(B$9&gt;=8/24,B$9&lt;14/24)</formula>
    </cfRule>
    <cfRule type="expression" dxfId="6865" priority="289">
      <formula>B$9&lt;8/24</formula>
    </cfRule>
  </conditionalFormatting>
  <conditionalFormatting sqref="S8">
    <cfRule type="expression" dxfId="6864" priority="42">
      <formula>U$9&gt;=20/24</formula>
    </cfRule>
    <cfRule type="expression" dxfId="6863" priority="43">
      <formula>AND(U$9&gt;=14/24,U$9&lt;20/24)</formula>
    </cfRule>
    <cfRule type="expression" dxfId="6862" priority="44">
      <formula>AND(U$9&gt;=8/24,U$9&lt;14/24)</formula>
    </cfRule>
    <cfRule type="expression" dxfId="6861" priority="45">
      <formula>U$9&lt;8/24</formula>
    </cfRule>
  </conditionalFormatting>
  <conditionalFormatting sqref="AB8">
    <cfRule type="expression" dxfId="6860" priority="38">
      <formula>AD$9&gt;=20/24</formula>
    </cfRule>
    <cfRule type="expression" dxfId="6859" priority="39">
      <formula>AND(AD$9&gt;=14/24,AD$9&lt;20/24)</formula>
    </cfRule>
    <cfRule type="expression" dxfId="6858" priority="40">
      <formula>AND(AD$9&gt;=8/24,AD$9&lt;14/24)</formula>
    </cfRule>
    <cfRule type="expression" dxfId="6857" priority="41">
      <formula>AD$9&lt;8/24</formula>
    </cfRule>
  </conditionalFormatting>
  <conditionalFormatting sqref="AH213:AX213">
    <cfRule type="expression" dxfId="6856" priority="290">
      <formula>AG$9&gt;=20/24</formula>
    </cfRule>
    <cfRule type="expression" dxfId="6855" priority="291">
      <formula>AND(AG$9&gt;=14/24,AG$9&lt;20/24)</formula>
    </cfRule>
    <cfRule type="expression" dxfId="6854" priority="292">
      <formula>AND(AG$9&gt;=8/24,AG$9&lt;14/24)</formula>
    </cfRule>
    <cfRule type="expression" dxfId="6853" priority="293">
      <formula>AG$9&lt;8/24</formula>
    </cfRule>
  </conditionalFormatting>
  <conditionalFormatting sqref="T213">
    <cfRule type="expression" dxfId="6852" priority="294">
      <formula>AX$9&gt;=20/24</formula>
    </cfRule>
    <cfRule type="expression" dxfId="6851" priority="295">
      <formula>AND(AX$9&gt;=14/24,AX$9&lt;20/24)</formula>
    </cfRule>
    <cfRule type="expression" dxfId="6850" priority="296">
      <formula>AND(AX$9&gt;=8/24,AX$9&lt;14/24)</formula>
    </cfRule>
    <cfRule type="expression" dxfId="6849" priority="297">
      <formula>AX$9&lt;8/24</formula>
    </cfRule>
  </conditionalFormatting>
  <conditionalFormatting sqref="A99:A100">
    <cfRule type="expression" dxfId="6848" priority="37">
      <formula>$AH99=0</formula>
    </cfRule>
  </conditionalFormatting>
  <conditionalFormatting sqref="Z33:AF33">
    <cfRule type="expression" dxfId="6847" priority="29">
      <formula>Z$9&gt;=20/24</formula>
    </cfRule>
    <cfRule type="expression" dxfId="6846" priority="30">
      <formula>AND(Z$9&gt;=14/24,Z$9&lt;20/24)</formula>
    </cfRule>
    <cfRule type="expression" dxfId="6845" priority="31">
      <formula>AND(Z$9&gt;=8/24,Z$9&lt;14/24)</formula>
    </cfRule>
    <cfRule type="expression" dxfId="6844" priority="32">
      <formula>Z$9&lt;8/24</formula>
    </cfRule>
  </conditionalFormatting>
  <conditionalFormatting sqref="B33:L33 Z33:AF33">
    <cfRule type="expression" dxfId="6843" priority="24">
      <formula>B33&gt;$AG33</formula>
    </cfRule>
  </conditionalFormatting>
  <conditionalFormatting sqref="M36:R37 M11:R14 S12:Y14 M16:Y32 S36:Y36">
    <cfRule type="expression" dxfId="6842" priority="20">
      <formula>M$9&gt;=20/24</formula>
    </cfRule>
    <cfRule type="expression" dxfId="6841" priority="21">
      <formula>AND(M$9&gt;=14/24,M$9&lt;20/24)</formula>
    </cfRule>
    <cfRule type="expression" dxfId="6840" priority="22">
      <formula>AND(M$9&gt;=8/24,M$9&lt;14/24)</formula>
    </cfRule>
    <cfRule type="expression" dxfId="6839" priority="23">
      <formula>M$9&lt;8/24</formula>
    </cfRule>
  </conditionalFormatting>
  <conditionalFormatting sqref="M35:Y35">
    <cfRule type="expression" dxfId="6838" priority="16">
      <formula>M$9&gt;=20/24</formula>
    </cfRule>
    <cfRule type="expression" dxfId="6837" priority="17">
      <formula>AND(M$9&gt;=14/24,M$9&lt;20/24)</formula>
    </cfRule>
    <cfRule type="expression" dxfId="6836" priority="18">
      <formula>AND(M$9&gt;=8/24,M$9&lt;14/24)</formula>
    </cfRule>
    <cfRule type="expression" dxfId="6835" priority="19">
      <formula>M$9&lt;8/24</formula>
    </cfRule>
  </conditionalFormatting>
  <conditionalFormatting sqref="M11:R14 M34:R37 S12:Y14 M16:Y32 S34:Y36">
    <cfRule type="expression" dxfId="6834" priority="15">
      <formula>M11&gt;$AG11</formula>
    </cfRule>
  </conditionalFormatting>
  <conditionalFormatting sqref="M34:Y34">
    <cfRule type="expression" dxfId="6833" priority="11">
      <formula>M$9&gt;=20/24</formula>
    </cfRule>
    <cfRule type="expression" dxfId="6832" priority="12">
      <formula>AND(M$9&gt;=14/24,M$9&lt;20/24)</formula>
    </cfRule>
    <cfRule type="expression" dxfId="6831" priority="13">
      <formula>AND(M$9&gt;=8/24,M$9&lt;14/24)</formula>
    </cfRule>
    <cfRule type="expression" dxfId="6830" priority="14">
      <formula>M$9&lt;8/24</formula>
    </cfRule>
  </conditionalFormatting>
  <conditionalFormatting sqref="M15:Y15">
    <cfRule type="expression" dxfId="6829" priority="7">
      <formula>M$9&gt;=20/24</formula>
    </cfRule>
    <cfRule type="expression" dxfId="6828" priority="8">
      <formula>AND(M$9&gt;=14/24,M$9&lt;20/24)</formula>
    </cfRule>
    <cfRule type="expression" dxfId="6827" priority="9">
      <formula>AND(M$9&gt;=8/24,M$9&lt;14/24)</formula>
    </cfRule>
    <cfRule type="expression" dxfId="6826" priority="10">
      <formula>M$9&lt;8/24</formula>
    </cfRule>
  </conditionalFormatting>
  <conditionalFormatting sqref="M15:Y15">
    <cfRule type="expression" dxfId="6825" priority="6">
      <formula>M15&gt;$AG15</formula>
    </cfRule>
  </conditionalFormatting>
  <conditionalFormatting sqref="M33:Y33">
    <cfRule type="expression" dxfId="6824" priority="2">
      <formula>M$9&gt;=20/24</formula>
    </cfRule>
    <cfRule type="expression" dxfId="6823" priority="3">
      <formula>AND(M$9&gt;=14/24,M$9&lt;20/24)</formula>
    </cfRule>
    <cfRule type="expression" dxfId="6822" priority="4">
      <formula>AND(M$9&gt;=8/24,M$9&lt;14/24)</formula>
    </cfRule>
    <cfRule type="expression" dxfId="6821" priority="5">
      <formula>M$9&lt;8/24</formula>
    </cfRule>
  </conditionalFormatting>
  <conditionalFormatting sqref="M33:Y33">
    <cfRule type="expression" dxfId="6820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2CED6B2A-4D7A-44C5-9858-45EE60947BA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C2" sqref="C1:C104857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2078/12/8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346.8</v>
      </c>
      <c r="C5" s="157">
        <f t="shared" si="0"/>
        <v>348.4</v>
      </c>
      <c r="D5" s="157">
        <f t="shared" si="0"/>
        <v>416.4</v>
      </c>
      <c r="E5" s="157">
        <f t="shared" si="0"/>
        <v>391.70000000000005</v>
      </c>
      <c r="F5" s="157">
        <f t="shared" si="0"/>
        <v>374.4</v>
      </c>
      <c r="G5" s="157">
        <f t="shared" si="0"/>
        <v>366.5</v>
      </c>
      <c r="H5" s="157">
        <f t="shared" si="0"/>
        <v>361.7</v>
      </c>
      <c r="I5" s="157">
        <f t="shared" si="0"/>
        <v>413.1</v>
      </c>
      <c r="J5" s="157">
        <f t="shared" si="0"/>
        <v>418.1</v>
      </c>
      <c r="K5" s="157">
        <f t="shared" si="0"/>
        <v>416.8</v>
      </c>
      <c r="L5" s="157">
        <f t="shared" si="0"/>
        <v>421.7</v>
      </c>
      <c r="M5" s="157">
        <f t="shared" si="0"/>
        <v>441</v>
      </c>
      <c r="N5" s="157">
        <f t="shared" si="0"/>
        <v>353.70000000000005</v>
      </c>
      <c r="O5" s="157">
        <f t="shared" si="0"/>
        <v>373</v>
      </c>
      <c r="P5" s="157">
        <f t="shared" si="0"/>
        <v>370.20000000000005</v>
      </c>
      <c r="Q5" s="157">
        <f t="shared" si="0"/>
        <v>381</v>
      </c>
      <c r="R5" s="157">
        <f t="shared" si="0"/>
        <v>661.30000000000007</v>
      </c>
      <c r="S5" s="157">
        <f t="shared" si="0"/>
        <v>541</v>
      </c>
      <c r="T5" s="157">
        <f t="shared" si="0"/>
        <v>465.66999999999996</v>
      </c>
      <c r="U5" s="157">
        <f t="shared" si="0"/>
        <v>375.29999999999995</v>
      </c>
      <c r="V5" s="157">
        <f t="shared" si="0"/>
        <v>388.5</v>
      </c>
      <c r="W5" s="157">
        <f t="shared" si="0"/>
        <v>426.36</v>
      </c>
      <c r="X5" s="157">
        <f t="shared" si="0"/>
        <v>451.79999999999995</v>
      </c>
      <c r="Y5" s="157">
        <f t="shared" si="0"/>
        <v>373.8</v>
      </c>
      <c r="Z5" s="157">
        <f t="shared" si="0"/>
        <v>347</v>
      </c>
      <c r="AA5" s="157">
        <f t="shared" si="0"/>
        <v>254.8</v>
      </c>
      <c r="AB5" s="157">
        <f t="shared" si="0"/>
        <v>255.5</v>
      </c>
      <c r="AC5" s="157">
        <f t="shared" si="0"/>
        <v>152.69999999999999</v>
      </c>
      <c r="AD5" s="157">
        <f t="shared" si="0"/>
        <v>140.80000000000001</v>
      </c>
      <c r="AE5" s="157">
        <f t="shared" si="0"/>
        <v>113.84</v>
      </c>
      <c r="AF5" s="157">
        <f>B68</f>
        <v>352.20000000000005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1371MW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Load=1083</v>
      </c>
      <c r="B7" s="146">
        <f>B75</f>
        <v>1163.44</v>
      </c>
      <c r="C7" s="146">
        <f t="shared" ref="C7:AF7" si="1">C75</f>
        <v>1139.04</v>
      </c>
      <c r="D7" s="146">
        <f t="shared" si="1"/>
        <v>1120.8400000000001</v>
      </c>
      <c r="E7" s="146">
        <f t="shared" si="1"/>
        <v>1090.54</v>
      </c>
      <c r="F7" s="146">
        <f t="shared" si="1"/>
        <v>1083.24</v>
      </c>
      <c r="G7" s="146">
        <f t="shared" si="1"/>
        <v>1087.6399999999999</v>
      </c>
      <c r="H7" s="146">
        <f t="shared" si="1"/>
        <v>1150.8399999999999</v>
      </c>
      <c r="I7" s="146">
        <f t="shared" si="1"/>
        <v>1197.44</v>
      </c>
      <c r="J7" s="146">
        <f t="shared" si="1"/>
        <v>1259.2400000000002</v>
      </c>
      <c r="K7" s="146">
        <f t="shared" si="1"/>
        <v>1333.7400000000002</v>
      </c>
      <c r="L7" s="146">
        <f t="shared" si="1"/>
        <v>1370.5400000000002</v>
      </c>
      <c r="M7" s="146">
        <f t="shared" si="1"/>
        <v>1352.04</v>
      </c>
      <c r="N7" s="146">
        <f t="shared" si="1"/>
        <v>1323.94</v>
      </c>
      <c r="O7" s="146">
        <f t="shared" si="1"/>
        <v>1341.0400000000002</v>
      </c>
      <c r="P7" s="146">
        <f t="shared" si="1"/>
        <v>1330.94</v>
      </c>
      <c r="Q7" s="146">
        <f t="shared" si="1"/>
        <v>1314.44</v>
      </c>
      <c r="R7" s="146">
        <f t="shared" si="1"/>
        <v>1278.94</v>
      </c>
      <c r="S7" s="146">
        <f t="shared" si="1"/>
        <v>1359.74</v>
      </c>
      <c r="T7" s="146">
        <f t="shared" si="1"/>
        <v>1345.54</v>
      </c>
      <c r="U7" s="146">
        <f t="shared" si="1"/>
        <v>1385.71</v>
      </c>
      <c r="V7" s="146">
        <f t="shared" si="1"/>
        <v>1349.04</v>
      </c>
      <c r="W7" s="146">
        <f t="shared" si="1"/>
        <v>1332.1399999999999</v>
      </c>
      <c r="X7" s="146">
        <f t="shared" si="1"/>
        <v>1370.1</v>
      </c>
      <c r="Y7" s="146">
        <f t="shared" si="1"/>
        <v>1484.24</v>
      </c>
      <c r="Z7" s="146">
        <f t="shared" si="1"/>
        <v>1578.24</v>
      </c>
      <c r="AA7" s="146">
        <f t="shared" si="1"/>
        <v>1534.8400000000001</v>
      </c>
      <c r="AB7" s="146">
        <f t="shared" si="1"/>
        <v>1340.44</v>
      </c>
      <c r="AC7" s="146">
        <f t="shared" si="1"/>
        <v>1331.14</v>
      </c>
      <c r="AD7" s="146">
        <f t="shared" si="1"/>
        <v>1268.6400000000001</v>
      </c>
      <c r="AE7" s="146">
        <f t="shared" si="1"/>
        <v>1292.2400000000002</v>
      </c>
      <c r="AF7" s="146">
        <f t="shared" si="1"/>
        <v>1231.98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03">
        <v>100</v>
      </c>
      <c r="C11" s="103">
        <v>65</v>
      </c>
      <c r="D11" s="103">
        <v>70</v>
      </c>
      <c r="E11" s="127">
        <v>60</v>
      </c>
      <c r="F11" s="127">
        <v>60</v>
      </c>
      <c r="G11" s="127">
        <v>60</v>
      </c>
      <c r="H11" s="127">
        <v>80</v>
      </c>
      <c r="I11" s="127">
        <v>80</v>
      </c>
      <c r="J11" s="127">
        <v>100</v>
      </c>
      <c r="K11" s="127">
        <v>130</v>
      </c>
      <c r="L11" s="127">
        <v>150</v>
      </c>
      <c r="M11" s="103">
        <v>150</v>
      </c>
      <c r="N11" s="103">
        <v>105</v>
      </c>
      <c r="O11" s="103">
        <v>115</v>
      </c>
      <c r="P11" s="103">
        <v>108</v>
      </c>
      <c r="Q11" s="103">
        <v>96</v>
      </c>
      <c r="R11" s="103">
        <v>105</v>
      </c>
      <c r="S11" s="103">
        <v>15</v>
      </c>
      <c r="T11" s="103">
        <v>60</v>
      </c>
      <c r="U11" s="103">
        <v>140</v>
      </c>
      <c r="V11" s="103">
        <v>160</v>
      </c>
      <c r="W11" s="103">
        <v>145</v>
      </c>
      <c r="X11" s="103">
        <v>145</v>
      </c>
      <c r="Y11" s="103">
        <v>145</v>
      </c>
      <c r="Z11" s="179">
        <v>300</v>
      </c>
      <c r="AA11" s="103">
        <v>300</v>
      </c>
      <c r="AB11" s="103">
        <v>200</v>
      </c>
      <c r="AC11" s="103">
        <v>190</v>
      </c>
      <c r="AD11" s="103">
        <v>228</v>
      </c>
      <c r="AE11" s="103">
        <v>90</v>
      </c>
      <c r="AF11" s="127">
        <v>70</v>
      </c>
      <c r="AG11" s="54">
        <v>456</v>
      </c>
      <c r="AH11" s="21">
        <f>MAX(B11:AF11)</f>
        <v>300</v>
      </c>
      <c r="AI11" s="20">
        <f>MIN(B11:AF11)</f>
        <v>15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31</v>
      </c>
      <c r="C12" s="103">
        <v>31</v>
      </c>
      <c r="D12" s="103">
        <v>31</v>
      </c>
      <c r="E12" s="127">
        <v>31</v>
      </c>
      <c r="F12" s="127">
        <v>31</v>
      </c>
      <c r="G12" s="127">
        <v>31</v>
      </c>
      <c r="H12" s="127">
        <v>31</v>
      </c>
      <c r="I12" s="127">
        <v>31</v>
      </c>
      <c r="J12" s="127">
        <v>31</v>
      </c>
      <c r="K12" s="127">
        <v>31</v>
      </c>
      <c r="L12" s="127">
        <v>31</v>
      </c>
      <c r="M12" s="127">
        <v>31</v>
      </c>
      <c r="N12" s="127">
        <v>31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77">
        <v>27</v>
      </c>
      <c r="V12" s="77">
        <v>27</v>
      </c>
      <c r="W12" s="77">
        <v>27</v>
      </c>
      <c r="X12" s="77">
        <v>27</v>
      </c>
      <c r="Y12" s="77">
        <v>27</v>
      </c>
      <c r="Z12" s="103">
        <v>27</v>
      </c>
      <c r="AA12" s="77">
        <v>27</v>
      </c>
      <c r="AB12" s="77">
        <v>27</v>
      </c>
      <c r="AC12" s="77">
        <v>27</v>
      </c>
      <c r="AD12" s="77">
        <v>27</v>
      </c>
      <c r="AE12" s="77">
        <v>27</v>
      </c>
      <c r="AF12" s="77">
        <v>27</v>
      </c>
      <c r="AG12" s="134">
        <v>60</v>
      </c>
      <c r="AH12" s="21">
        <f t="shared" ref="AH12:AH75" si="2">MAX(B12:AF12)</f>
        <v>31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17</v>
      </c>
      <c r="C13" s="103">
        <v>19.399999999999999</v>
      </c>
      <c r="D13" s="103">
        <v>19.600000000000001</v>
      </c>
      <c r="E13" s="127">
        <v>19.7</v>
      </c>
      <c r="F13" s="127">
        <v>19.7</v>
      </c>
      <c r="G13" s="127">
        <v>19.7</v>
      </c>
      <c r="H13" s="127">
        <v>19.7</v>
      </c>
      <c r="I13" s="127">
        <v>17.8</v>
      </c>
      <c r="J13" s="127">
        <v>17.8</v>
      </c>
      <c r="K13" s="127">
        <v>17.8</v>
      </c>
      <c r="L13" s="127">
        <v>17.8</v>
      </c>
      <c r="M13" s="127">
        <v>16.899999999999999</v>
      </c>
      <c r="N13" s="127">
        <v>18.3</v>
      </c>
      <c r="O13" s="127">
        <v>17.399999999999999</v>
      </c>
      <c r="P13" s="127">
        <v>17.399999999999999</v>
      </c>
      <c r="Q13" s="127">
        <v>17.8</v>
      </c>
      <c r="R13" s="127">
        <v>17.8</v>
      </c>
      <c r="S13" s="127">
        <v>17.8</v>
      </c>
      <c r="T13" s="127">
        <v>17.8</v>
      </c>
      <c r="U13" s="77">
        <v>18.7</v>
      </c>
      <c r="V13" s="77">
        <v>18</v>
      </c>
      <c r="W13" s="77">
        <v>18</v>
      </c>
      <c r="X13" s="77">
        <v>18</v>
      </c>
      <c r="Y13" s="77">
        <v>18</v>
      </c>
      <c r="Z13" s="103">
        <v>18</v>
      </c>
      <c r="AA13" s="77">
        <v>18</v>
      </c>
      <c r="AB13" s="77">
        <v>18</v>
      </c>
      <c r="AC13" s="77">
        <v>18</v>
      </c>
      <c r="AD13" s="77">
        <v>18</v>
      </c>
      <c r="AE13" s="77">
        <v>18</v>
      </c>
      <c r="AF13" s="77">
        <v>18</v>
      </c>
      <c r="AG13" s="134">
        <v>52.4</v>
      </c>
      <c r="AH13" s="21">
        <f t="shared" si="2"/>
        <v>19.7</v>
      </c>
      <c r="AI13" s="20">
        <f t="shared" si="3"/>
        <v>16.899999999999999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25.3</v>
      </c>
      <c r="C14" s="103">
        <v>25.4</v>
      </c>
      <c r="D14" s="103">
        <v>25.3</v>
      </c>
      <c r="E14" s="127">
        <v>25.7</v>
      </c>
      <c r="F14" s="127">
        <v>25.7</v>
      </c>
      <c r="G14" s="127">
        <v>25.7</v>
      </c>
      <c r="H14" s="127">
        <v>25.7</v>
      </c>
      <c r="I14" s="127">
        <v>25.4</v>
      </c>
      <c r="J14" s="127">
        <v>25.4</v>
      </c>
      <c r="K14" s="127">
        <v>25.4</v>
      </c>
      <c r="L14" s="127">
        <v>25.4</v>
      </c>
      <c r="M14" s="127">
        <v>25.4</v>
      </c>
      <c r="N14" s="103">
        <v>25.7</v>
      </c>
      <c r="O14" s="103">
        <v>25.7</v>
      </c>
      <c r="P14" s="103">
        <v>25.8</v>
      </c>
      <c r="Q14" s="103">
        <v>25.5</v>
      </c>
      <c r="R14" s="103">
        <v>25.5</v>
      </c>
      <c r="S14" s="103">
        <v>25.5</v>
      </c>
      <c r="T14" s="103">
        <v>25.5</v>
      </c>
      <c r="U14" s="67">
        <v>25.5</v>
      </c>
      <c r="V14" s="67">
        <v>25.1</v>
      </c>
      <c r="W14" s="67">
        <v>25.1</v>
      </c>
      <c r="X14" s="67">
        <v>25.1</v>
      </c>
      <c r="Y14" s="67">
        <v>25.1</v>
      </c>
      <c r="Z14" s="103">
        <v>25.1</v>
      </c>
      <c r="AA14" s="67">
        <v>25.1</v>
      </c>
      <c r="AB14" s="67">
        <v>25.1</v>
      </c>
      <c r="AC14" s="67">
        <v>25.1</v>
      </c>
      <c r="AD14" s="67">
        <v>25.1</v>
      </c>
      <c r="AE14" s="67">
        <v>25.1</v>
      </c>
      <c r="AF14" s="67">
        <v>25.1</v>
      </c>
      <c r="AG14" s="134">
        <v>50</v>
      </c>
      <c r="AH14" s="21">
        <f t="shared" si="2"/>
        <v>25.8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22.4</v>
      </c>
      <c r="C15" s="103">
        <v>22.3</v>
      </c>
      <c r="D15" s="103">
        <v>22.3</v>
      </c>
      <c r="E15" s="123">
        <v>22.4</v>
      </c>
      <c r="F15" s="123">
        <v>22.4</v>
      </c>
      <c r="G15" s="123">
        <v>22.4</v>
      </c>
      <c r="H15" s="123">
        <v>22.4</v>
      </c>
      <c r="I15" s="123">
        <v>22.3</v>
      </c>
      <c r="J15" s="123">
        <v>22.3</v>
      </c>
      <c r="K15" s="123">
        <v>22.3</v>
      </c>
      <c r="L15" s="123">
        <v>22.3</v>
      </c>
      <c r="M15" s="123">
        <v>22.3</v>
      </c>
      <c r="N15" s="103">
        <v>22.6</v>
      </c>
      <c r="O15" s="103">
        <v>22.8</v>
      </c>
      <c r="P15" s="103">
        <v>22.8</v>
      </c>
      <c r="Q15" s="103">
        <v>22.8</v>
      </c>
      <c r="R15" s="103">
        <v>22.8</v>
      </c>
      <c r="S15" s="103">
        <v>22.8</v>
      </c>
      <c r="T15" s="103">
        <v>22.8</v>
      </c>
      <c r="U15" s="67">
        <v>22.8</v>
      </c>
      <c r="V15" s="67">
        <v>22.8</v>
      </c>
      <c r="W15" s="67">
        <v>22.8</v>
      </c>
      <c r="X15" s="67">
        <v>22.8</v>
      </c>
      <c r="Y15" s="67">
        <v>22.8</v>
      </c>
      <c r="Z15" s="103">
        <v>22.8</v>
      </c>
      <c r="AA15" s="67">
        <v>22.8</v>
      </c>
      <c r="AB15" s="67">
        <v>22.8</v>
      </c>
      <c r="AC15" s="67">
        <v>22.8</v>
      </c>
      <c r="AD15" s="67">
        <v>22.8</v>
      </c>
      <c r="AE15" s="67">
        <v>22.8</v>
      </c>
      <c r="AF15" s="67">
        <v>22.8</v>
      </c>
      <c r="AG15" s="108">
        <v>45</v>
      </c>
      <c r="AH15" s="21">
        <f t="shared" si="2"/>
        <v>22.8</v>
      </c>
      <c r="AI15" s="20">
        <f t="shared" si="3"/>
        <v>22.3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14</v>
      </c>
      <c r="C16" s="103">
        <v>14</v>
      </c>
      <c r="D16" s="103">
        <v>14</v>
      </c>
      <c r="E16" s="103">
        <v>14</v>
      </c>
      <c r="F16" s="103">
        <v>14</v>
      </c>
      <c r="G16" s="103">
        <v>14</v>
      </c>
      <c r="H16" s="103">
        <v>14</v>
      </c>
      <c r="I16" s="103">
        <v>14</v>
      </c>
      <c r="J16" s="103">
        <v>14</v>
      </c>
      <c r="K16" s="103">
        <v>14</v>
      </c>
      <c r="L16" s="103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70">
        <v>14</v>
      </c>
      <c r="V16" s="70">
        <v>14</v>
      </c>
      <c r="W16" s="70">
        <v>14</v>
      </c>
      <c r="X16" s="70">
        <v>14</v>
      </c>
      <c r="Y16" s="70">
        <v>14</v>
      </c>
      <c r="Z16" s="103">
        <v>14</v>
      </c>
      <c r="AA16" s="70">
        <v>14</v>
      </c>
      <c r="AB16" s="70">
        <v>14</v>
      </c>
      <c r="AC16" s="70">
        <v>14</v>
      </c>
      <c r="AD16" s="70">
        <v>14</v>
      </c>
      <c r="AE16" s="70">
        <v>14</v>
      </c>
      <c r="AF16" s="70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6.5</v>
      </c>
      <c r="C17" s="103">
        <v>6.5</v>
      </c>
      <c r="D17" s="103">
        <v>6.5</v>
      </c>
      <c r="E17" s="103">
        <v>6.5</v>
      </c>
      <c r="F17" s="103">
        <v>6.5</v>
      </c>
      <c r="G17" s="103">
        <v>6.5</v>
      </c>
      <c r="H17" s="103">
        <v>6.5</v>
      </c>
      <c r="I17" s="103">
        <v>6.5</v>
      </c>
      <c r="J17" s="103">
        <v>6.5</v>
      </c>
      <c r="K17" s="103">
        <v>6.5</v>
      </c>
      <c r="L17" s="103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67">
        <v>6.5</v>
      </c>
      <c r="V17" s="67">
        <v>6.5</v>
      </c>
      <c r="W17" s="67">
        <v>6.5</v>
      </c>
      <c r="X17" s="67">
        <v>6.5</v>
      </c>
      <c r="Y17" s="67">
        <v>6.5</v>
      </c>
      <c r="Z17" s="103">
        <v>6.5</v>
      </c>
      <c r="AA17" s="67">
        <v>6.5</v>
      </c>
      <c r="AB17" s="67">
        <v>6.5</v>
      </c>
      <c r="AC17" s="67">
        <v>6.5</v>
      </c>
      <c r="AD17" s="67">
        <v>6.5</v>
      </c>
      <c r="AE17" s="67">
        <v>6.5</v>
      </c>
      <c r="AF17" s="67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03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11.6</v>
      </c>
      <c r="C19" s="103">
        <v>11.4</v>
      </c>
      <c r="D19" s="103">
        <v>11.3</v>
      </c>
      <c r="E19" s="103">
        <v>11.3</v>
      </c>
      <c r="F19" s="103">
        <v>11.3</v>
      </c>
      <c r="G19" s="103">
        <v>11.3</v>
      </c>
      <c r="H19" s="103">
        <v>11.3</v>
      </c>
      <c r="I19" s="103">
        <v>11.3</v>
      </c>
      <c r="J19" s="103">
        <v>11.3</v>
      </c>
      <c r="K19" s="103">
        <v>11.3</v>
      </c>
      <c r="L19" s="103">
        <v>11.3</v>
      </c>
      <c r="M19" s="103">
        <v>11.3</v>
      </c>
      <c r="N19" s="103">
        <v>11.3</v>
      </c>
      <c r="O19" s="103">
        <v>11.3</v>
      </c>
      <c r="P19" s="103">
        <v>11.3</v>
      </c>
      <c r="Q19" s="103">
        <v>11.3</v>
      </c>
      <c r="R19" s="103">
        <v>11.3</v>
      </c>
      <c r="S19" s="103">
        <v>11.3</v>
      </c>
      <c r="T19" s="103">
        <v>11.3</v>
      </c>
      <c r="U19" s="103">
        <v>11.3</v>
      </c>
      <c r="V19" s="103">
        <v>11.4</v>
      </c>
      <c r="W19" s="103">
        <v>11.4</v>
      </c>
      <c r="X19" s="103">
        <v>11.4</v>
      </c>
      <c r="Y19" s="103">
        <v>11.4</v>
      </c>
      <c r="Z19" s="103">
        <v>11.4</v>
      </c>
      <c r="AA19" s="103">
        <v>11.4</v>
      </c>
      <c r="AB19" s="103">
        <v>11.4</v>
      </c>
      <c r="AC19" s="103">
        <v>11.4</v>
      </c>
      <c r="AD19" s="103">
        <v>11.4</v>
      </c>
      <c r="AE19" s="103">
        <v>11.4</v>
      </c>
      <c r="AF19" s="103">
        <v>11.4</v>
      </c>
      <c r="AG19" s="134">
        <v>30</v>
      </c>
      <c r="AH19" s="21">
        <f t="shared" si="2"/>
        <v>11.6</v>
      </c>
      <c r="AI19" s="20">
        <f t="shared" si="3"/>
        <v>11.3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8.1</v>
      </c>
      <c r="C20" s="103">
        <v>8.1</v>
      </c>
      <c r="D20" s="103">
        <v>8.1</v>
      </c>
      <c r="E20" s="103">
        <v>8.1</v>
      </c>
      <c r="F20" s="103">
        <v>8.1</v>
      </c>
      <c r="G20" s="103">
        <v>8.1</v>
      </c>
      <c r="H20" s="103">
        <v>8.1</v>
      </c>
      <c r="I20" s="103">
        <v>8.1</v>
      </c>
      <c r="J20" s="103">
        <v>8.1</v>
      </c>
      <c r="K20" s="103">
        <v>8.1</v>
      </c>
      <c r="L20" s="103">
        <v>8.1</v>
      </c>
      <c r="M20" s="103">
        <v>8.1</v>
      </c>
      <c r="N20" s="103">
        <v>8.1</v>
      </c>
      <c r="O20" s="103">
        <v>8.1</v>
      </c>
      <c r="P20" s="103">
        <v>8.1</v>
      </c>
      <c r="Q20" s="103">
        <v>8.1</v>
      </c>
      <c r="R20" s="103">
        <v>8.1</v>
      </c>
      <c r="S20" s="103">
        <v>8.1</v>
      </c>
      <c r="T20" s="103">
        <v>8.1</v>
      </c>
      <c r="U20" s="103">
        <v>7.8</v>
      </c>
      <c r="V20" s="103">
        <v>7.8</v>
      </c>
      <c r="W20" s="103">
        <v>7.8</v>
      </c>
      <c r="X20" s="103">
        <v>7.8</v>
      </c>
      <c r="Y20" s="103">
        <v>7.8</v>
      </c>
      <c r="Z20" s="103">
        <v>7.8</v>
      </c>
      <c r="AA20" s="103">
        <v>7.8</v>
      </c>
      <c r="AB20" s="103">
        <v>7.8</v>
      </c>
      <c r="AC20" s="103">
        <v>7.8</v>
      </c>
      <c r="AD20" s="103">
        <v>7.8</v>
      </c>
      <c r="AE20" s="103">
        <v>7.8</v>
      </c>
      <c r="AF20" s="103">
        <v>7.8</v>
      </c>
      <c r="AG20" s="134">
        <v>27</v>
      </c>
      <c r="AH20" s="21">
        <f t="shared" si="2"/>
        <v>8.1</v>
      </c>
      <c r="AI20" s="20">
        <f t="shared" si="3"/>
        <v>7.8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03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19.8</v>
      </c>
      <c r="C22" s="103">
        <v>18</v>
      </c>
      <c r="D22" s="103">
        <v>18</v>
      </c>
      <c r="E22" s="103">
        <v>18</v>
      </c>
      <c r="F22" s="103">
        <v>18</v>
      </c>
      <c r="G22" s="103">
        <v>18</v>
      </c>
      <c r="H22" s="103">
        <v>18</v>
      </c>
      <c r="I22" s="103">
        <v>18</v>
      </c>
      <c r="J22" s="103">
        <v>18</v>
      </c>
      <c r="K22" s="103">
        <v>18</v>
      </c>
      <c r="L22" s="103">
        <v>18</v>
      </c>
      <c r="M22" s="103">
        <v>18</v>
      </c>
      <c r="N22" s="103">
        <v>18</v>
      </c>
      <c r="O22" s="103">
        <v>18</v>
      </c>
      <c r="P22" s="103">
        <v>18</v>
      </c>
      <c r="Q22" s="103">
        <v>18</v>
      </c>
      <c r="R22" s="103">
        <v>18</v>
      </c>
      <c r="S22" s="103">
        <v>18</v>
      </c>
      <c r="T22" s="103">
        <v>18</v>
      </c>
      <c r="U22" s="103">
        <v>18</v>
      </c>
      <c r="V22" s="103">
        <v>16.5</v>
      </c>
      <c r="W22" s="103">
        <v>16.5</v>
      </c>
      <c r="X22" s="103">
        <v>16.5</v>
      </c>
      <c r="Y22" s="103">
        <v>16.5</v>
      </c>
      <c r="Z22" s="103">
        <v>16.5</v>
      </c>
      <c r="AA22" s="103">
        <v>16.5</v>
      </c>
      <c r="AB22" s="103">
        <v>16.5</v>
      </c>
      <c r="AC22" s="103">
        <v>16.5</v>
      </c>
      <c r="AD22" s="103">
        <v>16.5</v>
      </c>
      <c r="AE22" s="103">
        <v>16.5</v>
      </c>
      <c r="AF22" s="103">
        <v>16.5</v>
      </c>
      <c r="AG22" s="134">
        <v>25</v>
      </c>
      <c r="AH22" s="21">
        <f t="shared" si="2"/>
        <v>19.8</v>
      </c>
      <c r="AI22" s="20">
        <f t="shared" si="3"/>
        <v>16.5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4.8</v>
      </c>
      <c r="C23" s="103">
        <v>4.8</v>
      </c>
      <c r="D23" s="103">
        <v>4.8</v>
      </c>
      <c r="E23" s="103">
        <v>4.8</v>
      </c>
      <c r="F23" s="103">
        <v>4.8</v>
      </c>
      <c r="G23" s="103">
        <v>4.8</v>
      </c>
      <c r="H23" s="103">
        <v>4.8</v>
      </c>
      <c r="I23" s="103">
        <v>4.8</v>
      </c>
      <c r="J23" s="103">
        <v>4.8</v>
      </c>
      <c r="K23" s="103">
        <v>4.8</v>
      </c>
      <c r="L23" s="103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10.6</v>
      </c>
      <c r="C24" s="103">
        <v>10.6</v>
      </c>
      <c r="D24" s="103">
        <v>8.6999999999999993</v>
      </c>
      <c r="E24" s="103">
        <v>8.6999999999999993</v>
      </c>
      <c r="F24" s="103">
        <v>8.6999999999999993</v>
      </c>
      <c r="G24" s="103">
        <v>8.6999999999999993</v>
      </c>
      <c r="H24" s="103">
        <v>8.6999999999999993</v>
      </c>
      <c r="I24" s="103">
        <v>8.6999999999999993</v>
      </c>
      <c r="J24" s="103">
        <v>8.6999999999999993</v>
      </c>
      <c r="K24" s="103">
        <v>8.6999999999999993</v>
      </c>
      <c r="L24" s="103">
        <v>8.6999999999999993</v>
      </c>
      <c r="M24" s="103">
        <v>8.6999999999999993</v>
      </c>
      <c r="N24" s="103">
        <v>8.6999999999999993</v>
      </c>
      <c r="O24" s="103">
        <v>8.6999999999999993</v>
      </c>
      <c r="P24" s="103">
        <v>8.6999999999999993</v>
      </c>
      <c r="Q24" s="103">
        <v>8.6999999999999993</v>
      </c>
      <c r="R24" s="103">
        <v>8.6999999999999993</v>
      </c>
      <c r="S24" s="103">
        <v>8.6999999999999993</v>
      </c>
      <c r="T24" s="103">
        <v>8.6999999999999993</v>
      </c>
      <c r="U24" s="103">
        <v>6</v>
      </c>
      <c r="V24" s="103">
        <v>5.2</v>
      </c>
      <c r="W24" s="103">
        <v>5.2</v>
      </c>
      <c r="X24" s="103">
        <v>5.2</v>
      </c>
      <c r="Y24" s="103">
        <v>5.2</v>
      </c>
      <c r="Z24" s="103">
        <v>5.2</v>
      </c>
      <c r="AA24" s="103">
        <v>5.2</v>
      </c>
      <c r="AB24" s="103">
        <v>5.2</v>
      </c>
      <c r="AC24" s="103">
        <v>5.2</v>
      </c>
      <c r="AD24" s="103">
        <v>5.2</v>
      </c>
      <c r="AE24" s="103">
        <v>5.2</v>
      </c>
      <c r="AF24" s="103">
        <v>5.2</v>
      </c>
      <c r="AG24" s="134">
        <v>25</v>
      </c>
      <c r="AH24" s="21">
        <f t="shared" si="2"/>
        <v>10.6</v>
      </c>
      <c r="AI24" s="20">
        <f t="shared" si="3"/>
        <v>5.2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03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6.7</v>
      </c>
      <c r="C26" s="103">
        <v>6.7</v>
      </c>
      <c r="D26" s="103">
        <v>6.7</v>
      </c>
      <c r="E26" s="103">
        <v>6.7</v>
      </c>
      <c r="F26" s="103">
        <v>6.7</v>
      </c>
      <c r="G26" s="103">
        <v>6.7</v>
      </c>
      <c r="H26" s="103">
        <v>6.7</v>
      </c>
      <c r="I26" s="103">
        <v>6.7</v>
      </c>
      <c r="J26" s="103">
        <v>6.7</v>
      </c>
      <c r="K26" s="103">
        <v>6.7</v>
      </c>
      <c r="L26" s="103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03">
        <v>2.5</v>
      </c>
      <c r="C27" s="103">
        <v>2.5</v>
      </c>
      <c r="D27" s="103">
        <v>2.5</v>
      </c>
      <c r="E27" s="103">
        <v>2.5</v>
      </c>
      <c r="F27" s="103">
        <v>2.5</v>
      </c>
      <c r="G27" s="103">
        <v>2.5</v>
      </c>
      <c r="H27" s="103">
        <v>2.5</v>
      </c>
      <c r="I27" s="103">
        <v>2.5</v>
      </c>
      <c r="J27" s="103">
        <v>2.5</v>
      </c>
      <c r="K27" s="103">
        <v>2.5</v>
      </c>
      <c r="L27" s="103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0</v>
      </c>
      <c r="C28" s="103">
        <v>0</v>
      </c>
      <c r="D28" s="103">
        <v>0</v>
      </c>
      <c r="E28" s="103">
        <v>0</v>
      </c>
      <c r="F28" s="103">
        <v>0</v>
      </c>
      <c r="G28" s="103">
        <v>0</v>
      </c>
      <c r="H28" s="103">
        <v>0</v>
      </c>
      <c r="I28" s="103">
        <v>0</v>
      </c>
      <c r="J28" s="103">
        <v>0</v>
      </c>
      <c r="K28" s="103">
        <v>0</v>
      </c>
      <c r="L28" s="103">
        <v>0</v>
      </c>
      <c r="M28" s="103">
        <v>0</v>
      </c>
      <c r="N28" s="103">
        <v>0</v>
      </c>
      <c r="O28" s="103">
        <v>0</v>
      </c>
      <c r="P28" s="103">
        <v>0</v>
      </c>
      <c r="Q28" s="103">
        <v>0</v>
      </c>
      <c r="R28" s="103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0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03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03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0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0</v>
      </c>
      <c r="C33" s="103">
        <v>0</v>
      </c>
      <c r="D33" s="103">
        <v>0</v>
      </c>
      <c r="E33" s="103">
        <v>0</v>
      </c>
      <c r="F33" s="103">
        <v>0</v>
      </c>
      <c r="G33" s="103">
        <v>0</v>
      </c>
      <c r="H33" s="103">
        <v>0</v>
      </c>
      <c r="I33" s="103">
        <v>0</v>
      </c>
      <c r="J33" s="103">
        <v>0</v>
      </c>
      <c r="K33" s="103">
        <v>0</v>
      </c>
      <c r="L33" s="10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5</v>
      </c>
      <c r="AA35" s="103">
        <v>5</v>
      </c>
      <c r="AB35" s="103">
        <v>5</v>
      </c>
      <c r="AC35" s="103">
        <v>5</v>
      </c>
      <c r="AD35" s="103">
        <v>5</v>
      </c>
      <c r="AE35" s="103">
        <v>5</v>
      </c>
      <c r="AF35" s="103">
        <v>5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f>15+23.2</f>
        <v>38.200000000000003</v>
      </c>
      <c r="C37" s="128">
        <f>16.2+25.5</f>
        <v>41.7</v>
      </c>
      <c r="D37" s="128">
        <f>15+24.5</f>
        <v>39.5</v>
      </c>
      <c r="E37" s="123">
        <f>15.1+23.9</f>
        <v>39</v>
      </c>
      <c r="F37" s="123">
        <f>16.4+24.8</f>
        <v>41.2</v>
      </c>
      <c r="G37" s="123">
        <f>17.2+25</f>
        <v>42.2</v>
      </c>
      <c r="H37" s="123">
        <f>17.8+26</f>
        <v>43.8</v>
      </c>
      <c r="I37" s="123">
        <f>16.4+24.4</f>
        <v>40.799999999999997</v>
      </c>
      <c r="J37" s="123">
        <f>16.5+24.7</f>
        <v>41.2</v>
      </c>
      <c r="K37" s="123">
        <f>16+23.8</f>
        <v>39.799999999999997</v>
      </c>
      <c r="L37" s="123">
        <f>16+23.8</f>
        <v>39.799999999999997</v>
      </c>
      <c r="M37" s="128">
        <v>39</v>
      </c>
      <c r="N37" s="128">
        <v>38</v>
      </c>
      <c r="O37" s="128">
        <v>29.3</v>
      </c>
      <c r="P37" s="128">
        <v>40.9</v>
      </c>
      <c r="Q37" s="128">
        <v>41.9</v>
      </c>
      <c r="R37" s="128">
        <v>36.299999999999997</v>
      </c>
      <c r="S37" s="128">
        <f>13.7+20</f>
        <v>33.700000000000003</v>
      </c>
      <c r="T37" s="128">
        <f>13.7+20</f>
        <v>33.700000000000003</v>
      </c>
      <c r="U37" s="128">
        <v>28.6</v>
      </c>
      <c r="V37" s="128">
        <v>30.7</v>
      </c>
      <c r="W37" s="128">
        <v>30.7</v>
      </c>
      <c r="X37" s="128">
        <v>30.7</v>
      </c>
      <c r="Y37" s="128">
        <v>30.7</v>
      </c>
      <c r="Z37" s="128">
        <v>48.8</v>
      </c>
      <c r="AA37" s="128">
        <v>30.7</v>
      </c>
      <c r="AB37" s="128">
        <v>44.1</v>
      </c>
      <c r="AC37" s="128">
        <v>44</v>
      </c>
      <c r="AD37" s="128">
        <v>43</v>
      </c>
      <c r="AE37" s="128">
        <v>47.1</v>
      </c>
      <c r="AF37" s="123">
        <v>45</v>
      </c>
      <c r="AG37" s="106">
        <v>240</v>
      </c>
      <c r="AH37" s="21">
        <f t="shared" si="2"/>
        <v>48.8</v>
      </c>
      <c r="AI37" s="20">
        <f t="shared" si="3"/>
        <v>28.6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486.1</v>
      </c>
      <c r="C38" s="99">
        <f t="shared" ref="C38:AF38" si="5">SUM(C11:C36)</f>
        <v>451.50000000000006</v>
      </c>
      <c r="D38" s="99">
        <f t="shared" si="5"/>
        <v>454.6</v>
      </c>
      <c r="E38" s="99">
        <f t="shared" si="5"/>
        <v>445.2</v>
      </c>
      <c r="F38" s="99">
        <f t="shared" si="5"/>
        <v>445.2</v>
      </c>
      <c r="G38" s="99">
        <f t="shared" si="5"/>
        <v>445.2</v>
      </c>
      <c r="H38" s="99">
        <f t="shared" si="5"/>
        <v>465.2</v>
      </c>
      <c r="I38" s="99">
        <f t="shared" si="5"/>
        <v>462.90000000000003</v>
      </c>
      <c r="J38" s="99">
        <f t="shared" si="5"/>
        <v>482.90000000000003</v>
      </c>
      <c r="K38" s="99">
        <f t="shared" si="5"/>
        <v>512.90000000000009</v>
      </c>
      <c r="L38" s="99">
        <f t="shared" si="5"/>
        <v>532.90000000000009</v>
      </c>
      <c r="M38" s="99">
        <f t="shared" si="5"/>
        <v>532</v>
      </c>
      <c r="N38" s="99">
        <f t="shared" si="5"/>
        <v>489</v>
      </c>
      <c r="O38" s="99">
        <f t="shared" si="5"/>
        <v>494.3</v>
      </c>
      <c r="P38" s="99">
        <f t="shared" si="5"/>
        <v>487.40000000000003</v>
      </c>
      <c r="Q38" s="99">
        <f t="shared" si="5"/>
        <v>475.5</v>
      </c>
      <c r="R38" s="99">
        <f t="shared" si="5"/>
        <v>484.5</v>
      </c>
      <c r="S38" s="99">
        <f t="shared" si="5"/>
        <v>399.5</v>
      </c>
      <c r="T38" s="99">
        <f t="shared" si="5"/>
        <v>444.5</v>
      </c>
      <c r="U38" s="99">
        <f t="shared" si="5"/>
        <v>522.40000000000009</v>
      </c>
      <c r="V38" s="99">
        <f t="shared" si="5"/>
        <v>539.09999999999991</v>
      </c>
      <c r="W38" s="99">
        <f t="shared" si="5"/>
        <v>524.09999999999991</v>
      </c>
      <c r="X38" s="99">
        <f t="shared" si="5"/>
        <v>524.09999999999991</v>
      </c>
      <c r="Y38" s="99">
        <f t="shared" si="5"/>
        <v>524.09999999999991</v>
      </c>
      <c r="Z38" s="99">
        <v>679.1</v>
      </c>
      <c r="AA38" s="99">
        <f t="shared" si="5"/>
        <v>679.1</v>
      </c>
      <c r="AB38" s="99">
        <f t="shared" si="5"/>
        <v>579.1</v>
      </c>
      <c r="AC38" s="99">
        <f t="shared" si="5"/>
        <v>569.1</v>
      </c>
      <c r="AD38" s="99">
        <f t="shared" si="5"/>
        <v>607.1</v>
      </c>
      <c r="AE38" s="99">
        <f t="shared" si="5"/>
        <v>469.1</v>
      </c>
      <c r="AF38" s="99">
        <f t="shared" si="5"/>
        <v>449.1</v>
      </c>
      <c r="AG38" s="106">
        <f>SUM(AG11:AG37)</f>
        <v>1492.8299999999997</v>
      </c>
      <c r="AH38" s="21">
        <f t="shared" si="2"/>
        <v>679.1</v>
      </c>
      <c r="AI38" s="20">
        <f t="shared" si="3"/>
        <v>399.5</v>
      </c>
      <c r="AK38" s="42"/>
    </row>
    <row r="39" spans="1:88" x14ac:dyDescent="0.25">
      <c r="A39" s="109" t="s">
        <v>172</v>
      </c>
      <c r="B39" s="127">
        <v>40.1</v>
      </c>
      <c r="C39" s="123">
        <v>40.6</v>
      </c>
      <c r="D39" s="123">
        <v>40.299999999999997</v>
      </c>
      <c r="E39" s="123">
        <v>31</v>
      </c>
      <c r="F39" s="123">
        <v>31.1</v>
      </c>
      <c r="G39" s="123">
        <v>31.2</v>
      </c>
      <c r="H39" s="123">
        <v>61.3</v>
      </c>
      <c r="I39" s="123">
        <v>81.3</v>
      </c>
      <c r="J39" s="123">
        <v>81</v>
      </c>
      <c r="K39" s="123">
        <v>81.599999999999994</v>
      </c>
      <c r="L39" s="123">
        <v>91.4</v>
      </c>
      <c r="M39" s="103">
        <v>91.2</v>
      </c>
      <c r="N39" s="103">
        <v>91</v>
      </c>
      <c r="O39" s="103">
        <v>97.1</v>
      </c>
      <c r="P39" s="103">
        <v>97.1</v>
      </c>
      <c r="Q39" s="103">
        <v>97.1</v>
      </c>
      <c r="R39" s="103">
        <v>97.1</v>
      </c>
      <c r="S39" s="103">
        <v>90.8</v>
      </c>
      <c r="T39" s="103">
        <v>80</v>
      </c>
      <c r="U39" s="103">
        <v>97.2</v>
      </c>
      <c r="V39" s="103">
        <v>111.6</v>
      </c>
      <c r="W39" s="103">
        <v>105.3</v>
      </c>
      <c r="X39" s="103">
        <v>106</v>
      </c>
      <c r="Y39" s="103">
        <v>145</v>
      </c>
      <c r="Z39" s="103">
        <v>145</v>
      </c>
      <c r="AA39" s="103">
        <v>145</v>
      </c>
      <c r="AB39" s="103">
        <v>145</v>
      </c>
      <c r="AC39" s="103">
        <v>145</v>
      </c>
      <c r="AD39" s="103">
        <v>145</v>
      </c>
      <c r="AE39" s="103">
        <v>144</v>
      </c>
      <c r="AF39" s="127">
        <v>140.4</v>
      </c>
      <c r="AG39" s="108">
        <v>144</v>
      </c>
      <c r="AH39" s="21">
        <f t="shared" si="2"/>
        <v>145</v>
      </c>
      <c r="AI39" s="20">
        <f t="shared" si="3"/>
        <v>31</v>
      </c>
      <c r="AK39" s="42"/>
    </row>
    <row r="40" spans="1:88" x14ac:dyDescent="0.25">
      <c r="A40" s="107" t="s">
        <v>171</v>
      </c>
      <c r="B40" s="123">
        <v>25.3</v>
      </c>
      <c r="C40" s="123">
        <v>25.4</v>
      </c>
      <c r="D40" s="123">
        <v>0</v>
      </c>
      <c r="E40" s="123">
        <v>0</v>
      </c>
      <c r="F40" s="123">
        <v>0</v>
      </c>
      <c r="G40" s="123">
        <v>21.7</v>
      </c>
      <c r="H40" s="123">
        <v>22</v>
      </c>
      <c r="I40" s="123">
        <v>34.6</v>
      </c>
      <c r="J40" s="123">
        <v>34.700000000000003</v>
      </c>
      <c r="K40" s="123">
        <v>51.5</v>
      </c>
      <c r="L40" s="123">
        <v>65</v>
      </c>
      <c r="M40" s="73">
        <v>60.8</v>
      </c>
      <c r="N40" s="73">
        <v>51.2</v>
      </c>
      <c r="O40" s="73">
        <v>61.2</v>
      </c>
      <c r="P40" s="73">
        <v>65.8</v>
      </c>
      <c r="Q40" s="73">
        <v>71.099999999999994</v>
      </c>
      <c r="R40" s="73">
        <v>36.6</v>
      </c>
      <c r="S40" s="73">
        <v>24.8</v>
      </c>
      <c r="T40" s="73">
        <v>24.8</v>
      </c>
      <c r="U40" s="73">
        <v>29.8</v>
      </c>
      <c r="V40" s="73">
        <v>51</v>
      </c>
      <c r="W40" s="73">
        <v>50.5</v>
      </c>
      <c r="X40" s="73">
        <v>50.3</v>
      </c>
      <c r="Y40" s="73">
        <v>70</v>
      </c>
      <c r="Z40" s="73">
        <v>70</v>
      </c>
      <c r="AA40" s="73">
        <v>70</v>
      </c>
      <c r="AB40" s="73">
        <v>70</v>
      </c>
      <c r="AC40" s="73">
        <v>70</v>
      </c>
      <c r="AD40" s="73">
        <v>70</v>
      </c>
      <c r="AE40" s="73">
        <v>70</v>
      </c>
      <c r="AF40" s="123">
        <v>61.1</v>
      </c>
      <c r="AG40" s="106">
        <v>70</v>
      </c>
      <c r="AH40" s="21">
        <f t="shared" si="2"/>
        <v>71.099999999999994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56.2</v>
      </c>
      <c r="C41" s="123">
        <v>56.2</v>
      </c>
      <c r="D41" s="123">
        <v>56.2</v>
      </c>
      <c r="E41" s="123">
        <v>17.600000000000001</v>
      </c>
      <c r="F41" s="123">
        <v>18.100000000000001</v>
      </c>
      <c r="G41" s="123">
        <v>17.100000000000001</v>
      </c>
      <c r="H41" s="123">
        <v>36.700000000000003</v>
      </c>
      <c r="I41" s="123">
        <v>36.799999999999997</v>
      </c>
      <c r="J41" s="123">
        <v>36.9</v>
      </c>
      <c r="K41" s="123">
        <v>65.5</v>
      </c>
      <c r="L41" s="123">
        <v>63.2</v>
      </c>
      <c r="M41" s="73">
        <v>62.6</v>
      </c>
      <c r="N41" s="73">
        <v>59</v>
      </c>
      <c r="O41" s="73">
        <v>60.9</v>
      </c>
      <c r="P41" s="73">
        <v>67.3</v>
      </c>
      <c r="Q41" s="73">
        <v>44.3</v>
      </c>
      <c r="R41" s="73">
        <v>21.5</v>
      </c>
      <c r="S41" s="73">
        <v>17.600000000000001</v>
      </c>
      <c r="T41" s="73">
        <v>23.7</v>
      </c>
      <c r="U41" s="73">
        <v>45.7</v>
      </c>
      <c r="V41" s="73">
        <v>49.2</v>
      </c>
      <c r="W41" s="73">
        <v>49.2</v>
      </c>
      <c r="X41" s="73">
        <v>48.9</v>
      </c>
      <c r="Y41" s="73">
        <v>70</v>
      </c>
      <c r="Z41" s="73">
        <v>68.5</v>
      </c>
      <c r="AA41" s="73">
        <v>70</v>
      </c>
      <c r="AB41" s="73">
        <v>66.8</v>
      </c>
      <c r="AC41" s="73">
        <v>66.8</v>
      </c>
      <c r="AD41" s="73">
        <v>66.8</v>
      </c>
      <c r="AE41" s="73">
        <v>45.8</v>
      </c>
      <c r="AF41" s="123">
        <v>46.1</v>
      </c>
      <c r="AG41" s="106">
        <v>69</v>
      </c>
      <c r="AH41" s="21">
        <f t="shared" si="2"/>
        <v>70</v>
      </c>
      <c r="AI41" s="20">
        <f t="shared" si="3"/>
        <v>17.100000000000001</v>
      </c>
      <c r="AK41" s="42"/>
    </row>
    <row r="42" spans="1:88" x14ac:dyDescent="0.25">
      <c r="A42" s="107" t="s">
        <v>169</v>
      </c>
      <c r="B42" s="123">
        <v>58.2</v>
      </c>
      <c r="C42" s="123">
        <v>58.2</v>
      </c>
      <c r="D42" s="123">
        <v>58.2</v>
      </c>
      <c r="E42" s="123">
        <v>58.2</v>
      </c>
      <c r="F42" s="123">
        <v>58.2</v>
      </c>
      <c r="G42" s="123">
        <v>58.2</v>
      </c>
      <c r="H42" s="123">
        <v>58.2</v>
      </c>
      <c r="I42" s="123">
        <v>60.4</v>
      </c>
      <c r="J42" s="123">
        <v>60.2</v>
      </c>
      <c r="K42" s="123">
        <v>60.2</v>
      </c>
      <c r="L42" s="123">
        <v>60</v>
      </c>
      <c r="M42" s="73">
        <v>60</v>
      </c>
      <c r="N42" s="73">
        <v>60</v>
      </c>
      <c r="O42" s="73">
        <v>60</v>
      </c>
      <c r="P42" s="73">
        <v>58.5</v>
      </c>
      <c r="Q42" s="73">
        <v>58.7</v>
      </c>
      <c r="R42" s="73">
        <v>58.7</v>
      </c>
      <c r="S42" s="73">
        <v>60</v>
      </c>
      <c r="T42" s="73">
        <v>60</v>
      </c>
      <c r="U42" s="73">
        <v>58.5</v>
      </c>
      <c r="V42" s="73">
        <v>58.5</v>
      </c>
      <c r="W42" s="73">
        <v>58.5</v>
      </c>
      <c r="X42" s="73">
        <v>58.5</v>
      </c>
      <c r="Y42" s="73">
        <v>67.8</v>
      </c>
      <c r="Z42" s="73">
        <v>67.8</v>
      </c>
      <c r="AA42" s="73">
        <v>67.8</v>
      </c>
      <c r="AB42" s="73">
        <v>56.7</v>
      </c>
      <c r="AC42" s="73">
        <v>56.7</v>
      </c>
      <c r="AD42" s="73">
        <v>56.7</v>
      </c>
      <c r="AE42" s="73">
        <v>56.7</v>
      </c>
      <c r="AF42" s="123">
        <v>57.1</v>
      </c>
      <c r="AG42" s="106">
        <v>60</v>
      </c>
      <c r="AH42" s="21">
        <f t="shared" si="2"/>
        <v>67.8</v>
      </c>
      <c r="AI42" s="20">
        <f t="shared" si="3"/>
        <v>56.7</v>
      </c>
      <c r="AK42" s="42"/>
    </row>
    <row r="43" spans="1:88" x14ac:dyDescent="0.25">
      <c r="A43" s="107" t="s">
        <v>168</v>
      </c>
      <c r="B43" s="123">
        <v>0</v>
      </c>
      <c r="C43" s="123">
        <v>15</v>
      </c>
      <c r="D43" s="123">
        <v>14</v>
      </c>
      <c r="E43" s="123">
        <v>9.4</v>
      </c>
      <c r="F43" s="123">
        <v>8.9</v>
      </c>
      <c r="G43" s="123">
        <v>9.6999999999999993</v>
      </c>
      <c r="H43" s="123">
        <v>13.1</v>
      </c>
      <c r="I43" s="123">
        <v>13.6</v>
      </c>
      <c r="J43" s="123">
        <v>13.5</v>
      </c>
      <c r="K43" s="123">
        <v>13.6</v>
      </c>
      <c r="L43" s="123">
        <v>13.6</v>
      </c>
      <c r="M43" s="103">
        <v>10</v>
      </c>
      <c r="N43" s="103">
        <v>15</v>
      </c>
      <c r="O43" s="103">
        <v>10</v>
      </c>
      <c r="P43" s="103">
        <v>20</v>
      </c>
      <c r="Q43" s="103">
        <v>20</v>
      </c>
      <c r="R43" s="103">
        <v>20</v>
      </c>
      <c r="S43" s="103">
        <v>20</v>
      </c>
      <c r="T43" s="103">
        <v>20</v>
      </c>
      <c r="U43" s="103">
        <v>15</v>
      </c>
      <c r="V43" s="103">
        <v>15</v>
      </c>
      <c r="W43" s="103">
        <v>6</v>
      </c>
      <c r="X43" s="103">
        <v>6</v>
      </c>
      <c r="Y43" s="103">
        <v>6</v>
      </c>
      <c r="Z43" s="73">
        <v>24</v>
      </c>
      <c r="AA43" s="103">
        <v>6</v>
      </c>
      <c r="AB43" s="103">
        <v>18.100000000000001</v>
      </c>
      <c r="AC43" s="103">
        <v>18.100000000000001</v>
      </c>
      <c r="AD43" s="103">
        <v>18.100000000000001</v>
      </c>
      <c r="AE43" s="103">
        <v>13.6</v>
      </c>
      <c r="AF43" s="123">
        <v>12.1</v>
      </c>
      <c r="AG43" s="106">
        <v>30</v>
      </c>
      <c r="AH43" s="21">
        <f t="shared" si="2"/>
        <v>24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4</v>
      </c>
      <c r="N44" s="103">
        <v>5</v>
      </c>
      <c r="O44" s="103">
        <v>6</v>
      </c>
      <c r="P44" s="103">
        <v>7</v>
      </c>
      <c r="Q44" s="103">
        <v>7</v>
      </c>
      <c r="R44" s="103">
        <v>6</v>
      </c>
      <c r="S44" s="103">
        <v>6</v>
      </c>
      <c r="T44" s="103">
        <v>6</v>
      </c>
      <c r="U44" s="103">
        <v>6</v>
      </c>
      <c r="V44" s="103">
        <v>3</v>
      </c>
      <c r="W44" s="103">
        <v>3</v>
      </c>
      <c r="X44" s="103">
        <v>3</v>
      </c>
      <c r="Y44" s="103">
        <v>3</v>
      </c>
      <c r="Z44" s="103">
        <v>3</v>
      </c>
      <c r="AA44" s="103">
        <v>3</v>
      </c>
      <c r="AB44" s="103">
        <v>3</v>
      </c>
      <c r="AC44" s="103">
        <v>3</v>
      </c>
      <c r="AD44" s="103">
        <v>3</v>
      </c>
      <c r="AE44" s="103">
        <v>3</v>
      </c>
      <c r="AF44" s="103">
        <v>3</v>
      </c>
      <c r="AG44" s="106">
        <v>25</v>
      </c>
      <c r="AH44" s="21">
        <f t="shared" si="2"/>
        <v>7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17</v>
      </c>
      <c r="C45" s="103">
        <v>17</v>
      </c>
      <c r="D45" s="103">
        <v>17</v>
      </c>
      <c r="E45" s="103">
        <v>17</v>
      </c>
      <c r="F45" s="103">
        <v>17</v>
      </c>
      <c r="G45" s="103">
        <v>17</v>
      </c>
      <c r="H45" s="103">
        <v>17</v>
      </c>
      <c r="I45" s="120">
        <v>17</v>
      </c>
      <c r="J45" s="120">
        <v>17</v>
      </c>
      <c r="K45" s="120">
        <v>17</v>
      </c>
      <c r="L45" s="120">
        <v>17</v>
      </c>
      <c r="M45" s="120">
        <v>17</v>
      </c>
      <c r="N45" s="120">
        <v>17</v>
      </c>
      <c r="O45" s="120">
        <v>17</v>
      </c>
      <c r="P45" s="120">
        <v>17</v>
      </c>
      <c r="Q45" s="120">
        <v>17</v>
      </c>
      <c r="R45" s="120">
        <v>17</v>
      </c>
      <c r="S45" s="120">
        <v>17</v>
      </c>
      <c r="T45" s="120">
        <v>17</v>
      </c>
      <c r="U45" s="120">
        <v>17</v>
      </c>
      <c r="V45" s="120">
        <v>17</v>
      </c>
      <c r="W45" s="103">
        <v>17.5</v>
      </c>
      <c r="X45" s="103">
        <v>17.5</v>
      </c>
      <c r="Y45" s="103">
        <v>17.5</v>
      </c>
      <c r="Z45" s="103">
        <v>17.5</v>
      </c>
      <c r="AA45" s="103">
        <v>17.5</v>
      </c>
      <c r="AB45" s="103">
        <v>17.5</v>
      </c>
      <c r="AC45" s="103">
        <v>17.5</v>
      </c>
      <c r="AD45" s="103">
        <v>17.5</v>
      </c>
      <c r="AE45" s="103">
        <v>17.5</v>
      </c>
      <c r="AF45" s="103">
        <v>17.5</v>
      </c>
      <c r="AG45" s="106">
        <v>24</v>
      </c>
      <c r="AH45" s="21">
        <f t="shared" si="2"/>
        <v>17.5</v>
      </c>
      <c r="AI45" s="20">
        <f t="shared" si="3"/>
        <v>17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2.2999999999999998</v>
      </c>
      <c r="AE46" s="103">
        <v>2.2999999999999998</v>
      </c>
      <c r="AF46" s="103">
        <v>2.2999999999999998</v>
      </c>
      <c r="AG46" s="106">
        <v>15</v>
      </c>
      <c r="AH46" s="21">
        <f t="shared" si="2"/>
        <v>2.2999999999999998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03">
        <v>12</v>
      </c>
      <c r="H47" s="103">
        <v>12</v>
      </c>
      <c r="I47" s="103">
        <v>12</v>
      </c>
      <c r="J47" s="103">
        <v>12</v>
      </c>
      <c r="K47" s="10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6.1</v>
      </c>
      <c r="C48" s="103">
        <v>6.1</v>
      </c>
      <c r="D48" s="103">
        <v>6.1</v>
      </c>
      <c r="E48" s="103">
        <v>6.1</v>
      </c>
      <c r="F48" s="103">
        <v>6.1</v>
      </c>
      <c r="G48" s="103">
        <v>6.1</v>
      </c>
      <c r="H48" s="103">
        <v>6.1</v>
      </c>
      <c r="I48" s="103">
        <v>6.1</v>
      </c>
      <c r="J48" s="103">
        <v>6.1</v>
      </c>
      <c r="K48" s="103">
        <v>6.1</v>
      </c>
      <c r="L48" s="120">
        <v>6.1</v>
      </c>
      <c r="M48" s="120">
        <v>6.1</v>
      </c>
      <c r="N48" s="120">
        <v>6.1</v>
      </c>
      <c r="O48" s="120">
        <v>6.1</v>
      </c>
      <c r="P48" s="120">
        <v>6.1</v>
      </c>
      <c r="Q48" s="120">
        <v>6.1</v>
      </c>
      <c r="R48" s="120">
        <v>6.1</v>
      </c>
      <c r="S48" s="120">
        <v>6.1</v>
      </c>
      <c r="T48" s="120">
        <v>6.1</v>
      </c>
      <c r="U48" s="120">
        <v>6.1</v>
      </c>
      <c r="V48" s="120">
        <v>6.1</v>
      </c>
      <c r="W48" s="103">
        <v>6.1</v>
      </c>
      <c r="X48" s="103">
        <v>6.1</v>
      </c>
      <c r="Y48" s="103">
        <v>6.1</v>
      </c>
      <c r="Z48" s="103">
        <v>6.1</v>
      </c>
      <c r="AA48" s="103">
        <v>6.1</v>
      </c>
      <c r="AB48" s="103">
        <v>6.1</v>
      </c>
      <c r="AC48" s="103">
        <v>6.1</v>
      </c>
      <c r="AD48" s="103">
        <v>6.1</v>
      </c>
      <c r="AE48" s="103">
        <v>6.1</v>
      </c>
      <c r="AF48" s="103">
        <v>6.1</v>
      </c>
      <c r="AG48" s="106">
        <v>14</v>
      </c>
      <c r="AH48" s="21">
        <f t="shared" si="2"/>
        <v>6.1</v>
      </c>
      <c r="AI48" s="20">
        <f t="shared" si="3"/>
        <v>6.1</v>
      </c>
      <c r="AK48" s="42"/>
    </row>
    <row r="49" spans="1:37" x14ac:dyDescent="0.25">
      <c r="A49" s="107" t="s">
        <v>162</v>
      </c>
      <c r="B49" s="103">
        <v>5.8</v>
      </c>
      <c r="C49" s="103">
        <v>5.8</v>
      </c>
      <c r="D49" s="103">
        <v>5.8</v>
      </c>
      <c r="E49" s="103">
        <v>5.8</v>
      </c>
      <c r="F49" s="103">
        <v>5.8</v>
      </c>
      <c r="G49" s="103">
        <v>5.8</v>
      </c>
      <c r="H49" s="103">
        <v>5.8</v>
      </c>
      <c r="I49" s="103">
        <v>5.8</v>
      </c>
      <c r="J49" s="103">
        <v>5.8</v>
      </c>
      <c r="K49" s="103">
        <v>5.8</v>
      </c>
      <c r="L49" s="123">
        <v>5.8</v>
      </c>
      <c r="M49" s="123">
        <v>5.8</v>
      </c>
      <c r="N49" s="123">
        <v>5.8</v>
      </c>
      <c r="O49" s="123">
        <v>5.8</v>
      </c>
      <c r="P49" s="123">
        <v>5.8</v>
      </c>
      <c r="Q49" s="123">
        <v>5.8</v>
      </c>
      <c r="R49" s="123">
        <v>5.8</v>
      </c>
      <c r="S49" s="123">
        <v>5.8</v>
      </c>
      <c r="T49" s="123">
        <v>5.8</v>
      </c>
      <c r="U49" s="123">
        <v>5.8</v>
      </c>
      <c r="V49" s="123">
        <v>5.8</v>
      </c>
      <c r="W49" s="103">
        <v>5.8</v>
      </c>
      <c r="X49" s="103">
        <v>5.8</v>
      </c>
      <c r="Y49" s="103">
        <v>5.8</v>
      </c>
      <c r="Z49" s="103">
        <v>5.8</v>
      </c>
      <c r="AA49" s="103">
        <v>5.8</v>
      </c>
      <c r="AB49" s="103">
        <v>5.8</v>
      </c>
      <c r="AC49" s="103">
        <v>5.8</v>
      </c>
      <c r="AD49" s="103">
        <v>5.8</v>
      </c>
      <c r="AE49" s="103">
        <v>5.8</v>
      </c>
      <c r="AF49" s="103">
        <v>5.8</v>
      </c>
      <c r="AG49" s="106">
        <v>10.050000000000001</v>
      </c>
      <c r="AH49" s="21">
        <f t="shared" si="2"/>
        <v>5.8</v>
      </c>
      <c r="AI49" s="20">
        <f t="shared" si="3"/>
        <v>5.8</v>
      </c>
      <c r="AK49" s="42"/>
    </row>
    <row r="50" spans="1:37" x14ac:dyDescent="0.25">
      <c r="A50" s="107" t="s">
        <v>161</v>
      </c>
      <c r="B50" s="103">
        <v>2.5</v>
      </c>
      <c r="C50" s="103">
        <v>2.5</v>
      </c>
      <c r="D50" s="103">
        <v>2.5</v>
      </c>
      <c r="E50" s="103">
        <v>2.5</v>
      </c>
      <c r="F50" s="103">
        <v>2.5</v>
      </c>
      <c r="G50" s="103">
        <v>2.5</v>
      </c>
      <c r="H50" s="103">
        <v>2.5</v>
      </c>
      <c r="I50" s="103">
        <v>2.5</v>
      </c>
      <c r="J50" s="103">
        <v>2.5</v>
      </c>
      <c r="K50" s="10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226.74</v>
      </c>
      <c r="C52" s="99">
        <f t="shared" ref="C52:AF52" si="9">SUM(C39:C51)</f>
        <v>242.34</v>
      </c>
      <c r="D52" s="99">
        <f t="shared" si="9"/>
        <v>215.64</v>
      </c>
      <c r="E52" s="99">
        <f t="shared" si="9"/>
        <v>163.14000000000001</v>
      </c>
      <c r="F52" s="99">
        <f t="shared" si="9"/>
        <v>163.24</v>
      </c>
      <c r="G52" s="99">
        <f t="shared" si="9"/>
        <v>184.83999999999997</v>
      </c>
      <c r="H52" s="99">
        <f t="shared" si="9"/>
        <v>238.23999999999998</v>
      </c>
      <c r="I52" s="99">
        <f t="shared" si="9"/>
        <v>273.64000000000004</v>
      </c>
      <c r="J52" s="99">
        <f t="shared" si="9"/>
        <v>273.24000000000007</v>
      </c>
      <c r="K52" s="99">
        <f t="shared" si="9"/>
        <v>319.34000000000009</v>
      </c>
      <c r="L52" s="99">
        <f t="shared" si="9"/>
        <v>340.1400000000001</v>
      </c>
      <c r="M52" s="99">
        <f t="shared" si="9"/>
        <v>335.54000000000008</v>
      </c>
      <c r="N52" s="99">
        <f t="shared" si="9"/>
        <v>328.14000000000004</v>
      </c>
      <c r="O52" s="99">
        <f t="shared" si="9"/>
        <v>342.1400000000001</v>
      </c>
      <c r="P52" s="99">
        <f t="shared" si="9"/>
        <v>362.64000000000004</v>
      </c>
      <c r="Q52" s="99">
        <f t="shared" si="9"/>
        <v>345.14000000000004</v>
      </c>
      <c r="R52" s="99">
        <f t="shared" si="9"/>
        <v>286.84000000000003</v>
      </c>
      <c r="S52" s="99">
        <f t="shared" si="9"/>
        <v>266.14</v>
      </c>
      <c r="T52" s="99">
        <f t="shared" si="9"/>
        <v>261.44</v>
      </c>
      <c r="U52" s="99">
        <f t="shared" si="9"/>
        <v>299.14000000000004</v>
      </c>
      <c r="V52" s="99">
        <f t="shared" si="9"/>
        <v>335.24000000000007</v>
      </c>
      <c r="W52" s="99">
        <f t="shared" si="9"/>
        <v>319.94000000000005</v>
      </c>
      <c r="X52" s="99">
        <f t="shared" si="9"/>
        <v>320.1400000000001</v>
      </c>
      <c r="Y52" s="99">
        <f t="shared" si="9"/>
        <v>409.24000000000007</v>
      </c>
      <c r="Z52" s="99">
        <v>425.74000000000007</v>
      </c>
      <c r="AA52" s="99">
        <f t="shared" si="9"/>
        <v>409.24000000000007</v>
      </c>
      <c r="AB52" s="99">
        <f t="shared" si="9"/>
        <v>407.04000000000008</v>
      </c>
      <c r="AC52" s="99">
        <f t="shared" si="9"/>
        <v>407.04000000000008</v>
      </c>
      <c r="AD52" s="99">
        <f t="shared" si="9"/>
        <v>409.34000000000009</v>
      </c>
      <c r="AE52" s="99">
        <f t="shared" si="9"/>
        <v>382.84000000000009</v>
      </c>
      <c r="AF52" s="99">
        <f t="shared" si="9"/>
        <v>369.54000000000008</v>
      </c>
      <c r="AG52" s="98">
        <f>SUM(AG39:AG51)</f>
        <v>489.91</v>
      </c>
      <c r="AH52" s="21">
        <f t="shared" si="2"/>
        <v>425.74000000000007</v>
      </c>
      <c r="AI52" s="20">
        <f t="shared" si="3"/>
        <v>163.14000000000001</v>
      </c>
      <c r="AK52" s="42"/>
    </row>
    <row r="53" spans="1:37" x14ac:dyDescent="0.25">
      <c r="A53" s="109" t="s">
        <v>159</v>
      </c>
      <c r="B53" s="103">
        <v>60</v>
      </c>
      <c r="C53" s="103">
        <v>60</v>
      </c>
      <c r="D53" s="123">
        <v>60</v>
      </c>
      <c r="E53" s="123">
        <v>40</v>
      </c>
      <c r="F53" s="123">
        <v>50</v>
      </c>
      <c r="G53" s="123">
        <v>50</v>
      </c>
      <c r="H53" s="123">
        <v>50</v>
      </c>
      <c r="I53" s="123">
        <v>60</v>
      </c>
      <c r="J53" s="123">
        <v>50</v>
      </c>
      <c r="K53" s="123">
        <v>50</v>
      </c>
      <c r="L53" s="123">
        <v>50</v>
      </c>
      <c r="M53" s="122">
        <v>40</v>
      </c>
      <c r="N53" s="122">
        <v>40</v>
      </c>
      <c r="O53" s="122">
        <v>40</v>
      </c>
      <c r="P53" s="122">
        <v>60</v>
      </c>
      <c r="Q53" s="103">
        <v>60</v>
      </c>
      <c r="R53" s="103">
        <v>60</v>
      </c>
      <c r="S53" s="103">
        <v>14.5</v>
      </c>
      <c r="T53" s="103">
        <v>60</v>
      </c>
      <c r="U53" s="103">
        <v>59.5</v>
      </c>
      <c r="V53" s="103">
        <v>59.7</v>
      </c>
      <c r="W53" s="103">
        <v>59.7</v>
      </c>
      <c r="X53" s="103">
        <v>59.8</v>
      </c>
      <c r="Y53" s="103">
        <v>59.4</v>
      </c>
      <c r="Z53" s="103">
        <v>59.9</v>
      </c>
      <c r="AA53" s="103">
        <v>59.8</v>
      </c>
      <c r="AB53" s="103">
        <v>59.8</v>
      </c>
      <c r="AC53" s="103">
        <v>59.8</v>
      </c>
      <c r="AD53" s="103">
        <v>59.8</v>
      </c>
      <c r="AE53" s="103">
        <v>59.8</v>
      </c>
      <c r="AF53" s="103">
        <v>59.8</v>
      </c>
      <c r="AG53" s="108">
        <v>60</v>
      </c>
      <c r="AH53" s="21">
        <f t="shared" si="2"/>
        <v>60</v>
      </c>
      <c r="AI53" s="20">
        <f t="shared" si="3"/>
        <v>14.5</v>
      </c>
      <c r="AK53" s="42"/>
    </row>
    <row r="54" spans="1:37" x14ac:dyDescent="0.25">
      <c r="A54" s="107" t="s">
        <v>158</v>
      </c>
      <c r="B54" s="73">
        <v>28.1</v>
      </c>
      <c r="C54" s="73">
        <v>28.1</v>
      </c>
      <c r="D54" s="123">
        <v>30.9</v>
      </c>
      <c r="E54" s="123">
        <v>18.899999999999999</v>
      </c>
      <c r="F54" s="123">
        <v>24.3</v>
      </c>
      <c r="G54" s="123">
        <v>24.3</v>
      </c>
      <c r="H54" s="123">
        <v>22.6</v>
      </c>
      <c r="I54" s="123">
        <v>28.7</v>
      </c>
      <c r="J54" s="123">
        <v>29.3</v>
      </c>
      <c r="K54" s="123">
        <v>24.5</v>
      </c>
      <c r="L54" s="123">
        <v>22.5</v>
      </c>
      <c r="M54" s="122">
        <v>16.7</v>
      </c>
      <c r="N54" s="122">
        <v>18.899999999999999</v>
      </c>
      <c r="O54" s="122">
        <v>19</v>
      </c>
      <c r="P54" s="122">
        <v>27.8</v>
      </c>
      <c r="Q54" s="73">
        <v>30.5</v>
      </c>
      <c r="R54" s="73">
        <v>30.5</v>
      </c>
      <c r="S54" s="103">
        <v>12</v>
      </c>
      <c r="T54" s="103">
        <v>28</v>
      </c>
      <c r="U54" s="103">
        <v>28.6</v>
      </c>
      <c r="V54" s="73">
        <v>29.1</v>
      </c>
      <c r="W54" s="73">
        <v>29.2</v>
      </c>
      <c r="X54" s="73">
        <v>29.1</v>
      </c>
      <c r="Y54" s="73">
        <v>29.1</v>
      </c>
      <c r="Z54" s="73">
        <v>29.1</v>
      </c>
      <c r="AA54" s="73">
        <v>29.1</v>
      </c>
      <c r="AB54" s="73">
        <v>29.1</v>
      </c>
      <c r="AC54" s="73">
        <v>29.1</v>
      </c>
      <c r="AD54" s="73">
        <v>29.1</v>
      </c>
      <c r="AE54" s="73">
        <v>29.1</v>
      </c>
      <c r="AF54" s="73">
        <v>29.1</v>
      </c>
      <c r="AG54" s="106">
        <v>32</v>
      </c>
      <c r="AH54" s="21">
        <f t="shared" si="2"/>
        <v>30.9</v>
      </c>
      <c r="AI54" s="20">
        <f t="shared" si="3"/>
        <v>12</v>
      </c>
      <c r="AK54" s="42"/>
    </row>
    <row r="55" spans="1:37" ht="15.75" thickBot="1" x14ac:dyDescent="0.3">
      <c r="A55" s="121" t="s">
        <v>157</v>
      </c>
      <c r="B55" s="118">
        <v>10.3</v>
      </c>
      <c r="C55" s="118">
        <v>10.3</v>
      </c>
      <c r="D55" s="120">
        <v>11.3</v>
      </c>
      <c r="E55" s="120">
        <v>6.9</v>
      </c>
      <c r="F55" s="120">
        <v>8.8000000000000007</v>
      </c>
      <c r="G55" s="120">
        <v>8.9</v>
      </c>
      <c r="H55" s="120">
        <v>8.3000000000000007</v>
      </c>
      <c r="I55" s="120">
        <v>10.5</v>
      </c>
      <c r="J55" s="120">
        <v>10.7</v>
      </c>
      <c r="K55" s="120">
        <v>8.9</v>
      </c>
      <c r="L55" s="120">
        <v>8.1999999999999993</v>
      </c>
      <c r="M55" s="119">
        <v>6.1</v>
      </c>
      <c r="N55" s="119">
        <v>6.9</v>
      </c>
      <c r="O55" s="119">
        <v>6.9</v>
      </c>
      <c r="P55" s="119">
        <v>10.1</v>
      </c>
      <c r="Q55" s="118">
        <v>11.1</v>
      </c>
      <c r="R55" s="118">
        <v>11.1</v>
      </c>
      <c r="S55" s="103">
        <v>6.3</v>
      </c>
      <c r="T55" s="103">
        <v>10.6</v>
      </c>
      <c r="U55" s="103">
        <v>10.4</v>
      </c>
      <c r="V55" s="118">
        <v>10.6</v>
      </c>
      <c r="W55" s="118">
        <v>10.7</v>
      </c>
      <c r="X55" s="118">
        <v>10.6</v>
      </c>
      <c r="Y55" s="118">
        <v>10.6</v>
      </c>
      <c r="Z55" s="118">
        <v>10.6</v>
      </c>
      <c r="AA55" s="118">
        <v>10.6</v>
      </c>
      <c r="AB55" s="118">
        <v>10.6</v>
      </c>
      <c r="AC55" s="118">
        <v>10.6</v>
      </c>
      <c r="AD55" s="118">
        <v>10.6</v>
      </c>
      <c r="AE55" s="118">
        <v>10.6</v>
      </c>
      <c r="AF55" s="118">
        <v>10.6</v>
      </c>
      <c r="AG55" s="117">
        <v>14</v>
      </c>
      <c r="AH55" s="21">
        <f t="shared" si="2"/>
        <v>11.3</v>
      </c>
      <c r="AI55" s="20">
        <f t="shared" si="3"/>
        <v>6.1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98.399999999999991</v>
      </c>
      <c r="C56" s="99">
        <f>SUM(C53:C55)</f>
        <v>98.399999999999991</v>
      </c>
      <c r="D56" s="99">
        <f t="shared" ref="D56:AF56" si="11">SUM(D53:D55)</f>
        <v>102.2</v>
      </c>
      <c r="E56" s="99">
        <f t="shared" si="11"/>
        <v>65.8</v>
      </c>
      <c r="F56" s="99">
        <f t="shared" si="11"/>
        <v>83.1</v>
      </c>
      <c r="G56" s="99">
        <f t="shared" si="11"/>
        <v>83.2</v>
      </c>
      <c r="H56" s="99">
        <f t="shared" si="11"/>
        <v>80.899999999999991</v>
      </c>
      <c r="I56" s="99">
        <f t="shared" si="11"/>
        <v>99.2</v>
      </c>
      <c r="J56" s="99">
        <f t="shared" si="11"/>
        <v>90</v>
      </c>
      <c r="K56" s="99">
        <f t="shared" si="11"/>
        <v>83.4</v>
      </c>
      <c r="L56" s="99">
        <f t="shared" si="11"/>
        <v>80.7</v>
      </c>
      <c r="M56" s="99">
        <f t="shared" si="11"/>
        <v>62.800000000000004</v>
      </c>
      <c r="N56" s="99">
        <f t="shared" si="11"/>
        <v>65.8</v>
      </c>
      <c r="O56" s="99">
        <f t="shared" si="11"/>
        <v>65.900000000000006</v>
      </c>
      <c r="P56" s="99">
        <f t="shared" si="11"/>
        <v>97.899999999999991</v>
      </c>
      <c r="Q56" s="99">
        <f t="shared" si="11"/>
        <v>101.6</v>
      </c>
      <c r="R56" s="99">
        <f t="shared" si="11"/>
        <v>101.6</v>
      </c>
      <c r="S56" s="99">
        <f t="shared" si="11"/>
        <v>32.799999999999997</v>
      </c>
      <c r="T56" s="99">
        <f t="shared" si="11"/>
        <v>98.6</v>
      </c>
      <c r="U56" s="99">
        <f t="shared" si="11"/>
        <v>98.5</v>
      </c>
      <c r="V56" s="99">
        <f t="shared" si="11"/>
        <v>99.4</v>
      </c>
      <c r="W56" s="99">
        <f t="shared" si="11"/>
        <v>99.600000000000009</v>
      </c>
      <c r="X56" s="99">
        <f t="shared" si="11"/>
        <v>99.5</v>
      </c>
      <c r="Y56" s="99">
        <f t="shared" si="11"/>
        <v>99.1</v>
      </c>
      <c r="Z56" s="99">
        <v>99.6</v>
      </c>
      <c r="AA56" s="99">
        <f t="shared" si="11"/>
        <v>99.5</v>
      </c>
      <c r="AB56" s="99">
        <f t="shared" si="11"/>
        <v>99.5</v>
      </c>
      <c r="AC56" s="99">
        <f t="shared" si="11"/>
        <v>99.5</v>
      </c>
      <c r="AD56" s="99">
        <f t="shared" si="11"/>
        <v>99.5</v>
      </c>
      <c r="AE56" s="99">
        <f t="shared" si="11"/>
        <v>99.5</v>
      </c>
      <c r="AF56" s="99">
        <f t="shared" si="11"/>
        <v>99.5</v>
      </c>
      <c r="AG56" s="98">
        <f>SUM(AG53:AG55)</f>
        <v>106</v>
      </c>
      <c r="AH56" s="21">
        <f t="shared" si="2"/>
        <v>102.2</v>
      </c>
      <c r="AI56" s="20">
        <f t="shared" si="3"/>
        <v>32.799999999999997</v>
      </c>
      <c r="AK56" s="42"/>
    </row>
    <row r="57" spans="1:37" x14ac:dyDescent="0.25">
      <c r="A57" s="109" t="s">
        <v>135</v>
      </c>
      <c r="B57" s="103">
        <v>56.8</v>
      </c>
      <c r="C57" s="103">
        <v>38</v>
      </c>
      <c r="D57" s="103">
        <v>37.700000000000003</v>
      </c>
      <c r="E57" s="103">
        <v>57.7</v>
      </c>
      <c r="F57" s="103">
        <v>54.9</v>
      </c>
      <c r="G57" s="103">
        <v>54.6</v>
      </c>
      <c r="H57" s="103">
        <v>34.9</v>
      </c>
      <c r="I57" s="103">
        <v>30.6</v>
      </c>
      <c r="J57" s="103">
        <v>30</v>
      </c>
      <c r="K57" s="103">
        <v>33</v>
      </c>
      <c r="L57" s="103">
        <v>32.799999999999997</v>
      </c>
      <c r="M57" s="103">
        <v>56.8</v>
      </c>
      <c r="N57" s="103">
        <v>64.2</v>
      </c>
      <c r="O57" s="103">
        <v>65.3</v>
      </c>
      <c r="P57" s="103">
        <v>33.9</v>
      </c>
      <c r="Q57" s="103">
        <v>30.3</v>
      </c>
      <c r="R57" s="103">
        <v>30</v>
      </c>
      <c r="S57" s="103">
        <v>69.8</v>
      </c>
      <c r="T57" s="103">
        <v>62</v>
      </c>
      <c r="U57" s="103">
        <v>64.27</v>
      </c>
      <c r="V57" s="103">
        <v>37.1</v>
      </c>
      <c r="W57" s="103">
        <v>63.2</v>
      </c>
      <c r="X57" s="103">
        <v>60.46</v>
      </c>
      <c r="Y57" s="103">
        <v>65</v>
      </c>
      <c r="Z57" s="103">
        <v>21.6</v>
      </c>
      <c r="AA57" s="103">
        <v>24.2</v>
      </c>
      <c r="AB57" s="103">
        <v>30.8</v>
      </c>
      <c r="AC57" s="103">
        <v>31.2</v>
      </c>
      <c r="AD57" s="103">
        <v>29.6</v>
      </c>
      <c r="AE57" s="103">
        <v>28</v>
      </c>
      <c r="AF57" s="103">
        <v>26.14</v>
      </c>
      <c r="AG57" s="108"/>
      <c r="AH57" s="21">
        <f t="shared" si="2"/>
        <v>69.8</v>
      </c>
      <c r="AI57" s="20">
        <f t="shared" si="3"/>
        <v>21.6</v>
      </c>
      <c r="AK57" s="42"/>
    </row>
    <row r="58" spans="1:37" x14ac:dyDescent="0.25">
      <c r="A58" s="107" t="s">
        <v>138</v>
      </c>
      <c r="B58" s="73">
        <f>90+60</f>
        <v>150</v>
      </c>
      <c r="C58" s="73">
        <f>93.3+65</f>
        <v>158.30000000000001</v>
      </c>
      <c r="D58" s="73">
        <f>94.5+73</f>
        <v>167.5</v>
      </c>
      <c r="E58" s="73">
        <f>96+76</f>
        <v>172</v>
      </c>
      <c r="F58" s="73">
        <v>165</v>
      </c>
      <c r="G58" s="73">
        <v>170</v>
      </c>
      <c r="H58" s="73">
        <v>175</v>
      </c>
      <c r="I58" s="73">
        <v>176</v>
      </c>
      <c r="J58" s="73">
        <v>185</v>
      </c>
      <c r="K58" s="73">
        <f>121.8+78</f>
        <v>199.8</v>
      </c>
      <c r="L58" s="73">
        <v>195</v>
      </c>
      <c r="M58" s="103">
        <f>66+116.2</f>
        <v>182.2</v>
      </c>
      <c r="N58" s="103">
        <v>185</v>
      </c>
      <c r="O58" s="103">
        <v>105</v>
      </c>
      <c r="P58" s="103">
        <v>167</v>
      </c>
      <c r="Q58" s="103">
        <v>170.1</v>
      </c>
      <c r="R58" s="103">
        <v>175</v>
      </c>
      <c r="S58" s="103">
        <v>109</v>
      </c>
      <c r="T58" s="103">
        <v>109</v>
      </c>
      <c r="U58" s="103">
        <v>172</v>
      </c>
      <c r="V58" s="103">
        <v>165</v>
      </c>
      <c r="W58" s="103">
        <v>165</v>
      </c>
      <c r="X58" s="116">
        <v>165</v>
      </c>
      <c r="Y58" s="116">
        <v>165</v>
      </c>
      <c r="Z58" s="116">
        <v>114.3</v>
      </c>
      <c r="AA58" s="116">
        <v>113</v>
      </c>
      <c r="AB58" s="73">
        <v>97.8</v>
      </c>
      <c r="AC58" s="73">
        <v>94.8</v>
      </c>
      <c r="AD58" s="73">
        <v>0</v>
      </c>
      <c r="AE58" s="73">
        <v>0</v>
      </c>
      <c r="AF58" s="73">
        <v>0</v>
      </c>
      <c r="AG58" s="106"/>
      <c r="AH58" s="21">
        <f t="shared" si="2"/>
        <v>199.8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0</v>
      </c>
      <c r="C59" s="73">
        <v>11</v>
      </c>
      <c r="D59" s="73">
        <v>2.5</v>
      </c>
      <c r="E59" s="73">
        <v>44.2</v>
      </c>
      <c r="F59" s="73">
        <v>49.6</v>
      </c>
      <c r="G59" s="73">
        <v>24.1</v>
      </c>
      <c r="H59" s="103">
        <v>29</v>
      </c>
      <c r="I59" s="103">
        <v>26.6</v>
      </c>
      <c r="J59" s="103">
        <v>57.1</v>
      </c>
      <c r="K59" s="103">
        <v>51</v>
      </c>
      <c r="L59" s="103">
        <v>65.8</v>
      </c>
      <c r="M59" s="73">
        <v>43.2</v>
      </c>
      <c r="N59" s="73">
        <v>38.1</v>
      </c>
      <c r="O59" s="73">
        <v>35</v>
      </c>
      <c r="P59" s="73">
        <v>21.6</v>
      </c>
      <c r="Q59" s="73">
        <v>22.9</v>
      </c>
      <c r="R59" s="73">
        <v>25.2</v>
      </c>
      <c r="S59" s="73">
        <v>330</v>
      </c>
      <c r="T59" s="73">
        <v>220</v>
      </c>
      <c r="U59" s="73">
        <v>82</v>
      </c>
      <c r="V59" s="73">
        <v>30.2</v>
      </c>
      <c r="W59" s="73">
        <v>30.2</v>
      </c>
      <c r="X59" s="115">
        <v>55.3</v>
      </c>
      <c r="Y59" s="115">
        <v>67</v>
      </c>
      <c r="Z59" s="115">
        <v>87.8</v>
      </c>
      <c r="AA59" s="115">
        <v>70.7</v>
      </c>
      <c r="AB59" s="73">
        <v>108.2</v>
      </c>
      <c r="AC59" s="73">
        <v>111.5</v>
      </c>
      <c r="AD59" s="73">
        <v>105.1</v>
      </c>
      <c r="AE59" s="73">
        <v>94.8</v>
      </c>
      <c r="AF59" s="73">
        <v>69.7</v>
      </c>
      <c r="AG59" s="113"/>
      <c r="AH59" s="21">
        <f t="shared" si="2"/>
        <v>330</v>
      </c>
      <c r="AI59" s="20">
        <f t="shared" si="3"/>
        <v>0</v>
      </c>
      <c r="AK59" s="42"/>
    </row>
    <row r="60" spans="1:37" x14ac:dyDescent="0.25">
      <c r="A60" s="107" t="s">
        <v>139</v>
      </c>
      <c r="B60" s="77">
        <v>52</v>
      </c>
      <c r="C60" s="77">
        <v>51.3</v>
      </c>
      <c r="D60" s="77">
        <v>53.7</v>
      </c>
      <c r="E60" s="77">
        <v>57</v>
      </c>
      <c r="F60" s="77">
        <v>55.6</v>
      </c>
      <c r="G60" s="77">
        <v>56</v>
      </c>
      <c r="H60" s="77">
        <v>55.3</v>
      </c>
      <c r="I60" s="77">
        <v>55.6</v>
      </c>
      <c r="J60" s="77">
        <v>53.3</v>
      </c>
      <c r="K60" s="77">
        <v>53.8</v>
      </c>
      <c r="L60" s="77">
        <v>48.2</v>
      </c>
      <c r="M60" s="73">
        <v>55.2</v>
      </c>
      <c r="N60" s="73">
        <v>60.4</v>
      </c>
      <c r="O60" s="73">
        <v>56.5</v>
      </c>
      <c r="P60" s="73">
        <v>54.9</v>
      </c>
      <c r="Q60" s="73">
        <v>48.5</v>
      </c>
      <c r="R60" s="73">
        <v>54.6</v>
      </c>
      <c r="S60" s="73">
        <v>51.9</v>
      </c>
      <c r="T60" s="73">
        <v>53</v>
      </c>
      <c r="U60" s="73">
        <v>53</v>
      </c>
      <c r="V60" s="73">
        <v>54.4</v>
      </c>
      <c r="W60" s="73">
        <v>52</v>
      </c>
      <c r="X60" s="73">
        <v>52.1</v>
      </c>
      <c r="Y60" s="73">
        <v>55.7</v>
      </c>
      <c r="Z60" s="73">
        <v>55.6</v>
      </c>
      <c r="AA60" s="73">
        <v>55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113"/>
      <c r="AH60" s="21">
        <f t="shared" si="2"/>
        <v>60.4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78.400000000000006</v>
      </c>
      <c r="C61" s="77">
        <v>73.2</v>
      </c>
      <c r="D61" s="77">
        <v>72</v>
      </c>
      <c r="E61" s="77">
        <v>70.5</v>
      </c>
      <c r="F61" s="77">
        <v>51.6</v>
      </c>
      <c r="G61" s="77">
        <v>54.7</v>
      </c>
      <c r="H61" s="77">
        <v>57.3</v>
      </c>
      <c r="I61" s="77">
        <v>57.9</v>
      </c>
      <c r="J61" s="77">
        <v>72.7</v>
      </c>
      <c r="K61" s="77">
        <v>65.5</v>
      </c>
      <c r="L61" s="77">
        <v>60</v>
      </c>
      <c r="M61" s="103">
        <v>69.3</v>
      </c>
      <c r="N61" s="103">
        <v>78.3</v>
      </c>
      <c r="O61" s="103">
        <v>76.900000000000006</v>
      </c>
      <c r="P61" s="103">
        <v>80.599999999999994</v>
      </c>
      <c r="Q61" s="103">
        <v>83.4</v>
      </c>
      <c r="R61" s="103">
        <v>81.2</v>
      </c>
      <c r="S61" s="103">
        <v>85.6</v>
      </c>
      <c r="T61" s="103">
        <v>82</v>
      </c>
      <c r="U61" s="103">
        <v>79.400000000000006</v>
      </c>
      <c r="V61" s="103">
        <v>73.599999999999994</v>
      </c>
      <c r="W61" s="103">
        <v>63.1</v>
      </c>
      <c r="X61" s="103">
        <v>78.5</v>
      </c>
      <c r="Y61" s="103">
        <v>81.099999999999994</v>
      </c>
      <c r="Z61" s="103">
        <v>79.5</v>
      </c>
      <c r="AA61" s="103">
        <v>66.099999999999994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85.6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9</v>
      </c>
      <c r="C62" s="67">
        <v>9</v>
      </c>
      <c r="D62" s="73">
        <v>9</v>
      </c>
      <c r="E62" s="73">
        <v>9</v>
      </c>
      <c r="F62" s="73">
        <v>9</v>
      </c>
      <c r="G62" s="73">
        <v>9</v>
      </c>
      <c r="H62" s="73">
        <v>9</v>
      </c>
      <c r="I62" s="73">
        <v>9</v>
      </c>
      <c r="J62" s="73">
        <v>9</v>
      </c>
      <c r="K62" s="73">
        <v>9</v>
      </c>
      <c r="L62" s="73">
        <v>9</v>
      </c>
      <c r="M62" s="73">
        <v>9</v>
      </c>
      <c r="N62" s="67">
        <v>9</v>
      </c>
      <c r="O62" s="67">
        <v>9</v>
      </c>
      <c r="P62" s="67">
        <v>9</v>
      </c>
      <c r="Q62" s="67">
        <v>9</v>
      </c>
      <c r="R62" s="67">
        <v>9</v>
      </c>
      <c r="S62" s="67">
        <v>9</v>
      </c>
      <c r="T62" s="67">
        <v>9</v>
      </c>
      <c r="U62" s="67">
        <v>9</v>
      </c>
      <c r="V62" s="67">
        <v>9</v>
      </c>
      <c r="W62" s="67">
        <v>9</v>
      </c>
      <c r="X62" s="67">
        <v>9</v>
      </c>
      <c r="Y62" s="67">
        <v>9</v>
      </c>
      <c r="Z62" s="67">
        <v>9</v>
      </c>
      <c r="AA62" s="67">
        <v>9</v>
      </c>
      <c r="AB62" s="67">
        <v>9</v>
      </c>
      <c r="AC62" s="67">
        <v>9</v>
      </c>
      <c r="AD62" s="67">
        <v>9</v>
      </c>
      <c r="AE62" s="67">
        <v>9</v>
      </c>
      <c r="AF62" s="67">
        <v>9</v>
      </c>
      <c r="AG62" s="113"/>
      <c r="AH62" s="21">
        <f t="shared" si="2"/>
        <v>9</v>
      </c>
      <c r="AI62" s="20">
        <f t="shared" si="3"/>
        <v>9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103">
        <v>0</v>
      </c>
      <c r="J63" s="103">
        <v>0</v>
      </c>
      <c r="K63" s="103">
        <v>0</v>
      </c>
      <c r="L63" s="103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6</v>
      </c>
      <c r="C66" s="70">
        <v>6</v>
      </c>
      <c r="D66" s="77">
        <v>6</v>
      </c>
      <c r="E66" s="77">
        <v>6</v>
      </c>
      <c r="F66" s="77">
        <v>6</v>
      </c>
      <c r="G66" s="77">
        <v>6</v>
      </c>
      <c r="H66" s="77">
        <v>6</v>
      </c>
      <c r="I66" s="73">
        <v>6</v>
      </c>
      <c r="J66" s="73">
        <v>6</v>
      </c>
      <c r="K66" s="73">
        <v>6</v>
      </c>
      <c r="L66" s="73">
        <v>6</v>
      </c>
      <c r="M66" s="73">
        <v>6</v>
      </c>
      <c r="N66" s="73">
        <v>6</v>
      </c>
      <c r="O66" s="73">
        <v>6</v>
      </c>
      <c r="P66" s="73">
        <v>6</v>
      </c>
      <c r="Q66" s="73">
        <v>6</v>
      </c>
      <c r="R66" s="73">
        <v>6</v>
      </c>
      <c r="S66" s="73">
        <v>6</v>
      </c>
      <c r="T66" s="73">
        <v>6</v>
      </c>
      <c r="U66" s="73">
        <v>6</v>
      </c>
      <c r="V66" s="73">
        <v>6</v>
      </c>
      <c r="W66" s="70">
        <v>6</v>
      </c>
      <c r="X66" s="70">
        <v>6</v>
      </c>
      <c r="Y66" s="70">
        <v>6</v>
      </c>
      <c r="Z66" s="70">
        <v>6</v>
      </c>
      <c r="AA66" s="70">
        <v>6</v>
      </c>
      <c r="AB66" s="70">
        <v>6</v>
      </c>
      <c r="AC66" s="70">
        <v>6</v>
      </c>
      <c r="AD66" s="70">
        <v>6</v>
      </c>
      <c r="AE66" s="70">
        <v>6</v>
      </c>
      <c r="AF66" s="70">
        <v>6</v>
      </c>
      <c r="AG66" s="102"/>
      <c r="AH66" s="21">
        <f t="shared" si="2"/>
        <v>6</v>
      </c>
      <c r="AI66" s="20">
        <f t="shared" si="3"/>
        <v>6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352.20000000000005</v>
      </c>
      <c r="C68" s="99">
        <f>SUM(C57:C67)</f>
        <v>346.8</v>
      </c>
      <c r="D68" s="99">
        <f t="shared" ref="D68:AF68" si="13">SUM(D57:D67)</f>
        <v>348.4</v>
      </c>
      <c r="E68" s="99">
        <f t="shared" si="13"/>
        <v>416.4</v>
      </c>
      <c r="F68" s="99">
        <f t="shared" si="13"/>
        <v>391.70000000000005</v>
      </c>
      <c r="G68" s="99">
        <f t="shared" si="13"/>
        <v>374.4</v>
      </c>
      <c r="H68" s="99">
        <f t="shared" si="13"/>
        <v>366.5</v>
      </c>
      <c r="I68" s="99">
        <f t="shared" si="13"/>
        <v>361.7</v>
      </c>
      <c r="J68" s="99">
        <f t="shared" si="13"/>
        <v>413.1</v>
      </c>
      <c r="K68" s="99">
        <f t="shared" si="13"/>
        <v>418.1</v>
      </c>
      <c r="L68" s="99">
        <f t="shared" si="13"/>
        <v>416.8</v>
      </c>
      <c r="M68" s="99">
        <f t="shared" si="13"/>
        <v>421.7</v>
      </c>
      <c r="N68" s="99">
        <f t="shared" si="13"/>
        <v>441</v>
      </c>
      <c r="O68" s="99">
        <f t="shared" si="13"/>
        <v>353.70000000000005</v>
      </c>
      <c r="P68" s="99">
        <f t="shared" si="13"/>
        <v>373</v>
      </c>
      <c r="Q68" s="99">
        <f t="shared" si="13"/>
        <v>370.20000000000005</v>
      </c>
      <c r="R68" s="99">
        <f t="shared" si="13"/>
        <v>381</v>
      </c>
      <c r="S68" s="99">
        <f t="shared" si="13"/>
        <v>661.30000000000007</v>
      </c>
      <c r="T68" s="99">
        <f t="shared" si="13"/>
        <v>541</v>
      </c>
      <c r="U68" s="99">
        <f t="shared" si="13"/>
        <v>465.66999999999996</v>
      </c>
      <c r="V68" s="99">
        <f t="shared" si="13"/>
        <v>375.29999999999995</v>
      </c>
      <c r="W68" s="99">
        <f t="shared" si="13"/>
        <v>388.5</v>
      </c>
      <c r="X68" s="99">
        <f t="shared" si="13"/>
        <v>426.36</v>
      </c>
      <c r="Y68" s="99">
        <f t="shared" si="13"/>
        <v>451.79999999999995</v>
      </c>
      <c r="Z68" s="99">
        <v>373.8</v>
      </c>
      <c r="AA68" s="99">
        <f t="shared" si="13"/>
        <v>347</v>
      </c>
      <c r="AB68" s="99">
        <f t="shared" si="13"/>
        <v>254.8</v>
      </c>
      <c r="AC68" s="99">
        <f t="shared" si="13"/>
        <v>255.5</v>
      </c>
      <c r="AD68" s="99">
        <f t="shared" si="13"/>
        <v>152.69999999999999</v>
      </c>
      <c r="AE68" s="99">
        <f t="shared" si="13"/>
        <v>140.80000000000001</v>
      </c>
      <c r="AF68" s="99">
        <f t="shared" si="13"/>
        <v>113.84</v>
      </c>
      <c r="AG68" s="98">
        <f>SUM(AG57:AG67)</f>
        <v>0</v>
      </c>
      <c r="AH68" s="21">
        <f t="shared" si="2"/>
        <v>661.30000000000007</v>
      </c>
      <c r="AI68" s="20">
        <f t="shared" si="3"/>
        <v>113.84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1163.44</v>
      </c>
      <c r="C73" s="110">
        <f>C68+C56+C52+C38+C72</f>
        <v>1139.04</v>
      </c>
      <c r="D73" s="110">
        <f t="shared" ref="D73:AG73" si="17">D68+D56+D52+D38+D72</f>
        <v>1120.8400000000001</v>
      </c>
      <c r="E73" s="110">
        <f t="shared" si="17"/>
        <v>1090.54</v>
      </c>
      <c r="F73" s="110">
        <f t="shared" si="17"/>
        <v>1083.24</v>
      </c>
      <c r="G73" s="110">
        <f t="shared" si="17"/>
        <v>1087.6399999999999</v>
      </c>
      <c r="H73" s="110">
        <f t="shared" si="17"/>
        <v>1150.8399999999999</v>
      </c>
      <c r="I73" s="110">
        <f t="shared" si="17"/>
        <v>1197.44</v>
      </c>
      <c r="J73" s="110">
        <f t="shared" si="17"/>
        <v>1259.2400000000002</v>
      </c>
      <c r="K73" s="110">
        <f t="shared" si="17"/>
        <v>1333.7400000000002</v>
      </c>
      <c r="L73" s="110">
        <f t="shared" si="17"/>
        <v>1370.5400000000002</v>
      </c>
      <c r="M73" s="110">
        <f t="shared" si="17"/>
        <v>1352.04</v>
      </c>
      <c r="N73" s="110">
        <f t="shared" si="17"/>
        <v>1323.94</v>
      </c>
      <c r="O73" s="110">
        <f t="shared" si="17"/>
        <v>1256.0400000000002</v>
      </c>
      <c r="P73" s="110">
        <f t="shared" si="17"/>
        <v>1320.94</v>
      </c>
      <c r="Q73" s="110">
        <f t="shared" si="17"/>
        <v>1292.44</v>
      </c>
      <c r="R73" s="110">
        <f t="shared" si="17"/>
        <v>1253.94</v>
      </c>
      <c r="S73" s="110">
        <f t="shared" si="17"/>
        <v>1359.74</v>
      </c>
      <c r="T73" s="110">
        <f t="shared" si="17"/>
        <v>1345.54</v>
      </c>
      <c r="U73" s="110">
        <f t="shared" si="17"/>
        <v>1385.71</v>
      </c>
      <c r="V73" s="110">
        <f t="shared" si="17"/>
        <v>1349.04</v>
      </c>
      <c r="W73" s="110">
        <f t="shared" si="17"/>
        <v>1332.1399999999999</v>
      </c>
      <c r="X73" s="110">
        <f t="shared" si="17"/>
        <v>1370.1</v>
      </c>
      <c r="Y73" s="110">
        <f t="shared" si="17"/>
        <v>1484.24</v>
      </c>
      <c r="Z73" s="110">
        <v>1578.24</v>
      </c>
      <c r="AA73" s="110">
        <f t="shared" si="17"/>
        <v>1534.8400000000001</v>
      </c>
      <c r="AB73" s="110">
        <f t="shared" si="17"/>
        <v>1340.44</v>
      </c>
      <c r="AC73" s="110">
        <f t="shared" si="17"/>
        <v>1331.14</v>
      </c>
      <c r="AD73" s="110">
        <f t="shared" si="17"/>
        <v>1268.6400000000001</v>
      </c>
      <c r="AE73" s="110">
        <f t="shared" si="17"/>
        <v>1092.2400000000002</v>
      </c>
      <c r="AF73" s="110">
        <f t="shared" si="17"/>
        <v>1031.98</v>
      </c>
      <c r="AG73" s="110">
        <f t="shared" si="17"/>
        <v>2144.14</v>
      </c>
      <c r="AH73" s="21">
        <f t="shared" si="2"/>
        <v>1578.24</v>
      </c>
      <c r="AI73" s="20">
        <f t="shared" si="3"/>
        <v>1031.98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>
        <v>85</v>
      </c>
      <c r="P74" s="111">
        <v>10</v>
      </c>
      <c r="Q74" s="111">
        <v>22</v>
      </c>
      <c r="R74" s="111">
        <v>25</v>
      </c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>
        <v>200</v>
      </c>
      <c r="AF74" s="111">
        <v>200</v>
      </c>
      <c r="AG74" s="98"/>
      <c r="AH74" s="21">
        <f t="shared" si="2"/>
        <v>200</v>
      </c>
      <c r="AI74" s="20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1163.44</v>
      </c>
      <c r="C75" s="110">
        <f>C73+C74</f>
        <v>1139.04</v>
      </c>
      <c r="D75" s="110">
        <f t="shared" ref="D75:AF75" si="19">D72+D68+D56+D52+D38+D74</f>
        <v>1120.8400000000001</v>
      </c>
      <c r="E75" s="110">
        <f t="shared" si="19"/>
        <v>1090.54</v>
      </c>
      <c r="F75" s="110">
        <f t="shared" si="19"/>
        <v>1083.24</v>
      </c>
      <c r="G75" s="110">
        <f t="shared" si="19"/>
        <v>1087.6399999999999</v>
      </c>
      <c r="H75" s="110">
        <f t="shared" si="19"/>
        <v>1150.8399999999999</v>
      </c>
      <c r="I75" s="110">
        <f t="shared" si="19"/>
        <v>1197.44</v>
      </c>
      <c r="J75" s="110">
        <f t="shared" si="19"/>
        <v>1259.2400000000002</v>
      </c>
      <c r="K75" s="110">
        <f t="shared" si="19"/>
        <v>1333.7400000000002</v>
      </c>
      <c r="L75" s="110">
        <f t="shared" si="19"/>
        <v>1370.5400000000002</v>
      </c>
      <c r="M75" s="110">
        <f t="shared" si="19"/>
        <v>1352.04</v>
      </c>
      <c r="N75" s="110">
        <f t="shared" si="19"/>
        <v>1323.94</v>
      </c>
      <c r="O75" s="110">
        <f t="shared" si="19"/>
        <v>1341.0400000000002</v>
      </c>
      <c r="P75" s="110">
        <f t="shared" si="19"/>
        <v>1330.94</v>
      </c>
      <c r="Q75" s="110">
        <f t="shared" si="19"/>
        <v>1314.44</v>
      </c>
      <c r="R75" s="110">
        <f t="shared" si="19"/>
        <v>1278.94</v>
      </c>
      <c r="S75" s="110">
        <f t="shared" si="19"/>
        <v>1359.74</v>
      </c>
      <c r="T75" s="110">
        <f t="shared" si="19"/>
        <v>1345.54</v>
      </c>
      <c r="U75" s="110">
        <f t="shared" si="19"/>
        <v>1385.71</v>
      </c>
      <c r="V75" s="110">
        <f t="shared" si="19"/>
        <v>1349.04</v>
      </c>
      <c r="W75" s="110">
        <f t="shared" si="19"/>
        <v>1332.1399999999999</v>
      </c>
      <c r="X75" s="110">
        <f t="shared" si="19"/>
        <v>1370.1</v>
      </c>
      <c r="Y75" s="110">
        <f t="shared" si="19"/>
        <v>1484.24</v>
      </c>
      <c r="Z75" s="110">
        <v>1578.24</v>
      </c>
      <c r="AA75" s="110">
        <f t="shared" si="19"/>
        <v>1534.8400000000001</v>
      </c>
      <c r="AB75" s="110">
        <f t="shared" si="19"/>
        <v>1340.44</v>
      </c>
      <c r="AC75" s="110">
        <f t="shared" si="19"/>
        <v>1331.14</v>
      </c>
      <c r="AD75" s="110">
        <f t="shared" si="19"/>
        <v>1268.6400000000001</v>
      </c>
      <c r="AE75" s="110">
        <f t="shared" si="19"/>
        <v>1292.2400000000002</v>
      </c>
      <c r="AF75" s="110">
        <f t="shared" si="19"/>
        <v>1231.98</v>
      </c>
      <c r="AG75" s="98">
        <f>AG72+AG68+AG56+AG52+AG38+AG74</f>
        <v>2144.14</v>
      </c>
      <c r="AH75" s="21">
        <f t="shared" si="2"/>
        <v>1578.24</v>
      </c>
      <c r="AI75" s="20">
        <f t="shared" si="3"/>
        <v>1083.24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/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>
        <v>0</v>
      </c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2326.88</v>
      </c>
      <c r="C83" s="99">
        <f t="shared" ref="C83:AG83" si="35">SUM(C70:C82)</f>
        <v>2278.08</v>
      </c>
      <c r="D83" s="99">
        <f t="shared" si="35"/>
        <v>2241.6800000000003</v>
      </c>
      <c r="E83" s="99">
        <f t="shared" si="35"/>
        <v>2181.08</v>
      </c>
      <c r="F83" s="99">
        <f t="shared" si="35"/>
        <v>2166.48</v>
      </c>
      <c r="G83" s="99">
        <f t="shared" si="35"/>
        <v>2175.2799999999997</v>
      </c>
      <c r="H83" s="99">
        <f t="shared" si="35"/>
        <v>2301.6799999999998</v>
      </c>
      <c r="I83" s="99">
        <f t="shared" si="35"/>
        <v>2394.88</v>
      </c>
      <c r="J83" s="99">
        <f t="shared" si="35"/>
        <v>2518.4800000000005</v>
      </c>
      <c r="K83" s="99">
        <f t="shared" si="35"/>
        <v>2667.4800000000005</v>
      </c>
      <c r="L83" s="99">
        <f t="shared" si="35"/>
        <v>2741.0800000000004</v>
      </c>
      <c r="M83" s="99">
        <f t="shared" si="35"/>
        <v>2704.08</v>
      </c>
      <c r="N83" s="99">
        <f t="shared" si="35"/>
        <v>2647.88</v>
      </c>
      <c r="O83" s="99">
        <f t="shared" si="35"/>
        <v>2682.0800000000004</v>
      </c>
      <c r="P83" s="99">
        <f t="shared" si="35"/>
        <v>2661.88</v>
      </c>
      <c r="Q83" s="99">
        <f t="shared" si="35"/>
        <v>2628.88</v>
      </c>
      <c r="R83" s="99">
        <f t="shared" si="35"/>
        <v>2557.88</v>
      </c>
      <c r="S83" s="99">
        <f t="shared" si="35"/>
        <v>2719.48</v>
      </c>
      <c r="T83" s="99">
        <f t="shared" si="35"/>
        <v>2691.08</v>
      </c>
      <c r="U83" s="99">
        <f t="shared" si="35"/>
        <v>2771.42</v>
      </c>
      <c r="V83" s="99">
        <f t="shared" si="35"/>
        <v>2698.08</v>
      </c>
      <c r="W83" s="99">
        <f t="shared" si="35"/>
        <v>2664.2799999999997</v>
      </c>
      <c r="X83" s="99">
        <f t="shared" si="35"/>
        <v>2740.2</v>
      </c>
      <c r="Y83" s="99">
        <f t="shared" si="35"/>
        <v>2968.48</v>
      </c>
      <c r="Z83" s="99">
        <v>373.8</v>
      </c>
      <c r="AA83" s="99">
        <f t="shared" si="35"/>
        <v>3069.6800000000003</v>
      </c>
      <c r="AB83" s="99">
        <f t="shared" si="35"/>
        <v>2680.88</v>
      </c>
      <c r="AC83" s="99">
        <f t="shared" si="35"/>
        <v>2662.28</v>
      </c>
      <c r="AD83" s="99">
        <f t="shared" si="35"/>
        <v>2537.2800000000002</v>
      </c>
      <c r="AE83" s="99">
        <f t="shared" si="35"/>
        <v>2584.4800000000005</v>
      </c>
      <c r="AF83" s="99">
        <f t="shared" si="35"/>
        <v>2463.96</v>
      </c>
      <c r="AG83" s="98">
        <f t="shared" si="35"/>
        <v>4360.08</v>
      </c>
      <c r="AH83" s="21">
        <f t="shared" si="22"/>
        <v>3069.6800000000003</v>
      </c>
      <c r="AI83" s="20">
        <f t="shared" si="23"/>
        <v>373.8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50.01</v>
      </c>
      <c r="C84" s="96">
        <v>49.8</v>
      </c>
      <c r="D84" s="96">
        <v>50.01</v>
      </c>
      <c r="E84" s="96">
        <v>49.951000000000001</v>
      </c>
      <c r="F84" s="96">
        <v>49.875999999999998</v>
      </c>
      <c r="G84" s="96">
        <v>49.926000000000002</v>
      </c>
      <c r="H84" s="96">
        <v>49.94</v>
      </c>
      <c r="I84" s="96">
        <v>49.92</v>
      </c>
      <c r="J84" s="96">
        <v>49.957999999999998</v>
      </c>
      <c r="K84" s="96">
        <v>49.914000000000001</v>
      </c>
      <c r="L84" s="96">
        <v>50.057000000000002</v>
      </c>
      <c r="M84" s="96">
        <v>50.045999999999999</v>
      </c>
      <c r="N84" s="96">
        <v>49.917000000000002</v>
      </c>
      <c r="O84" s="96">
        <v>49.841999999999999</v>
      </c>
      <c r="P84" s="96">
        <v>49.92</v>
      </c>
      <c r="Q84" s="96">
        <v>49.944000000000003</v>
      </c>
      <c r="R84" s="96">
        <v>50.051000000000002</v>
      </c>
      <c r="S84" s="96">
        <v>50.04</v>
      </c>
      <c r="T84" s="96">
        <v>49.88</v>
      </c>
      <c r="U84" s="96">
        <v>49.704999999999998</v>
      </c>
      <c r="V84" s="96">
        <v>49.887999999999998</v>
      </c>
      <c r="W84" s="96">
        <v>49.87</v>
      </c>
      <c r="X84" s="96">
        <v>49.95</v>
      </c>
      <c r="Y84" s="96">
        <v>49.9</v>
      </c>
      <c r="Z84" s="96">
        <v>50</v>
      </c>
      <c r="AA84" s="96">
        <v>49.93</v>
      </c>
      <c r="AB84" s="96">
        <v>49.792999999999999</v>
      </c>
      <c r="AC84" s="96">
        <v>49.774999999999999</v>
      </c>
      <c r="AD84" s="96">
        <v>49.808999999999997</v>
      </c>
      <c r="AE84" s="96">
        <v>49.890999999999998</v>
      </c>
      <c r="AF84" s="96">
        <v>49.853999999999999</v>
      </c>
      <c r="AG84" s="95"/>
      <c r="AH84" s="21">
        <f t="shared" si="22"/>
        <v>50.057000000000002</v>
      </c>
      <c r="AI84" s="20">
        <f t="shared" si="23"/>
        <v>49.704999999999998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128.4</v>
      </c>
      <c r="C85" s="73">
        <v>129.80000000000001</v>
      </c>
      <c r="D85" s="73">
        <v>131.30000000000001</v>
      </c>
      <c r="E85" s="73">
        <v>130.4</v>
      </c>
      <c r="F85" s="73">
        <v>129.69999999999999</v>
      </c>
      <c r="G85" s="73">
        <v>130.30000000000001</v>
      </c>
      <c r="H85" s="73">
        <v>129.80000000000001</v>
      </c>
      <c r="I85" s="73">
        <v>129.1</v>
      </c>
      <c r="J85" s="73">
        <v>128.5</v>
      </c>
      <c r="K85" s="73">
        <v>127</v>
      </c>
      <c r="L85" s="73">
        <v>126.2</v>
      </c>
      <c r="M85" s="73">
        <v>126.1</v>
      </c>
      <c r="N85" s="73">
        <v>126.4</v>
      </c>
      <c r="O85" s="73">
        <v>125.4</v>
      </c>
      <c r="P85" s="73">
        <v>126.2</v>
      </c>
      <c r="Q85" s="73">
        <v>127.6</v>
      </c>
      <c r="R85" s="73">
        <v>126.8</v>
      </c>
      <c r="S85" s="73">
        <v>121.5</v>
      </c>
      <c r="T85" s="73">
        <v>125.8</v>
      </c>
      <c r="U85" s="94">
        <v>126.8</v>
      </c>
      <c r="V85" s="94">
        <v>129</v>
      </c>
      <c r="W85" s="94">
        <v>129.19999999999999</v>
      </c>
      <c r="X85" s="94">
        <v>129.1</v>
      </c>
      <c r="Y85" s="94">
        <v>127.5</v>
      </c>
      <c r="Z85" s="94">
        <v>127.1</v>
      </c>
      <c r="AA85" s="94">
        <v>127.6</v>
      </c>
      <c r="AB85" s="73">
        <v>127.2</v>
      </c>
      <c r="AC85" s="73">
        <v>127</v>
      </c>
      <c r="AD85" s="73">
        <v>127.1</v>
      </c>
      <c r="AE85" s="73">
        <v>128.69999999999999</v>
      </c>
      <c r="AF85" s="73">
        <v>128.80000000000001</v>
      </c>
      <c r="AG85" s="89"/>
      <c r="AH85" s="21">
        <f t="shared" si="22"/>
        <v>131.30000000000001</v>
      </c>
      <c r="AI85" s="20">
        <f t="shared" si="23"/>
        <v>121.5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129.4</v>
      </c>
      <c r="C86" s="73">
        <v>133.4</v>
      </c>
      <c r="D86" s="73">
        <v>134.5</v>
      </c>
      <c r="E86" s="73">
        <v>133.69999999999999</v>
      </c>
      <c r="F86" s="73">
        <v>133.1</v>
      </c>
      <c r="G86" s="73">
        <v>133.5</v>
      </c>
      <c r="H86" s="73">
        <v>132.80000000000001</v>
      </c>
      <c r="I86" s="73">
        <v>131.6</v>
      </c>
      <c r="J86" s="73">
        <v>130.9</v>
      </c>
      <c r="K86" s="73">
        <v>129.5</v>
      </c>
      <c r="L86" s="73">
        <v>128.69999999999999</v>
      </c>
      <c r="M86" s="73">
        <v>128.5</v>
      </c>
      <c r="N86" s="73">
        <v>129</v>
      </c>
      <c r="O86" s="73">
        <v>128.19999999999999</v>
      </c>
      <c r="P86" s="73">
        <v>129.19999999999999</v>
      </c>
      <c r="Q86" s="73">
        <v>130</v>
      </c>
      <c r="R86" s="73">
        <v>129.5</v>
      </c>
      <c r="S86" s="73">
        <v>125.1</v>
      </c>
      <c r="T86" s="73">
        <v>128.6</v>
      </c>
      <c r="U86" s="94">
        <v>129.69999999999999</v>
      </c>
      <c r="V86" s="94">
        <v>131.69999999999999</v>
      </c>
      <c r="W86" s="94">
        <v>132.1</v>
      </c>
      <c r="X86" s="94">
        <v>131.9</v>
      </c>
      <c r="Y86" s="94">
        <v>130.1</v>
      </c>
      <c r="Z86" s="94">
        <v>129.9</v>
      </c>
      <c r="AA86" s="94">
        <v>130.4</v>
      </c>
      <c r="AB86" s="73">
        <v>130.5</v>
      </c>
      <c r="AC86" s="73">
        <v>130.4</v>
      </c>
      <c r="AD86" s="73">
        <v>131</v>
      </c>
      <c r="AE86" s="73">
        <v>132.5</v>
      </c>
      <c r="AF86" s="73">
        <v>132.80000000000001</v>
      </c>
      <c r="AG86" s="89"/>
      <c r="AH86" s="21">
        <f t="shared" si="22"/>
        <v>134.5</v>
      </c>
      <c r="AI86" s="20">
        <f t="shared" si="23"/>
        <v>125.1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131</v>
      </c>
      <c r="C87" s="73">
        <v>129.5</v>
      </c>
      <c r="D87" s="73">
        <v>131.19999999999999</v>
      </c>
      <c r="E87" s="73">
        <v>130.6</v>
      </c>
      <c r="F87" s="73">
        <v>130</v>
      </c>
      <c r="G87" s="73">
        <v>130.80000000000001</v>
      </c>
      <c r="H87" s="73">
        <v>130.1</v>
      </c>
      <c r="I87" s="73">
        <v>130.6</v>
      </c>
      <c r="J87" s="73">
        <v>129.4</v>
      </c>
      <c r="K87" s="73">
        <v>127.8</v>
      </c>
      <c r="L87" s="73">
        <v>128.9</v>
      </c>
      <c r="M87" s="73">
        <v>129</v>
      </c>
      <c r="N87" s="73">
        <v>128.30000000000001</v>
      </c>
      <c r="O87" s="73">
        <v>133.4</v>
      </c>
      <c r="P87" s="73">
        <v>126.6</v>
      </c>
      <c r="Q87" s="73">
        <v>127.9</v>
      </c>
      <c r="R87" s="73">
        <v>129.4</v>
      </c>
      <c r="S87" s="73">
        <v>129</v>
      </c>
      <c r="T87" s="73">
        <v>128.80000000000001</v>
      </c>
      <c r="U87" s="73">
        <v>125.1</v>
      </c>
      <c r="V87" s="73">
        <v>127.2</v>
      </c>
      <c r="W87" s="73">
        <v>126.9</v>
      </c>
      <c r="X87" s="94">
        <v>128.69999999999999</v>
      </c>
      <c r="Y87" s="94">
        <v>127.7</v>
      </c>
      <c r="Z87" s="94">
        <v>128.80000000000001</v>
      </c>
      <c r="AA87" s="94">
        <v>128.4</v>
      </c>
      <c r="AB87" s="73">
        <v>128.4</v>
      </c>
      <c r="AC87" s="73">
        <v>128.5</v>
      </c>
      <c r="AD87" s="73">
        <v>130</v>
      </c>
      <c r="AE87" s="73">
        <v>129.19999999999999</v>
      </c>
      <c r="AF87" s="73">
        <v>130.9</v>
      </c>
      <c r="AG87" s="89"/>
      <c r="AH87" s="21">
        <f t="shared" si="22"/>
        <v>133.4</v>
      </c>
      <c r="AI87" s="20">
        <f t="shared" si="23"/>
        <v>125.1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129.6</v>
      </c>
      <c r="C88" s="73">
        <v>130.9</v>
      </c>
      <c r="D88" s="73">
        <v>132.80000000000001</v>
      </c>
      <c r="E88" s="73">
        <v>132.9</v>
      </c>
      <c r="F88" s="73">
        <v>132.19999999999999</v>
      </c>
      <c r="G88" s="73">
        <v>132.5</v>
      </c>
      <c r="H88" s="73">
        <v>131.5</v>
      </c>
      <c r="I88" s="73">
        <v>131.69999999999999</v>
      </c>
      <c r="J88" s="73">
        <v>131.5</v>
      </c>
      <c r="K88" s="73">
        <v>130.69999999999999</v>
      </c>
      <c r="L88" s="73">
        <v>131.5</v>
      </c>
      <c r="M88" s="73">
        <v>131.1</v>
      </c>
      <c r="N88" s="73">
        <v>130.6</v>
      </c>
      <c r="O88" s="73">
        <v>134.19999999999999</v>
      </c>
      <c r="P88" s="73">
        <v>129.69999999999999</v>
      </c>
      <c r="Q88" s="73">
        <v>130</v>
      </c>
      <c r="R88" s="73">
        <v>131.19999999999999</v>
      </c>
      <c r="S88" s="73">
        <v>130</v>
      </c>
      <c r="T88" s="73">
        <v>129.9</v>
      </c>
      <c r="U88" s="73">
        <v>126</v>
      </c>
      <c r="V88" s="73">
        <v>128.4</v>
      </c>
      <c r="W88" s="73">
        <v>128.30000000000001</v>
      </c>
      <c r="X88" s="94">
        <v>130.19999999999999</v>
      </c>
      <c r="Y88" s="94">
        <v>129.69999999999999</v>
      </c>
      <c r="Z88" s="94">
        <v>131.30000000000001</v>
      </c>
      <c r="AA88" s="94">
        <v>131.1</v>
      </c>
      <c r="AB88" s="73">
        <v>131.80000000000001</v>
      </c>
      <c r="AC88" s="73">
        <v>132.1</v>
      </c>
      <c r="AD88" s="73">
        <v>132</v>
      </c>
      <c r="AE88" s="73">
        <v>131.1</v>
      </c>
      <c r="AF88" s="73">
        <v>132.69999999999999</v>
      </c>
      <c r="AG88" s="89"/>
      <c r="AH88" s="21">
        <f t="shared" si="22"/>
        <v>134.19999999999999</v>
      </c>
      <c r="AI88" s="20">
        <f t="shared" si="23"/>
        <v>126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133.9</v>
      </c>
      <c r="C89" s="66">
        <v>131.6</v>
      </c>
      <c r="D89" s="66">
        <v>133.19999999999999</v>
      </c>
      <c r="E89" s="66">
        <v>129.5</v>
      </c>
      <c r="F89" s="66">
        <v>130.19999999999999</v>
      </c>
      <c r="G89" s="66">
        <v>132</v>
      </c>
      <c r="H89" s="66">
        <v>131.4</v>
      </c>
      <c r="I89" s="66">
        <v>130.19999999999999</v>
      </c>
      <c r="J89" s="66">
        <v>130.1</v>
      </c>
      <c r="K89" s="66">
        <v>130.6</v>
      </c>
      <c r="L89" s="66">
        <v>130.9</v>
      </c>
      <c r="M89" s="66">
        <v>136.5</v>
      </c>
      <c r="N89" s="66">
        <v>132.9</v>
      </c>
      <c r="O89" s="66">
        <v>133.6</v>
      </c>
      <c r="P89" s="66">
        <v>132.6</v>
      </c>
      <c r="Q89" s="66">
        <v>134.80000000000001</v>
      </c>
      <c r="R89" s="66">
        <v>136.6</v>
      </c>
      <c r="S89" s="66">
        <v>128.6</v>
      </c>
      <c r="T89" s="66">
        <v>136.4</v>
      </c>
      <c r="U89" s="66">
        <v>133.80000000000001</v>
      </c>
      <c r="V89" s="66">
        <v>137</v>
      </c>
      <c r="W89" s="66">
        <v>136.4</v>
      </c>
      <c r="X89" s="94">
        <v>135.69999999999999</v>
      </c>
      <c r="Y89" s="94">
        <v>134.1</v>
      </c>
      <c r="Z89" s="94">
        <v>133.30000000000001</v>
      </c>
      <c r="AA89" s="94">
        <v>135</v>
      </c>
      <c r="AB89" s="66">
        <v>134.6</v>
      </c>
      <c r="AC89" s="66">
        <v>134.5</v>
      </c>
      <c r="AD89" s="66">
        <v>134.30000000000001</v>
      </c>
      <c r="AE89" s="66">
        <v>134.80000000000001</v>
      </c>
      <c r="AF89" s="66">
        <v>134.80000000000001</v>
      </c>
      <c r="AG89" s="91"/>
      <c r="AH89" s="21">
        <f t="shared" si="22"/>
        <v>137</v>
      </c>
      <c r="AI89" s="20">
        <f t="shared" si="23"/>
        <v>128.6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133.1</v>
      </c>
      <c r="C90" s="73">
        <v>135.1</v>
      </c>
      <c r="D90" s="73">
        <v>136</v>
      </c>
      <c r="E90" s="73">
        <v>135.4</v>
      </c>
      <c r="F90" s="73">
        <v>135.5</v>
      </c>
      <c r="G90" s="73">
        <v>136.19999999999999</v>
      </c>
      <c r="H90" s="73">
        <v>129.9</v>
      </c>
      <c r="I90" s="73">
        <v>126.9</v>
      </c>
      <c r="J90" s="73">
        <v>130</v>
      </c>
      <c r="K90" s="73">
        <v>129.1</v>
      </c>
      <c r="L90" s="73">
        <v>129</v>
      </c>
      <c r="M90" s="73">
        <v>135.19999999999999</v>
      </c>
      <c r="N90" s="73">
        <v>130.9</v>
      </c>
      <c r="O90" s="73">
        <v>129.80000000000001</v>
      </c>
      <c r="P90" s="73">
        <v>130.6</v>
      </c>
      <c r="Q90" s="73">
        <v>133</v>
      </c>
      <c r="R90" s="73">
        <v>132.6</v>
      </c>
      <c r="S90" s="73">
        <v>132.6</v>
      </c>
      <c r="T90" s="73">
        <v>131.1</v>
      </c>
      <c r="U90" s="73">
        <v>132.69999999999999</v>
      </c>
      <c r="V90" s="73">
        <v>132.80000000000001</v>
      </c>
      <c r="W90" s="73">
        <v>133</v>
      </c>
      <c r="X90" s="94">
        <v>132.9</v>
      </c>
      <c r="Y90" s="94">
        <v>129.80000000000001</v>
      </c>
      <c r="Z90" s="94">
        <v>129</v>
      </c>
      <c r="AA90" s="94">
        <v>134.80000000000001</v>
      </c>
      <c r="AB90" s="73">
        <v>134.5</v>
      </c>
      <c r="AC90" s="73">
        <v>134.1</v>
      </c>
      <c r="AD90" s="73">
        <v>134.6</v>
      </c>
      <c r="AE90" s="73">
        <v>132</v>
      </c>
      <c r="AF90" s="73">
        <v>132.9</v>
      </c>
      <c r="AG90" s="89"/>
      <c r="AH90" s="21">
        <f t="shared" si="22"/>
        <v>136.19999999999999</v>
      </c>
      <c r="AI90" s="20">
        <f t="shared" si="23"/>
        <v>126.9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66.5</v>
      </c>
      <c r="C91" s="87">
        <v>67.2</v>
      </c>
      <c r="D91" s="87">
        <v>67.900000000000006</v>
      </c>
      <c r="E91" s="87">
        <v>67.7</v>
      </c>
      <c r="F91" s="87">
        <v>67.2</v>
      </c>
      <c r="G91" s="87">
        <v>67.2</v>
      </c>
      <c r="H91" s="87">
        <v>66.900000000000006</v>
      </c>
      <c r="I91" s="87">
        <v>66.2</v>
      </c>
      <c r="J91" s="87">
        <v>66.099999999999994</v>
      </c>
      <c r="K91" s="87">
        <v>65.5</v>
      </c>
      <c r="L91" s="87">
        <v>65.3</v>
      </c>
      <c r="M91" s="87">
        <v>65</v>
      </c>
      <c r="N91" s="87">
        <v>65.5</v>
      </c>
      <c r="O91" s="87">
        <v>64.900000000000006</v>
      </c>
      <c r="P91" s="87">
        <v>65.2</v>
      </c>
      <c r="Q91" s="87">
        <v>65.599999999999994</v>
      </c>
      <c r="R91" s="87">
        <v>65.400000000000006</v>
      </c>
      <c r="S91" s="87">
        <v>63.1</v>
      </c>
      <c r="T91" s="87">
        <v>64.7</v>
      </c>
      <c r="U91" s="87">
        <v>65.5</v>
      </c>
      <c r="V91" s="87">
        <v>66.400000000000006</v>
      </c>
      <c r="W91" s="87">
        <v>66.599999999999994</v>
      </c>
      <c r="X91" s="87">
        <v>66.599999999999994</v>
      </c>
      <c r="Y91" s="87">
        <v>65.5</v>
      </c>
      <c r="Z91" s="87">
        <v>65.599999999999994</v>
      </c>
      <c r="AA91" s="87">
        <v>65.900000000000006</v>
      </c>
      <c r="AB91" s="87">
        <v>66.3</v>
      </c>
      <c r="AC91" s="87">
        <v>65.900000000000006</v>
      </c>
      <c r="AD91" s="87">
        <v>66.400000000000006</v>
      </c>
      <c r="AE91" s="87">
        <v>66.8</v>
      </c>
      <c r="AF91" s="87">
        <v>66.900000000000006</v>
      </c>
      <c r="AG91" s="86"/>
      <c r="AH91" s="21">
        <f t="shared" si="22"/>
        <v>67.900000000000006</v>
      </c>
      <c r="AI91" s="20">
        <f t="shared" si="23"/>
        <v>63.1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6">SUM(B15,B18,B21:B22,B42,B44:B45,B47,B49,B94:B97,B103,B109,B115,B124,B126,B138,B145,B148:B149,B156,B158,B160,B164:B166,B168:B170,B175,B181:B182,B184:B186,B194,B199)</f>
        <v>206.14000000000001</v>
      </c>
      <c r="C93" s="82">
        <f t="shared" ref="C93:AF93" si="37">SUM(C15,C18,C21:C22,C42,C44:C45,C47,C49,C94:C97,C103,C109,C115,C124,C126,C138,C145,C148:C149,C156,C158,C160,C164:C166,C168:C170,C175,C181:C182,C184:C186,C194,C199)</f>
        <v>164.23999999999998</v>
      </c>
      <c r="D93" s="82">
        <f t="shared" si="37"/>
        <v>159.54</v>
      </c>
      <c r="E93" s="82">
        <f t="shared" si="37"/>
        <v>159.73999999999998</v>
      </c>
      <c r="F93" s="82">
        <f t="shared" si="37"/>
        <v>160.94</v>
      </c>
      <c r="G93" s="80">
        <f t="shared" si="37"/>
        <v>187.23999999999998</v>
      </c>
      <c r="H93" s="80">
        <f t="shared" si="37"/>
        <v>213.94</v>
      </c>
      <c r="I93" s="80">
        <f t="shared" si="37"/>
        <v>256.14</v>
      </c>
      <c r="J93" s="80">
        <f t="shared" si="37"/>
        <v>287.94000000000005</v>
      </c>
      <c r="K93" s="80">
        <f t="shared" si="37"/>
        <v>317.74000000000007</v>
      </c>
      <c r="L93" s="80">
        <f t="shared" si="37"/>
        <v>334.24000000000007</v>
      </c>
      <c r="M93" s="80">
        <f t="shared" si="37"/>
        <v>334.34000000000003</v>
      </c>
      <c r="N93" s="80">
        <f t="shared" si="37"/>
        <v>313.34000000000003</v>
      </c>
      <c r="O93" s="80">
        <f t="shared" si="37"/>
        <v>314.74000000000007</v>
      </c>
      <c r="P93" s="80">
        <f t="shared" si="37"/>
        <v>310.14000000000004</v>
      </c>
      <c r="Q93" s="80">
        <f t="shared" si="37"/>
        <v>303.44000000000005</v>
      </c>
      <c r="R93" s="80">
        <f t="shared" si="37"/>
        <v>295.64000000000004</v>
      </c>
      <c r="S93" s="80">
        <f t="shared" si="37"/>
        <v>298.14000000000004</v>
      </c>
      <c r="T93" s="80">
        <f t="shared" si="37"/>
        <v>305.74000000000007</v>
      </c>
      <c r="U93" s="80">
        <f t="shared" si="37"/>
        <v>310.34000000000003</v>
      </c>
      <c r="V93" s="80">
        <f t="shared" si="37"/>
        <v>295.24</v>
      </c>
      <c r="W93" s="80">
        <f t="shared" si="37"/>
        <v>306.74000000000007</v>
      </c>
      <c r="X93" s="80">
        <f t="shared" si="37"/>
        <v>337.24000000000007</v>
      </c>
      <c r="Y93" s="80">
        <f t="shared" si="37"/>
        <v>396.94000000000005</v>
      </c>
      <c r="Z93" s="80">
        <v>404.69708333333335</v>
      </c>
      <c r="AA93" s="80">
        <f t="shared" si="37"/>
        <v>387.94000000000005</v>
      </c>
      <c r="AB93" s="80">
        <f t="shared" si="37"/>
        <v>318.04000000000008</v>
      </c>
      <c r="AC93" s="80">
        <f t="shared" si="37"/>
        <v>308.64000000000004</v>
      </c>
      <c r="AD93" s="80">
        <f t="shared" si="37"/>
        <v>281.44000000000005</v>
      </c>
      <c r="AE93" s="80">
        <f t="shared" si="37"/>
        <v>217.44</v>
      </c>
      <c r="AF93" s="80">
        <f t="shared" si="37"/>
        <v>186.73999999999998</v>
      </c>
      <c r="AG93" s="79"/>
      <c r="AH93" s="21">
        <f>MAX(C93:AF93)</f>
        <v>404.69708333333335</v>
      </c>
      <c r="AI93" s="20">
        <f>MIN(C93:AF93)</f>
        <v>159.54</v>
      </c>
    </row>
    <row r="94" spans="1:88" x14ac:dyDescent="0.25">
      <c r="A94" s="48" t="s">
        <v>122</v>
      </c>
      <c r="B94" s="75">
        <v>-11.1</v>
      </c>
      <c r="C94" s="77">
        <v>-12.1</v>
      </c>
      <c r="D94" s="77">
        <v>-21.5</v>
      </c>
      <c r="E94" s="77">
        <v>-33.4</v>
      </c>
      <c r="F94" s="77">
        <v>-38.6</v>
      </c>
      <c r="G94" s="76">
        <v>-23.2</v>
      </c>
      <c r="H94" s="76">
        <v>-14.2</v>
      </c>
      <c r="I94" s="76">
        <v>-4.0999999999999996</v>
      </c>
      <c r="J94" s="76">
        <v>-9</v>
      </c>
      <c r="K94" s="76">
        <v>7.9</v>
      </c>
      <c r="L94" s="76">
        <v>14.8</v>
      </c>
      <c r="M94" s="75">
        <v>31.9</v>
      </c>
      <c r="N94" s="76">
        <v>32.200000000000003</v>
      </c>
      <c r="O94" s="76">
        <v>39</v>
      </c>
      <c r="P94" s="76">
        <v>33.9</v>
      </c>
      <c r="Q94" s="76">
        <v>23.6</v>
      </c>
      <c r="R94" s="76">
        <v>23.6</v>
      </c>
      <c r="S94" s="76">
        <v>-7.4</v>
      </c>
      <c r="T94" s="76">
        <v>0</v>
      </c>
      <c r="U94" s="75">
        <v>5</v>
      </c>
      <c r="V94" s="75">
        <v>19.7</v>
      </c>
      <c r="W94" s="75">
        <v>18.399999999999999</v>
      </c>
      <c r="X94" s="75">
        <v>27.5</v>
      </c>
      <c r="Y94" s="76">
        <v>46.1</v>
      </c>
      <c r="Z94" s="76">
        <v>21.4</v>
      </c>
      <c r="AA94" s="76">
        <v>28.3</v>
      </c>
      <c r="AB94" s="75">
        <v>37.799999999999997</v>
      </c>
      <c r="AC94" s="75">
        <v>38.4</v>
      </c>
      <c r="AD94" s="75">
        <v>40.1</v>
      </c>
      <c r="AE94" s="75">
        <v>43.5</v>
      </c>
      <c r="AF94" s="75">
        <v>39.6</v>
      </c>
      <c r="AG94" s="3">
        <v>75</v>
      </c>
      <c r="AH94" s="21">
        <f t="shared" ref="AH94:AH100" si="38">IF(ABS(MAX(C94:AF94))&gt;ABS(MIN(C94:AF94)),MAX(C94:AF94),MIN(C94:AF94))</f>
        <v>46.1</v>
      </c>
      <c r="AI94" s="64">
        <f t="shared" ref="AI94:AI100" si="39">INDEX($C$9:$AF$9,1,MATCH(AH94,C94:AF94,0))</f>
        <v>0.77083333333333337</v>
      </c>
    </row>
    <row r="95" spans="1:88" x14ac:dyDescent="0.25">
      <c r="A95" s="45" t="s">
        <v>121</v>
      </c>
      <c r="B95" s="73">
        <f>-3.1-12</f>
        <v>-15.1</v>
      </c>
      <c r="C95" s="67">
        <f>-16.7-27.6</f>
        <v>-44.3</v>
      </c>
      <c r="D95" s="67">
        <f>-13.8-25</f>
        <v>-38.799999999999997</v>
      </c>
      <c r="E95" s="67">
        <v>-39</v>
      </c>
      <c r="F95" s="67">
        <v>-35.6</v>
      </c>
      <c r="G95" s="67">
        <v>-27.8</v>
      </c>
      <c r="H95" s="67">
        <v>-20.8</v>
      </c>
      <c r="I95" s="67">
        <v>-4</v>
      </c>
      <c r="J95" s="67">
        <v>9.1999999999999993</v>
      </c>
      <c r="K95" s="67">
        <v>15.6</v>
      </c>
      <c r="L95" s="67">
        <v>17.399999999999999</v>
      </c>
      <c r="M95" s="67">
        <v>11.5</v>
      </c>
      <c r="N95" s="67">
        <v>5</v>
      </c>
      <c r="O95" s="67">
        <v>2</v>
      </c>
      <c r="P95" s="67">
        <v>-10.8</v>
      </c>
      <c r="Q95" s="67">
        <v>-6.8</v>
      </c>
      <c r="R95" s="67">
        <v>-7.9</v>
      </c>
      <c r="S95" s="67">
        <f>5.5+2.4</f>
        <v>7.9</v>
      </c>
      <c r="T95" s="67">
        <f>8.6+1</f>
        <v>9.6</v>
      </c>
      <c r="U95" s="67">
        <v>8</v>
      </c>
      <c r="V95" s="67">
        <v>-2</v>
      </c>
      <c r="W95" s="67">
        <f>4.8-3.9</f>
        <v>0.89999999999999991</v>
      </c>
      <c r="X95" s="67">
        <f>4.3-3.9</f>
        <v>0.39999999999999991</v>
      </c>
      <c r="Y95" s="67">
        <f>9.3+1.7</f>
        <v>11</v>
      </c>
      <c r="Z95" s="67">
        <v>29.700000000000003</v>
      </c>
      <c r="AA95" s="67">
        <f>14.8+8.3</f>
        <v>23.1</v>
      </c>
      <c r="AB95" s="73">
        <v>-10</v>
      </c>
      <c r="AC95" s="73">
        <v>-15</v>
      </c>
      <c r="AD95" s="73">
        <v>-30</v>
      </c>
      <c r="AE95" s="73">
        <v>-45</v>
      </c>
      <c r="AF95" s="73">
        <v>-56</v>
      </c>
      <c r="AG95" s="3">
        <v>240</v>
      </c>
      <c r="AH95" s="21">
        <f t="shared" si="38"/>
        <v>-56</v>
      </c>
      <c r="AI95" s="64">
        <f t="shared" si="39"/>
        <v>0.95833333333333304</v>
      </c>
    </row>
    <row r="96" spans="1:88" x14ac:dyDescent="0.25">
      <c r="A96" s="45" t="s">
        <v>120</v>
      </c>
      <c r="B96" s="73">
        <v>24.8</v>
      </c>
      <c r="C96" s="67">
        <v>21.8</v>
      </c>
      <c r="D96" s="67">
        <v>20.3</v>
      </c>
      <c r="E96" s="67">
        <v>14.1</v>
      </c>
      <c r="F96" s="67">
        <v>16.600000000000001</v>
      </c>
      <c r="G96" s="67">
        <v>22</v>
      </c>
      <c r="H96" s="67">
        <v>23</v>
      </c>
      <c r="I96" s="67">
        <v>34.9</v>
      </c>
      <c r="J96" s="67">
        <v>30.3</v>
      </c>
      <c r="K96" s="67">
        <v>31.8</v>
      </c>
      <c r="L96" s="67">
        <v>31.4</v>
      </c>
      <c r="M96" s="67">
        <v>25.7</v>
      </c>
      <c r="N96" s="67">
        <v>26.6</v>
      </c>
      <c r="O96" s="67">
        <v>23.5</v>
      </c>
      <c r="P96" s="67">
        <v>30.8</v>
      </c>
      <c r="Q96" s="67">
        <v>34.200000000000003</v>
      </c>
      <c r="R96" s="67">
        <v>30.5</v>
      </c>
      <c r="S96" s="67">
        <v>9.4</v>
      </c>
      <c r="T96" s="67">
        <v>32.9</v>
      </c>
      <c r="U96" s="67">
        <v>34.299999999999997</v>
      </c>
      <c r="V96" s="67">
        <v>30.6</v>
      </c>
      <c r="W96" s="67">
        <v>33.9</v>
      </c>
      <c r="X96" s="67">
        <v>34.4</v>
      </c>
      <c r="Y96" s="67">
        <v>40.200000000000003</v>
      </c>
      <c r="Z96" s="67">
        <v>45.9</v>
      </c>
      <c r="AA96" s="67">
        <v>42.9</v>
      </c>
      <c r="AB96" s="73">
        <v>42.4</v>
      </c>
      <c r="AC96" s="73">
        <v>42.6</v>
      </c>
      <c r="AD96" s="73">
        <v>35.700000000000003</v>
      </c>
      <c r="AE96" s="73">
        <v>34.299999999999997</v>
      </c>
      <c r="AF96" s="73">
        <v>30.1</v>
      </c>
      <c r="AG96" s="3">
        <v>60</v>
      </c>
      <c r="AH96" s="21">
        <f t="shared" si="38"/>
        <v>45.9</v>
      </c>
      <c r="AI96" s="64">
        <f t="shared" si="39"/>
        <v>0.79166666666666663</v>
      </c>
    </row>
    <row r="97" spans="1:37" x14ac:dyDescent="0.25">
      <c r="A97" s="41" t="s">
        <v>119</v>
      </c>
      <c r="B97" s="69">
        <v>26</v>
      </c>
      <c r="C97" s="70">
        <v>19.2</v>
      </c>
      <c r="D97" s="70">
        <v>19.899999999999999</v>
      </c>
      <c r="E97" s="70">
        <v>38.299999999999997</v>
      </c>
      <c r="F97" s="70">
        <v>38.799999999999997</v>
      </c>
      <c r="G97" s="70">
        <v>36.5</v>
      </c>
      <c r="H97" s="70">
        <v>46.2</v>
      </c>
      <c r="I97" s="70">
        <v>47.5</v>
      </c>
      <c r="J97" s="70">
        <v>75.8</v>
      </c>
      <c r="K97" s="70">
        <v>80.8</v>
      </c>
      <c r="L97" s="70">
        <v>89.2</v>
      </c>
      <c r="M97" s="70">
        <v>79.8</v>
      </c>
      <c r="N97" s="70">
        <v>62.8</v>
      </c>
      <c r="O97" s="70">
        <v>62.3</v>
      </c>
      <c r="P97" s="70">
        <v>68.8</v>
      </c>
      <c r="Q97" s="70">
        <v>64.8</v>
      </c>
      <c r="R97" s="70">
        <v>62.8</v>
      </c>
      <c r="S97" s="70">
        <v>100.3</v>
      </c>
      <c r="T97" s="70">
        <v>75.3</v>
      </c>
      <c r="U97" s="70">
        <v>76.599999999999994</v>
      </c>
      <c r="V97" s="70">
        <v>65</v>
      </c>
      <c r="W97" s="70">
        <v>71.099999999999994</v>
      </c>
      <c r="X97" s="70">
        <v>92.5</v>
      </c>
      <c r="Y97" s="70">
        <v>107.9</v>
      </c>
      <c r="Z97" s="70">
        <v>106.8</v>
      </c>
      <c r="AA97" s="70">
        <v>101.9</v>
      </c>
      <c r="AB97" s="69">
        <v>67.2</v>
      </c>
      <c r="AC97" s="69">
        <v>62</v>
      </c>
      <c r="AD97" s="69">
        <v>55</v>
      </c>
      <c r="AE97" s="69">
        <v>4</v>
      </c>
      <c r="AF97" s="69">
        <v>-8</v>
      </c>
      <c r="AG97" s="72">
        <v>120</v>
      </c>
      <c r="AH97" s="21">
        <f t="shared" si="38"/>
        <v>107.9</v>
      </c>
      <c r="AI97" s="64">
        <f t="shared" si="39"/>
        <v>0.77083333333333337</v>
      </c>
    </row>
    <row r="98" spans="1:37" x14ac:dyDescent="0.25">
      <c r="A98" s="41" t="s">
        <v>118</v>
      </c>
      <c r="B98" s="69">
        <v>37.6</v>
      </c>
      <c r="C98" s="70">
        <v>27.5</v>
      </c>
      <c r="D98" s="70">
        <v>27</v>
      </c>
      <c r="E98" s="70">
        <v>45.9</v>
      </c>
      <c r="F98" s="70">
        <v>47</v>
      </c>
      <c r="G98" s="70">
        <v>41.9</v>
      </c>
      <c r="H98" s="70">
        <v>47.3</v>
      </c>
      <c r="I98" s="70">
        <v>43.2</v>
      </c>
      <c r="J98" s="70">
        <v>65.2</v>
      </c>
      <c r="K98" s="70">
        <v>64.5</v>
      </c>
      <c r="L98" s="70">
        <v>73.900000000000006</v>
      </c>
      <c r="M98" s="70">
        <v>64.8</v>
      </c>
      <c r="N98" s="70">
        <v>52.7</v>
      </c>
      <c r="O98" s="70">
        <v>52.9</v>
      </c>
      <c r="P98" s="70">
        <v>34.4</v>
      </c>
      <c r="Q98" s="70">
        <v>38.799999999999997</v>
      </c>
      <c r="R98" s="70">
        <v>68.099999999999994</v>
      </c>
      <c r="S98" s="70">
        <v>96.6</v>
      </c>
      <c r="T98" s="70">
        <v>63.7</v>
      </c>
      <c r="U98" s="70">
        <v>64.900000000000006</v>
      </c>
      <c r="V98" s="70">
        <v>42.3</v>
      </c>
      <c r="W98" s="70">
        <v>46.1</v>
      </c>
      <c r="X98" s="70">
        <v>38.299999999999997</v>
      </c>
      <c r="Y98" s="70">
        <v>46.5</v>
      </c>
      <c r="Z98" s="70">
        <v>73.8</v>
      </c>
      <c r="AA98" s="70">
        <v>64.8</v>
      </c>
      <c r="AB98" s="69">
        <v>62</v>
      </c>
      <c r="AC98" s="69">
        <v>59</v>
      </c>
      <c r="AD98" s="69">
        <v>50.1</v>
      </c>
      <c r="AE98" s="69">
        <v>14</v>
      </c>
      <c r="AF98" s="69">
        <v>5.8</v>
      </c>
      <c r="AG98" s="72"/>
      <c r="AH98" s="21">
        <f t="shared" si="38"/>
        <v>96.6</v>
      </c>
      <c r="AI98" s="64">
        <f t="shared" si="39"/>
        <v>0.58333333333333304</v>
      </c>
    </row>
    <row r="99" spans="1:37" x14ac:dyDescent="0.25">
      <c r="A99" s="41" t="s">
        <v>117</v>
      </c>
      <c r="B99" s="69">
        <v>79.2</v>
      </c>
      <c r="C99" s="70">
        <v>76.8</v>
      </c>
      <c r="D99" s="70">
        <v>75.2</v>
      </c>
      <c r="E99" s="70">
        <v>68</v>
      </c>
      <c r="F99" s="70">
        <v>68.8</v>
      </c>
      <c r="G99" s="70">
        <v>62.2</v>
      </c>
      <c r="H99" s="70">
        <v>66.099999999999994</v>
      </c>
      <c r="I99" s="70">
        <v>62.3</v>
      </c>
      <c r="J99" s="70">
        <v>65.2</v>
      </c>
      <c r="K99" s="70">
        <v>65</v>
      </c>
      <c r="L99" s="70">
        <v>62.8</v>
      </c>
      <c r="M99" s="70">
        <v>38</v>
      </c>
      <c r="N99" s="70">
        <v>34.4</v>
      </c>
      <c r="O99" s="70">
        <v>36.6</v>
      </c>
      <c r="P99" s="70">
        <v>46.9</v>
      </c>
      <c r="Q99" s="70">
        <v>42.5</v>
      </c>
      <c r="R99" s="70">
        <v>26.6</v>
      </c>
      <c r="S99" s="70">
        <v>45.6</v>
      </c>
      <c r="T99" s="70">
        <v>40.5</v>
      </c>
      <c r="U99" s="70">
        <v>47.8</v>
      </c>
      <c r="V99" s="70">
        <v>42</v>
      </c>
      <c r="W99" s="70">
        <v>51.5</v>
      </c>
      <c r="X99" s="70">
        <v>42.5</v>
      </c>
      <c r="Y99" s="70">
        <v>38.5</v>
      </c>
      <c r="Z99" s="70">
        <v>65.099999999999994</v>
      </c>
      <c r="AA99" s="70">
        <v>57.9</v>
      </c>
      <c r="AB99" s="69">
        <v>53</v>
      </c>
      <c r="AC99" s="69">
        <v>53</v>
      </c>
      <c r="AD99" s="69">
        <v>49.2</v>
      </c>
      <c r="AE99" s="69">
        <v>36.700000000000003</v>
      </c>
      <c r="AF99" s="69">
        <v>35</v>
      </c>
      <c r="AG99" s="65"/>
      <c r="AH99" s="21">
        <f t="shared" si="38"/>
        <v>76.8</v>
      </c>
      <c r="AI99" s="64">
        <f t="shared" si="39"/>
        <v>4.1666666666666664E-2</v>
      </c>
    </row>
    <row r="100" spans="1:37" ht="15.75" thickBot="1" x14ac:dyDescent="0.3">
      <c r="A100" s="68" t="s">
        <v>116</v>
      </c>
      <c r="B100" s="66">
        <v>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7">
        <v>0</v>
      </c>
      <c r="O100" s="67">
        <v>0</v>
      </c>
      <c r="P100" s="67">
        <v>0.3</v>
      </c>
      <c r="Q100" s="67">
        <v>-2.5</v>
      </c>
      <c r="R100" s="67">
        <v>36.700000000000003</v>
      </c>
      <c r="S100" s="67">
        <v>34.799999999999997</v>
      </c>
      <c r="T100" s="67">
        <v>46.7</v>
      </c>
      <c r="U100" s="67">
        <v>17.5</v>
      </c>
      <c r="V100" s="67">
        <v>21.4</v>
      </c>
      <c r="W100" s="67">
        <v>17.899999999999999</v>
      </c>
      <c r="X100" s="67">
        <v>19.899999999999999</v>
      </c>
      <c r="Y100" s="67">
        <v>61.7</v>
      </c>
      <c r="Z100" s="67">
        <v>62.9</v>
      </c>
      <c r="AA100" s="67">
        <v>62.2</v>
      </c>
      <c r="AB100" s="66">
        <v>57</v>
      </c>
      <c r="AC100" s="66">
        <v>58</v>
      </c>
      <c r="AD100" s="66">
        <v>80</v>
      </c>
      <c r="AE100" s="66">
        <v>67</v>
      </c>
      <c r="AF100" s="66">
        <v>62.2</v>
      </c>
      <c r="AG100" s="65"/>
      <c r="AH100" s="21">
        <f t="shared" si="38"/>
        <v>80</v>
      </c>
      <c r="AI100" s="64">
        <f t="shared" si="39"/>
        <v>0.875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0">AF102</f>
        <v>9.9</v>
      </c>
      <c r="C102" s="54">
        <v>9.9</v>
      </c>
      <c r="D102" s="58">
        <f t="shared" ref="D102:S107" si="41">C102</f>
        <v>9.9</v>
      </c>
      <c r="E102" s="58">
        <f t="shared" si="41"/>
        <v>9.9</v>
      </c>
      <c r="F102" s="58">
        <f t="shared" si="41"/>
        <v>9.9</v>
      </c>
      <c r="G102" s="58">
        <f t="shared" si="41"/>
        <v>9.9</v>
      </c>
      <c r="H102" s="58">
        <f t="shared" si="41"/>
        <v>9.9</v>
      </c>
      <c r="I102" s="58">
        <f t="shared" si="41"/>
        <v>9.9</v>
      </c>
      <c r="J102" s="58">
        <f t="shared" si="41"/>
        <v>9.9</v>
      </c>
      <c r="K102" s="58">
        <f t="shared" si="41"/>
        <v>9.9</v>
      </c>
      <c r="L102" s="58">
        <f t="shared" si="41"/>
        <v>9.9</v>
      </c>
      <c r="M102" s="58">
        <f t="shared" si="41"/>
        <v>9.9</v>
      </c>
      <c r="N102" s="58">
        <f t="shared" si="41"/>
        <v>9.9</v>
      </c>
      <c r="O102" s="58">
        <f t="shared" si="41"/>
        <v>9.9</v>
      </c>
      <c r="P102" s="58">
        <f t="shared" si="41"/>
        <v>9.9</v>
      </c>
      <c r="Q102" s="58">
        <f t="shared" si="41"/>
        <v>9.9</v>
      </c>
      <c r="R102" s="58">
        <f t="shared" si="41"/>
        <v>9.9</v>
      </c>
      <c r="S102" s="58">
        <f t="shared" si="41"/>
        <v>9.9</v>
      </c>
      <c r="T102" s="58">
        <f t="shared" ref="T102:AF107" si="42">S102</f>
        <v>9.9</v>
      </c>
      <c r="U102" s="58">
        <f t="shared" si="42"/>
        <v>9.9</v>
      </c>
      <c r="V102" s="58">
        <f t="shared" si="42"/>
        <v>9.9</v>
      </c>
      <c r="W102" s="58">
        <f t="shared" si="42"/>
        <v>9.9</v>
      </c>
      <c r="X102" s="58">
        <f t="shared" si="42"/>
        <v>9.9</v>
      </c>
      <c r="Y102" s="58">
        <f t="shared" si="42"/>
        <v>9.9</v>
      </c>
      <c r="Z102" s="58">
        <f t="shared" si="42"/>
        <v>9.9</v>
      </c>
      <c r="AA102" s="58">
        <f t="shared" si="42"/>
        <v>9.9</v>
      </c>
      <c r="AB102" s="58">
        <f t="shared" si="42"/>
        <v>9.9</v>
      </c>
      <c r="AC102" s="58">
        <f t="shared" si="42"/>
        <v>9.9</v>
      </c>
      <c r="AD102" s="58">
        <f t="shared" si="42"/>
        <v>9.9</v>
      </c>
      <c r="AE102" s="58">
        <f t="shared" si="42"/>
        <v>9.9</v>
      </c>
      <c r="AF102" s="58">
        <f t="shared" si="42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0"/>
        <v>9.6</v>
      </c>
      <c r="C103" s="55">
        <v>9.6</v>
      </c>
      <c r="D103" s="44">
        <f t="shared" si="41"/>
        <v>9.6</v>
      </c>
      <c r="E103" s="44">
        <f t="shared" si="41"/>
        <v>9.6</v>
      </c>
      <c r="F103" s="44">
        <f t="shared" si="41"/>
        <v>9.6</v>
      </c>
      <c r="G103" s="44">
        <f t="shared" si="41"/>
        <v>9.6</v>
      </c>
      <c r="H103" s="44">
        <f t="shared" si="41"/>
        <v>9.6</v>
      </c>
      <c r="I103" s="44">
        <f t="shared" si="41"/>
        <v>9.6</v>
      </c>
      <c r="J103" s="44">
        <f t="shared" si="41"/>
        <v>9.6</v>
      </c>
      <c r="K103" s="44">
        <f t="shared" si="41"/>
        <v>9.6</v>
      </c>
      <c r="L103" s="44">
        <f t="shared" si="41"/>
        <v>9.6</v>
      </c>
      <c r="M103" s="44">
        <f t="shared" si="41"/>
        <v>9.6</v>
      </c>
      <c r="N103" s="44">
        <f t="shared" si="41"/>
        <v>9.6</v>
      </c>
      <c r="O103" s="44">
        <f t="shared" si="41"/>
        <v>9.6</v>
      </c>
      <c r="P103" s="44">
        <f t="shared" si="41"/>
        <v>9.6</v>
      </c>
      <c r="Q103" s="44">
        <f t="shared" si="41"/>
        <v>9.6</v>
      </c>
      <c r="R103" s="44">
        <f t="shared" si="41"/>
        <v>9.6</v>
      </c>
      <c r="S103" s="44">
        <f t="shared" si="41"/>
        <v>9.6</v>
      </c>
      <c r="T103" s="44">
        <f t="shared" si="42"/>
        <v>9.6</v>
      </c>
      <c r="U103" s="44">
        <f t="shared" si="42"/>
        <v>9.6</v>
      </c>
      <c r="V103" s="44">
        <f t="shared" si="42"/>
        <v>9.6</v>
      </c>
      <c r="W103" s="44">
        <f t="shared" si="42"/>
        <v>9.6</v>
      </c>
      <c r="X103" s="44">
        <f t="shared" si="42"/>
        <v>9.6</v>
      </c>
      <c r="Y103" s="44">
        <f t="shared" si="42"/>
        <v>9.6</v>
      </c>
      <c r="Z103" s="44">
        <f t="shared" si="42"/>
        <v>9.6</v>
      </c>
      <c r="AA103" s="44">
        <f t="shared" si="42"/>
        <v>9.6</v>
      </c>
      <c r="AB103" s="44">
        <f t="shared" si="42"/>
        <v>9.6</v>
      </c>
      <c r="AC103" s="44">
        <f t="shared" si="42"/>
        <v>9.6</v>
      </c>
      <c r="AD103" s="44">
        <f t="shared" si="42"/>
        <v>9.6</v>
      </c>
      <c r="AE103" s="44">
        <f t="shared" si="42"/>
        <v>9.6</v>
      </c>
      <c r="AF103" s="44">
        <f t="shared" si="42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0"/>
        <v>9.98</v>
      </c>
      <c r="C104" s="55">
        <v>9.98</v>
      </c>
      <c r="D104" s="44">
        <f t="shared" si="41"/>
        <v>9.98</v>
      </c>
      <c r="E104" s="44">
        <f t="shared" si="41"/>
        <v>9.98</v>
      </c>
      <c r="F104" s="44">
        <f t="shared" si="41"/>
        <v>9.98</v>
      </c>
      <c r="G104" s="44">
        <f t="shared" si="41"/>
        <v>9.98</v>
      </c>
      <c r="H104" s="44">
        <f t="shared" si="41"/>
        <v>9.98</v>
      </c>
      <c r="I104" s="44">
        <f t="shared" si="41"/>
        <v>9.98</v>
      </c>
      <c r="J104" s="44">
        <f t="shared" si="41"/>
        <v>9.98</v>
      </c>
      <c r="K104" s="44">
        <f t="shared" si="41"/>
        <v>9.98</v>
      </c>
      <c r="L104" s="44">
        <f t="shared" si="41"/>
        <v>9.98</v>
      </c>
      <c r="M104" s="44">
        <f t="shared" si="41"/>
        <v>9.98</v>
      </c>
      <c r="N104" s="44">
        <f t="shared" si="41"/>
        <v>9.98</v>
      </c>
      <c r="O104" s="44">
        <f t="shared" si="41"/>
        <v>9.98</v>
      </c>
      <c r="P104" s="44">
        <f t="shared" si="41"/>
        <v>9.98</v>
      </c>
      <c r="Q104" s="44">
        <f t="shared" si="41"/>
        <v>9.98</v>
      </c>
      <c r="R104" s="44">
        <f t="shared" si="41"/>
        <v>9.98</v>
      </c>
      <c r="S104" s="44">
        <f t="shared" si="41"/>
        <v>9.98</v>
      </c>
      <c r="T104" s="44">
        <f t="shared" si="42"/>
        <v>9.98</v>
      </c>
      <c r="U104" s="44">
        <f t="shared" si="42"/>
        <v>9.98</v>
      </c>
      <c r="V104" s="44">
        <f t="shared" si="42"/>
        <v>9.98</v>
      </c>
      <c r="W104" s="44">
        <f t="shared" si="42"/>
        <v>9.98</v>
      </c>
      <c r="X104" s="44">
        <f t="shared" si="42"/>
        <v>9.98</v>
      </c>
      <c r="Y104" s="44">
        <f t="shared" si="42"/>
        <v>9.98</v>
      </c>
      <c r="Z104" s="44">
        <f t="shared" si="42"/>
        <v>9.98</v>
      </c>
      <c r="AA104" s="44">
        <f t="shared" si="42"/>
        <v>9.98</v>
      </c>
      <c r="AB104" s="44">
        <f t="shared" si="42"/>
        <v>9.98</v>
      </c>
      <c r="AC104" s="44">
        <f t="shared" si="42"/>
        <v>9.98</v>
      </c>
      <c r="AD104" s="44">
        <f t="shared" si="42"/>
        <v>9.98</v>
      </c>
      <c r="AE104" s="44">
        <f t="shared" si="42"/>
        <v>9.98</v>
      </c>
      <c r="AF104" s="44">
        <f t="shared" si="42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0"/>
        <v>9.1</v>
      </c>
      <c r="C105" s="55">
        <v>9.1</v>
      </c>
      <c r="D105" s="44">
        <f t="shared" si="41"/>
        <v>9.1</v>
      </c>
      <c r="E105" s="44">
        <f t="shared" si="41"/>
        <v>9.1</v>
      </c>
      <c r="F105" s="44">
        <f t="shared" si="41"/>
        <v>9.1</v>
      </c>
      <c r="G105" s="44">
        <f t="shared" si="41"/>
        <v>9.1</v>
      </c>
      <c r="H105" s="44">
        <f t="shared" si="41"/>
        <v>9.1</v>
      </c>
      <c r="I105" s="44">
        <f t="shared" si="41"/>
        <v>9.1</v>
      </c>
      <c r="J105" s="44">
        <f t="shared" si="41"/>
        <v>9.1</v>
      </c>
      <c r="K105" s="44">
        <f t="shared" si="41"/>
        <v>9.1</v>
      </c>
      <c r="L105" s="44">
        <f t="shared" si="41"/>
        <v>9.1</v>
      </c>
      <c r="M105" s="44">
        <f t="shared" si="41"/>
        <v>9.1</v>
      </c>
      <c r="N105" s="44">
        <f t="shared" si="41"/>
        <v>9.1</v>
      </c>
      <c r="O105" s="44">
        <f t="shared" si="41"/>
        <v>9.1</v>
      </c>
      <c r="P105" s="44">
        <f t="shared" si="41"/>
        <v>9.1</v>
      </c>
      <c r="Q105" s="44">
        <f t="shared" si="41"/>
        <v>9.1</v>
      </c>
      <c r="R105" s="44">
        <f t="shared" si="41"/>
        <v>9.1</v>
      </c>
      <c r="S105" s="44">
        <f t="shared" si="41"/>
        <v>9.1</v>
      </c>
      <c r="T105" s="44">
        <f t="shared" si="42"/>
        <v>9.1</v>
      </c>
      <c r="U105" s="44">
        <f t="shared" si="42"/>
        <v>9.1</v>
      </c>
      <c r="V105" s="44">
        <f t="shared" si="42"/>
        <v>9.1</v>
      </c>
      <c r="W105" s="44">
        <f t="shared" si="42"/>
        <v>9.1</v>
      </c>
      <c r="X105" s="44">
        <f t="shared" si="42"/>
        <v>9.1</v>
      </c>
      <c r="Y105" s="44">
        <f t="shared" si="42"/>
        <v>9.1</v>
      </c>
      <c r="Z105" s="44">
        <f t="shared" si="42"/>
        <v>9.1</v>
      </c>
      <c r="AA105" s="44">
        <f t="shared" si="42"/>
        <v>9.1</v>
      </c>
      <c r="AB105" s="44">
        <f t="shared" si="42"/>
        <v>9.1</v>
      </c>
      <c r="AC105" s="44">
        <f t="shared" si="42"/>
        <v>9.1</v>
      </c>
      <c r="AD105" s="44">
        <f t="shared" si="42"/>
        <v>9.1</v>
      </c>
      <c r="AE105" s="44">
        <f t="shared" si="42"/>
        <v>9.1</v>
      </c>
      <c r="AF105" s="44">
        <f t="shared" si="42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0"/>
        <v>9.18</v>
      </c>
      <c r="C106" s="55">
        <v>9.18</v>
      </c>
      <c r="D106" s="44">
        <f t="shared" si="41"/>
        <v>9.18</v>
      </c>
      <c r="E106" s="44">
        <f t="shared" si="41"/>
        <v>9.18</v>
      </c>
      <c r="F106" s="44">
        <f t="shared" si="41"/>
        <v>9.18</v>
      </c>
      <c r="G106" s="44">
        <f t="shared" si="41"/>
        <v>9.18</v>
      </c>
      <c r="H106" s="44">
        <f t="shared" si="41"/>
        <v>9.18</v>
      </c>
      <c r="I106" s="44">
        <f t="shared" si="41"/>
        <v>9.18</v>
      </c>
      <c r="J106" s="44">
        <f t="shared" si="41"/>
        <v>9.18</v>
      </c>
      <c r="K106" s="44">
        <f t="shared" si="41"/>
        <v>9.18</v>
      </c>
      <c r="L106" s="44">
        <f t="shared" si="41"/>
        <v>9.18</v>
      </c>
      <c r="M106" s="44">
        <f t="shared" si="41"/>
        <v>9.18</v>
      </c>
      <c r="N106" s="44">
        <f t="shared" si="41"/>
        <v>9.18</v>
      </c>
      <c r="O106" s="44">
        <f t="shared" si="41"/>
        <v>9.18</v>
      </c>
      <c r="P106" s="44">
        <f t="shared" si="41"/>
        <v>9.18</v>
      </c>
      <c r="Q106" s="44">
        <f t="shared" si="41"/>
        <v>9.18</v>
      </c>
      <c r="R106" s="44">
        <f t="shared" si="41"/>
        <v>9.18</v>
      </c>
      <c r="S106" s="44">
        <f t="shared" si="41"/>
        <v>9.18</v>
      </c>
      <c r="T106" s="44">
        <f t="shared" si="42"/>
        <v>9.18</v>
      </c>
      <c r="U106" s="44">
        <f t="shared" si="42"/>
        <v>9.18</v>
      </c>
      <c r="V106" s="44">
        <f t="shared" si="42"/>
        <v>9.18</v>
      </c>
      <c r="W106" s="44">
        <f t="shared" si="42"/>
        <v>9.18</v>
      </c>
      <c r="X106" s="44">
        <f t="shared" si="42"/>
        <v>9.18</v>
      </c>
      <c r="Y106" s="44">
        <f t="shared" si="42"/>
        <v>9.18</v>
      </c>
      <c r="Z106" s="44">
        <f t="shared" si="42"/>
        <v>9.18</v>
      </c>
      <c r="AA106" s="44">
        <f t="shared" si="42"/>
        <v>9.18</v>
      </c>
      <c r="AB106" s="44">
        <f t="shared" si="42"/>
        <v>9.18</v>
      </c>
      <c r="AC106" s="44">
        <f t="shared" si="42"/>
        <v>9.18</v>
      </c>
      <c r="AD106" s="44">
        <f t="shared" si="42"/>
        <v>9.18</v>
      </c>
      <c r="AE106" s="44">
        <f t="shared" si="42"/>
        <v>9.18</v>
      </c>
      <c r="AF106" s="44">
        <f t="shared" si="42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0"/>
        <v>7</v>
      </c>
      <c r="C107" s="55">
        <v>7</v>
      </c>
      <c r="D107" s="44">
        <f t="shared" si="41"/>
        <v>7</v>
      </c>
      <c r="E107" s="44">
        <f t="shared" si="41"/>
        <v>7</v>
      </c>
      <c r="F107" s="44">
        <f t="shared" si="41"/>
        <v>7</v>
      </c>
      <c r="G107" s="44">
        <f t="shared" si="41"/>
        <v>7</v>
      </c>
      <c r="H107" s="44">
        <f t="shared" si="41"/>
        <v>7</v>
      </c>
      <c r="I107" s="44">
        <f t="shared" si="41"/>
        <v>7</v>
      </c>
      <c r="J107" s="44">
        <f t="shared" si="41"/>
        <v>7</v>
      </c>
      <c r="K107" s="44">
        <f t="shared" si="41"/>
        <v>7</v>
      </c>
      <c r="L107" s="44">
        <f t="shared" si="41"/>
        <v>7</v>
      </c>
      <c r="M107" s="44">
        <f t="shared" si="41"/>
        <v>7</v>
      </c>
      <c r="N107" s="44">
        <f t="shared" si="41"/>
        <v>7</v>
      </c>
      <c r="O107" s="44">
        <f t="shared" si="41"/>
        <v>7</v>
      </c>
      <c r="P107" s="44">
        <f t="shared" si="41"/>
        <v>7</v>
      </c>
      <c r="Q107" s="44">
        <f t="shared" si="41"/>
        <v>7</v>
      </c>
      <c r="R107" s="44">
        <f t="shared" si="41"/>
        <v>7</v>
      </c>
      <c r="S107" s="44">
        <f t="shared" si="41"/>
        <v>7</v>
      </c>
      <c r="T107" s="44">
        <f t="shared" si="42"/>
        <v>7</v>
      </c>
      <c r="U107" s="44">
        <f t="shared" si="42"/>
        <v>7</v>
      </c>
      <c r="V107" s="44">
        <f t="shared" si="42"/>
        <v>7</v>
      </c>
      <c r="W107" s="44">
        <f t="shared" si="42"/>
        <v>7</v>
      </c>
      <c r="X107" s="44">
        <f t="shared" si="42"/>
        <v>7</v>
      </c>
      <c r="Y107" s="44">
        <f t="shared" si="42"/>
        <v>7</v>
      </c>
      <c r="Z107" s="44">
        <f t="shared" si="42"/>
        <v>7</v>
      </c>
      <c r="AA107" s="44">
        <f t="shared" si="42"/>
        <v>7</v>
      </c>
      <c r="AB107" s="44">
        <f t="shared" si="42"/>
        <v>7</v>
      </c>
      <c r="AC107" s="44">
        <f t="shared" si="42"/>
        <v>7</v>
      </c>
      <c r="AD107" s="44">
        <f t="shared" si="42"/>
        <v>7</v>
      </c>
      <c r="AE107" s="44">
        <f t="shared" si="42"/>
        <v>7</v>
      </c>
      <c r="AF107" s="44">
        <f t="shared" si="42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3">C109</f>
        <v>2.25</v>
      </c>
      <c r="E109" s="44">
        <f t="shared" si="43"/>
        <v>2.25</v>
      </c>
      <c r="F109" s="44">
        <f t="shared" si="43"/>
        <v>2.25</v>
      </c>
      <c r="G109" s="44">
        <f t="shared" si="43"/>
        <v>2.25</v>
      </c>
      <c r="H109" s="44">
        <f t="shared" si="43"/>
        <v>2.25</v>
      </c>
      <c r="I109" s="44">
        <f t="shared" si="43"/>
        <v>2.25</v>
      </c>
      <c r="J109" s="44">
        <f t="shared" si="43"/>
        <v>2.25</v>
      </c>
      <c r="K109" s="44">
        <f t="shared" si="43"/>
        <v>2.25</v>
      </c>
      <c r="L109" s="44">
        <f t="shared" si="43"/>
        <v>2.25</v>
      </c>
      <c r="M109" s="44">
        <f t="shared" si="43"/>
        <v>2.25</v>
      </c>
      <c r="N109" s="44">
        <f t="shared" si="43"/>
        <v>2.25</v>
      </c>
      <c r="O109" s="44">
        <f t="shared" si="43"/>
        <v>2.25</v>
      </c>
      <c r="P109" s="44">
        <f t="shared" si="43"/>
        <v>2.25</v>
      </c>
      <c r="Q109" s="44">
        <f t="shared" si="43"/>
        <v>2.25</v>
      </c>
      <c r="R109" s="44">
        <f t="shared" si="43"/>
        <v>2.25</v>
      </c>
      <c r="S109" s="44">
        <f t="shared" si="43"/>
        <v>2.25</v>
      </c>
      <c r="T109" s="44">
        <f t="shared" ref="T109:AF110" si="44">S109</f>
        <v>2.25</v>
      </c>
      <c r="U109" s="44">
        <f t="shared" si="44"/>
        <v>2.25</v>
      </c>
      <c r="V109" s="44">
        <f t="shared" si="44"/>
        <v>2.25</v>
      </c>
      <c r="W109" s="44">
        <f t="shared" si="44"/>
        <v>2.25</v>
      </c>
      <c r="X109" s="44">
        <f t="shared" si="44"/>
        <v>2.25</v>
      </c>
      <c r="Y109" s="44">
        <f t="shared" si="44"/>
        <v>2.25</v>
      </c>
      <c r="Z109" s="44">
        <f t="shared" si="44"/>
        <v>2.25</v>
      </c>
      <c r="AA109" s="44">
        <f t="shared" si="44"/>
        <v>2.25</v>
      </c>
      <c r="AB109" s="44">
        <f t="shared" si="44"/>
        <v>2.25</v>
      </c>
      <c r="AC109" s="44">
        <f t="shared" si="44"/>
        <v>2.25</v>
      </c>
      <c r="AD109" s="44">
        <f t="shared" si="44"/>
        <v>2.25</v>
      </c>
      <c r="AE109" s="44">
        <f t="shared" si="44"/>
        <v>2.25</v>
      </c>
      <c r="AF109" s="44">
        <f t="shared" si="44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3"/>
        <v>1.64</v>
      </c>
      <c r="E110" s="44">
        <f t="shared" si="43"/>
        <v>1.64</v>
      </c>
      <c r="F110" s="44">
        <f t="shared" si="43"/>
        <v>1.64</v>
      </c>
      <c r="G110" s="44">
        <f t="shared" si="43"/>
        <v>1.64</v>
      </c>
      <c r="H110" s="44">
        <f t="shared" si="43"/>
        <v>1.64</v>
      </c>
      <c r="I110" s="44">
        <f t="shared" si="43"/>
        <v>1.64</v>
      </c>
      <c r="J110" s="44">
        <f t="shared" si="43"/>
        <v>1.64</v>
      </c>
      <c r="K110" s="44">
        <f t="shared" si="43"/>
        <v>1.64</v>
      </c>
      <c r="L110" s="44">
        <f t="shared" si="43"/>
        <v>1.64</v>
      </c>
      <c r="M110" s="44">
        <f t="shared" si="43"/>
        <v>1.64</v>
      </c>
      <c r="N110" s="44">
        <f t="shared" si="43"/>
        <v>1.64</v>
      </c>
      <c r="O110" s="44">
        <f t="shared" si="43"/>
        <v>1.64</v>
      </c>
      <c r="P110" s="44">
        <f t="shared" si="43"/>
        <v>1.64</v>
      </c>
      <c r="Q110" s="44">
        <f t="shared" si="43"/>
        <v>1.64</v>
      </c>
      <c r="R110" s="44">
        <f t="shared" si="43"/>
        <v>1.64</v>
      </c>
      <c r="S110" s="44">
        <f t="shared" si="43"/>
        <v>1.64</v>
      </c>
      <c r="T110" s="44">
        <f t="shared" si="44"/>
        <v>1.64</v>
      </c>
      <c r="U110" s="44">
        <f t="shared" si="44"/>
        <v>1.64</v>
      </c>
      <c r="V110" s="44">
        <f t="shared" si="44"/>
        <v>1.64</v>
      </c>
      <c r="W110" s="44">
        <f t="shared" si="44"/>
        <v>1.64</v>
      </c>
      <c r="X110" s="44">
        <f t="shared" si="44"/>
        <v>1.64</v>
      </c>
      <c r="Y110" s="44">
        <f t="shared" si="44"/>
        <v>1.64</v>
      </c>
      <c r="Z110" s="44">
        <f t="shared" si="44"/>
        <v>1.64</v>
      </c>
      <c r="AA110" s="44">
        <f t="shared" si="44"/>
        <v>1.64</v>
      </c>
      <c r="AB110" s="44">
        <f t="shared" si="44"/>
        <v>1.64</v>
      </c>
      <c r="AC110" s="44">
        <f t="shared" si="44"/>
        <v>1.64</v>
      </c>
      <c r="AD110" s="44">
        <f t="shared" si="44"/>
        <v>1.64</v>
      </c>
      <c r="AE110" s="44">
        <f t="shared" si="44"/>
        <v>1.64</v>
      </c>
      <c r="AF110" s="44">
        <f t="shared" si="44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5">AF112</f>
        <v>1.62</v>
      </c>
      <c r="C112" s="55">
        <v>1.62</v>
      </c>
      <c r="D112" s="44">
        <f t="shared" ref="D112:S119" si="46">C112</f>
        <v>1.62</v>
      </c>
      <c r="E112" s="44">
        <f t="shared" si="46"/>
        <v>1.62</v>
      </c>
      <c r="F112" s="44">
        <f t="shared" si="46"/>
        <v>1.62</v>
      </c>
      <c r="G112" s="44">
        <f t="shared" si="46"/>
        <v>1.62</v>
      </c>
      <c r="H112" s="44">
        <f t="shared" si="46"/>
        <v>1.62</v>
      </c>
      <c r="I112" s="44">
        <f t="shared" si="46"/>
        <v>1.62</v>
      </c>
      <c r="J112" s="44">
        <f t="shared" si="46"/>
        <v>1.62</v>
      </c>
      <c r="K112" s="44">
        <f t="shared" si="46"/>
        <v>1.62</v>
      </c>
      <c r="L112" s="44">
        <f t="shared" si="46"/>
        <v>1.62</v>
      </c>
      <c r="M112" s="44">
        <f t="shared" si="46"/>
        <v>1.62</v>
      </c>
      <c r="N112" s="44">
        <f t="shared" si="46"/>
        <v>1.62</v>
      </c>
      <c r="O112" s="44">
        <f t="shared" si="46"/>
        <v>1.62</v>
      </c>
      <c r="P112" s="44">
        <f t="shared" si="46"/>
        <v>1.62</v>
      </c>
      <c r="Q112" s="44">
        <f t="shared" si="46"/>
        <v>1.62</v>
      </c>
      <c r="R112" s="44">
        <f t="shared" si="46"/>
        <v>1.62</v>
      </c>
      <c r="S112" s="44">
        <f t="shared" si="46"/>
        <v>1.62</v>
      </c>
      <c r="T112" s="44">
        <f t="shared" ref="T112:AF127" si="47">S112</f>
        <v>1.62</v>
      </c>
      <c r="U112" s="44">
        <f t="shared" si="47"/>
        <v>1.62</v>
      </c>
      <c r="V112" s="44">
        <f t="shared" si="47"/>
        <v>1.62</v>
      </c>
      <c r="W112" s="44">
        <f t="shared" si="47"/>
        <v>1.62</v>
      </c>
      <c r="X112" s="44">
        <f t="shared" si="47"/>
        <v>1.62</v>
      </c>
      <c r="Y112" s="44">
        <f t="shared" si="47"/>
        <v>1.62</v>
      </c>
      <c r="Z112" s="44">
        <f t="shared" si="47"/>
        <v>1.62</v>
      </c>
      <c r="AA112" s="44">
        <f t="shared" si="47"/>
        <v>1.62</v>
      </c>
      <c r="AB112" s="44">
        <f t="shared" si="47"/>
        <v>1.62</v>
      </c>
      <c r="AC112" s="44">
        <f t="shared" si="47"/>
        <v>1.62</v>
      </c>
      <c r="AD112" s="44">
        <f t="shared" si="47"/>
        <v>1.62</v>
      </c>
      <c r="AE112" s="44">
        <f t="shared" si="47"/>
        <v>1.62</v>
      </c>
      <c r="AF112" s="44">
        <f t="shared" si="47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5"/>
        <v>8.36</v>
      </c>
      <c r="C113" s="55">
        <v>8.36</v>
      </c>
      <c r="D113" s="44">
        <f t="shared" si="46"/>
        <v>8.36</v>
      </c>
      <c r="E113" s="44">
        <f t="shared" si="46"/>
        <v>8.36</v>
      </c>
      <c r="F113" s="44">
        <f t="shared" si="46"/>
        <v>8.36</v>
      </c>
      <c r="G113" s="44">
        <f t="shared" si="46"/>
        <v>8.36</v>
      </c>
      <c r="H113" s="44">
        <f t="shared" si="46"/>
        <v>8.36</v>
      </c>
      <c r="I113" s="44">
        <f t="shared" si="46"/>
        <v>8.36</v>
      </c>
      <c r="J113" s="44">
        <f t="shared" si="46"/>
        <v>8.36</v>
      </c>
      <c r="K113" s="44">
        <f t="shared" si="46"/>
        <v>8.36</v>
      </c>
      <c r="L113" s="44">
        <f t="shared" si="46"/>
        <v>8.36</v>
      </c>
      <c r="M113" s="44">
        <f t="shared" si="46"/>
        <v>8.36</v>
      </c>
      <c r="N113" s="44">
        <f t="shared" si="46"/>
        <v>8.36</v>
      </c>
      <c r="O113" s="44">
        <f t="shared" si="46"/>
        <v>8.36</v>
      </c>
      <c r="P113" s="44">
        <f t="shared" si="46"/>
        <v>8.36</v>
      </c>
      <c r="Q113" s="44">
        <f t="shared" si="46"/>
        <v>8.36</v>
      </c>
      <c r="R113" s="44">
        <f t="shared" si="46"/>
        <v>8.36</v>
      </c>
      <c r="S113" s="44">
        <f t="shared" si="46"/>
        <v>8.36</v>
      </c>
      <c r="T113" s="44">
        <f t="shared" si="47"/>
        <v>8.36</v>
      </c>
      <c r="U113" s="44">
        <f t="shared" si="47"/>
        <v>8.36</v>
      </c>
      <c r="V113" s="44">
        <f t="shared" si="47"/>
        <v>8.36</v>
      </c>
      <c r="W113" s="44">
        <f t="shared" si="47"/>
        <v>8.36</v>
      </c>
      <c r="X113" s="44">
        <f t="shared" si="47"/>
        <v>8.36</v>
      </c>
      <c r="Y113" s="44">
        <f t="shared" si="47"/>
        <v>8.36</v>
      </c>
      <c r="Z113" s="44">
        <f t="shared" si="47"/>
        <v>8.36</v>
      </c>
      <c r="AA113" s="44">
        <f t="shared" si="47"/>
        <v>8.36</v>
      </c>
      <c r="AB113" s="44">
        <f t="shared" si="47"/>
        <v>8.36</v>
      </c>
      <c r="AC113" s="44">
        <f t="shared" si="47"/>
        <v>8.36</v>
      </c>
      <c r="AD113" s="44">
        <f t="shared" si="47"/>
        <v>8.36</v>
      </c>
      <c r="AE113" s="44">
        <f t="shared" si="47"/>
        <v>8.36</v>
      </c>
      <c r="AF113" s="44">
        <f t="shared" si="47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5"/>
        <v>5.4</v>
      </c>
      <c r="C114" s="55">
        <v>8</v>
      </c>
      <c r="D114" s="44">
        <f t="shared" si="46"/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si="46"/>
        <v>5.4</v>
      </c>
      <c r="L114" s="44">
        <f t="shared" si="46"/>
        <v>5.4</v>
      </c>
      <c r="M114" s="44">
        <f t="shared" si="46"/>
        <v>5.4</v>
      </c>
      <c r="N114" s="44">
        <f t="shared" si="46"/>
        <v>5.4</v>
      </c>
      <c r="O114" s="44">
        <f t="shared" si="46"/>
        <v>5.4</v>
      </c>
      <c r="P114" s="44">
        <f t="shared" si="46"/>
        <v>5.4</v>
      </c>
      <c r="Q114" s="44">
        <f t="shared" si="46"/>
        <v>5.4</v>
      </c>
      <c r="R114" s="44">
        <f t="shared" si="46"/>
        <v>5.4</v>
      </c>
      <c r="S114" s="44">
        <f t="shared" si="46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5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si="46"/>
        <v>6.57</v>
      </c>
      <c r="K115" s="44">
        <f t="shared" si="46"/>
        <v>6.57</v>
      </c>
      <c r="L115" s="44">
        <f t="shared" si="46"/>
        <v>6.57</v>
      </c>
      <c r="M115" s="44">
        <f t="shared" si="46"/>
        <v>6.57</v>
      </c>
      <c r="N115" s="44">
        <f t="shared" si="46"/>
        <v>6.57</v>
      </c>
      <c r="O115" s="44">
        <f t="shared" si="46"/>
        <v>6.57</v>
      </c>
      <c r="P115" s="44">
        <f t="shared" si="46"/>
        <v>6.57</v>
      </c>
      <c r="Q115" s="44">
        <f t="shared" si="46"/>
        <v>6.57</v>
      </c>
      <c r="R115" s="44">
        <f t="shared" si="46"/>
        <v>6.57</v>
      </c>
      <c r="S115" s="44">
        <f t="shared" si="46"/>
        <v>6.57</v>
      </c>
      <c r="T115" s="44">
        <f t="shared" si="47"/>
        <v>6.57</v>
      </c>
      <c r="U115" s="44">
        <f t="shared" si="47"/>
        <v>6.57</v>
      </c>
      <c r="V115" s="44">
        <f t="shared" si="47"/>
        <v>6.57</v>
      </c>
      <c r="W115" s="44">
        <f t="shared" si="47"/>
        <v>6.57</v>
      </c>
      <c r="X115" s="44">
        <f t="shared" si="47"/>
        <v>6.57</v>
      </c>
      <c r="Y115" s="44">
        <f t="shared" si="47"/>
        <v>6.57</v>
      </c>
      <c r="Z115" s="44">
        <f t="shared" si="47"/>
        <v>6.57</v>
      </c>
      <c r="AA115" s="44">
        <f t="shared" si="47"/>
        <v>6.57</v>
      </c>
      <c r="AB115" s="44">
        <f t="shared" si="47"/>
        <v>6.57</v>
      </c>
      <c r="AC115" s="44">
        <f t="shared" si="47"/>
        <v>6.57</v>
      </c>
      <c r="AD115" s="44">
        <f t="shared" si="47"/>
        <v>6.57</v>
      </c>
      <c r="AE115" s="44">
        <f t="shared" si="47"/>
        <v>6.57</v>
      </c>
      <c r="AF115" s="44">
        <f t="shared" si="47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5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6"/>
        <v>3.43</v>
      </c>
      <c r="K116" s="44">
        <f t="shared" si="46"/>
        <v>3.43</v>
      </c>
      <c r="L116" s="44">
        <f t="shared" si="46"/>
        <v>3.43</v>
      </c>
      <c r="M116" s="44">
        <f t="shared" si="46"/>
        <v>3.43</v>
      </c>
      <c r="N116" s="44">
        <f t="shared" si="46"/>
        <v>3.43</v>
      </c>
      <c r="O116" s="44">
        <f t="shared" si="46"/>
        <v>3.43</v>
      </c>
      <c r="P116" s="44">
        <f t="shared" si="46"/>
        <v>3.43</v>
      </c>
      <c r="Q116" s="44">
        <f t="shared" si="46"/>
        <v>3.43</v>
      </c>
      <c r="R116" s="44">
        <f t="shared" si="46"/>
        <v>3.43</v>
      </c>
      <c r="S116" s="44">
        <f t="shared" si="46"/>
        <v>3.43</v>
      </c>
      <c r="T116" s="44">
        <f t="shared" si="47"/>
        <v>3.43</v>
      </c>
      <c r="U116" s="44">
        <f t="shared" si="47"/>
        <v>3.43</v>
      </c>
      <c r="V116" s="44">
        <f t="shared" si="47"/>
        <v>3.43</v>
      </c>
      <c r="W116" s="44">
        <f t="shared" si="47"/>
        <v>3.43</v>
      </c>
      <c r="X116" s="44">
        <f t="shared" si="47"/>
        <v>3.43</v>
      </c>
      <c r="Y116" s="44">
        <f t="shared" si="47"/>
        <v>3.43</v>
      </c>
      <c r="Z116" s="44">
        <f t="shared" si="47"/>
        <v>3.43</v>
      </c>
      <c r="AA116" s="44">
        <f t="shared" si="47"/>
        <v>3.43</v>
      </c>
      <c r="AB116" s="44">
        <f t="shared" si="47"/>
        <v>3.43</v>
      </c>
      <c r="AC116" s="44">
        <f t="shared" si="47"/>
        <v>3.43</v>
      </c>
      <c r="AD116" s="44">
        <f t="shared" si="47"/>
        <v>3.43</v>
      </c>
      <c r="AE116" s="44">
        <f t="shared" si="47"/>
        <v>3.43</v>
      </c>
      <c r="AF116" s="44">
        <f t="shared" si="47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5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6"/>
        <v>2.96</v>
      </c>
      <c r="K117" s="44">
        <f t="shared" si="46"/>
        <v>2.96</v>
      </c>
      <c r="L117" s="44">
        <f t="shared" si="46"/>
        <v>2.96</v>
      </c>
      <c r="M117" s="44">
        <f t="shared" si="46"/>
        <v>2.96</v>
      </c>
      <c r="N117" s="44">
        <f t="shared" si="46"/>
        <v>2.96</v>
      </c>
      <c r="O117" s="44">
        <f t="shared" si="46"/>
        <v>2.96</v>
      </c>
      <c r="P117" s="44">
        <f t="shared" si="46"/>
        <v>2.96</v>
      </c>
      <c r="Q117" s="44">
        <f t="shared" si="46"/>
        <v>2.96</v>
      </c>
      <c r="R117" s="44">
        <f t="shared" si="46"/>
        <v>2.96</v>
      </c>
      <c r="S117" s="44">
        <f t="shared" si="46"/>
        <v>2.96</v>
      </c>
      <c r="T117" s="44">
        <f t="shared" si="47"/>
        <v>2.96</v>
      </c>
      <c r="U117" s="44">
        <f t="shared" si="47"/>
        <v>2.96</v>
      </c>
      <c r="V117" s="44">
        <f t="shared" si="47"/>
        <v>2.96</v>
      </c>
      <c r="W117" s="44">
        <f t="shared" si="47"/>
        <v>2.96</v>
      </c>
      <c r="X117" s="44">
        <f t="shared" si="47"/>
        <v>2.96</v>
      </c>
      <c r="Y117" s="44">
        <f t="shared" si="47"/>
        <v>2.96</v>
      </c>
      <c r="Z117" s="44">
        <f t="shared" si="47"/>
        <v>2.96</v>
      </c>
      <c r="AA117" s="44">
        <f t="shared" si="47"/>
        <v>2.96</v>
      </c>
      <c r="AB117" s="44">
        <f t="shared" si="47"/>
        <v>2.96</v>
      </c>
      <c r="AC117" s="44">
        <f t="shared" si="47"/>
        <v>2.96</v>
      </c>
      <c r="AD117" s="44">
        <f t="shared" si="47"/>
        <v>2.96</v>
      </c>
      <c r="AE117" s="44">
        <f t="shared" si="47"/>
        <v>2.96</v>
      </c>
      <c r="AF117" s="44">
        <f t="shared" si="47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5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6"/>
        <v>8</v>
      </c>
      <c r="K118" s="44">
        <f t="shared" si="46"/>
        <v>8</v>
      </c>
      <c r="L118" s="44">
        <f t="shared" si="46"/>
        <v>8</v>
      </c>
      <c r="M118" s="44">
        <f t="shared" si="46"/>
        <v>8</v>
      </c>
      <c r="N118" s="44">
        <f t="shared" si="46"/>
        <v>8</v>
      </c>
      <c r="O118" s="44">
        <f t="shared" si="46"/>
        <v>8</v>
      </c>
      <c r="P118" s="44">
        <f t="shared" si="46"/>
        <v>8</v>
      </c>
      <c r="Q118" s="44">
        <f t="shared" si="46"/>
        <v>8</v>
      </c>
      <c r="R118" s="44">
        <f t="shared" si="46"/>
        <v>8</v>
      </c>
      <c r="S118" s="44">
        <f t="shared" si="46"/>
        <v>8</v>
      </c>
      <c r="T118" s="44">
        <f t="shared" si="47"/>
        <v>8</v>
      </c>
      <c r="U118" s="44">
        <f t="shared" si="47"/>
        <v>8</v>
      </c>
      <c r="V118" s="44">
        <f t="shared" si="47"/>
        <v>8</v>
      </c>
      <c r="W118" s="44">
        <f t="shared" si="47"/>
        <v>8</v>
      </c>
      <c r="X118" s="44">
        <f t="shared" si="47"/>
        <v>8</v>
      </c>
      <c r="Y118" s="44">
        <f t="shared" si="47"/>
        <v>8</v>
      </c>
      <c r="Z118" s="44">
        <f t="shared" si="47"/>
        <v>8</v>
      </c>
      <c r="AA118" s="44">
        <f t="shared" si="47"/>
        <v>8</v>
      </c>
      <c r="AB118" s="44">
        <f t="shared" si="47"/>
        <v>8</v>
      </c>
      <c r="AC118" s="44">
        <f t="shared" si="47"/>
        <v>8</v>
      </c>
      <c r="AD118" s="44">
        <f t="shared" si="47"/>
        <v>8</v>
      </c>
      <c r="AE118" s="44">
        <f t="shared" si="47"/>
        <v>8</v>
      </c>
      <c r="AF118" s="44">
        <f t="shared" si="47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5"/>
        <v>7</v>
      </c>
      <c r="C119" s="55">
        <v>7</v>
      </c>
      <c r="D119" s="44">
        <f>C119</f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6"/>
        <v>7</v>
      </c>
      <c r="K119" s="44">
        <f t="shared" si="46"/>
        <v>7</v>
      </c>
      <c r="L119" s="44">
        <f t="shared" si="46"/>
        <v>7</v>
      </c>
      <c r="M119" s="44">
        <f t="shared" si="46"/>
        <v>7</v>
      </c>
      <c r="N119" s="44">
        <f t="shared" si="46"/>
        <v>7</v>
      </c>
      <c r="O119" s="44">
        <f t="shared" si="46"/>
        <v>7</v>
      </c>
      <c r="P119" s="44">
        <f t="shared" si="46"/>
        <v>7</v>
      </c>
      <c r="Q119" s="44">
        <f t="shared" si="46"/>
        <v>7</v>
      </c>
      <c r="R119" s="44">
        <f t="shared" si="46"/>
        <v>7</v>
      </c>
      <c r="S119" s="44">
        <f t="shared" si="46"/>
        <v>7</v>
      </c>
      <c r="T119" s="44">
        <f t="shared" si="47"/>
        <v>7</v>
      </c>
      <c r="U119" s="44">
        <f t="shared" si="47"/>
        <v>7</v>
      </c>
      <c r="V119" s="44">
        <f t="shared" si="47"/>
        <v>7</v>
      </c>
      <c r="W119" s="44">
        <f t="shared" si="47"/>
        <v>7</v>
      </c>
      <c r="X119" s="44">
        <f t="shared" si="47"/>
        <v>7</v>
      </c>
      <c r="Y119" s="44">
        <f t="shared" si="47"/>
        <v>7</v>
      </c>
      <c r="Z119" s="44">
        <f t="shared" si="47"/>
        <v>7</v>
      </c>
      <c r="AA119" s="44">
        <f t="shared" si="47"/>
        <v>7</v>
      </c>
      <c r="AB119" s="44">
        <f t="shared" si="47"/>
        <v>7</v>
      </c>
      <c r="AC119" s="44">
        <f t="shared" si="47"/>
        <v>7</v>
      </c>
      <c r="AD119" s="44">
        <f t="shared" si="47"/>
        <v>7</v>
      </c>
      <c r="AE119" s="44">
        <f t="shared" si="47"/>
        <v>7</v>
      </c>
      <c r="AF119" s="44">
        <f t="shared" si="47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5"/>
        <v>3.47</v>
      </c>
      <c r="C120" s="55">
        <v>3.47</v>
      </c>
      <c r="D120" s="44">
        <f t="shared" ref="D120:S129" si="48">C120</f>
        <v>3.47</v>
      </c>
      <c r="E120" s="44">
        <f t="shared" si="48"/>
        <v>3.47</v>
      </c>
      <c r="F120" s="44">
        <f t="shared" si="48"/>
        <v>3.47</v>
      </c>
      <c r="G120" s="44">
        <f t="shared" si="48"/>
        <v>3.47</v>
      </c>
      <c r="H120" s="44">
        <f t="shared" si="48"/>
        <v>3.47</v>
      </c>
      <c r="I120" s="44">
        <f t="shared" si="48"/>
        <v>3.47</v>
      </c>
      <c r="J120" s="44">
        <f t="shared" si="48"/>
        <v>3.47</v>
      </c>
      <c r="K120" s="44">
        <f t="shared" si="48"/>
        <v>3.47</v>
      </c>
      <c r="L120" s="44">
        <f t="shared" si="48"/>
        <v>3.47</v>
      </c>
      <c r="M120" s="44">
        <f t="shared" si="48"/>
        <v>3.47</v>
      </c>
      <c r="N120" s="44">
        <f t="shared" si="48"/>
        <v>3.47</v>
      </c>
      <c r="O120" s="44">
        <f t="shared" si="48"/>
        <v>3.47</v>
      </c>
      <c r="P120" s="44">
        <f t="shared" si="48"/>
        <v>3.47</v>
      </c>
      <c r="Q120" s="44">
        <f t="shared" si="48"/>
        <v>3.47</v>
      </c>
      <c r="R120" s="44">
        <f t="shared" si="48"/>
        <v>3.47</v>
      </c>
      <c r="S120" s="44">
        <f t="shared" si="48"/>
        <v>3.47</v>
      </c>
      <c r="T120" s="44">
        <f t="shared" si="47"/>
        <v>3.47</v>
      </c>
      <c r="U120" s="44">
        <f t="shared" si="47"/>
        <v>3.47</v>
      </c>
      <c r="V120" s="44">
        <f t="shared" si="47"/>
        <v>3.47</v>
      </c>
      <c r="W120" s="44">
        <f t="shared" si="47"/>
        <v>3.47</v>
      </c>
      <c r="X120" s="44">
        <f t="shared" si="47"/>
        <v>3.47</v>
      </c>
      <c r="Y120" s="44">
        <f t="shared" si="47"/>
        <v>3.47</v>
      </c>
      <c r="Z120" s="44">
        <f t="shared" si="47"/>
        <v>3.47</v>
      </c>
      <c r="AA120" s="44">
        <f t="shared" si="47"/>
        <v>3.47</v>
      </c>
      <c r="AB120" s="44">
        <f t="shared" si="47"/>
        <v>3.47</v>
      </c>
      <c r="AC120" s="44">
        <f t="shared" si="47"/>
        <v>3.47</v>
      </c>
      <c r="AD120" s="44">
        <f t="shared" si="47"/>
        <v>3.47</v>
      </c>
      <c r="AE120" s="44">
        <f t="shared" si="47"/>
        <v>3.47</v>
      </c>
      <c r="AF120" s="44">
        <f t="shared" si="47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5"/>
        <v>2.1</v>
      </c>
      <c r="C121" s="55">
        <v>2.1</v>
      </c>
      <c r="D121" s="44">
        <f t="shared" si="48"/>
        <v>2.1</v>
      </c>
      <c r="E121" s="44">
        <f t="shared" si="48"/>
        <v>2.1</v>
      </c>
      <c r="F121" s="44">
        <f t="shared" si="48"/>
        <v>2.1</v>
      </c>
      <c r="G121" s="44">
        <f t="shared" si="48"/>
        <v>2.1</v>
      </c>
      <c r="H121" s="44">
        <f t="shared" si="48"/>
        <v>2.1</v>
      </c>
      <c r="I121" s="44">
        <f t="shared" si="48"/>
        <v>2.1</v>
      </c>
      <c r="J121" s="44">
        <f t="shared" si="48"/>
        <v>2.1</v>
      </c>
      <c r="K121" s="44">
        <f t="shared" si="48"/>
        <v>2.1</v>
      </c>
      <c r="L121" s="44">
        <f t="shared" si="48"/>
        <v>2.1</v>
      </c>
      <c r="M121" s="44">
        <f t="shared" si="48"/>
        <v>2.1</v>
      </c>
      <c r="N121" s="44">
        <f t="shared" si="48"/>
        <v>2.1</v>
      </c>
      <c r="O121" s="44">
        <f t="shared" si="48"/>
        <v>2.1</v>
      </c>
      <c r="P121" s="44">
        <f t="shared" si="48"/>
        <v>2.1</v>
      </c>
      <c r="Q121" s="44">
        <f t="shared" si="48"/>
        <v>2.1</v>
      </c>
      <c r="R121" s="44">
        <f t="shared" si="48"/>
        <v>2.1</v>
      </c>
      <c r="S121" s="44">
        <f t="shared" si="48"/>
        <v>2.1</v>
      </c>
      <c r="T121" s="44">
        <f t="shared" si="47"/>
        <v>2.1</v>
      </c>
      <c r="U121" s="44">
        <f t="shared" si="47"/>
        <v>2.1</v>
      </c>
      <c r="V121" s="44">
        <f t="shared" si="47"/>
        <v>2.1</v>
      </c>
      <c r="W121" s="44">
        <f t="shared" si="47"/>
        <v>2.1</v>
      </c>
      <c r="X121" s="44">
        <f t="shared" si="47"/>
        <v>2.1</v>
      </c>
      <c r="Y121" s="44">
        <f t="shared" si="47"/>
        <v>2.1</v>
      </c>
      <c r="Z121" s="44">
        <f t="shared" si="47"/>
        <v>2.1</v>
      </c>
      <c r="AA121" s="44">
        <f t="shared" si="47"/>
        <v>2.1</v>
      </c>
      <c r="AB121" s="44">
        <f t="shared" si="47"/>
        <v>2.1</v>
      </c>
      <c r="AC121" s="44">
        <f t="shared" si="47"/>
        <v>2.1</v>
      </c>
      <c r="AD121" s="44">
        <f t="shared" si="47"/>
        <v>2.1</v>
      </c>
      <c r="AE121" s="44">
        <f t="shared" si="47"/>
        <v>2.1</v>
      </c>
      <c r="AF121" s="44">
        <f t="shared" si="47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5"/>
        <v>9.3000000000000007</v>
      </c>
      <c r="C122" s="55">
        <v>9.3000000000000007</v>
      </c>
      <c r="D122" s="44">
        <f t="shared" si="48"/>
        <v>9.3000000000000007</v>
      </c>
      <c r="E122" s="44">
        <f t="shared" si="48"/>
        <v>9.3000000000000007</v>
      </c>
      <c r="F122" s="44">
        <f t="shared" si="48"/>
        <v>9.3000000000000007</v>
      </c>
      <c r="G122" s="44">
        <f t="shared" si="48"/>
        <v>9.3000000000000007</v>
      </c>
      <c r="H122" s="44">
        <f t="shared" si="48"/>
        <v>9.3000000000000007</v>
      </c>
      <c r="I122" s="44">
        <f t="shared" si="48"/>
        <v>9.3000000000000007</v>
      </c>
      <c r="J122" s="44">
        <f t="shared" si="48"/>
        <v>9.3000000000000007</v>
      </c>
      <c r="K122" s="44">
        <f t="shared" si="48"/>
        <v>9.3000000000000007</v>
      </c>
      <c r="L122" s="44">
        <f t="shared" si="48"/>
        <v>9.3000000000000007</v>
      </c>
      <c r="M122" s="44">
        <f t="shared" si="48"/>
        <v>9.3000000000000007</v>
      </c>
      <c r="N122" s="44">
        <f t="shared" si="48"/>
        <v>9.3000000000000007</v>
      </c>
      <c r="O122" s="44">
        <f t="shared" si="48"/>
        <v>9.3000000000000007</v>
      </c>
      <c r="P122" s="44">
        <f t="shared" si="48"/>
        <v>9.3000000000000007</v>
      </c>
      <c r="Q122" s="44">
        <f t="shared" si="48"/>
        <v>9.3000000000000007</v>
      </c>
      <c r="R122" s="44">
        <f t="shared" si="48"/>
        <v>9.3000000000000007</v>
      </c>
      <c r="S122" s="44">
        <f t="shared" si="48"/>
        <v>9.3000000000000007</v>
      </c>
      <c r="T122" s="44">
        <f t="shared" si="47"/>
        <v>9.3000000000000007</v>
      </c>
      <c r="U122" s="44">
        <f t="shared" si="47"/>
        <v>9.3000000000000007</v>
      </c>
      <c r="V122" s="44">
        <f t="shared" si="47"/>
        <v>9.3000000000000007</v>
      </c>
      <c r="W122" s="44">
        <f t="shared" si="47"/>
        <v>9.3000000000000007</v>
      </c>
      <c r="X122" s="44">
        <f t="shared" si="47"/>
        <v>9.3000000000000007</v>
      </c>
      <c r="Y122" s="44">
        <f t="shared" si="47"/>
        <v>9.3000000000000007</v>
      </c>
      <c r="Z122" s="44">
        <f t="shared" si="47"/>
        <v>9.3000000000000007</v>
      </c>
      <c r="AA122" s="44">
        <f t="shared" si="47"/>
        <v>9.3000000000000007</v>
      </c>
      <c r="AB122" s="44">
        <f t="shared" si="47"/>
        <v>9.3000000000000007</v>
      </c>
      <c r="AC122" s="44">
        <f t="shared" si="47"/>
        <v>9.3000000000000007</v>
      </c>
      <c r="AD122" s="44">
        <f t="shared" si="47"/>
        <v>9.3000000000000007</v>
      </c>
      <c r="AE122" s="44">
        <f t="shared" si="47"/>
        <v>9.3000000000000007</v>
      </c>
      <c r="AF122" s="44">
        <f t="shared" si="47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5"/>
        <v>0</v>
      </c>
      <c r="C123" s="55">
        <v>0</v>
      </c>
      <c r="D123" s="44">
        <f t="shared" si="48"/>
        <v>0</v>
      </c>
      <c r="E123" s="44">
        <f t="shared" si="48"/>
        <v>0</v>
      </c>
      <c r="F123" s="44">
        <f t="shared" si="48"/>
        <v>0</v>
      </c>
      <c r="G123" s="44">
        <f t="shared" si="48"/>
        <v>0</v>
      </c>
      <c r="H123" s="44">
        <f t="shared" si="48"/>
        <v>0</v>
      </c>
      <c r="I123" s="44">
        <f t="shared" si="48"/>
        <v>0</v>
      </c>
      <c r="J123" s="44">
        <f t="shared" si="48"/>
        <v>0</v>
      </c>
      <c r="K123" s="44">
        <f t="shared" si="48"/>
        <v>0</v>
      </c>
      <c r="L123" s="44">
        <f t="shared" si="48"/>
        <v>0</v>
      </c>
      <c r="M123" s="44">
        <f t="shared" si="48"/>
        <v>0</v>
      </c>
      <c r="N123" s="44">
        <f t="shared" si="48"/>
        <v>0</v>
      </c>
      <c r="O123" s="44">
        <f t="shared" si="48"/>
        <v>0</v>
      </c>
      <c r="P123" s="44">
        <f t="shared" si="48"/>
        <v>0</v>
      </c>
      <c r="Q123" s="44">
        <f t="shared" si="48"/>
        <v>0</v>
      </c>
      <c r="R123" s="44">
        <f t="shared" si="48"/>
        <v>0</v>
      </c>
      <c r="S123" s="44">
        <f t="shared" si="48"/>
        <v>0</v>
      </c>
      <c r="T123" s="44">
        <f t="shared" si="47"/>
        <v>0</v>
      </c>
      <c r="U123" s="44">
        <f t="shared" si="47"/>
        <v>0</v>
      </c>
      <c r="V123" s="44">
        <f t="shared" si="47"/>
        <v>0</v>
      </c>
      <c r="W123" s="44">
        <f t="shared" si="47"/>
        <v>0</v>
      </c>
      <c r="X123" s="44">
        <f t="shared" si="47"/>
        <v>0</v>
      </c>
      <c r="Y123" s="44">
        <f t="shared" si="47"/>
        <v>0</v>
      </c>
      <c r="Z123" s="44">
        <f t="shared" si="47"/>
        <v>0</v>
      </c>
      <c r="AA123" s="44">
        <f t="shared" si="47"/>
        <v>0</v>
      </c>
      <c r="AB123" s="44">
        <f t="shared" si="47"/>
        <v>0</v>
      </c>
      <c r="AC123" s="44">
        <f t="shared" si="47"/>
        <v>0</v>
      </c>
      <c r="AD123" s="44">
        <f t="shared" si="47"/>
        <v>0</v>
      </c>
      <c r="AE123" s="44">
        <f t="shared" si="47"/>
        <v>0</v>
      </c>
      <c r="AF123" s="44">
        <f t="shared" si="4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5"/>
        <v>0</v>
      </c>
      <c r="C124" s="55">
        <v>0</v>
      </c>
      <c r="D124" s="44">
        <f t="shared" si="48"/>
        <v>0</v>
      </c>
      <c r="E124" s="44">
        <f t="shared" si="48"/>
        <v>0</v>
      </c>
      <c r="F124" s="44">
        <f t="shared" si="48"/>
        <v>0</v>
      </c>
      <c r="G124" s="44">
        <f t="shared" si="48"/>
        <v>0</v>
      </c>
      <c r="H124" s="44">
        <f t="shared" si="48"/>
        <v>0</v>
      </c>
      <c r="I124" s="44">
        <f t="shared" si="48"/>
        <v>0</v>
      </c>
      <c r="J124" s="44">
        <f t="shared" si="48"/>
        <v>0</v>
      </c>
      <c r="K124" s="44">
        <f t="shared" si="48"/>
        <v>0</v>
      </c>
      <c r="L124" s="44">
        <f t="shared" si="48"/>
        <v>0</v>
      </c>
      <c r="M124" s="44">
        <f t="shared" si="48"/>
        <v>0</v>
      </c>
      <c r="N124" s="44">
        <f t="shared" si="48"/>
        <v>0</v>
      </c>
      <c r="O124" s="44">
        <f t="shared" si="48"/>
        <v>0</v>
      </c>
      <c r="P124" s="44">
        <f t="shared" si="48"/>
        <v>0</v>
      </c>
      <c r="Q124" s="44">
        <f t="shared" si="48"/>
        <v>0</v>
      </c>
      <c r="R124" s="44">
        <f t="shared" si="48"/>
        <v>0</v>
      </c>
      <c r="S124" s="44">
        <f t="shared" si="48"/>
        <v>0</v>
      </c>
      <c r="T124" s="44">
        <f t="shared" si="47"/>
        <v>0</v>
      </c>
      <c r="U124" s="44">
        <f t="shared" si="47"/>
        <v>0</v>
      </c>
      <c r="V124" s="44">
        <f t="shared" si="47"/>
        <v>0</v>
      </c>
      <c r="W124" s="44">
        <f t="shared" si="47"/>
        <v>0</v>
      </c>
      <c r="X124" s="44">
        <f t="shared" si="47"/>
        <v>0</v>
      </c>
      <c r="Y124" s="44">
        <f t="shared" si="47"/>
        <v>0</v>
      </c>
      <c r="Z124" s="44">
        <f t="shared" si="47"/>
        <v>0</v>
      </c>
      <c r="AA124" s="44">
        <f t="shared" si="47"/>
        <v>0</v>
      </c>
      <c r="AB124" s="44">
        <f t="shared" si="47"/>
        <v>0</v>
      </c>
      <c r="AC124" s="44">
        <f t="shared" si="47"/>
        <v>0</v>
      </c>
      <c r="AD124" s="44">
        <f t="shared" si="47"/>
        <v>0</v>
      </c>
      <c r="AE124" s="44">
        <f t="shared" si="47"/>
        <v>0</v>
      </c>
      <c r="AF124" s="44">
        <f t="shared" si="47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5"/>
        <v>5</v>
      </c>
      <c r="C125" s="55">
        <v>5</v>
      </c>
      <c r="D125" s="44">
        <f t="shared" si="48"/>
        <v>5</v>
      </c>
      <c r="E125" s="44">
        <f t="shared" si="48"/>
        <v>5</v>
      </c>
      <c r="F125" s="44">
        <f t="shared" si="48"/>
        <v>5</v>
      </c>
      <c r="G125" s="44">
        <f t="shared" si="48"/>
        <v>5</v>
      </c>
      <c r="H125" s="44">
        <f t="shared" si="48"/>
        <v>5</v>
      </c>
      <c r="I125" s="44">
        <f t="shared" si="48"/>
        <v>5</v>
      </c>
      <c r="J125" s="44">
        <f t="shared" si="48"/>
        <v>5</v>
      </c>
      <c r="K125" s="44">
        <f t="shared" si="48"/>
        <v>5</v>
      </c>
      <c r="L125" s="44">
        <f t="shared" si="48"/>
        <v>5</v>
      </c>
      <c r="M125" s="44">
        <f t="shared" si="48"/>
        <v>5</v>
      </c>
      <c r="N125" s="44">
        <f t="shared" si="48"/>
        <v>5</v>
      </c>
      <c r="O125" s="44">
        <f t="shared" si="48"/>
        <v>5</v>
      </c>
      <c r="P125" s="44">
        <f t="shared" si="48"/>
        <v>5</v>
      </c>
      <c r="Q125" s="44">
        <f t="shared" si="48"/>
        <v>5</v>
      </c>
      <c r="R125" s="44">
        <f t="shared" si="48"/>
        <v>5</v>
      </c>
      <c r="S125" s="44">
        <f t="shared" si="48"/>
        <v>5</v>
      </c>
      <c r="T125" s="44">
        <f t="shared" si="47"/>
        <v>5</v>
      </c>
      <c r="U125" s="44">
        <f t="shared" si="47"/>
        <v>5</v>
      </c>
      <c r="V125" s="44">
        <f t="shared" si="47"/>
        <v>5</v>
      </c>
      <c r="W125" s="44">
        <f t="shared" si="47"/>
        <v>5</v>
      </c>
      <c r="X125" s="44">
        <f t="shared" si="47"/>
        <v>5</v>
      </c>
      <c r="Y125" s="44">
        <f t="shared" si="47"/>
        <v>5</v>
      </c>
      <c r="Z125" s="44">
        <f t="shared" si="47"/>
        <v>5</v>
      </c>
      <c r="AA125" s="44">
        <f t="shared" si="47"/>
        <v>5</v>
      </c>
      <c r="AB125" s="44">
        <f t="shared" si="47"/>
        <v>5</v>
      </c>
      <c r="AC125" s="44">
        <f t="shared" si="47"/>
        <v>5</v>
      </c>
      <c r="AD125" s="44">
        <f t="shared" si="47"/>
        <v>5</v>
      </c>
      <c r="AE125" s="44">
        <f t="shared" si="47"/>
        <v>5</v>
      </c>
      <c r="AF125" s="44">
        <f t="shared" si="47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5"/>
        <v>1</v>
      </c>
      <c r="C126" s="55">
        <v>1</v>
      </c>
      <c r="D126" s="44">
        <f t="shared" si="48"/>
        <v>1</v>
      </c>
      <c r="E126" s="44">
        <f t="shared" si="48"/>
        <v>1</v>
      </c>
      <c r="F126" s="44">
        <f t="shared" si="48"/>
        <v>1</v>
      </c>
      <c r="G126" s="44">
        <f t="shared" si="48"/>
        <v>1</v>
      </c>
      <c r="H126" s="44">
        <f t="shared" si="48"/>
        <v>1</v>
      </c>
      <c r="I126" s="44">
        <f t="shared" si="48"/>
        <v>1</v>
      </c>
      <c r="J126" s="44">
        <f t="shared" si="48"/>
        <v>1</v>
      </c>
      <c r="K126" s="44">
        <f t="shared" si="48"/>
        <v>1</v>
      </c>
      <c r="L126" s="44">
        <f t="shared" si="48"/>
        <v>1</v>
      </c>
      <c r="M126" s="44">
        <f t="shared" si="48"/>
        <v>1</v>
      </c>
      <c r="N126" s="44">
        <f t="shared" si="48"/>
        <v>1</v>
      </c>
      <c r="O126" s="44">
        <f t="shared" si="48"/>
        <v>1</v>
      </c>
      <c r="P126" s="44">
        <f t="shared" si="48"/>
        <v>1</v>
      </c>
      <c r="Q126" s="44">
        <f t="shared" si="48"/>
        <v>1</v>
      </c>
      <c r="R126" s="44">
        <f t="shared" si="48"/>
        <v>1</v>
      </c>
      <c r="S126" s="44">
        <f t="shared" si="48"/>
        <v>1</v>
      </c>
      <c r="T126" s="44">
        <f t="shared" si="47"/>
        <v>1</v>
      </c>
      <c r="U126" s="44">
        <f t="shared" si="47"/>
        <v>1</v>
      </c>
      <c r="V126" s="44">
        <f t="shared" si="47"/>
        <v>1</v>
      </c>
      <c r="W126" s="44">
        <f t="shared" si="47"/>
        <v>1</v>
      </c>
      <c r="X126" s="44">
        <f t="shared" si="47"/>
        <v>1</v>
      </c>
      <c r="Y126" s="44">
        <f t="shared" si="47"/>
        <v>1</v>
      </c>
      <c r="Z126" s="44">
        <f t="shared" si="47"/>
        <v>1</v>
      </c>
      <c r="AA126" s="44">
        <f t="shared" si="47"/>
        <v>1</v>
      </c>
      <c r="AB126" s="44">
        <f t="shared" si="47"/>
        <v>1</v>
      </c>
      <c r="AC126" s="44">
        <f t="shared" si="47"/>
        <v>1</v>
      </c>
      <c r="AD126" s="44">
        <f t="shared" si="47"/>
        <v>1</v>
      </c>
      <c r="AE126" s="44">
        <f t="shared" si="47"/>
        <v>1</v>
      </c>
      <c r="AF126" s="44">
        <f t="shared" si="47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5"/>
        <v>1.58</v>
      </c>
      <c r="C127" s="55">
        <v>1.58</v>
      </c>
      <c r="D127" s="44">
        <f t="shared" si="48"/>
        <v>1.58</v>
      </c>
      <c r="E127" s="44">
        <f t="shared" si="48"/>
        <v>1.58</v>
      </c>
      <c r="F127" s="44">
        <f t="shared" si="48"/>
        <v>1.58</v>
      </c>
      <c r="G127" s="44">
        <f t="shared" si="48"/>
        <v>1.58</v>
      </c>
      <c r="H127" s="44">
        <f t="shared" si="48"/>
        <v>1.58</v>
      </c>
      <c r="I127" s="44">
        <f t="shared" si="48"/>
        <v>1.58</v>
      </c>
      <c r="J127" s="44">
        <f t="shared" si="48"/>
        <v>1.58</v>
      </c>
      <c r="K127" s="44">
        <f t="shared" si="48"/>
        <v>1.58</v>
      </c>
      <c r="L127" s="44">
        <f t="shared" si="48"/>
        <v>1.58</v>
      </c>
      <c r="M127" s="44">
        <f t="shared" si="48"/>
        <v>1.58</v>
      </c>
      <c r="N127" s="44">
        <f t="shared" si="48"/>
        <v>1.58</v>
      </c>
      <c r="O127" s="44">
        <f t="shared" si="48"/>
        <v>1.58</v>
      </c>
      <c r="P127" s="44">
        <f t="shared" si="48"/>
        <v>1.58</v>
      </c>
      <c r="Q127" s="44">
        <f t="shared" si="48"/>
        <v>1.58</v>
      </c>
      <c r="R127" s="44">
        <f t="shared" si="48"/>
        <v>1.58</v>
      </c>
      <c r="S127" s="44">
        <f t="shared" si="48"/>
        <v>1.58</v>
      </c>
      <c r="T127" s="44">
        <f t="shared" si="47"/>
        <v>1.58</v>
      </c>
      <c r="U127" s="44">
        <f t="shared" si="47"/>
        <v>1.58</v>
      </c>
      <c r="V127" s="44">
        <f t="shared" si="47"/>
        <v>1.58</v>
      </c>
      <c r="W127" s="44">
        <f t="shared" si="47"/>
        <v>1.58</v>
      </c>
      <c r="X127" s="44">
        <f t="shared" si="47"/>
        <v>1.58</v>
      </c>
      <c r="Y127" s="44">
        <f t="shared" si="47"/>
        <v>1.58</v>
      </c>
      <c r="Z127" s="44">
        <f t="shared" si="47"/>
        <v>1.58</v>
      </c>
      <c r="AA127" s="44">
        <f t="shared" si="47"/>
        <v>1.58</v>
      </c>
      <c r="AB127" s="44">
        <f t="shared" si="47"/>
        <v>1.58</v>
      </c>
      <c r="AC127" s="44">
        <f t="shared" si="47"/>
        <v>1.58</v>
      </c>
      <c r="AD127" s="44">
        <f t="shared" si="47"/>
        <v>1.58</v>
      </c>
      <c r="AE127" s="44">
        <f t="shared" si="47"/>
        <v>1.58</v>
      </c>
      <c r="AF127" s="44">
        <f t="shared" si="47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5"/>
        <v>1.46</v>
      </c>
      <c r="C128" s="55">
        <v>1.46</v>
      </c>
      <c r="D128" s="44">
        <f t="shared" si="48"/>
        <v>1.46</v>
      </c>
      <c r="E128" s="44">
        <f t="shared" si="48"/>
        <v>1.46</v>
      </c>
      <c r="F128" s="44">
        <f t="shared" si="48"/>
        <v>1.46</v>
      </c>
      <c r="G128" s="44">
        <f t="shared" si="48"/>
        <v>1.46</v>
      </c>
      <c r="H128" s="44">
        <f t="shared" si="48"/>
        <v>1.46</v>
      </c>
      <c r="I128" s="44">
        <f t="shared" si="48"/>
        <v>1.46</v>
      </c>
      <c r="J128" s="44">
        <f t="shared" si="48"/>
        <v>1.46</v>
      </c>
      <c r="K128" s="44">
        <f t="shared" si="48"/>
        <v>1.46</v>
      </c>
      <c r="L128" s="44">
        <f t="shared" si="48"/>
        <v>1.46</v>
      </c>
      <c r="M128" s="44">
        <f t="shared" si="48"/>
        <v>1.46</v>
      </c>
      <c r="N128" s="44">
        <f t="shared" si="48"/>
        <v>1.46</v>
      </c>
      <c r="O128" s="44">
        <f t="shared" si="48"/>
        <v>1.46</v>
      </c>
      <c r="P128" s="44">
        <f t="shared" si="48"/>
        <v>1.46</v>
      </c>
      <c r="Q128" s="44">
        <f t="shared" si="48"/>
        <v>1.46</v>
      </c>
      <c r="R128" s="44">
        <f t="shared" si="48"/>
        <v>1.46</v>
      </c>
      <c r="S128" s="44">
        <f t="shared" si="48"/>
        <v>1.46</v>
      </c>
      <c r="T128" s="44">
        <f t="shared" ref="T128:AF129" si="49">S128</f>
        <v>1.46</v>
      </c>
      <c r="U128" s="44">
        <f t="shared" si="49"/>
        <v>1.46</v>
      </c>
      <c r="V128" s="44">
        <f t="shared" si="49"/>
        <v>1.46</v>
      </c>
      <c r="W128" s="44">
        <f t="shared" si="49"/>
        <v>1.46</v>
      </c>
      <c r="X128" s="44">
        <f t="shared" si="49"/>
        <v>1.46</v>
      </c>
      <c r="Y128" s="44">
        <f t="shared" si="49"/>
        <v>1.46</v>
      </c>
      <c r="Z128" s="44">
        <f t="shared" si="49"/>
        <v>1.46</v>
      </c>
      <c r="AA128" s="44">
        <f t="shared" si="49"/>
        <v>1.46</v>
      </c>
      <c r="AB128" s="44">
        <f t="shared" si="49"/>
        <v>1.46</v>
      </c>
      <c r="AC128" s="44">
        <f t="shared" si="49"/>
        <v>1.46</v>
      </c>
      <c r="AD128" s="44">
        <f t="shared" si="49"/>
        <v>1.46</v>
      </c>
      <c r="AE128" s="44">
        <f t="shared" si="49"/>
        <v>1.46</v>
      </c>
      <c r="AF128" s="44">
        <f t="shared" si="49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5"/>
        <v>1.48</v>
      </c>
      <c r="C129" s="55">
        <v>1.48</v>
      </c>
      <c r="D129" s="44">
        <f t="shared" si="48"/>
        <v>1.48</v>
      </c>
      <c r="E129" s="44">
        <f t="shared" si="48"/>
        <v>1.48</v>
      </c>
      <c r="F129" s="44">
        <f t="shared" si="48"/>
        <v>1.48</v>
      </c>
      <c r="G129" s="44">
        <f t="shared" si="48"/>
        <v>1.48</v>
      </c>
      <c r="H129" s="44">
        <f t="shared" si="48"/>
        <v>1.48</v>
      </c>
      <c r="I129" s="44">
        <f t="shared" si="48"/>
        <v>1.48</v>
      </c>
      <c r="J129" s="44">
        <f t="shared" si="48"/>
        <v>1.48</v>
      </c>
      <c r="K129" s="44">
        <f t="shared" si="48"/>
        <v>1.48</v>
      </c>
      <c r="L129" s="44">
        <f t="shared" si="48"/>
        <v>1.48</v>
      </c>
      <c r="M129" s="44">
        <f t="shared" si="48"/>
        <v>1.48</v>
      </c>
      <c r="N129" s="44">
        <f t="shared" si="48"/>
        <v>1.48</v>
      </c>
      <c r="O129" s="44">
        <f t="shared" si="48"/>
        <v>1.48</v>
      </c>
      <c r="P129" s="44">
        <f t="shared" si="48"/>
        <v>1.48</v>
      </c>
      <c r="Q129" s="44">
        <f t="shared" si="48"/>
        <v>1.48</v>
      </c>
      <c r="R129" s="44">
        <f t="shared" si="48"/>
        <v>1.48</v>
      </c>
      <c r="S129" s="44">
        <f t="shared" si="48"/>
        <v>1.48</v>
      </c>
      <c r="T129" s="44">
        <f t="shared" si="49"/>
        <v>1.48</v>
      </c>
      <c r="U129" s="44">
        <f t="shared" si="49"/>
        <v>1.48</v>
      </c>
      <c r="V129" s="44">
        <f t="shared" si="49"/>
        <v>1.48</v>
      </c>
      <c r="W129" s="44">
        <f t="shared" si="49"/>
        <v>1.48</v>
      </c>
      <c r="X129" s="44">
        <f t="shared" si="49"/>
        <v>1.48</v>
      </c>
      <c r="Y129" s="44">
        <f t="shared" si="49"/>
        <v>1.48</v>
      </c>
      <c r="Z129" s="44">
        <f t="shared" si="49"/>
        <v>1.48</v>
      </c>
      <c r="AA129" s="44">
        <f t="shared" si="49"/>
        <v>1.48</v>
      </c>
      <c r="AB129" s="44">
        <f t="shared" si="49"/>
        <v>1.48</v>
      </c>
      <c r="AC129" s="44">
        <f t="shared" si="49"/>
        <v>1.48</v>
      </c>
      <c r="AD129" s="44">
        <f t="shared" si="49"/>
        <v>1.48</v>
      </c>
      <c r="AE129" s="44">
        <f t="shared" si="49"/>
        <v>1.48</v>
      </c>
      <c r="AF129" s="44">
        <f t="shared" si="49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0">AF131</f>
        <v>2.2000000000000002</v>
      </c>
      <c r="C131" s="55">
        <v>2.2000000000000002</v>
      </c>
      <c r="D131" s="44">
        <f t="shared" ref="D131:S138" si="51">C131</f>
        <v>2.2000000000000002</v>
      </c>
      <c r="E131" s="44">
        <f t="shared" si="51"/>
        <v>2.2000000000000002</v>
      </c>
      <c r="F131" s="44">
        <f t="shared" si="51"/>
        <v>2.2000000000000002</v>
      </c>
      <c r="G131" s="44">
        <f t="shared" si="51"/>
        <v>2.2000000000000002</v>
      </c>
      <c r="H131" s="44">
        <f t="shared" si="51"/>
        <v>2.2000000000000002</v>
      </c>
      <c r="I131" s="44">
        <f t="shared" si="51"/>
        <v>2.2000000000000002</v>
      </c>
      <c r="J131" s="44">
        <f t="shared" si="51"/>
        <v>2.2000000000000002</v>
      </c>
      <c r="K131" s="44">
        <f t="shared" si="51"/>
        <v>2.2000000000000002</v>
      </c>
      <c r="L131" s="44">
        <f t="shared" si="51"/>
        <v>2.2000000000000002</v>
      </c>
      <c r="M131" s="44">
        <f t="shared" si="51"/>
        <v>2.2000000000000002</v>
      </c>
      <c r="N131" s="44">
        <f t="shared" si="51"/>
        <v>2.2000000000000002</v>
      </c>
      <c r="O131" s="44">
        <f t="shared" si="51"/>
        <v>2.2000000000000002</v>
      </c>
      <c r="P131" s="44">
        <f t="shared" si="51"/>
        <v>2.2000000000000002</v>
      </c>
      <c r="Q131" s="44">
        <f t="shared" si="51"/>
        <v>2.2000000000000002</v>
      </c>
      <c r="R131" s="44">
        <f t="shared" si="51"/>
        <v>2.2000000000000002</v>
      </c>
      <c r="S131" s="44">
        <f t="shared" si="51"/>
        <v>2.2000000000000002</v>
      </c>
      <c r="T131" s="44">
        <f t="shared" ref="T131:AF138" si="52">S131</f>
        <v>2.2000000000000002</v>
      </c>
      <c r="U131" s="44">
        <f t="shared" si="52"/>
        <v>2.2000000000000002</v>
      </c>
      <c r="V131" s="44">
        <f t="shared" si="52"/>
        <v>2.2000000000000002</v>
      </c>
      <c r="W131" s="44">
        <f t="shared" si="52"/>
        <v>2.2000000000000002</v>
      </c>
      <c r="X131" s="44">
        <f t="shared" si="52"/>
        <v>2.2000000000000002</v>
      </c>
      <c r="Y131" s="44">
        <f t="shared" si="52"/>
        <v>2.2000000000000002</v>
      </c>
      <c r="Z131" s="44">
        <f t="shared" si="52"/>
        <v>2.2000000000000002</v>
      </c>
      <c r="AA131" s="44">
        <f t="shared" si="52"/>
        <v>2.2000000000000002</v>
      </c>
      <c r="AB131" s="44">
        <f t="shared" si="52"/>
        <v>2.2000000000000002</v>
      </c>
      <c r="AC131" s="44">
        <f t="shared" si="52"/>
        <v>2.2000000000000002</v>
      </c>
      <c r="AD131" s="44">
        <f t="shared" si="52"/>
        <v>2.2000000000000002</v>
      </c>
      <c r="AE131" s="44">
        <f t="shared" si="52"/>
        <v>2.2000000000000002</v>
      </c>
      <c r="AF131" s="44">
        <f t="shared" si="52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0"/>
        <v>2</v>
      </c>
      <c r="C132" s="55">
        <v>2</v>
      </c>
      <c r="D132" s="44">
        <f t="shared" si="51"/>
        <v>2</v>
      </c>
      <c r="E132" s="44">
        <f t="shared" si="51"/>
        <v>2</v>
      </c>
      <c r="F132" s="44">
        <f t="shared" si="51"/>
        <v>2</v>
      </c>
      <c r="G132" s="44">
        <f t="shared" si="51"/>
        <v>2</v>
      </c>
      <c r="H132" s="44">
        <f t="shared" si="51"/>
        <v>2</v>
      </c>
      <c r="I132" s="44">
        <f t="shared" si="51"/>
        <v>2</v>
      </c>
      <c r="J132" s="44">
        <f t="shared" si="51"/>
        <v>2</v>
      </c>
      <c r="K132" s="44">
        <f t="shared" si="51"/>
        <v>2</v>
      </c>
      <c r="L132" s="44">
        <f t="shared" si="51"/>
        <v>2</v>
      </c>
      <c r="M132" s="44">
        <f t="shared" si="51"/>
        <v>2</v>
      </c>
      <c r="N132" s="44">
        <f t="shared" si="51"/>
        <v>2</v>
      </c>
      <c r="O132" s="44">
        <f t="shared" si="51"/>
        <v>2</v>
      </c>
      <c r="P132" s="44">
        <f t="shared" si="51"/>
        <v>2</v>
      </c>
      <c r="Q132" s="44">
        <f t="shared" si="51"/>
        <v>2</v>
      </c>
      <c r="R132" s="44">
        <f t="shared" si="51"/>
        <v>2</v>
      </c>
      <c r="S132" s="44">
        <f t="shared" si="51"/>
        <v>2</v>
      </c>
      <c r="T132" s="44">
        <f t="shared" si="52"/>
        <v>2</v>
      </c>
      <c r="U132" s="44">
        <f t="shared" si="52"/>
        <v>2</v>
      </c>
      <c r="V132" s="44">
        <f t="shared" si="52"/>
        <v>2</v>
      </c>
      <c r="W132" s="44">
        <f t="shared" si="52"/>
        <v>2</v>
      </c>
      <c r="X132" s="44">
        <f t="shared" si="52"/>
        <v>2</v>
      </c>
      <c r="Y132" s="44">
        <f t="shared" si="52"/>
        <v>2</v>
      </c>
      <c r="Z132" s="44">
        <f t="shared" si="52"/>
        <v>2</v>
      </c>
      <c r="AA132" s="44">
        <f t="shared" si="52"/>
        <v>2</v>
      </c>
      <c r="AB132" s="44">
        <f t="shared" si="52"/>
        <v>2</v>
      </c>
      <c r="AC132" s="44">
        <f t="shared" si="52"/>
        <v>2</v>
      </c>
      <c r="AD132" s="44">
        <f t="shared" si="52"/>
        <v>2</v>
      </c>
      <c r="AE132" s="44">
        <f t="shared" si="52"/>
        <v>2</v>
      </c>
      <c r="AF132" s="44">
        <f t="shared" si="52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0"/>
        <v>1.25</v>
      </c>
      <c r="C133" s="55">
        <v>1.25</v>
      </c>
      <c r="D133" s="44">
        <f t="shared" si="51"/>
        <v>1.25</v>
      </c>
      <c r="E133" s="44">
        <f t="shared" si="51"/>
        <v>1.25</v>
      </c>
      <c r="F133" s="44">
        <f t="shared" si="51"/>
        <v>1.25</v>
      </c>
      <c r="G133" s="44">
        <f t="shared" si="51"/>
        <v>1.25</v>
      </c>
      <c r="H133" s="44">
        <f t="shared" si="51"/>
        <v>1.25</v>
      </c>
      <c r="I133" s="44">
        <f t="shared" si="51"/>
        <v>1.25</v>
      </c>
      <c r="J133" s="44">
        <f t="shared" si="51"/>
        <v>1.25</v>
      </c>
      <c r="K133" s="44">
        <f t="shared" si="51"/>
        <v>1.25</v>
      </c>
      <c r="L133" s="44">
        <f t="shared" si="51"/>
        <v>1.25</v>
      </c>
      <c r="M133" s="44">
        <f t="shared" si="51"/>
        <v>1.25</v>
      </c>
      <c r="N133" s="44">
        <f t="shared" si="51"/>
        <v>1.25</v>
      </c>
      <c r="O133" s="44">
        <f t="shared" si="51"/>
        <v>1.25</v>
      </c>
      <c r="P133" s="44">
        <f t="shared" si="51"/>
        <v>1.25</v>
      </c>
      <c r="Q133" s="44">
        <f t="shared" si="51"/>
        <v>1.25</v>
      </c>
      <c r="R133" s="44">
        <f t="shared" si="51"/>
        <v>1.25</v>
      </c>
      <c r="S133" s="44">
        <f t="shared" si="51"/>
        <v>1.25</v>
      </c>
      <c r="T133" s="44">
        <f t="shared" si="52"/>
        <v>1.25</v>
      </c>
      <c r="U133" s="44">
        <f t="shared" si="52"/>
        <v>1.25</v>
      </c>
      <c r="V133" s="44">
        <f t="shared" si="52"/>
        <v>1.25</v>
      </c>
      <c r="W133" s="44">
        <f t="shared" si="52"/>
        <v>1.25</v>
      </c>
      <c r="X133" s="44">
        <f t="shared" si="52"/>
        <v>1.25</v>
      </c>
      <c r="Y133" s="44">
        <f t="shared" si="52"/>
        <v>1.25</v>
      </c>
      <c r="Z133" s="44">
        <f t="shared" si="52"/>
        <v>1.25</v>
      </c>
      <c r="AA133" s="44">
        <f t="shared" si="52"/>
        <v>1.25</v>
      </c>
      <c r="AB133" s="44">
        <f t="shared" si="52"/>
        <v>1.25</v>
      </c>
      <c r="AC133" s="44">
        <f t="shared" si="52"/>
        <v>1.25</v>
      </c>
      <c r="AD133" s="44">
        <f t="shared" si="52"/>
        <v>1.25</v>
      </c>
      <c r="AE133" s="44">
        <f t="shared" si="52"/>
        <v>1.25</v>
      </c>
      <c r="AF133" s="44">
        <f t="shared" si="52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0"/>
        <v>1.1499999999999999</v>
      </c>
      <c r="C134" s="55">
        <v>1.1499999999999999</v>
      </c>
      <c r="D134" s="44">
        <f t="shared" si="51"/>
        <v>1.1499999999999999</v>
      </c>
      <c r="E134" s="44">
        <f t="shared" si="51"/>
        <v>1.1499999999999999</v>
      </c>
      <c r="F134" s="44">
        <f t="shared" si="51"/>
        <v>1.1499999999999999</v>
      </c>
      <c r="G134" s="44">
        <f t="shared" si="51"/>
        <v>1.1499999999999999</v>
      </c>
      <c r="H134" s="44">
        <f t="shared" si="51"/>
        <v>1.1499999999999999</v>
      </c>
      <c r="I134" s="44">
        <f t="shared" si="51"/>
        <v>1.1499999999999999</v>
      </c>
      <c r="J134" s="44">
        <f t="shared" si="51"/>
        <v>1.1499999999999999</v>
      </c>
      <c r="K134" s="44">
        <f t="shared" si="51"/>
        <v>1.1499999999999999</v>
      </c>
      <c r="L134" s="44">
        <f t="shared" si="51"/>
        <v>1.1499999999999999</v>
      </c>
      <c r="M134" s="44">
        <f t="shared" si="51"/>
        <v>1.1499999999999999</v>
      </c>
      <c r="N134" s="44">
        <f t="shared" si="51"/>
        <v>1.1499999999999999</v>
      </c>
      <c r="O134" s="44">
        <f t="shared" si="51"/>
        <v>1.1499999999999999</v>
      </c>
      <c r="P134" s="44">
        <f t="shared" si="51"/>
        <v>1.1499999999999999</v>
      </c>
      <c r="Q134" s="44">
        <f t="shared" si="51"/>
        <v>1.1499999999999999</v>
      </c>
      <c r="R134" s="44">
        <f t="shared" si="51"/>
        <v>1.1499999999999999</v>
      </c>
      <c r="S134" s="44">
        <f t="shared" si="51"/>
        <v>1.1499999999999999</v>
      </c>
      <c r="T134" s="44">
        <f t="shared" si="52"/>
        <v>1.1499999999999999</v>
      </c>
      <c r="U134" s="44">
        <f t="shared" si="52"/>
        <v>1.1499999999999999</v>
      </c>
      <c r="V134" s="44">
        <f t="shared" si="52"/>
        <v>1.1499999999999999</v>
      </c>
      <c r="W134" s="44">
        <f t="shared" si="52"/>
        <v>1.1499999999999999</v>
      </c>
      <c r="X134" s="44">
        <f t="shared" si="52"/>
        <v>1.1499999999999999</v>
      </c>
      <c r="Y134" s="44">
        <f t="shared" si="52"/>
        <v>1.1499999999999999</v>
      </c>
      <c r="Z134" s="44">
        <f t="shared" si="52"/>
        <v>1.1499999999999999</v>
      </c>
      <c r="AA134" s="44">
        <f t="shared" si="52"/>
        <v>1.1499999999999999</v>
      </c>
      <c r="AB134" s="44">
        <f t="shared" si="52"/>
        <v>1.1499999999999999</v>
      </c>
      <c r="AC134" s="44">
        <f t="shared" si="52"/>
        <v>1.1499999999999999</v>
      </c>
      <c r="AD134" s="44">
        <f t="shared" si="52"/>
        <v>1.1499999999999999</v>
      </c>
      <c r="AE134" s="44">
        <f t="shared" si="52"/>
        <v>1.1499999999999999</v>
      </c>
      <c r="AF134" s="44">
        <f t="shared" si="52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0"/>
        <v>2.133</v>
      </c>
      <c r="C135" s="55">
        <v>2.133</v>
      </c>
      <c r="D135" s="44">
        <f t="shared" si="51"/>
        <v>2.133</v>
      </c>
      <c r="E135" s="44">
        <f t="shared" si="51"/>
        <v>2.133</v>
      </c>
      <c r="F135" s="44">
        <f t="shared" si="51"/>
        <v>2.133</v>
      </c>
      <c r="G135" s="44">
        <f t="shared" si="51"/>
        <v>2.133</v>
      </c>
      <c r="H135" s="44">
        <f t="shared" si="51"/>
        <v>2.133</v>
      </c>
      <c r="I135" s="44">
        <f t="shared" si="51"/>
        <v>2.133</v>
      </c>
      <c r="J135" s="44">
        <f t="shared" si="51"/>
        <v>2.133</v>
      </c>
      <c r="K135" s="44">
        <f t="shared" si="51"/>
        <v>2.133</v>
      </c>
      <c r="L135" s="44">
        <f t="shared" si="51"/>
        <v>2.133</v>
      </c>
      <c r="M135" s="44">
        <f t="shared" si="51"/>
        <v>2.133</v>
      </c>
      <c r="N135" s="44">
        <f t="shared" si="51"/>
        <v>2.133</v>
      </c>
      <c r="O135" s="44">
        <f t="shared" si="51"/>
        <v>2.133</v>
      </c>
      <c r="P135" s="44">
        <f t="shared" si="51"/>
        <v>2.133</v>
      </c>
      <c r="Q135" s="44">
        <f t="shared" si="51"/>
        <v>2.133</v>
      </c>
      <c r="R135" s="44">
        <f t="shared" si="51"/>
        <v>2.133</v>
      </c>
      <c r="S135" s="44">
        <f t="shared" si="51"/>
        <v>2.133</v>
      </c>
      <c r="T135" s="44">
        <f t="shared" si="52"/>
        <v>2.133</v>
      </c>
      <c r="U135" s="44">
        <f t="shared" si="52"/>
        <v>2.133</v>
      </c>
      <c r="V135" s="44">
        <f t="shared" si="52"/>
        <v>2.133</v>
      </c>
      <c r="W135" s="44">
        <f t="shared" si="52"/>
        <v>2.133</v>
      </c>
      <c r="X135" s="44">
        <f t="shared" si="52"/>
        <v>2.133</v>
      </c>
      <c r="Y135" s="44">
        <f t="shared" si="52"/>
        <v>2.133</v>
      </c>
      <c r="Z135" s="44">
        <f t="shared" si="52"/>
        <v>2.133</v>
      </c>
      <c r="AA135" s="44">
        <f t="shared" si="52"/>
        <v>2.133</v>
      </c>
      <c r="AB135" s="44">
        <f t="shared" si="52"/>
        <v>2.133</v>
      </c>
      <c r="AC135" s="44">
        <f t="shared" si="52"/>
        <v>2.133</v>
      </c>
      <c r="AD135" s="44">
        <f t="shared" si="52"/>
        <v>2.133</v>
      </c>
      <c r="AE135" s="44">
        <f t="shared" si="52"/>
        <v>2.133</v>
      </c>
      <c r="AF135" s="44">
        <f t="shared" si="52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0"/>
        <v>2.09</v>
      </c>
      <c r="C136" s="55">
        <v>2.09</v>
      </c>
      <c r="D136" s="44">
        <f t="shared" si="51"/>
        <v>2.09</v>
      </c>
      <c r="E136" s="44">
        <f t="shared" si="51"/>
        <v>2.09</v>
      </c>
      <c r="F136" s="44">
        <f t="shared" si="51"/>
        <v>2.09</v>
      </c>
      <c r="G136" s="44">
        <f t="shared" si="51"/>
        <v>2.09</v>
      </c>
      <c r="H136" s="44">
        <f t="shared" si="51"/>
        <v>2.09</v>
      </c>
      <c r="I136" s="44">
        <f t="shared" si="51"/>
        <v>2.09</v>
      </c>
      <c r="J136" s="44">
        <f t="shared" si="51"/>
        <v>2.09</v>
      </c>
      <c r="K136" s="44">
        <f t="shared" si="51"/>
        <v>2.09</v>
      </c>
      <c r="L136" s="44">
        <f t="shared" si="51"/>
        <v>2.09</v>
      </c>
      <c r="M136" s="44">
        <f t="shared" si="51"/>
        <v>2.09</v>
      </c>
      <c r="N136" s="44">
        <f t="shared" si="51"/>
        <v>2.09</v>
      </c>
      <c r="O136" s="44">
        <f t="shared" si="51"/>
        <v>2.09</v>
      </c>
      <c r="P136" s="44">
        <f t="shared" si="51"/>
        <v>2.09</v>
      </c>
      <c r="Q136" s="44">
        <f t="shared" si="51"/>
        <v>2.09</v>
      </c>
      <c r="R136" s="44">
        <f t="shared" si="51"/>
        <v>2.09</v>
      </c>
      <c r="S136" s="44">
        <f t="shared" si="51"/>
        <v>2.09</v>
      </c>
      <c r="T136" s="44">
        <f t="shared" si="52"/>
        <v>2.09</v>
      </c>
      <c r="U136" s="44">
        <f t="shared" si="52"/>
        <v>2.09</v>
      </c>
      <c r="V136" s="44">
        <f t="shared" si="52"/>
        <v>2.09</v>
      </c>
      <c r="W136" s="44">
        <f t="shared" si="52"/>
        <v>2.09</v>
      </c>
      <c r="X136" s="44">
        <f t="shared" si="52"/>
        <v>2.09</v>
      </c>
      <c r="Y136" s="44">
        <f t="shared" si="52"/>
        <v>2.09</v>
      </c>
      <c r="Z136" s="44">
        <f t="shared" si="52"/>
        <v>2.09</v>
      </c>
      <c r="AA136" s="44">
        <f t="shared" si="52"/>
        <v>2.09</v>
      </c>
      <c r="AB136" s="44">
        <f t="shared" si="52"/>
        <v>2.09</v>
      </c>
      <c r="AC136" s="44">
        <f t="shared" si="52"/>
        <v>2.09</v>
      </c>
      <c r="AD136" s="44">
        <f t="shared" si="52"/>
        <v>2.09</v>
      </c>
      <c r="AE136" s="44">
        <f t="shared" si="52"/>
        <v>2.09</v>
      </c>
      <c r="AF136" s="44">
        <f t="shared" si="52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0"/>
        <v>1.1399999999999999</v>
      </c>
      <c r="C137" s="55">
        <v>1.1399999999999999</v>
      </c>
      <c r="D137" s="44">
        <f t="shared" si="51"/>
        <v>1.1399999999999999</v>
      </c>
      <c r="E137" s="44">
        <f t="shared" si="51"/>
        <v>1.1399999999999999</v>
      </c>
      <c r="F137" s="44">
        <f t="shared" si="51"/>
        <v>1.1399999999999999</v>
      </c>
      <c r="G137" s="44">
        <f t="shared" si="51"/>
        <v>1.1399999999999999</v>
      </c>
      <c r="H137" s="44">
        <f t="shared" si="51"/>
        <v>1.1399999999999999</v>
      </c>
      <c r="I137" s="44">
        <f t="shared" si="51"/>
        <v>1.1399999999999999</v>
      </c>
      <c r="J137" s="44">
        <f t="shared" si="51"/>
        <v>1.1399999999999999</v>
      </c>
      <c r="K137" s="44">
        <f t="shared" si="51"/>
        <v>1.1399999999999999</v>
      </c>
      <c r="L137" s="44">
        <f t="shared" si="51"/>
        <v>1.1399999999999999</v>
      </c>
      <c r="M137" s="44">
        <f t="shared" si="51"/>
        <v>1.1399999999999999</v>
      </c>
      <c r="N137" s="44">
        <f t="shared" si="51"/>
        <v>1.1399999999999999</v>
      </c>
      <c r="O137" s="44">
        <f t="shared" si="51"/>
        <v>1.1399999999999999</v>
      </c>
      <c r="P137" s="44">
        <f t="shared" si="51"/>
        <v>1.1399999999999999</v>
      </c>
      <c r="Q137" s="44">
        <f t="shared" si="51"/>
        <v>1.1399999999999999</v>
      </c>
      <c r="R137" s="44">
        <f t="shared" si="51"/>
        <v>1.1399999999999999</v>
      </c>
      <c r="S137" s="44">
        <f t="shared" si="51"/>
        <v>1.1399999999999999</v>
      </c>
      <c r="T137" s="44">
        <f t="shared" si="52"/>
        <v>1.1399999999999999</v>
      </c>
      <c r="U137" s="44">
        <f t="shared" si="52"/>
        <v>1.1399999999999999</v>
      </c>
      <c r="V137" s="44">
        <f t="shared" si="52"/>
        <v>1.1399999999999999</v>
      </c>
      <c r="W137" s="44">
        <f t="shared" si="52"/>
        <v>1.1399999999999999</v>
      </c>
      <c r="X137" s="44">
        <f t="shared" si="52"/>
        <v>1.1399999999999999</v>
      </c>
      <c r="Y137" s="44">
        <f t="shared" si="52"/>
        <v>1.1399999999999999</v>
      </c>
      <c r="Z137" s="44">
        <f t="shared" si="52"/>
        <v>1.1399999999999999</v>
      </c>
      <c r="AA137" s="44">
        <f t="shared" si="52"/>
        <v>1.1399999999999999</v>
      </c>
      <c r="AB137" s="44">
        <f t="shared" si="52"/>
        <v>1.1399999999999999</v>
      </c>
      <c r="AC137" s="44">
        <f t="shared" si="52"/>
        <v>1.1399999999999999</v>
      </c>
      <c r="AD137" s="44">
        <f t="shared" si="52"/>
        <v>1.1399999999999999</v>
      </c>
      <c r="AE137" s="44">
        <f t="shared" si="52"/>
        <v>1.1399999999999999</v>
      </c>
      <c r="AF137" s="44">
        <f t="shared" si="5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0"/>
        <v>0.82</v>
      </c>
      <c r="C138" s="55">
        <v>0.82</v>
      </c>
      <c r="D138" s="44">
        <f t="shared" si="51"/>
        <v>0.82</v>
      </c>
      <c r="E138" s="44">
        <f t="shared" si="51"/>
        <v>0.82</v>
      </c>
      <c r="F138" s="44">
        <f t="shared" si="51"/>
        <v>0.82</v>
      </c>
      <c r="G138" s="44">
        <f t="shared" si="51"/>
        <v>0.82</v>
      </c>
      <c r="H138" s="44">
        <f t="shared" si="51"/>
        <v>0.82</v>
      </c>
      <c r="I138" s="44">
        <f t="shared" si="51"/>
        <v>0.82</v>
      </c>
      <c r="J138" s="44">
        <f t="shared" si="51"/>
        <v>0.82</v>
      </c>
      <c r="K138" s="44">
        <f t="shared" si="51"/>
        <v>0.82</v>
      </c>
      <c r="L138" s="44">
        <f t="shared" si="51"/>
        <v>0.82</v>
      </c>
      <c r="M138" s="44">
        <f t="shared" si="51"/>
        <v>0.82</v>
      </c>
      <c r="N138" s="44">
        <f t="shared" si="51"/>
        <v>0.82</v>
      </c>
      <c r="O138" s="44">
        <f t="shared" si="51"/>
        <v>0.82</v>
      </c>
      <c r="P138" s="44">
        <f t="shared" si="51"/>
        <v>0.82</v>
      </c>
      <c r="Q138" s="44">
        <f t="shared" si="51"/>
        <v>0.82</v>
      </c>
      <c r="R138" s="44">
        <f t="shared" si="51"/>
        <v>0.82</v>
      </c>
      <c r="S138" s="44">
        <f t="shared" si="51"/>
        <v>0.82</v>
      </c>
      <c r="T138" s="44">
        <f t="shared" si="52"/>
        <v>0.82</v>
      </c>
      <c r="U138" s="44">
        <f t="shared" si="52"/>
        <v>0.82</v>
      </c>
      <c r="V138" s="44">
        <f t="shared" si="52"/>
        <v>0.82</v>
      </c>
      <c r="W138" s="44">
        <f t="shared" si="52"/>
        <v>0.82</v>
      </c>
      <c r="X138" s="44">
        <f t="shared" si="52"/>
        <v>0.82</v>
      </c>
      <c r="Y138" s="44">
        <f t="shared" si="52"/>
        <v>0.82</v>
      </c>
      <c r="Z138" s="44">
        <f t="shared" si="52"/>
        <v>0.82</v>
      </c>
      <c r="AA138" s="44">
        <f t="shared" si="52"/>
        <v>0.82</v>
      </c>
      <c r="AB138" s="44">
        <f t="shared" si="52"/>
        <v>0.82</v>
      </c>
      <c r="AC138" s="44">
        <f t="shared" si="52"/>
        <v>0.82</v>
      </c>
      <c r="AD138" s="44">
        <f t="shared" si="52"/>
        <v>0.82</v>
      </c>
      <c r="AE138" s="44">
        <f t="shared" si="52"/>
        <v>0.82</v>
      </c>
      <c r="AF138" s="44">
        <f t="shared" si="52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3">AF140</f>
        <v>2</v>
      </c>
      <c r="C140" s="55">
        <v>2</v>
      </c>
      <c r="D140" s="44">
        <f t="shared" ref="D140:S146" si="54">C140</f>
        <v>2</v>
      </c>
      <c r="E140" s="44">
        <f t="shared" si="54"/>
        <v>2</v>
      </c>
      <c r="F140" s="44">
        <f t="shared" si="54"/>
        <v>2</v>
      </c>
      <c r="G140" s="44">
        <f t="shared" si="54"/>
        <v>2</v>
      </c>
      <c r="H140" s="44">
        <f t="shared" si="54"/>
        <v>2</v>
      </c>
      <c r="I140" s="44">
        <f t="shared" si="54"/>
        <v>2</v>
      </c>
      <c r="J140" s="44">
        <f t="shared" si="54"/>
        <v>2</v>
      </c>
      <c r="K140" s="44">
        <f t="shared" si="54"/>
        <v>2</v>
      </c>
      <c r="L140" s="44">
        <f t="shared" si="54"/>
        <v>2</v>
      </c>
      <c r="M140" s="44">
        <f t="shared" si="54"/>
        <v>2</v>
      </c>
      <c r="N140" s="44">
        <f t="shared" si="54"/>
        <v>2</v>
      </c>
      <c r="O140" s="44">
        <f t="shared" si="54"/>
        <v>2</v>
      </c>
      <c r="P140" s="44">
        <f t="shared" si="54"/>
        <v>2</v>
      </c>
      <c r="Q140" s="44">
        <f t="shared" si="54"/>
        <v>2</v>
      </c>
      <c r="R140" s="44">
        <f t="shared" si="54"/>
        <v>2</v>
      </c>
      <c r="S140" s="44">
        <f t="shared" si="54"/>
        <v>2</v>
      </c>
      <c r="T140" s="44">
        <f t="shared" ref="T140:AF146" si="55">S140</f>
        <v>2</v>
      </c>
      <c r="U140" s="44">
        <f t="shared" si="55"/>
        <v>2</v>
      </c>
      <c r="V140" s="44">
        <f t="shared" si="55"/>
        <v>2</v>
      </c>
      <c r="W140" s="44">
        <f t="shared" si="55"/>
        <v>2</v>
      </c>
      <c r="X140" s="44">
        <f t="shared" si="55"/>
        <v>2</v>
      </c>
      <c r="Y140" s="44">
        <f t="shared" si="55"/>
        <v>2</v>
      </c>
      <c r="Z140" s="44">
        <f t="shared" si="55"/>
        <v>2</v>
      </c>
      <c r="AA140" s="44">
        <f t="shared" si="55"/>
        <v>2</v>
      </c>
      <c r="AB140" s="44">
        <f t="shared" si="55"/>
        <v>2</v>
      </c>
      <c r="AC140" s="44">
        <f t="shared" si="55"/>
        <v>2</v>
      </c>
      <c r="AD140" s="44">
        <f t="shared" si="55"/>
        <v>2</v>
      </c>
      <c r="AE140" s="44">
        <f t="shared" si="55"/>
        <v>2</v>
      </c>
      <c r="AF140" s="44">
        <f t="shared" si="5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3"/>
        <v>5.61</v>
      </c>
      <c r="C141" s="55">
        <v>5.61</v>
      </c>
      <c r="D141" s="44">
        <f t="shared" si="54"/>
        <v>5.61</v>
      </c>
      <c r="E141" s="44">
        <f t="shared" si="54"/>
        <v>5.61</v>
      </c>
      <c r="F141" s="44">
        <f t="shared" si="54"/>
        <v>5.61</v>
      </c>
      <c r="G141" s="44">
        <f t="shared" si="54"/>
        <v>5.61</v>
      </c>
      <c r="H141" s="44">
        <f t="shared" si="54"/>
        <v>5.61</v>
      </c>
      <c r="I141" s="44">
        <f t="shared" si="54"/>
        <v>5.61</v>
      </c>
      <c r="J141" s="44">
        <f t="shared" si="54"/>
        <v>5.61</v>
      </c>
      <c r="K141" s="44">
        <f t="shared" si="54"/>
        <v>5.61</v>
      </c>
      <c r="L141" s="44">
        <f t="shared" si="54"/>
        <v>5.61</v>
      </c>
      <c r="M141" s="44">
        <f t="shared" si="54"/>
        <v>5.61</v>
      </c>
      <c r="N141" s="44">
        <f t="shared" si="54"/>
        <v>5.61</v>
      </c>
      <c r="O141" s="44">
        <f t="shared" si="54"/>
        <v>5.61</v>
      </c>
      <c r="P141" s="44">
        <f t="shared" si="54"/>
        <v>5.61</v>
      </c>
      <c r="Q141" s="44">
        <f t="shared" si="54"/>
        <v>5.61</v>
      </c>
      <c r="R141" s="44">
        <f t="shared" si="54"/>
        <v>5.61</v>
      </c>
      <c r="S141" s="44">
        <f t="shared" si="54"/>
        <v>5.61</v>
      </c>
      <c r="T141" s="44">
        <f t="shared" si="55"/>
        <v>5.61</v>
      </c>
      <c r="U141" s="44">
        <f t="shared" si="55"/>
        <v>5.61</v>
      </c>
      <c r="V141" s="44">
        <f t="shared" si="55"/>
        <v>5.61</v>
      </c>
      <c r="W141" s="44">
        <f t="shared" si="55"/>
        <v>5.61</v>
      </c>
      <c r="X141" s="44">
        <f t="shared" si="55"/>
        <v>5.61</v>
      </c>
      <c r="Y141" s="44">
        <f t="shared" si="55"/>
        <v>5.61</v>
      </c>
      <c r="Z141" s="44">
        <f t="shared" si="55"/>
        <v>5.61</v>
      </c>
      <c r="AA141" s="44">
        <f t="shared" si="55"/>
        <v>5.61</v>
      </c>
      <c r="AB141" s="44">
        <f t="shared" si="55"/>
        <v>5.61</v>
      </c>
      <c r="AC141" s="44">
        <f t="shared" si="55"/>
        <v>5.61</v>
      </c>
      <c r="AD141" s="44">
        <f t="shared" si="55"/>
        <v>5.61</v>
      </c>
      <c r="AE141" s="44">
        <f t="shared" si="55"/>
        <v>5.61</v>
      </c>
      <c r="AF141" s="44">
        <f t="shared" si="55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3"/>
        <v>1.25</v>
      </c>
      <c r="C142" s="55">
        <v>1.25</v>
      </c>
      <c r="D142" s="44">
        <f t="shared" si="54"/>
        <v>1.25</v>
      </c>
      <c r="E142" s="44">
        <f t="shared" si="54"/>
        <v>1.25</v>
      </c>
      <c r="F142" s="44">
        <f t="shared" si="54"/>
        <v>1.25</v>
      </c>
      <c r="G142" s="44">
        <f t="shared" si="54"/>
        <v>1.25</v>
      </c>
      <c r="H142" s="44">
        <f t="shared" si="54"/>
        <v>1.25</v>
      </c>
      <c r="I142" s="44">
        <f t="shared" si="54"/>
        <v>1.25</v>
      </c>
      <c r="J142" s="44">
        <f t="shared" si="54"/>
        <v>1.25</v>
      </c>
      <c r="K142" s="44">
        <f t="shared" si="54"/>
        <v>1.25</v>
      </c>
      <c r="L142" s="44">
        <f t="shared" si="54"/>
        <v>1.25</v>
      </c>
      <c r="M142" s="44">
        <f t="shared" si="54"/>
        <v>1.25</v>
      </c>
      <c r="N142" s="44">
        <f t="shared" si="54"/>
        <v>1.25</v>
      </c>
      <c r="O142" s="44">
        <f t="shared" si="54"/>
        <v>1.25</v>
      </c>
      <c r="P142" s="44">
        <f t="shared" si="54"/>
        <v>1.25</v>
      </c>
      <c r="Q142" s="44">
        <f t="shared" si="54"/>
        <v>1.25</v>
      </c>
      <c r="R142" s="44">
        <f t="shared" si="54"/>
        <v>1.25</v>
      </c>
      <c r="S142" s="44">
        <f t="shared" si="54"/>
        <v>1.25</v>
      </c>
      <c r="T142" s="44">
        <f t="shared" si="55"/>
        <v>1.25</v>
      </c>
      <c r="U142" s="44">
        <f t="shared" si="55"/>
        <v>1.25</v>
      </c>
      <c r="V142" s="44">
        <f t="shared" si="55"/>
        <v>1.25</v>
      </c>
      <c r="W142" s="44">
        <f t="shared" si="55"/>
        <v>1.25</v>
      </c>
      <c r="X142" s="44">
        <f t="shared" si="55"/>
        <v>1.25</v>
      </c>
      <c r="Y142" s="44">
        <f t="shared" si="55"/>
        <v>1.25</v>
      </c>
      <c r="Z142" s="44">
        <f t="shared" si="55"/>
        <v>1.25</v>
      </c>
      <c r="AA142" s="44">
        <f t="shared" si="55"/>
        <v>1.25</v>
      </c>
      <c r="AB142" s="44">
        <f t="shared" si="55"/>
        <v>1.25</v>
      </c>
      <c r="AC142" s="44">
        <f t="shared" si="55"/>
        <v>1.25</v>
      </c>
      <c r="AD142" s="44">
        <f t="shared" si="55"/>
        <v>1.25</v>
      </c>
      <c r="AE142" s="44">
        <f t="shared" si="55"/>
        <v>1.25</v>
      </c>
      <c r="AF142" s="44">
        <f t="shared" si="55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3"/>
        <v>1.25</v>
      </c>
      <c r="C143" s="55">
        <v>1.25</v>
      </c>
      <c r="D143" s="44">
        <f t="shared" si="54"/>
        <v>1.25</v>
      </c>
      <c r="E143" s="44">
        <f t="shared" si="54"/>
        <v>1.25</v>
      </c>
      <c r="F143" s="44">
        <f t="shared" si="54"/>
        <v>1.25</v>
      </c>
      <c r="G143" s="44">
        <f t="shared" si="54"/>
        <v>1.25</v>
      </c>
      <c r="H143" s="44">
        <f t="shared" si="54"/>
        <v>1.25</v>
      </c>
      <c r="I143" s="44">
        <f t="shared" si="54"/>
        <v>1.25</v>
      </c>
      <c r="J143" s="44">
        <f t="shared" si="54"/>
        <v>1.25</v>
      </c>
      <c r="K143" s="44">
        <f t="shared" si="54"/>
        <v>1.25</v>
      </c>
      <c r="L143" s="44">
        <f t="shared" si="54"/>
        <v>1.25</v>
      </c>
      <c r="M143" s="44">
        <f t="shared" si="54"/>
        <v>1.25</v>
      </c>
      <c r="N143" s="44">
        <f t="shared" si="54"/>
        <v>1.25</v>
      </c>
      <c r="O143" s="44">
        <f t="shared" si="54"/>
        <v>1.25</v>
      </c>
      <c r="P143" s="44">
        <f t="shared" si="54"/>
        <v>1.25</v>
      </c>
      <c r="Q143" s="44">
        <f t="shared" si="54"/>
        <v>1.25</v>
      </c>
      <c r="R143" s="44">
        <f t="shared" si="54"/>
        <v>1.25</v>
      </c>
      <c r="S143" s="44">
        <f t="shared" si="54"/>
        <v>1.25</v>
      </c>
      <c r="T143" s="44">
        <f t="shared" si="55"/>
        <v>1.25</v>
      </c>
      <c r="U143" s="44">
        <f t="shared" si="55"/>
        <v>1.25</v>
      </c>
      <c r="V143" s="44">
        <f t="shared" si="55"/>
        <v>1.25</v>
      </c>
      <c r="W143" s="44">
        <f t="shared" si="55"/>
        <v>1.25</v>
      </c>
      <c r="X143" s="44">
        <f t="shared" si="55"/>
        <v>1.25</v>
      </c>
      <c r="Y143" s="44">
        <f t="shared" si="55"/>
        <v>1.25</v>
      </c>
      <c r="Z143" s="44">
        <f t="shared" si="55"/>
        <v>1.25</v>
      </c>
      <c r="AA143" s="44">
        <f t="shared" si="55"/>
        <v>1.25</v>
      </c>
      <c r="AB143" s="44">
        <f t="shared" si="55"/>
        <v>1.25</v>
      </c>
      <c r="AC143" s="44">
        <f t="shared" si="55"/>
        <v>1.25</v>
      </c>
      <c r="AD143" s="44">
        <f t="shared" si="55"/>
        <v>1.25</v>
      </c>
      <c r="AE143" s="44">
        <f t="shared" si="55"/>
        <v>1.25</v>
      </c>
      <c r="AF143" s="44">
        <f t="shared" si="55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3"/>
        <v>1.46</v>
      </c>
      <c r="C144" s="55">
        <v>1.46</v>
      </c>
      <c r="D144" s="44">
        <f t="shared" si="54"/>
        <v>1.46</v>
      </c>
      <c r="E144" s="44">
        <f t="shared" si="54"/>
        <v>1.46</v>
      </c>
      <c r="F144" s="44">
        <f t="shared" si="54"/>
        <v>1.46</v>
      </c>
      <c r="G144" s="44">
        <f t="shared" si="54"/>
        <v>1.46</v>
      </c>
      <c r="H144" s="44">
        <f t="shared" si="54"/>
        <v>1.46</v>
      </c>
      <c r="I144" s="44">
        <f t="shared" si="54"/>
        <v>1.46</v>
      </c>
      <c r="J144" s="44">
        <f t="shared" si="54"/>
        <v>1.46</v>
      </c>
      <c r="K144" s="44">
        <f t="shared" si="54"/>
        <v>1.46</v>
      </c>
      <c r="L144" s="44">
        <f t="shared" si="54"/>
        <v>1.46</v>
      </c>
      <c r="M144" s="44">
        <f t="shared" si="54"/>
        <v>1.46</v>
      </c>
      <c r="N144" s="44">
        <f t="shared" si="54"/>
        <v>1.46</v>
      </c>
      <c r="O144" s="44">
        <f t="shared" si="54"/>
        <v>1.46</v>
      </c>
      <c r="P144" s="44">
        <f t="shared" si="54"/>
        <v>1.46</v>
      </c>
      <c r="Q144" s="44">
        <f t="shared" si="54"/>
        <v>1.46</v>
      </c>
      <c r="R144" s="44">
        <f t="shared" si="54"/>
        <v>1.46</v>
      </c>
      <c r="S144" s="44">
        <f t="shared" si="54"/>
        <v>1.46</v>
      </c>
      <c r="T144" s="44">
        <f t="shared" si="55"/>
        <v>1.46</v>
      </c>
      <c r="U144" s="44">
        <f t="shared" si="55"/>
        <v>1.46</v>
      </c>
      <c r="V144" s="44">
        <f t="shared" si="55"/>
        <v>1.46</v>
      </c>
      <c r="W144" s="44">
        <f t="shared" si="55"/>
        <v>1.46</v>
      </c>
      <c r="X144" s="44">
        <f t="shared" si="55"/>
        <v>1.46</v>
      </c>
      <c r="Y144" s="44">
        <f t="shared" si="55"/>
        <v>1.46</v>
      </c>
      <c r="Z144" s="44">
        <f t="shared" si="55"/>
        <v>1.46</v>
      </c>
      <c r="AA144" s="44">
        <f t="shared" si="55"/>
        <v>1.46</v>
      </c>
      <c r="AB144" s="44">
        <f t="shared" si="55"/>
        <v>1.46</v>
      </c>
      <c r="AC144" s="44">
        <f t="shared" si="55"/>
        <v>1.46</v>
      </c>
      <c r="AD144" s="44">
        <f t="shared" si="55"/>
        <v>1.46</v>
      </c>
      <c r="AE144" s="44">
        <f t="shared" si="55"/>
        <v>1.46</v>
      </c>
      <c r="AF144" s="44">
        <f t="shared" si="55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3"/>
        <v>3</v>
      </c>
      <c r="C145" s="55">
        <v>3</v>
      </c>
      <c r="D145" s="44">
        <f t="shared" si="54"/>
        <v>3</v>
      </c>
      <c r="E145" s="44">
        <f t="shared" si="54"/>
        <v>3</v>
      </c>
      <c r="F145" s="44">
        <f t="shared" si="54"/>
        <v>3</v>
      </c>
      <c r="G145" s="44">
        <f t="shared" si="54"/>
        <v>3</v>
      </c>
      <c r="H145" s="44">
        <f t="shared" si="54"/>
        <v>3</v>
      </c>
      <c r="I145" s="44">
        <f t="shared" si="54"/>
        <v>3</v>
      </c>
      <c r="J145" s="44">
        <f t="shared" si="54"/>
        <v>3</v>
      </c>
      <c r="K145" s="44">
        <f t="shared" si="54"/>
        <v>3</v>
      </c>
      <c r="L145" s="44">
        <f t="shared" si="54"/>
        <v>3</v>
      </c>
      <c r="M145" s="44">
        <f t="shared" si="54"/>
        <v>3</v>
      </c>
      <c r="N145" s="44">
        <f t="shared" si="54"/>
        <v>3</v>
      </c>
      <c r="O145" s="44">
        <f t="shared" si="54"/>
        <v>3</v>
      </c>
      <c r="P145" s="44">
        <f t="shared" si="54"/>
        <v>3</v>
      </c>
      <c r="Q145" s="44">
        <f t="shared" si="54"/>
        <v>3</v>
      </c>
      <c r="R145" s="44">
        <f t="shared" si="54"/>
        <v>3</v>
      </c>
      <c r="S145" s="44">
        <f t="shared" si="54"/>
        <v>3</v>
      </c>
      <c r="T145" s="44">
        <f t="shared" si="55"/>
        <v>3</v>
      </c>
      <c r="U145" s="44">
        <f t="shared" si="55"/>
        <v>3</v>
      </c>
      <c r="V145" s="44">
        <f t="shared" si="55"/>
        <v>3</v>
      </c>
      <c r="W145" s="44">
        <f t="shared" si="55"/>
        <v>3</v>
      </c>
      <c r="X145" s="44">
        <f t="shared" si="55"/>
        <v>3</v>
      </c>
      <c r="Y145" s="44">
        <f t="shared" si="55"/>
        <v>3</v>
      </c>
      <c r="Z145" s="44">
        <f t="shared" si="55"/>
        <v>3</v>
      </c>
      <c r="AA145" s="44">
        <f t="shared" si="55"/>
        <v>3</v>
      </c>
      <c r="AB145" s="44">
        <f t="shared" si="55"/>
        <v>3</v>
      </c>
      <c r="AC145" s="44">
        <f t="shared" si="55"/>
        <v>3</v>
      </c>
      <c r="AD145" s="44">
        <f t="shared" si="55"/>
        <v>3</v>
      </c>
      <c r="AE145" s="44">
        <f t="shared" si="55"/>
        <v>3</v>
      </c>
      <c r="AF145" s="44">
        <f t="shared" si="55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3"/>
        <v>3.3</v>
      </c>
      <c r="C146" s="55">
        <v>3.3</v>
      </c>
      <c r="D146" s="44">
        <f t="shared" si="54"/>
        <v>3.3</v>
      </c>
      <c r="E146" s="44">
        <f t="shared" si="54"/>
        <v>3.3</v>
      </c>
      <c r="F146" s="44">
        <f t="shared" si="54"/>
        <v>3.3</v>
      </c>
      <c r="G146" s="44">
        <f t="shared" si="54"/>
        <v>3.3</v>
      </c>
      <c r="H146" s="44">
        <f t="shared" si="54"/>
        <v>3.3</v>
      </c>
      <c r="I146" s="44">
        <f t="shared" si="54"/>
        <v>3.3</v>
      </c>
      <c r="J146" s="44">
        <f t="shared" si="54"/>
        <v>3.3</v>
      </c>
      <c r="K146" s="44">
        <f t="shared" si="54"/>
        <v>3.3</v>
      </c>
      <c r="L146" s="44">
        <f t="shared" si="54"/>
        <v>3.3</v>
      </c>
      <c r="M146" s="44">
        <f t="shared" si="54"/>
        <v>3.3</v>
      </c>
      <c r="N146" s="44">
        <f t="shared" si="54"/>
        <v>3.3</v>
      </c>
      <c r="O146" s="44">
        <f t="shared" si="54"/>
        <v>3.3</v>
      </c>
      <c r="P146" s="44">
        <f t="shared" si="54"/>
        <v>3.3</v>
      </c>
      <c r="Q146" s="44">
        <f t="shared" si="54"/>
        <v>3.3</v>
      </c>
      <c r="R146" s="44">
        <f t="shared" si="54"/>
        <v>3.3</v>
      </c>
      <c r="S146" s="44">
        <f t="shared" si="54"/>
        <v>3.3</v>
      </c>
      <c r="T146" s="44">
        <f t="shared" si="55"/>
        <v>3.3</v>
      </c>
      <c r="U146" s="44">
        <f t="shared" si="55"/>
        <v>3.3</v>
      </c>
      <c r="V146" s="44">
        <f t="shared" si="55"/>
        <v>3.3</v>
      </c>
      <c r="W146" s="44">
        <f t="shared" si="55"/>
        <v>3.3</v>
      </c>
      <c r="X146" s="44">
        <f t="shared" si="55"/>
        <v>3.3</v>
      </c>
      <c r="Y146" s="44">
        <f t="shared" si="55"/>
        <v>3.3</v>
      </c>
      <c r="Z146" s="44">
        <f t="shared" si="55"/>
        <v>3.3</v>
      </c>
      <c r="AA146" s="44">
        <f t="shared" si="55"/>
        <v>3.3</v>
      </c>
      <c r="AB146" s="44">
        <f t="shared" si="55"/>
        <v>3.3</v>
      </c>
      <c r="AC146" s="44">
        <f t="shared" si="55"/>
        <v>3.3</v>
      </c>
      <c r="AD146" s="44">
        <f t="shared" si="55"/>
        <v>3.3</v>
      </c>
      <c r="AE146" s="44">
        <f t="shared" si="55"/>
        <v>3.3</v>
      </c>
      <c r="AF146" s="44">
        <f t="shared" si="55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6">C148</f>
        <v>1.76</v>
      </c>
      <c r="E148" s="44">
        <f t="shared" si="56"/>
        <v>1.76</v>
      </c>
      <c r="F148" s="44">
        <f t="shared" si="56"/>
        <v>1.76</v>
      </c>
      <c r="G148" s="44">
        <f t="shared" si="56"/>
        <v>1.76</v>
      </c>
      <c r="H148" s="44">
        <f t="shared" si="56"/>
        <v>1.76</v>
      </c>
      <c r="I148" s="44">
        <f t="shared" si="56"/>
        <v>1.76</v>
      </c>
      <c r="J148" s="44">
        <f t="shared" si="56"/>
        <v>1.76</v>
      </c>
      <c r="K148" s="44">
        <f t="shared" si="56"/>
        <v>1.76</v>
      </c>
      <c r="L148" s="44">
        <f t="shared" si="56"/>
        <v>1.76</v>
      </c>
      <c r="M148" s="44">
        <f t="shared" si="56"/>
        <v>1.76</v>
      </c>
      <c r="N148" s="44">
        <f t="shared" si="56"/>
        <v>1.76</v>
      </c>
      <c r="O148" s="44">
        <f t="shared" si="56"/>
        <v>1.76</v>
      </c>
      <c r="P148" s="44">
        <f t="shared" si="56"/>
        <v>1.76</v>
      </c>
      <c r="Q148" s="44">
        <f t="shared" si="56"/>
        <v>1.76</v>
      </c>
      <c r="R148" s="44">
        <f t="shared" si="56"/>
        <v>1.76</v>
      </c>
      <c r="S148" s="44">
        <f t="shared" si="56"/>
        <v>1.76</v>
      </c>
      <c r="T148" s="44">
        <f t="shared" ref="T148:AF149" si="57">S148</f>
        <v>1.76</v>
      </c>
      <c r="U148" s="44">
        <f t="shared" si="57"/>
        <v>1.76</v>
      </c>
      <c r="V148" s="44">
        <f t="shared" si="57"/>
        <v>1.76</v>
      </c>
      <c r="W148" s="44">
        <f t="shared" si="57"/>
        <v>1.76</v>
      </c>
      <c r="X148" s="44">
        <f t="shared" si="57"/>
        <v>1.76</v>
      </c>
      <c r="Y148" s="44">
        <f t="shared" si="57"/>
        <v>1.76</v>
      </c>
      <c r="Z148" s="44">
        <f t="shared" si="57"/>
        <v>1.76</v>
      </c>
      <c r="AA148" s="44">
        <f t="shared" si="57"/>
        <v>1.76</v>
      </c>
      <c r="AB148" s="44">
        <f t="shared" si="57"/>
        <v>1.76</v>
      </c>
      <c r="AC148" s="44">
        <f t="shared" si="57"/>
        <v>1.76</v>
      </c>
      <c r="AD148" s="44">
        <f t="shared" si="57"/>
        <v>1.76</v>
      </c>
      <c r="AE148" s="44">
        <f t="shared" si="57"/>
        <v>1.76</v>
      </c>
      <c r="AF148" s="44">
        <f t="shared" si="57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6"/>
        <v>0</v>
      </c>
      <c r="E149" s="44">
        <f t="shared" si="56"/>
        <v>0</v>
      </c>
      <c r="F149" s="44">
        <f t="shared" si="56"/>
        <v>0</v>
      </c>
      <c r="G149" s="44">
        <f t="shared" si="56"/>
        <v>0</v>
      </c>
      <c r="H149" s="44">
        <f t="shared" si="56"/>
        <v>0</v>
      </c>
      <c r="I149" s="44">
        <f t="shared" si="56"/>
        <v>0</v>
      </c>
      <c r="J149" s="44">
        <f t="shared" si="56"/>
        <v>0</v>
      </c>
      <c r="K149" s="44">
        <f t="shared" si="56"/>
        <v>0</v>
      </c>
      <c r="L149" s="44">
        <f t="shared" si="56"/>
        <v>0</v>
      </c>
      <c r="M149" s="44">
        <f t="shared" si="56"/>
        <v>0</v>
      </c>
      <c r="N149" s="44">
        <f t="shared" si="56"/>
        <v>0</v>
      </c>
      <c r="O149" s="44">
        <f t="shared" si="56"/>
        <v>0</v>
      </c>
      <c r="P149" s="44">
        <f t="shared" si="56"/>
        <v>0</v>
      </c>
      <c r="Q149" s="44">
        <f t="shared" si="56"/>
        <v>0</v>
      </c>
      <c r="R149" s="44">
        <f t="shared" si="56"/>
        <v>0</v>
      </c>
      <c r="S149" s="44">
        <f t="shared" si="56"/>
        <v>0</v>
      </c>
      <c r="T149" s="44">
        <f t="shared" si="57"/>
        <v>0</v>
      </c>
      <c r="U149" s="44">
        <f t="shared" si="57"/>
        <v>0</v>
      </c>
      <c r="V149" s="44">
        <f t="shared" si="57"/>
        <v>0</v>
      </c>
      <c r="W149" s="44">
        <f t="shared" si="57"/>
        <v>0</v>
      </c>
      <c r="X149" s="44">
        <f t="shared" si="57"/>
        <v>0</v>
      </c>
      <c r="Y149" s="44">
        <f t="shared" si="57"/>
        <v>0</v>
      </c>
      <c r="Z149" s="44">
        <f t="shared" si="57"/>
        <v>0</v>
      </c>
      <c r="AA149" s="44">
        <f t="shared" si="57"/>
        <v>0</v>
      </c>
      <c r="AB149" s="44">
        <f t="shared" si="57"/>
        <v>0</v>
      </c>
      <c r="AC149" s="44">
        <f t="shared" si="57"/>
        <v>0</v>
      </c>
      <c r="AD149" s="44">
        <f t="shared" si="57"/>
        <v>0</v>
      </c>
      <c r="AE149" s="44">
        <f t="shared" si="57"/>
        <v>0</v>
      </c>
      <c r="AF149" s="44">
        <f t="shared" si="57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8">C151</f>
        <v>0.1</v>
      </c>
      <c r="E151" s="44">
        <f t="shared" si="58"/>
        <v>0.1</v>
      </c>
      <c r="F151" s="44">
        <f t="shared" si="58"/>
        <v>0.1</v>
      </c>
      <c r="G151" s="44">
        <f t="shared" si="58"/>
        <v>0.1</v>
      </c>
      <c r="H151" s="44">
        <f t="shared" si="58"/>
        <v>0.1</v>
      </c>
      <c r="I151" s="44">
        <f t="shared" si="58"/>
        <v>0.1</v>
      </c>
      <c r="J151" s="44">
        <f t="shared" si="58"/>
        <v>0.1</v>
      </c>
      <c r="K151" s="44">
        <f t="shared" si="58"/>
        <v>0.1</v>
      </c>
      <c r="L151" s="44">
        <f t="shared" si="58"/>
        <v>0.1</v>
      </c>
      <c r="M151" s="44">
        <f t="shared" si="58"/>
        <v>0.1</v>
      </c>
      <c r="N151" s="44">
        <f t="shared" si="58"/>
        <v>0.1</v>
      </c>
      <c r="O151" s="44">
        <f t="shared" si="58"/>
        <v>0.1</v>
      </c>
      <c r="P151" s="44">
        <f t="shared" si="58"/>
        <v>0.1</v>
      </c>
      <c r="Q151" s="44">
        <f t="shared" si="58"/>
        <v>0.1</v>
      </c>
      <c r="R151" s="44">
        <f t="shared" si="58"/>
        <v>0.1</v>
      </c>
      <c r="S151" s="44">
        <f t="shared" si="58"/>
        <v>0.1</v>
      </c>
      <c r="T151" s="44">
        <f t="shared" ref="T151:AF154" si="59">S151</f>
        <v>0.1</v>
      </c>
      <c r="U151" s="44">
        <f t="shared" si="59"/>
        <v>0.1</v>
      </c>
      <c r="V151" s="44">
        <f t="shared" si="59"/>
        <v>0.1</v>
      </c>
      <c r="W151" s="44">
        <f t="shared" si="59"/>
        <v>0.1</v>
      </c>
      <c r="X151" s="44">
        <f t="shared" si="59"/>
        <v>0.1</v>
      </c>
      <c r="Y151" s="44">
        <f t="shared" si="59"/>
        <v>0.1</v>
      </c>
      <c r="Z151" s="44">
        <f t="shared" si="59"/>
        <v>0.1</v>
      </c>
      <c r="AA151" s="44">
        <f t="shared" si="59"/>
        <v>0.1</v>
      </c>
      <c r="AB151" s="44">
        <f t="shared" si="59"/>
        <v>0.1</v>
      </c>
      <c r="AC151" s="44">
        <f t="shared" si="59"/>
        <v>0.1</v>
      </c>
      <c r="AD151" s="44">
        <f t="shared" si="59"/>
        <v>0.1</v>
      </c>
      <c r="AE151" s="44">
        <f t="shared" si="59"/>
        <v>0.1</v>
      </c>
      <c r="AF151" s="44">
        <f t="shared" si="59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8"/>
        <v>2.0499999999999998</v>
      </c>
      <c r="E152" s="44">
        <f t="shared" si="58"/>
        <v>2.0499999999999998</v>
      </c>
      <c r="F152" s="44">
        <f t="shared" si="58"/>
        <v>2.0499999999999998</v>
      </c>
      <c r="G152" s="44">
        <f t="shared" si="58"/>
        <v>2.0499999999999998</v>
      </c>
      <c r="H152" s="44">
        <f t="shared" si="58"/>
        <v>2.0499999999999998</v>
      </c>
      <c r="I152" s="44">
        <f t="shared" si="58"/>
        <v>2.0499999999999998</v>
      </c>
      <c r="J152" s="44">
        <f t="shared" si="58"/>
        <v>2.0499999999999998</v>
      </c>
      <c r="K152" s="44">
        <f t="shared" si="58"/>
        <v>2.0499999999999998</v>
      </c>
      <c r="L152" s="44">
        <f t="shared" si="58"/>
        <v>2.0499999999999998</v>
      </c>
      <c r="M152" s="44">
        <f t="shared" si="58"/>
        <v>2.0499999999999998</v>
      </c>
      <c r="N152" s="44">
        <f t="shared" si="58"/>
        <v>2.0499999999999998</v>
      </c>
      <c r="O152" s="44">
        <f t="shared" si="58"/>
        <v>2.0499999999999998</v>
      </c>
      <c r="P152" s="44">
        <f t="shared" si="58"/>
        <v>2.0499999999999998</v>
      </c>
      <c r="Q152" s="44">
        <f t="shared" si="58"/>
        <v>2.0499999999999998</v>
      </c>
      <c r="R152" s="44">
        <f t="shared" si="58"/>
        <v>2.0499999999999998</v>
      </c>
      <c r="S152" s="44">
        <f t="shared" si="58"/>
        <v>2.0499999999999998</v>
      </c>
      <c r="T152" s="44">
        <f t="shared" si="59"/>
        <v>2.0499999999999998</v>
      </c>
      <c r="U152" s="44">
        <f t="shared" si="59"/>
        <v>2.0499999999999998</v>
      </c>
      <c r="V152" s="44">
        <f t="shared" si="59"/>
        <v>2.0499999999999998</v>
      </c>
      <c r="W152" s="44">
        <f t="shared" si="59"/>
        <v>2.0499999999999998</v>
      </c>
      <c r="X152" s="44">
        <f t="shared" si="59"/>
        <v>2.0499999999999998</v>
      </c>
      <c r="Y152" s="44">
        <f t="shared" si="59"/>
        <v>2.0499999999999998</v>
      </c>
      <c r="Z152" s="44">
        <f t="shared" si="59"/>
        <v>2.0499999999999998</v>
      </c>
      <c r="AA152" s="44">
        <f t="shared" si="59"/>
        <v>2.0499999999999998</v>
      </c>
      <c r="AB152" s="44">
        <f t="shared" si="59"/>
        <v>2.0499999999999998</v>
      </c>
      <c r="AC152" s="44">
        <f t="shared" si="59"/>
        <v>2.0499999999999998</v>
      </c>
      <c r="AD152" s="44">
        <f t="shared" si="59"/>
        <v>2.0499999999999998</v>
      </c>
      <c r="AE152" s="44">
        <f t="shared" si="59"/>
        <v>2.0499999999999998</v>
      </c>
      <c r="AF152" s="44">
        <f t="shared" si="59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8"/>
        <v>2.7</v>
      </c>
      <c r="E153" s="44">
        <f t="shared" si="58"/>
        <v>2.7</v>
      </c>
      <c r="F153" s="44">
        <f t="shared" si="58"/>
        <v>2.7</v>
      </c>
      <c r="G153" s="44">
        <f t="shared" si="58"/>
        <v>2.7</v>
      </c>
      <c r="H153" s="44">
        <f t="shared" si="58"/>
        <v>2.7</v>
      </c>
      <c r="I153" s="44">
        <f t="shared" si="58"/>
        <v>2.7</v>
      </c>
      <c r="J153" s="44">
        <f t="shared" si="58"/>
        <v>2.7</v>
      </c>
      <c r="K153" s="44">
        <f t="shared" si="58"/>
        <v>2.7</v>
      </c>
      <c r="L153" s="44">
        <f t="shared" si="58"/>
        <v>2.7</v>
      </c>
      <c r="M153" s="44">
        <f t="shared" si="58"/>
        <v>2.7</v>
      </c>
      <c r="N153" s="44">
        <f t="shared" si="58"/>
        <v>2.7</v>
      </c>
      <c r="O153" s="44">
        <f t="shared" si="58"/>
        <v>2.7</v>
      </c>
      <c r="P153" s="44">
        <f t="shared" si="58"/>
        <v>2.7</v>
      </c>
      <c r="Q153" s="44">
        <f t="shared" si="58"/>
        <v>2.7</v>
      </c>
      <c r="R153" s="44">
        <f t="shared" si="58"/>
        <v>2.7</v>
      </c>
      <c r="S153" s="44">
        <f t="shared" si="58"/>
        <v>2.7</v>
      </c>
      <c r="T153" s="44">
        <f t="shared" si="59"/>
        <v>2.7</v>
      </c>
      <c r="U153" s="44">
        <f t="shared" si="59"/>
        <v>2.7</v>
      </c>
      <c r="V153" s="44">
        <f t="shared" si="59"/>
        <v>2.7</v>
      </c>
      <c r="W153" s="44">
        <f t="shared" si="59"/>
        <v>2.7</v>
      </c>
      <c r="X153" s="44">
        <f t="shared" si="59"/>
        <v>2.7</v>
      </c>
      <c r="Y153" s="44">
        <f t="shared" si="59"/>
        <v>2.7</v>
      </c>
      <c r="Z153" s="44">
        <f t="shared" si="59"/>
        <v>2.7</v>
      </c>
      <c r="AA153" s="44">
        <f t="shared" si="59"/>
        <v>2.7</v>
      </c>
      <c r="AB153" s="44">
        <f t="shared" si="59"/>
        <v>2.7</v>
      </c>
      <c r="AC153" s="44">
        <f t="shared" si="59"/>
        <v>2.7</v>
      </c>
      <c r="AD153" s="44">
        <f t="shared" si="59"/>
        <v>2.7</v>
      </c>
      <c r="AE153" s="44">
        <f t="shared" si="59"/>
        <v>2.7</v>
      </c>
      <c r="AF153" s="44">
        <f t="shared" si="59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8"/>
        <v>2.15</v>
      </c>
      <c r="E154" s="44">
        <f t="shared" si="58"/>
        <v>2.15</v>
      </c>
      <c r="F154" s="44">
        <f t="shared" si="58"/>
        <v>2.15</v>
      </c>
      <c r="G154" s="44">
        <f t="shared" si="58"/>
        <v>2.15</v>
      </c>
      <c r="H154" s="44">
        <f t="shared" si="58"/>
        <v>2.15</v>
      </c>
      <c r="I154" s="44">
        <f t="shared" si="58"/>
        <v>2.15</v>
      </c>
      <c r="J154" s="44">
        <f t="shared" si="58"/>
        <v>2.15</v>
      </c>
      <c r="K154" s="44">
        <f t="shared" si="58"/>
        <v>2.15</v>
      </c>
      <c r="L154" s="44">
        <f t="shared" si="58"/>
        <v>2.15</v>
      </c>
      <c r="M154" s="44">
        <f t="shared" si="58"/>
        <v>2.15</v>
      </c>
      <c r="N154" s="44">
        <f t="shared" si="58"/>
        <v>2.15</v>
      </c>
      <c r="O154" s="44">
        <f t="shared" si="58"/>
        <v>2.15</v>
      </c>
      <c r="P154" s="44">
        <f t="shared" si="58"/>
        <v>2.15</v>
      </c>
      <c r="Q154" s="44">
        <f t="shared" si="58"/>
        <v>2.15</v>
      </c>
      <c r="R154" s="44">
        <f t="shared" si="58"/>
        <v>2.15</v>
      </c>
      <c r="S154" s="44">
        <f t="shared" si="58"/>
        <v>2.15</v>
      </c>
      <c r="T154" s="44">
        <f t="shared" si="59"/>
        <v>2.15</v>
      </c>
      <c r="U154" s="44">
        <f t="shared" si="59"/>
        <v>2.15</v>
      </c>
      <c r="V154" s="44">
        <f t="shared" si="59"/>
        <v>2.15</v>
      </c>
      <c r="W154" s="44">
        <f t="shared" si="59"/>
        <v>2.15</v>
      </c>
      <c r="X154" s="44">
        <f t="shared" si="59"/>
        <v>2.15</v>
      </c>
      <c r="Y154" s="44">
        <f t="shared" si="59"/>
        <v>2.15</v>
      </c>
      <c r="Z154" s="44">
        <f t="shared" si="59"/>
        <v>2.15</v>
      </c>
      <c r="AA154" s="44">
        <f t="shared" si="59"/>
        <v>2.15</v>
      </c>
      <c r="AB154" s="44">
        <f t="shared" si="59"/>
        <v>2.15</v>
      </c>
      <c r="AC154" s="44">
        <f t="shared" si="59"/>
        <v>2.15</v>
      </c>
      <c r="AD154" s="44">
        <f t="shared" si="59"/>
        <v>2.15</v>
      </c>
      <c r="AE154" s="44">
        <f t="shared" si="59"/>
        <v>2.15</v>
      </c>
      <c r="AF154" s="44">
        <f t="shared" si="59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0">AF156</f>
        <v>0.9</v>
      </c>
      <c r="C156" s="55">
        <v>0.9</v>
      </c>
      <c r="D156" s="44">
        <f t="shared" ref="D156:S168" si="61">C156</f>
        <v>0.9</v>
      </c>
      <c r="E156" s="44">
        <f t="shared" si="61"/>
        <v>0.9</v>
      </c>
      <c r="F156" s="44">
        <f t="shared" si="61"/>
        <v>0.9</v>
      </c>
      <c r="G156" s="44">
        <f t="shared" si="61"/>
        <v>0.9</v>
      </c>
      <c r="H156" s="44">
        <f t="shared" si="61"/>
        <v>0.9</v>
      </c>
      <c r="I156" s="44">
        <f t="shared" si="61"/>
        <v>0.9</v>
      </c>
      <c r="J156" s="44">
        <f t="shared" si="61"/>
        <v>0.9</v>
      </c>
      <c r="K156" s="44">
        <f t="shared" si="61"/>
        <v>0.9</v>
      </c>
      <c r="L156" s="44">
        <f t="shared" si="61"/>
        <v>0.9</v>
      </c>
      <c r="M156" s="44">
        <f t="shared" si="61"/>
        <v>0.9</v>
      </c>
      <c r="N156" s="44">
        <f t="shared" si="61"/>
        <v>0.9</v>
      </c>
      <c r="O156" s="44">
        <f t="shared" si="61"/>
        <v>0.9</v>
      </c>
      <c r="P156" s="44">
        <f t="shared" si="61"/>
        <v>0.9</v>
      </c>
      <c r="Q156" s="44">
        <f t="shared" si="61"/>
        <v>0.9</v>
      </c>
      <c r="R156" s="44">
        <f t="shared" si="61"/>
        <v>0.9</v>
      </c>
      <c r="S156" s="44">
        <f t="shared" si="61"/>
        <v>0.9</v>
      </c>
      <c r="T156" s="44">
        <f t="shared" ref="S156:AF168" si="62">S156</f>
        <v>0.9</v>
      </c>
      <c r="U156" s="44">
        <f t="shared" si="62"/>
        <v>0.9</v>
      </c>
      <c r="V156" s="44">
        <f t="shared" si="62"/>
        <v>0.9</v>
      </c>
      <c r="W156" s="44">
        <f t="shared" si="62"/>
        <v>0.9</v>
      </c>
      <c r="X156" s="44">
        <f t="shared" si="62"/>
        <v>0.9</v>
      </c>
      <c r="Y156" s="44">
        <f t="shared" si="62"/>
        <v>0.9</v>
      </c>
      <c r="Z156" s="44">
        <f t="shared" si="62"/>
        <v>0.9</v>
      </c>
      <c r="AA156" s="44">
        <f t="shared" si="62"/>
        <v>0.9</v>
      </c>
      <c r="AB156" s="44">
        <f t="shared" si="62"/>
        <v>0.9</v>
      </c>
      <c r="AC156" s="44">
        <f t="shared" si="62"/>
        <v>0.9</v>
      </c>
      <c r="AD156" s="44">
        <f t="shared" si="62"/>
        <v>0.9</v>
      </c>
      <c r="AE156" s="44">
        <f t="shared" si="62"/>
        <v>0.9</v>
      </c>
      <c r="AF156" s="44">
        <f t="shared" si="62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0"/>
        <v>1.08</v>
      </c>
      <c r="C157" s="55">
        <v>1.08</v>
      </c>
      <c r="D157" s="44">
        <f t="shared" si="61"/>
        <v>1.08</v>
      </c>
      <c r="E157" s="44">
        <f t="shared" si="61"/>
        <v>1.08</v>
      </c>
      <c r="F157" s="44">
        <f t="shared" si="61"/>
        <v>1.08</v>
      </c>
      <c r="G157" s="44">
        <f t="shared" si="61"/>
        <v>1.08</v>
      </c>
      <c r="H157" s="44">
        <f t="shared" si="61"/>
        <v>1.08</v>
      </c>
      <c r="I157" s="44">
        <f t="shared" si="61"/>
        <v>1.08</v>
      </c>
      <c r="J157" s="44">
        <f t="shared" si="61"/>
        <v>1.08</v>
      </c>
      <c r="K157" s="44">
        <f t="shared" si="61"/>
        <v>1.08</v>
      </c>
      <c r="L157" s="44">
        <f t="shared" si="61"/>
        <v>1.08</v>
      </c>
      <c r="M157" s="44">
        <f t="shared" si="61"/>
        <v>1.08</v>
      </c>
      <c r="N157" s="44">
        <f t="shared" si="61"/>
        <v>1.08</v>
      </c>
      <c r="O157" s="44">
        <f t="shared" si="61"/>
        <v>1.08</v>
      </c>
      <c r="P157" s="44">
        <f t="shared" si="61"/>
        <v>1.08</v>
      </c>
      <c r="Q157" s="44">
        <f t="shared" si="61"/>
        <v>1.08</v>
      </c>
      <c r="R157" s="44">
        <f t="shared" si="61"/>
        <v>1.08</v>
      </c>
      <c r="S157" s="44">
        <f t="shared" si="61"/>
        <v>1.08</v>
      </c>
      <c r="T157" s="44">
        <f t="shared" si="62"/>
        <v>1.08</v>
      </c>
      <c r="U157" s="44">
        <f t="shared" si="62"/>
        <v>1.08</v>
      </c>
      <c r="V157" s="44">
        <f t="shared" si="62"/>
        <v>1.08</v>
      </c>
      <c r="W157" s="44">
        <f t="shared" si="62"/>
        <v>1.08</v>
      </c>
      <c r="X157" s="44">
        <f t="shared" si="62"/>
        <v>1.08</v>
      </c>
      <c r="Y157" s="44">
        <f t="shared" si="62"/>
        <v>1.08</v>
      </c>
      <c r="Z157" s="44">
        <f t="shared" si="62"/>
        <v>1.08</v>
      </c>
      <c r="AA157" s="44">
        <f t="shared" si="62"/>
        <v>1.08</v>
      </c>
      <c r="AB157" s="44">
        <f t="shared" si="62"/>
        <v>1.08</v>
      </c>
      <c r="AC157" s="44">
        <f t="shared" si="62"/>
        <v>1.08</v>
      </c>
      <c r="AD157" s="44">
        <f t="shared" si="62"/>
        <v>1.08</v>
      </c>
      <c r="AE157" s="44">
        <f t="shared" si="62"/>
        <v>1.08</v>
      </c>
      <c r="AF157" s="44">
        <f t="shared" si="62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0"/>
        <v>2.37</v>
      </c>
      <c r="C158" s="55">
        <v>2.37</v>
      </c>
      <c r="D158" s="44">
        <f t="shared" si="61"/>
        <v>2.37</v>
      </c>
      <c r="E158" s="44">
        <f t="shared" si="61"/>
        <v>2.37</v>
      </c>
      <c r="F158" s="44">
        <f t="shared" si="61"/>
        <v>2.37</v>
      </c>
      <c r="G158" s="44">
        <f t="shared" si="61"/>
        <v>2.37</v>
      </c>
      <c r="H158" s="44">
        <f t="shared" si="61"/>
        <v>2.37</v>
      </c>
      <c r="I158" s="44">
        <f t="shared" si="61"/>
        <v>2.37</v>
      </c>
      <c r="J158" s="44">
        <f t="shared" si="61"/>
        <v>2.37</v>
      </c>
      <c r="K158" s="44">
        <f t="shared" si="61"/>
        <v>2.37</v>
      </c>
      <c r="L158" s="44">
        <f t="shared" si="61"/>
        <v>2.37</v>
      </c>
      <c r="M158" s="44">
        <f t="shared" si="61"/>
        <v>2.37</v>
      </c>
      <c r="N158" s="44">
        <f t="shared" si="61"/>
        <v>2.37</v>
      </c>
      <c r="O158" s="44">
        <f t="shared" si="61"/>
        <v>2.37</v>
      </c>
      <c r="P158" s="44">
        <f t="shared" si="61"/>
        <v>2.37</v>
      </c>
      <c r="Q158" s="44">
        <f t="shared" si="61"/>
        <v>2.37</v>
      </c>
      <c r="R158" s="44">
        <f t="shared" si="61"/>
        <v>2.37</v>
      </c>
      <c r="S158" s="44">
        <f t="shared" si="61"/>
        <v>2.37</v>
      </c>
      <c r="T158" s="44">
        <f t="shared" si="62"/>
        <v>2.37</v>
      </c>
      <c r="U158" s="44">
        <f t="shared" si="62"/>
        <v>2.37</v>
      </c>
      <c r="V158" s="44">
        <f t="shared" si="62"/>
        <v>2.37</v>
      </c>
      <c r="W158" s="44">
        <f t="shared" si="62"/>
        <v>2.37</v>
      </c>
      <c r="X158" s="44">
        <f t="shared" si="62"/>
        <v>2.37</v>
      </c>
      <c r="Y158" s="44">
        <f t="shared" si="62"/>
        <v>2.37</v>
      </c>
      <c r="Z158" s="44">
        <f t="shared" si="62"/>
        <v>2.37</v>
      </c>
      <c r="AA158" s="44">
        <f t="shared" si="62"/>
        <v>2.37</v>
      </c>
      <c r="AB158" s="44">
        <f t="shared" si="62"/>
        <v>2.37</v>
      </c>
      <c r="AC158" s="44">
        <f t="shared" si="62"/>
        <v>2.37</v>
      </c>
      <c r="AD158" s="44">
        <f t="shared" si="62"/>
        <v>2.37</v>
      </c>
      <c r="AE158" s="44">
        <f t="shared" si="62"/>
        <v>2.37</v>
      </c>
      <c r="AF158" s="44">
        <f t="shared" si="62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0"/>
        <v>1.81</v>
      </c>
      <c r="C159" s="55">
        <v>1.81</v>
      </c>
      <c r="D159" s="44">
        <f t="shared" si="61"/>
        <v>1.81</v>
      </c>
      <c r="E159" s="44">
        <f t="shared" si="61"/>
        <v>1.81</v>
      </c>
      <c r="F159" s="44">
        <f t="shared" si="61"/>
        <v>1.81</v>
      </c>
      <c r="G159" s="44">
        <f t="shared" si="61"/>
        <v>1.81</v>
      </c>
      <c r="H159" s="44">
        <f t="shared" si="61"/>
        <v>1.81</v>
      </c>
      <c r="I159" s="44">
        <f t="shared" si="61"/>
        <v>1.81</v>
      </c>
      <c r="J159" s="44">
        <f t="shared" si="61"/>
        <v>1.81</v>
      </c>
      <c r="K159" s="44">
        <f t="shared" si="61"/>
        <v>1.81</v>
      </c>
      <c r="L159" s="44">
        <f t="shared" si="61"/>
        <v>1.81</v>
      </c>
      <c r="M159" s="44">
        <f t="shared" si="61"/>
        <v>1.81</v>
      </c>
      <c r="N159" s="44">
        <f t="shared" si="61"/>
        <v>1.81</v>
      </c>
      <c r="O159" s="44">
        <f t="shared" si="61"/>
        <v>1.81</v>
      </c>
      <c r="P159" s="44">
        <f t="shared" si="61"/>
        <v>1.81</v>
      </c>
      <c r="Q159" s="44">
        <f t="shared" si="61"/>
        <v>1.81</v>
      </c>
      <c r="R159" s="44">
        <f t="shared" si="61"/>
        <v>1.81</v>
      </c>
      <c r="S159" s="44">
        <f t="shared" si="61"/>
        <v>1.81</v>
      </c>
      <c r="T159" s="44">
        <f t="shared" si="62"/>
        <v>1.81</v>
      </c>
      <c r="U159" s="44">
        <f t="shared" si="62"/>
        <v>1.81</v>
      </c>
      <c r="V159" s="44">
        <f t="shared" si="62"/>
        <v>1.81</v>
      </c>
      <c r="W159" s="44">
        <f t="shared" si="62"/>
        <v>1.81</v>
      </c>
      <c r="X159" s="44">
        <f t="shared" si="62"/>
        <v>1.81</v>
      </c>
      <c r="Y159" s="44">
        <f t="shared" si="62"/>
        <v>1.81</v>
      </c>
      <c r="Z159" s="44">
        <f t="shared" si="62"/>
        <v>1.81</v>
      </c>
      <c r="AA159" s="44">
        <f t="shared" si="62"/>
        <v>1.81</v>
      </c>
      <c r="AB159" s="44">
        <f t="shared" si="62"/>
        <v>1.81</v>
      </c>
      <c r="AC159" s="44">
        <f t="shared" si="62"/>
        <v>1.81</v>
      </c>
      <c r="AD159" s="44">
        <f t="shared" si="62"/>
        <v>1.81</v>
      </c>
      <c r="AE159" s="44">
        <f t="shared" si="62"/>
        <v>1.81</v>
      </c>
      <c r="AF159" s="44">
        <f t="shared" si="6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0"/>
        <v>1.0900000000000001</v>
      </c>
      <c r="C160" s="55">
        <v>1.0900000000000001</v>
      </c>
      <c r="D160" s="44">
        <f t="shared" si="61"/>
        <v>1.0900000000000001</v>
      </c>
      <c r="E160" s="44">
        <f t="shared" si="61"/>
        <v>1.0900000000000001</v>
      </c>
      <c r="F160" s="44">
        <f t="shared" si="61"/>
        <v>1.0900000000000001</v>
      </c>
      <c r="G160" s="44">
        <f t="shared" si="61"/>
        <v>1.0900000000000001</v>
      </c>
      <c r="H160" s="44">
        <f t="shared" si="61"/>
        <v>1.0900000000000001</v>
      </c>
      <c r="I160" s="44">
        <f t="shared" si="61"/>
        <v>1.0900000000000001</v>
      </c>
      <c r="J160" s="44">
        <f t="shared" si="61"/>
        <v>1.0900000000000001</v>
      </c>
      <c r="K160" s="44">
        <f t="shared" si="61"/>
        <v>1.0900000000000001</v>
      </c>
      <c r="L160" s="44">
        <f t="shared" si="61"/>
        <v>1.0900000000000001</v>
      </c>
      <c r="M160" s="44">
        <f t="shared" si="61"/>
        <v>1.0900000000000001</v>
      </c>
      <c r="N160" s="44">
        <f t="shared" si="61"/>
        <v>1.0900000000000001</v>
      </c>
      <c r="O160" s="44">
        <f t="shared" si="61"/>
        <v>1.0900000000000001</v>
      </c>
      <c r="P160" s="44">
        <f t="shared" si="61"/>
        <v>1.0900000000000001</v>
      </c>
      <c r="Q160" s="44">
        <f t="shared" si="61"/>
        <v>1.0900000000000001</v>
      </c>
      <c r="R160" s="44">
        <f t="shared" si="61"/>
        <v>1.0900000000000001</v>
      </c>
      <c r="S160" s="44">
        <f t="shared" si="61"/>
        <v>1.0900000000000001</v>
      </c>
      <c r="T160" s="44">
        <f t="shared" si="62"/>
        <v>1.0900000000000001</v>
      </c>
      <c r="U160" s="44">
        <f t="shared" si="62"/>
        <v>1.0900000000000001</v>
      </c>
      <c r="V160" s="44">
        <f t="shared" si="62"/>
        <v>1.0900000000000001</v>
      </c>
      <c r="W160" s="44">
        <f t="shared" si="62"/>
        <v>1.0900000000000001</v>
      </c>
      <c r="X160" s="44">
        <f t="shared" si="62"/>
        <v>1.0900000000000001</v>
      </c>
      <c r="Y160" s="44">
        <f t="shared" si="62"/>
        <v>1.0900000000000001</v>
      </c>
      <c r="Z160" s="44">
        <f t="shared" si="62"/>
        <v>1.0900000000000001</v>
      </c>
      <c r="AA160" s="44">
        <f t="shared" si="62"/>
        <v>1.0900000000000001</v>
      </c>
      <c r="AB160" s="44">
        <f t="shared" si="62"/>
        <v>1.0900000000000001</v>
      </c>
      <c r="AC160" s="44">
        <f t="shared" si="62"/>
        <v>1.0900000000000001</v>
      </c>
      <c r="AD160" s="44">
        <f t="shared" si="62"/>
        <v>1.0900000000000001</v>
      </c>
      <c r="AE160" s="44">
        <f t="shared" si="62"/>
        <v>1.0900000000000001</v>
      </c>
      <c r="AF160" s="44">
        <f t="shared" si="62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0"/>
        <v>1.58</v>
      </c>
      <c r="C161" s="55">
        <v>1.58</v>
      </c>
      <c r="D161" s="44">
        <f t="shared" si="61"/>
        <v>1.58</v>
      </c>
      <c r="E161" s="44">
        <f t="shared" si="61"/>
        <v>1.58</v>
      </c>
      <c r="F161" s="44">
        <f t="shared" si="61"/>
        <v>1.58</v>
      </c>
      <c r="G161" s="44">
        <f t="shared" si="61"/>
        <v>1.58</v>
      </c>
      <c r="H161" s="44">
        <f t="shared" si="61"/>
        <v>1.58</v>
      </c>
      <c r="I161" s="44">
        <f t="shared" si="61"/>
        <v>1.58</v>
      </c>
      <c r="J161" s="44">
        <f t="shared" si="61"/>
        <v>1.58</v>
      </c>
      <c r="K161" s="44">
        <f t="shared" si="61"/>
        <v>1.58</v>
      </c>
      <c r="L161" s="44">
        <f t="shared" si="61"/>
        <v>1.58</v>
      </c>
      <c r="M161" s="44">
        <f t="shared" si="61"/>
        <v>1.58</v>
      </c>
      <c r="N161" s="44">
        <f t="shared" si="61"/>
        <v>1.58</v>
      </c>
      <c r="O161" s="44">
        <f t="shared" si="61"/>
        <v>1.58</v>
      </c>
      <c r="P161" s="44">
        <f t="shared" si="61"/>
        <v>1.58</v>
      </c>
      <c r="Q161" s="44">
        <f t="shared" si="61"/>
        <v>1.58</v>
      </c>
      <c r="R161" s="44">
        <f t="shared" si="61"/>
        <v>1.58</v>
      </c>
      <c r="S161" s="44">
        <f t="shared" si="61"/>
        <v>1.58</v>
      </c>
      <c r="T161" s="44">
        <f t="shared" si="62"/>
        <v>1.58</v>
      </c>
      <c r="U161" s="44">
        <f t="shared" si="62"/>
        <v>1.58</v>
      </c>
      <c r="V161" s="44">
        <f t="shared" si="62"/>
        <v>1.58</v>
      </c>
      <c r="W161" s="44">
        <f t="shared" si="62"/>
        <v>1.58</v>
      </c>
      <c r="X161" s="44">
        <f t="shared" si="62"/>
        <v>1.58</v>
      </c>
      <c r="Y161" s="44">
        <f t="shared" si="62"/>
        <v>1.58</v>
      </c>
      <c r="Z161" s="44">
        <f t="shared" si="62"/>
        <v>1.58</v>
      </c>
      <c r="AA161" s="44">
        <f t="shared" si="62"/>
        <v>1.58</v>
      </c>
      <c r="AB161" s="44">
        <f t="shared" si="62"/>
        <v>1.58</v>
      </c>
      <c r="AC161" s="44">
        <f t="shared" si="62"/>
        <v>1.58</v>
      </c>
      <c r="AD161" s="44">
        <f t="shared" si="62"/>
        <v>1.58</v>
      </c>
      <c r="AE161" s="44">
        <f t="shared" si="62"/>
        <v>1.58</v>
      </c>
      <c r="AF161" s="44">
        <f t="shared" si="62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0"/>
        <v>2</v>
      </c>
      <c r="C162" s="55">
        <v>2</v>
      </c>
      <c r="D162" s="44">
        <f t="shared" si="61"/>
        <v>2</v>
      </c>
      <c r="E162" s="44">
        <f t="shared" si="61"/>
        <v>2</v>
      </c>
      <c r="F162" s="44">
        <f t="shared" si="61"/>
        <v>2</v>
      </c>
      <c r="G162" s="44">
        <f t="shared" si="61"/>
        <v>2</v>
      </c>
      <c r="H162" s="44">
        <f t="shared" si="61"/>
        <v>2</v>
      </c>
      <c r="I162" s="44">
        <f t="shared" si="61"/>
        <v>2</v>
      </c>
      <c r="J162" s="44">
        <f t="shared" si="61"/>
        <v>2</v>
      </c>
      <c r="K162" s="44">
        <f t="shared" si="61"/>
        <v>2</v>
      </c>
      <c r="L162" s="44">
        <f t="shared" si="61"/>
        <v>2</v>
      </c>
      <c r="M162" s="44">
        <f t="shared" si="61"/>
        <v>2</v>
      </c>
      <c r="N162" s="44">
        <f t="shared" si="61"/>
        <v>2</v>
      </c>
      <c r="O162" s="44">
        <f t="shared" si="61"/>
        <v>2</v>
      </c>
      <c r="P162" s="44">
        <f t="shared" si="61"/>
        <v>2</v>
      </c>
      <c r="Q162" s="44">
        <f t="shared" si="61"/>
        <v>2</v>
      </c>
      <c r="R162" s="44">
        <f t="shared" si="61"/>
        <v>2</v>
      </c>
      <c r="S162" s="44">
        <f t="shared" si="61"/>
        <v>2</v>
      </c>
      <c r="T162" s="44">
        <f t="shared" si="62"/>
        <v>2</v>
      </c>
      <c r="U162" s="44">
        <f t="shared" si="62"/>
        <v>2</v>
      </c>
      <c r="V162" s="44">
        <f t="shared" si="62"/>
        <v>2</v>
      </c>
      <c r="W162" s="44">
        <f t="shared" si="62"/>
        <v>2</v>
      </c>
      <c r="X162" s="44">
        <f t="shared" si="62"/>
        <v>2</v>
      </c>
      <c r="Y162" s="44">
        <f t="shared" si="62"/>
        <v>2</v>
      </c>
      <c r="Z162" s="44">
        <f t="shared" si="62"/>
        <v>2</v>
      </c>
      <c r="AA162" s="44">
        <f t="shared" si="62"/>
        <v>2</v>
      </c>
      <c r="AB162" s="44">
        <f t="shared" si="62"/>
        <v>2</v>
      </c>
      <c r="AC162" s="44">
        <f t="shared" si="62"/>
        <v>2</v>
      </c>
      <c r="AD162" s="44">
        <f t="shared" si="62"/>
        <v>2</v>
      </c>
      <c r="AE162" s="44">
        <f t="shared" si="62"/>
        <v>2</v>
      </c>
      <c r="AF162" s="44">
        <f t="shared" si="62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0"/>
        <v>0.47</v>
      </c>
      <c r="C163" s="55">
        <v>0.47</v>
      </c>
      <c r="D163" s="44">
        <f t="shared" si="61"/>
        <v>0.47</v>
      </c>
      <c r="E163" s="44">
        <f t="shared" si="61"/>
        <v>0.47</v>
      </c>
      <c r="F163" s="44">
        <f t="shared" si="61"/>
        <v>0.47</v>
      </c>
      <c r="G163" s="44">
        <f t="shared" si="61"/>
        <v>0.47</v>
      </c>
      <c r="H163" s="44">
        <f t="shared" si="61"/>
        <v>0.47</v>
      </c>
      <c r="I163" s="44">
        <f t="shared" si="61"/>
        <v>0.47</v>
      </c>
      <c r="J163" s="44">
        <f t="shared" si="61"/>
        <v>0.47</v>
      </c>
      <c r="K163" s="44">
        <f t="shared" si="61"/>
        <v>0.47</v>
      </c>
      <c r="L163" s="44">
        <f t="shared" si="61"/>
        <v>0.47</v>
      </c>
      <c r="M163" s="44">
        <f t="shared" si="61"/>
        <v>0.47</v>
      </c>
      <c r="N163" s="44">
        <f t="shared" si="61"/>
        <v>0.47</v>
      </c>
      <c r="O163" s="44">
        <f t="shared" si="61"/>
        <v>0.47</v>
      </c>
      <c r="P163" s="44">
        <f t="shared" si="61"/>
        <v>0.47</v>
      </c>
      <c r="Q163" s="44">
        <f t="shared" si="61"/>
        <v>0.47</v>
      </c>
      <c r="R163" s="44">
        <f t="shared" si="61"/>
        <v>0.47</v>
      </c>
      <c r="S163" s="44">
        <f t="shared" si="61"/>
        <v>0.47</v>
      </c>
      <c r="T163" s="44">
        <f t="shared" si="62"/>
        <v>0.47</v>
      </c>
      <c r="U163" s="44">
        <f t="shared" si="62"/>
        <v>0.47</v>
      </c>
      <c r="V163" s="44">
        <f t="shared" si="62"/>
        <v>0.47</v>
      </c>
      <c r="W163" s="44">
        <f t="shared" si="62"/>
        <v>0.47</v>
      </c>
      <c r="X163" s="44">
        <f t="shared" si="62"/>
        <v>0.47</v>
      </c>
      <c r="Y163" s="44">
        <f t="shared" si="62"/>
        <v>0.47</v>
      </c>
      <c r="Z163" s="44">
        <f t="shared" si="62"/>
        <v>0.47</v>
      </c>
      <c r="AA163" s="44">
        <f t="shared" si="62"/>
        <v>0.47</v>
      </c>
      <c r="AB163" s="44">
        <f t="shared" si="62"/>
        <v>0.47</v>
      </c>
      <c r="AC163" s="44">
        <f t="shared" si="62"/>
        <v>0.47</v>
      </c>
      <c r="AD163" s="44">
        <f t="shared" si="62"/>
        <v>0.47</v>
      </c>
      <c r="AE163" s="44">
        <f t="shared" si="62"/>
        <v>0.47</v>
      </c>
      <c r="AF163" s="44">
        <f t="shared" si="62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0"/>
        <v>0</v>
      </c>
      <c r="C164" s="55">
        <v>0</v>
      </c>
      <c r="D164" s="44">
        <f t="shared" si="61"/>
        <v>0</v>
      </c>
      <c r="E164" s="44">
        <f t="shared" si="61"/>
        <v>0</v>
      </c>
      <c r="F164" s="44">
        <f t="shared" si="61"/>
        <v>0</v>
      </c>
      <c r="G164" s="44">
        <f t="shared" si="61"/>
        <v>0</v>
      </c>
      <c r="H164" s="44">
        <f t="shared" si="61"/>
        <v>0</v>
      </c>
      <c r="I164" s="44">
        <f t="shared" si="61"/>
        <v>0</v>
      </c>
      <c r="J164" s="44">
        <f t="shared" si="61"/>
        <v>0</v>
      </c>
      <c r="K164" s="44">
        <f t="shared" si="61"/>
        <v>0</v>
      </c>
      <c r="L164" s="44">
        <f t="shared" si="61"/>
        <v>0</v>
      </c>
      <c r="M164" s="44">
        <f t="shared" si="61"/>
        <v>0</v>
      </c>
      <c r="N164" s="44">
        <f t="shared" si="61"/>
        <v>0</v>
      </c>
      <c r="O164" s="44">
        <f t="shared" si="61"/>
        <v>0</v>
      </c>
      <c r="P164" s="44">
        <f t="shared" si="61"/>
        <v>0</v>
      </c>
      <c r="Q164" s="44">
        <f t="shared" si="61"/>
        <v>0</v>
      </c>
      <c r="R164" s="44">
        <f t="shared" si="61"/>
        <v>0</v>
      </c>
      <c r="S164" s="44">
        <f t="shared" si="61"/>
        <v>0</v>
      </c>
      <c r="T164" s="44">
        <f t="shared" si="62"/>
        <v>0</v>
      </c>
      <c r="U164" s="44">
        <f t="shared" si="62"/>
        <v>0</v>
      </c>
      <c r="V164" s="44">
        <f t="shared" si="62"/>
        <v>0</v>
      </c>
      <c r="W164" s="44">
        <f t="shared" si="62"/>
        <v>0</v>
      </c>
      <c r="X164" s="44">
        <f t="shared" si="62"/>
        <v>0</v>
      </c>
      <c r="Y164" s="44">
        <f t="shared" si="62"/>
        <v>0</v>
      </c>
      <c r="Z164" s="44">
        <f t="shared" si="62"/>
        <v>0</v>
      </c>
      <c r="AA164" s="44">
        <f t="shared" si="62"/>
        <v>0</v>
      </c>
      <c r="AB164" s="44">
        <f t="shared" si="62"/>
        <v>0</v>
      </c>
      <c r="AC164" s="44">
        <f t="shared" si="62"/>
        <v>0</v>
      </c>
      <c r="AD164" s="44">
        <f t="shared" si="62"/>
        <v>0</v>
      </c>
      <c r="AE164" s="44">
        <f t="shared" si="62"/>
        <v>0</v>
      </c>
      <c r="AF164" s="44">
        <f t="shared" si="62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0"/>
        <v>0</v>
      </c>
      <c r="C165" s="55">
        <v>0</v>
      </c>
      <c r="D165" s="44">
        <f t="shared" si="61"/>
        <v>0</v>
      </c>
      <c r="E165" s="44">
        <f t="shared" si="61"/>
        <v>0</v>
      </c>
      <c r="F165" s="44">
        <f t="shared" si="61"/>
        <v>0</v>
      </c>
      <c r="G165" s="44">
        <f t="shared" si="61"/>
        <v>0</v>
      </c>
      <c r="H165" s="44">
        <f t="shared" si="61"/>
        <v>0</v>
      </c>
      <c r="I165" s="44">
        <f t="shared" si="61"/>
        <v>0</v>
      </c>
      <c r="J165" s="44">
        <f t="shared" si="61"/>
        <v>0</v>
      </c>
      <c r="K165" s="44">
        <f t="shared" si="61"/>
        <v>0</v>
      </c>
      <c r="L165" s="44">
        <f t="shared" si="61"/>
        <v>0</v>
      </c>
      <c r="M165" s="44">
        <f t="shared" si="61"/>
        <v>0</v>
      </c>
      <c r="N165" s="44">
        <f t="shared" si="61"/>
        <v>0</v>
      </c>
      <c r="O165" s="44">
        <f t="shared" si="61"/>
        <v>0</v>
      </c>
      <c r="P165" s="44">
        <f t="shared" si="61"/>
        <v>0</v>
      </c>
      <c r="Q165" s="44">
        <f t="shared" si="61"/>
        <v>0</v>
      </c>
      <c r="R165" s="44">
        <f t="shared" si="61"/>
        <v>0</v>
      </c>
      <c r="S165" s="44">
        <f t="shared" si="62"/>
        <v>0</v>
      </c>
      <c r="T165" s="44">
        <f t="shared" si="62"/>
        <v>0</v>
      </c>
      <c r="U165" s="44">
        <f t="shared" si="62"/>
        <v>0</v>
      </c>
      <c r="V165" s="44">
        <f t="shared" si="62"/>
        <v>0</v>
      </c>
      <c r="W165" s="44">
        <f t="shared" si="62"/>
        <v>0</v>
      </c>
      <c r="X165" s="44">
        <f t="shared" si="62"/>
        <v>0</v>
      </c>
      <c r="Y165" s="44">
        <f t="shared" si="62"/>
        <v>0</v>
      </c>
      <c r="Z165" s="44">
        <f t="shared" si="62"/>
        <v>0</v>
      </c>
      <c r="AA165" s="44">
        <f t="shared" si="62"/>
        <v>0</v>
      </c>
      <c r="AB165" s="44">
        <f t="shared" si="62"/>
        <v>0</v>
      </c>
      <c r="AC165" s="44">
        <f t="shared" si="62"/>
        <v>0</v>
      </c>
      <c r="AD165" s="44">
        <f t="shared" si="62"/>
        <v>0</v>
      </c>
      <c r="AE165" s="44">
        <f t="shared" si="62"/>
        <v>0</v>
      </c>
      <c r="AF165" s="44">
        <f t="shared" si="62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0"/>
        <v>0.8</v>
      </c>
      <c r="C166" s="55">
        <v>0.8</v>
      </c>
      <c r="D166" s="44">
        <f t="shared" si="61"/>
        <v>0.8</v>
      </c>
      <c r="E166" s="44">
        <f t="shared" si="61"/>
        <v>0.8</v>
      </c>
      <c r="F166" s="44">
        <f t="shared" si="61"/>
        <v>0.8</v>
      </c>
      <c r="G166" s="44">
        <f t="shared" si="61"/>
        <v>0.8</v>
      </c>
      <c r="H166" s="44">
        <f t="shared" si="61"/>
        <v>0.8</v>
      </c>
      <c r="I166" s="44">
        <f t="shared" si="61"/>
        <v>0.8</v>
      </c>
      <c r="J166" s="44">
        <f t="shared" si="61"/>
        <v>0.8</v>
      </c>
      <c r="K166" s="44">
        <f t="shared" si="61"/>
        <v>0.8</v>
      </c>
      <c r="L166" s="44">
        <f t="shared" si="61"/>
        <v>0.8</v>
      </c>
      <c r="M166" s="44">
        <f t="shared" si="61"/>
        <v>0.8</v>
      </c>
      <c r="N166" s="44">
        <f t="shared" si="61"/>
        <v>0.8</v>
      </c>
      <c r="O166" s="44">
        <f t="shared" si="61"/>
        <v>0.8</v>
      </c>
      <c r="P166" s="44">
        <f t="shared" si="61"/>
        <v>0.8</v>
      </c>
      <c r="Q166" s="44">
        <f t="shared" si="61"/>
        <v>0.8</v>
      </c>
      <c r="R166" s="44">
        <f t="shared" si="61"/>
        <v>0.8</v>
      </c>
      <c r="S166" s="44">
        <f t="shared" si="62"/>
        <v>0.8</v>
      </c>
      <c r="T166" s="44">
        <f t="shared" si="62"/>
        <v>0.8</v>
      </c>
      <c r="U166" s="44">
        <f t="shared" si="62"/>
        <v>0.8</v>
      </c>
      <c r="V166" s="44">
        <f t="shared" si="62"/>
        <v>0.8</v>
      </c>
      <c r="W166" s="44">
        <f t="shared" si="62"/>
        <v>0.8</v>
      </c>
      <c r="X166" s="44">
        <f t="shared" si="62"/>
        <v>0.8</v>
      </c>
      <c r="Y166" s="44">
        <f t="shared" si="62"/>
        <v>0.8</v>
      </c>
      <c r="Z166" s="44">
        <f t="shared" si="62"/>
        <v>0.8</v>
      </c>
      <c r="AA166" s="44">
        <f t="shared" si="62"/>
        <v>0.8</v>
      </c>
      <c r="AB166" s="44">
        <f t="shared" si="62"/>
        <v>0.8</v>
      </c>
      <c r="AC166" s="44">
        <f t="shared" si="62"/>
        <v>0.8</v>
      </c>
      <c r="AD166" s="44">
        <f t="shared" si="62"/>
        <v>0.8</v>
      </c>
      <c r="AE166" s="44">
        <f t="shared" si="62"/>
        <v>0.8</v>
      </c>
      <c r="AF166" s="44">
        <f t="shared" si="62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0"/>
        <v>1.5</v>
      </c>
      <c r="C167" s="55">
        <v>1.5</v>
      </c>
      <c r="D167" s="44">
        <f t="shared" si="61"/>
        <v>1.5</v>
      </c>
      <c r="E167" s="44">
        <f t="shared" si="61"/>
        <v>1.5</v>
      </c>
      <c r="F167" s="44">
        <f t="shared" si="61"/>
        <v>1.5</v>
      </c>
      <c r="G167" s="44">
        <f t="shared" si="61"/>
        <v>1.5</v>
      </c>
      <c r="H167" s="44">
        <f t="shared" si="61"/>
        <v>1.5</v>
      </c>
      <c r="I167" s="44">
        <f t="shared" si="61"/>
        <v>1.5</v>
      </c>
      <c r="J167" s="44">
        <f t="shared" si="61"/>
        <v>1.5</v>
      </c>
      <c r="K167" s="44">
        <f t="shared" si="61"/>
        <v>1.5</v>
      </c>
      <c r="L167" s="44">
        <f t="shared" si="61"/>
        <v>1.5</v>
      </c>
      <c r="M167" s="44">
        <f t="shared" si="61"/>
        <v>1.5</v>
      </c>
      <c r="N167" s="44">
        <f t="shared" si="61"/>
        <v>1.5</v>
      </c>
      <c r="O167" s="44">
        <f t="shared" si="61"/>
        <v>1.5</v>
      </c>
      <c r="P167" s="44">
        <f t="shared" si="61"/>
        <v>1.5</v>
      </c>
      <c r="Q167" s="44">
        <f t="shared" si="61"/>
        <v>1.5</v>
      </c>
      <c r="R167" s="44">
        <f t="shared" si="61"/>
        <v>1.5</v>
      </c>
      <c r="S167" s="44">
        <f t="shared" si="62"/>
        <v>1.5</v>
      </c>
      <c r="T167" s="44">
        <f t="shared" si="62"/>
        <v>1.5</v>
      </c>
      <c r="U167" s="44">
        <f t="shared" si="62"/>
        <v>1.5</v>
      </c>
      <c r="V167" s="44">
        <f t="shared" si="62"/>
        <v>1.5</v>
      </c>
      <c r="W167" s="44">
        <f t="shared" si="62"/>
        <v>1.5</v>
      </c>
      <c r="X167" s="44">
        <f t="shared" si="62"/>
        <v>1.5</v>
      </c>
      <c r="Y167" s="44">
        <f t="shared" si="62"/>
        <v>1.5</v>
      </c>
      <c r="Z167" s="44">
        <f t="shared" si="62"/>
        <v>1.5</v>
      </c>
      <c r="AA167" s="44">
        <f t="shared" si="62"/>
        <v>1.5</v>
      </c>
      <c r="AB167" s="44">
        <f t="shared" si="62"/>
        <v>1.5</v>
      </c>
      <c r="AC167" s="44">
        <f t="shared" si="62"/>
        <v>1.5</v>
      </c>
      <c r="AD167" s="44">
        <f t="shared" si="62"/>
        <v>1.5</v>
      </c>
      <c r="AE167" s="44">
        <f t="shared" si="62"/>
        <v>1.5</v>
      </c>
      <c r="AF167" s="44">
        <f t="shared" si="62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0"/>
        <v>1</v>
      </c>
      <c r="C168" s="55">
        <v>1</v>
      </c>
      <c r="D168" s="44">
        <f t="shared" si="61"/>
        <v>1</v>
      </c>
      <c r="E168" s="44">
        <f t="shared" si="61"/>
        <v>1</v>
      </c>
      <c r="F168" s="44">
        <f t="shared" si="61"/>
        <v>1</v>
      </c>
      <c r="G168" s="44">
        <f t="shared" si="61"/>
        <v>1</v>
      </c>
      <c r="H168" s="44">
        <f t="shared" si="61"/>
        <v>1</v>
      </c>
      <c r="I168" s="44">
        <f t="shared" si="61"/>
        <v>1</v>
      </c>
      <c r="J168" s="44">
        <f t="shared" si="61"/>
        <v>1</v>
      </c>
      <c r="K168" s="44">
        <f t="shared" si="61"/>
        <v>1</v>
      </c>
      <c r="L168" s="44">
        <f t="shared" si="61"/>
        <v>1</v>
      </c>
      <c r="M168" s="44">
        <f t="shared" si="61"/>
        <v>1</v>
      </c>
      <c r="N168" s="44">
        <f t="shared" si="61"/>
        <v>1</v>
      </c>
      <c r="O168" s="44">
        <f t="shared" si="61"/>
        <v>1</v>
      </c>
      <c r="P168" s="44">
        <f t="shared" si="61"/>
        <v>1</v>
      </c>
      <c r="Q168" s="44">
        <f t="shared" si="61"/>
        <v>1</v>
      </c>
      <c r="R168" s="44">
        <f t="shared" si="61"/>
        <v>1</v>
      </c>
      <c r="S168" s="44">
        <f t="shared" si="62"/>
        <v>1</v>
      </c>
      <c r="T168" s="44">
        <f t="shared" si="62"/>
        <v>1</v>
      </c>
      <c r="U168" s="44">
        <f t="shared" si="62"/>
        <v>1</v>
      </c>
      <c r="V168" s="44">
        <f t="shared" si="62"/>
        <v>1</v>
      </c>
      <c r="W168" s="44">
        <f t="shared" si="62"/>
        <v>1</v>
      </c>
      <c r="X168" s="44">
        <f t="shared" si="62"/>
        <v>1</v>
      </c>
      <c r="Y168" s="44">
        <f t="shared" si="62"/>
        <v>1</v>
      </c>
      <c r="Z168" s="44">
        <f t="shared" si="62"/>
        <v>1</v>
      </c>
      <c r="AA168" s="44">
        <f t="shared" si="62"/>
        <v>1</v>
      </c>
      <c r="AB168" s="44">
        <f t="shared" si="62"/>
        <v>1</v>
      </c>
      <c r="AC168" s="44">
        <f t="shared" si="62"/>
        <v>1</v>
      </c>
      <c r="AD168" s="44">
        <f t="shared" si="62"/>
        <v>1</v>
      </c>
      <c r="AE168" s="44">
        <f t="shared" si="62"/>
        <v>1</v>
      </c>
      <c r="AF168" s="44">
        <f t="shared" si="62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3">AF170</f>
        <v>1</v>
      </c>
      <c r="C170" s="55">
        <v>1</v>
      </c>
      <c r="D170" s="44">
        <f t="shared" ref="D170:S177" si="64">C170</f>
        <v>1</v>
      </c>
      <c r="E170" s="44">
        <f t="shared" si="64"/>
        <v>1</v>
      </c>
      <c r="F170" s="44">
        <f t="shared" si="64"/>
        <v>1</v>
      </c>
      <c r="G170" s="44">
        <f t="shared" si="64"/>
        <v>1</v>
      </c>
      <c r="H170" s="44">
        <f t="shared" si="64"/>
        <v>1</v>
      </c>
      <c r="I170" s="44">
        <f t="shared" si="64"/>
        <v>1</v>
      </c>
      <c r="J170" s="44">
        <f t="shared" si="64"/>
        <v>1</v>
      </c>
      <c r="K170" s="44">
        <f t="shared" si="64"/>
        <v>1</v>
      </c>
      <c r="L170" s="44">
        <f t="shared" si="64"/>
        <v>1</v>
      </c>
      <c r="M170" s="44">
        <f t="shared" si="64"/>
        <v>1</v>
      </c>
      <c r="N170" s="44">
        <f t="shared" si="64"/>
        <v>1</v>
      </c>
      <c r="O170" s="44">
        <f t="shared" si="64"/>
        <v>1</v>
      </c>
      <c r="P170" s="44">
        <f t="shared" si="64"/>
        <v>1</v>
      </c>
      <c r="Q170" s="44">
        <f t="shared" si="64"/>
        <v>1</v>
      </c>
      <c r="R170" s="44">
        <f t="shared" si="64"/>
        <v>1</v>
      </c>
      <c r="S170" s="44">
        <f t="shared" si="64"/>
        <v>1</v>
      </c>
      <c r="T170" s="44">
        <f t="shared" ref="S170:AF177" si="65">S170</f>
        <v>1</v>
      </c>
      <c r="U170" s="44">
        <f t="shared" si="65"/>
        <v>1</v>
      </c>
      <c r="V170" s="44">
        <f t="shared" si="65"/>
        <v>1</v>
      </c>
      <c r="W170" s="44">
        <f t="shared" si="65"/>
        <v>1</v>
      </c>
      <c r="X170" s="44">
        <f t="shared" si="65"/>
        <v>1</v>
      </c>
      <c r="Y170" s="44">
        <f t="shared" si="65"/>
        <v>1</v>
      </c>
      <c r="Z170" s="44">
        <f t="shared" si="65"/>
        <v>1</v>
      </c>
      <c r="AA170" s="44">
        <f t="shared" si="65"/>
        <v>1</v>
      </c>
      <c r="AB170" s="44">
        <f t="shared" si="65"/>
        <v>1</v>
      </c>
      <c r="AC170" s="44">
        <f t="shared" si="65"/>
        <v>1</v>
      </c>
      <c r="AD170" s="44">
        <f t="shared" si="65"/>
        <v>1</v>
      </c>
      <c r="AE170" s="44">
        <f t="shared" si="65"/>
        <v>1</v>
      </c>
      <c r="AF170" s="44">
        <f t="shared" si="65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3"/>
        <v>0.42</v>
      </c>
      <c r="C171" s="55">
        <v>0.42</v>
      </c>
      <c r="D171" s="44">
        <f t="shared" si="64"/>
        <v>0.42</v>
      </c>
      <c r="E171" s="44">
        <f t="shared" si="64"/>
        <v>0.42</v>
      </c>
      <c r="F171" s="44">
        <f t="shared" si="64"/>
        <v>0.42</v>
      </c>
      <c r="G171" s="44">
        <f t="shared" si="64"/>
        <v>0.42</v>
      </c>
      <c r="H171" s="44">
        <f t="shared" si="64"/>
        <v>0.42</v>
      </c>
      <c r="I171" s="44">
        <f t="shared" si="64"/>
        <v>0.42</v>
      </c>
      <c r="J171" s="44">
        <f t="shared" si="64"/>
        <v>0.42</v>
      </c>
      <c r="K171" s="44">
        <f t="shared" si="64"/>
        <v>0.42</v>
      </c>
      <c r="L171" s="44">
        <f t="shared" si="64"/>
        <v>0.42</v>
      </c>
      <c r="M171" s="44">
        <f t="shared" si="64"/>
        <v>0.42</v>
      </c>
      <c r="N171" s="44">
        <f t="shared" si="64"/>
        <v>0.42</v>
      </c>
      <c r="O171" s="44">
        <f t="shared" si="64"/>
        <v>0.42</v>
      </c>
      <c r="P171" s="44">
        <f t="shared" si="64"/>
        <v>0.42</v>
      </c>
      <c r="Q171" s="44">
        <f t="shared" si="64"/>
        <v>0.42</v>
      </c>
      <c r="R171" s="44">
        <f t="shared" si="64"/>
        <v>0.42</v>
      </c>
      <c r="S171" s="44">
        <f t="shared" si="65"/>
        <v>0.42</v>
      </c>
      <c r="T171" s="44">
        <f t="shared" si="65"/>
        <v>0.42</v>
      </c>
      <c r="U171" s="44">
        <f t="shared" si="65"/>
        <v>0.42</v>
      </c>
      <c r="V171" s="44">
        <f t="shared" si="65"/>
        <v>0.42</v>
      </c>
      <c r="W171" s="44">
        <f t="shared" si="65"/>
        <v>0.42</v>
      </c>
      <c r="X171" s="44">
        <f t="shared" si="65"/>
        <v>0.42</v>
      </c>
      <c r="Y171" s="44">
        <f t="shared" si="65"/>
        <v>0.42</v>
      </c>
      <c r="Z171" s="44">
        <f t="shared" si="65"/>
        <v>0.42</v>
      </c>
      <c r="AA171" s="44">
        <f t="shared" si="65"/>
        <v>0.42</v>
      </c>
      <c r="AB171" s="44">
        <f t="shared" si="65"/>
        <v>0.42</v>
      </c>
      <c r="AC171" s="44">
        <f t="shared" si="65"/>
        <v>0.42</v>
      </c>
      <c r="AD171" s="44">
        <f t="shared" si="65"/>
        <v>0.42</v>
      </c>
      <c r="AE171" s="44">
        <f t="shared" si="65"/>
        <v>0.42</v>
      </c>
      <c r="AF171" s="44">
        <f t="shared" si="65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3"/>
        <v>0.46</v>
      </c>
      <c r="C172" s="55">
        <v>0.46</v>
      </c>
      <c r="D172" s="44">
        <f t="shared" si="64"/>
        <v>0.46</v>
      </c>
      <c r="E172" s="44">
        <f t="shared" si="64"/>
        <v>0.46</v>
      </c>
      <c r="F172" s="44">
        <f t="shared" si="64"/>
        <v>0.46</v>
      </c>
      <c r="G172" s="44">
        <f t="shared" si="64"/>
        <v>0.46</v>
      </c>
      <c r="H172" s="44">
        <f t="shared" si="64"/>
        <v>0.46</v>
      </c>
      <c r="I172" s="44">
        <f t="shared" si="64"/>
        <v>0.46</v>
      </c>
      <c r="J172" s="44">
        <f t="shared" si="64"/>
        <v>0.46</v>
      </c>
      <c r="K172" s="44">
        <f t="shared" si="64"/>
        <v>0.46</v>
      </c>
      <c r="L172" s="44">
        <f t="shared" si="64"/>
        <v>0.46</v>
      </c>
      <c r="M172" s="44">
        <f t="shared" si="64"/>
        <v>0.46</v>
      </c>
      <c r="N172" s="44">
        <f t="shared" si="64"/>
        <v>0.46</v>
      </c>
      <c r="O172" s="44">
        <f t="shared" si="64"/>
        <v>0.46</v>
      </c>
      <c r="P172" s="44">
        <f t="shared" si="64"/>
        <v>0.46</v>
      </c>
      <c r="Q172" s="44">
        <f t="shared" si="64"/>
        <v>0.46</v>
      </c>
      <c r="R172" s="44">
        <f t="shared" si="64"/>
        <v>0.46</v>
      </c>
      <c r="S172" s="44">
        <f t="shared" si="65"/>
        <v>0.46</v>
      </c>
      <c r="T172" s="44">
        <f t="shared" si="65"/>
        <v>0.46</v>
      </c>
      <c r="U172" s="44">
        <f t="shared" si="65"/>
        <v>0.46</v>
      </c>
      <c r="V172" s="44">
        <f t="shared" si="65"/>
        <v>0.46</v>
      </c>
      <c r="W172" s="44">
        <f t="shared" si="65"/>
        <v>0.46</v>
      </c>
      <c r="X172" s="44">
        <f t="shared" si="65"/>
        <v>0.46</v>
      </c>
      <c r="Y172" s="44">
        <f t="shared" si="65"/>
        <v>0.46</v>
      </c>
      <c r="Z172" s="44">
        <f t="shared" si="65"/>
        <v>0.46</v>
      </c>
      <c r="AA172" s="44">
        <f t="shared" si="65"/>
        <v>0.46</v>
      </c>
      <c r="AB172" s="44">
        <f t="shared" si="65"/>
        <v>0.46</v>
      </c>
      <c r="AC172" s="44">
        <f t="shared" si="65"/>
        <v>0.46</v>
      </c>
      <c r="AD172" s="44">
        <f t="shared" si="65"/>
        <v>0.46</v>
      </c>
      <c r="AE172" s="44">
        <f t="shared" si="65"/>
        <v>0.46</v>
      </c>
      <c r="AF172" s="44">
        <f t="shared" si="6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3"/>
        <v>0.85</v>
      </c>
      <c r="C173" s="55">
        <v>0.85</v>
      </c>
      <c r="D173" s="44">
        <f t="shared" si="64"/>
        <v>0.85</v>
      </c>
      <c r="E173" s="44">
        <f t="shared" si="64"/>
        <v>0.85</v>
      </c>
      <c r="F173" s="44">
        <f t="shared" si="64"/>
        <v>0.85</v>
      </c>
      <c r="G173" s="44">
        <f t="shared" si="64"/>
        <v>0.85</v>
      </c>
      <c r="H173" s="44">
        <f t="shared" si="64"/>
        <v>0.85</v>
      </c>
      <c r="I173" s="44">
        <f t="shared" si="64"/>
        <v>0.85</v>
      </c>
      <c r="J173" s="44">
        <f t="shared" si="64"/>
        <v>0.85</v>
      </c>
      <c r="K173" s="44">
        <f t="shared" si="64"/>
        <v>0.85</v>
      </c>
      <c r="L173" s="44">
        <f t="shared" si="64"/>
        <v>0.85</v>
      </c>
      <c r="M173" s="44">
        <f t="shared" si="64"/>
        <v>0.85</v>
      </c>
      <c r="N173" s="44">
        <f t="shared" si="64"/>
        <v>0.85</v>
      </c>
      <c r="O173" s="44">
        <f t="shared" si="64"/>
        <v>0.85</v>
      </c>
      <c r="P173" s="44">
        <f t="shared" si="64"/>
        <v>0.85</v>
      </c>
      <c r="Q173" s="44">
        <f t="shared" si="64"/>
        <v>0.85</v>
      </c>
      <c r="R173" s="44">
        <f t="shared" si="64"/>
        <v>0.85</v>
      </c>
      <c r="S173" s="44">
        <f t="shared" si="65"/>
        <v>0.85</v>
      </c>
      <c r="T173" s="44">
        <f t="shared" si="65"/>
        <v>0.85</v>
      </c>
      <c r="U173" s="44">
        <f t="shared" si="65"/>
        <v>0.85</v>
      </c>
      <c r="V173" s="44">
        <f t="shared" si="65"/>
        <v>0.85</v>
      </c>
      <c r="W173" s="44">
        <f t="shared" si="65"/>
        <v>0.85</v>
      </c>
      <c r="X173" s="44">
        <f t="shared" si="65"/>
        <v>0.85</v>
      </c>
      <c r="Y173" s="44">
        <f t="shared" si="65"/>
        <v>0.85</v>
      </c>
      <c r="Z173" s="44">
        <f t="shared" si="65"/>
        <v>0.85</v>
      </c>
      <c r="AA173" s="44">
        <f t="shared" si="65"/>
        <v>0.85</v>
      </c>
      <c r="AB173" s="44">
        <f t="shared" si="65"/>
        <v>0.85</v>
      </c>
      <c r="AC173" s="44">
        <f t="shared" si="65"/>
        <v>0.85</v>
      </c>
      <c r="AD173" s="44">
        <f t="shared" si="65"/>
        <v>0.85</v>
      </c>
      <c r="AE173" s="44">
        <f t="shared" si="65"/>
        <v>0.85</v>
      </c>
      <c r="AF173" s="44">
        <f t="shared" si="65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3"/>
        <v>0.9</v>
      </c>
      <c r="C174" s="55">
        <v>0.9</v>
      </c>
      <c r="D174" s="44">
        <f t="shared" si="64"/>
        <v>0.9</v>
      </c>
      <c r="E174" s="44">
        <f t="shared" si="64"/>
        <v>0.9</v>
      </c>
      <c r="F174" s="44">
        <f t="shared" si="64"/>
        <v>0.9</v>
      </c>
      <c r="G174" s="44">
        <f t="shared" si="64"/>
        <v>0.9</v>
      </c>
      <c r="H174" s="44">
        <f t="shared" si="64"/>
        <v>0.9</v>
      </c>
      <c r="I174" s="44">
        <f t="shared" si="64"/>
        <v>0.9</v>
      </c>
      <c r="J174" s="44">
        <f t="shared" si="64"/>
        <v>0.9</v>
      </c>
      <c r="K174" s="44">
        <f t="shared" si="64"/>
        <v>0.9</v>
      </c>
      <c r="L174" s="44">
        <f t="shared" si="64"/>
        <v>0.9</v>
      </c>
      <c r="M174" s="44">
        <f t="shared" si="64"/>
        <v>0.9</v>
      </c>
      <c r="N174" s="44">
        <f t="shared" si="64"/>
        <v>0.9</v>
      </c>
      <c r="O174" s="44">
        <f t="shared" si="64"/>
        <v>0.9</v>
      </c>
      <c r="P174" s="44">
        <f t="shared" si="64"/>
        <v>0.9</v>
      </c>
      <c r="Q174" s="44">
        <f t="shared" si="64"/>
        <v>0.9</v>
      </c>
      <c r="R174" s="44">
        <f t="shared" si="64"/>
        <v>0.9</v>
      </c>
      <c r="S174" s="44">
        <f t="shared" si="65"/>
        <v>0.9</v>
      </c>
      <c r="T174" s="44">
        <f t="shared" si="65"/>
        <v>0.9</v>
      </c>
      <c r="U174" s="44">
        <f t="shared" si="65"/>
        <v>0.9</v>
      </c>
      <c r="V174" s="44">
        <f t="shared" si="65"/>
        <v>0.9</v>
      </c>
      <c r="W174" s="44">
        <f t="shared" si="65"/>
        <v>0.9</v>
      </c>
      <c r="X174" s="44">
        <f t="shared" si="65"/>
        <v>0.9</v>
      </c>
      <c r="Y174" s="44">
        <f t="shared" si="65"/>
        <v>0.9</v>
      </c>
      <c r="Z174" s="44">
        <f t="shared" si="65"/>
        <v>0.9</v>
      </c>
      <c r="AA174" s="44">
        <f t="shared" si="65"/>
        <v>0.9</v>
      </c>
      <c r="AB174" s="44">
        <f t="shared" si="65"/>
        <v>0.9</v>
      </c>
      <c r="AC174" s="44">
        <f t="shared" si="65"/>
        <v>0.9</v>
      </c>
      <c r="AD174" s="44">
        <f t="shared" si="65"/>
        <v>0.9</v>
      </c>
      <c r="AE174" s="44">
        <f t="shared" si="65"/>
        <v>0.9</v>
      </c>
      <c r="AF174" s="44">
        <f t="shared" si="65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3"/>
        <v>0.44</v>
      </c>
      <c r="C175" s="55">
        <v>0.44</v>
      </c>
      <c r="D175" s="44">
        <f t="shared" si="64"/>
        <v>0.44</v>
      </c>
      <c r="E175" s="44">
        <f t="shared" si="64"/>
        <v>0.44</v>
      </c>
      <c r="F175" s="44">
        <f t="shared" si="64"/>
        <v>0.44</v>
      </c>
      <c r="G175" s="44">
        <f t="shared" si="64"/>
        <v>0.44</v>
      </c>
      <c r="H175" s="44">
        <f t="shared" si="64"/>
        <v>0.44</v>
      </c>
      <c r="I175" s="44">
        <f t="shared" si="64"/>
        <v>0.44</v>
      </c>
      <c r="J175" s="44">
        <f t="shared" si="64"/>
        <v>0.44</v>
      </c>
      <c r="K175" s="44">
        <f t="shared" si="64"/>
        <v>0.44</v>
      </c>
      <c r="L175" s="44">
        <f t="shared" si="64"/>
        <v>0.44</v>
      </c>
      <c r="M175" s="44">
        <f t="shared" si="64"/>
        <v>0.44</v>
      </c>
      <c r="N175" s="44">
        <f t="shared" si="64"/>
        <v>0.44</v>
      </c>
      <c r="O175" s="44">
        <f t="shared" si="64"/>
        <v>0.44</v>
      </c>
      <c r="P175" s="44">
        <f t="shared" si="64"/>
        <v>0.44</v>
      </c>
      <c r="Q175" s="44">
        <f t="shared" si="64"/>
        <v>0.44</v>
      </c>
      <c r="R175" s="44">
        <f t="shared" si="64"/>
        <v>0.44</v>
      </c>
      <c r="S175" s="44">
        <f t="shared" si="65"/>
        <v>0.44</v>
      </c>
      <c r="T175" s="44">
        <f t="shared" si="65"/>
        <v>0.44</v>
      </c>
      <c r="U175" s="44">
        <f t="shared" si="65"/>
        <v>0.44</v>
      </c>
      <c r="V175" s="44">
        <f t="shared" si="65"/>
        <v>0.44</v>
      </c>
      <c r="W175" s="44">
        <f t="shared" si="65"/>
        <v>0.44</v>
      </c>
      <c r="X175" s="44">
        <f t="shared" si="65"/>
        <v>0.44</v>
      </c>
      <c r="Y175" s="44">
        <f t="shared" si="65"/>
        <v>0.44</v>
      </c>
      <c r="Z175" s="44">
        <f t="shared" si="65"/>
        <v>0.44</v>
      </c>
      <c r="AA175" s="44">
        <f t="shared" si="65"/>
        <v>0.44</v>
      </c>
      <c r="AB175" s="44">
        <f t="shared" si="65"/>
        <v>0.44</v>
      </c>
      <c r="AC175" s="44">
        <f t="shared" si="65"/>
        <v>0.44</v>
      </c>
      <c r="AD175" s="44">
        <f t="shared" si="65"/>
        <v>0.44</v>
      </c>
      <c r="AE175" s="44">
        <f t="shared" si="65"/>
        <v>0.44</v>
      </c>
      <c r="AF175" s="44">
        <f t="shared" si="65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3"/>
        <v>2.1</v>
      </c>
      <c r="C176" s="55">
        <v>2.1</v>
      </c>
      <c r="D176" s="44">
        <f t="shared" si="64"/>
        <v>2.1</v>
      </c>
      <c r="E176" s="44">
        <f t="shared" si="64"/>
        <v>2.1</v>
      </c>
      <c r="F176" s="44">
        <f t="shared" si="64"/>
        <v>2.1</v>
      </c>
      <c r="G176" s="44">
        <f t="shared" si="64"/>
        <v>2.1</v>
      </c>
      <c r="H176" s="44">
        <f t="shared" si="64"/>
        <v>2.1</v>
      </c>
      <c r="I176" s="44">
        <f t="shared" si="64"/>
        <v>2.1</v>
      </c>
      <c r="J176" s="44">
        <f t="shared" si="64"/>
        <v>2.1</v>
      </c>
      <c r="K176" s="44">
        <f t="shared" si="64"/>
        <v>2.1</v>
      </c>
      <c r="L176" s="44">
        <f t="shared" si="64"/>
        <v>2.1</v>
      </c>
      <c r="M176" s="44">
        <f t="shared" si="64"/>
        <v>2.1</v>
      </c>
      <c r="N176" s="44">
        <f t="shared" si="64"/>
        <v>2.1</v>
      </c>
      <c r="O176" s="44">
        <f t="shared" si="64"/>
        <v>2.1</v>
      </c>
      <c r="P176" s="44">
        <f t="shared" si="64"/>
        <v>2.1</v>
      </c>
      <c r="Q176" s="44">
        <f t="shared" si="64"/>
        <v>2.1</v>
      </c>
      <c r="R176" s="44">
        <f t="shared" si="64"/>
        <v>2.1</v>
      </c>
      <c r="S176" s="44">
        <f t="shared" si="65"/>
        <v>2.1</v>
      </c>
      <c r="T176" s="44">
        <f t="shared" si="65"/>
        <v>2.1</v>
      </c>
      <c r="U176" s="44">
        <f t="shared" si="65"/>
        <v>2.1</v>
      </c>
      <c r="V176" s="44">
        <f t="shared" si="65"/>
        <v>2.1</v>
      </c>
      <c r="W176" s="44">
        <f t="shared" si="65"/>
        <v>2.1</v>
      </c>
      <c r="X176" s="44">
        <f t="shared" si="65"/>
        <v>2.1</v>
      </c>
      <c r="Y176" s="44">
        <f t="shared" si="65"/>
        <v>2.1</v>
      </c>
      <c r="Z176" s="44">
        <f t="shared" si="65"/>
        <v>2.1</v>
      </c>
      <c r="AA176" s="44">
        <f t="shared" si="65"/>
        <v>2.1</v>
      </c>
      <c r="AB176" s="44">
        <f t="shared" si="65"/>
        <v>2.1</v>
      </c>
      <c r="AC176" s="44">
        <f t="shared" si="65"/>
        <v>2.1</v>
      </c>
      <c r="AD176" s="44">
        <f t="shared" si="65"/>
        <v>2.1</v>
      </c>
      <c r="AE176" s="44">
        <f t="shared" si="65"/>
        <v>2.1</v>
      </c>
      <c r="AF176" s="44">
        <f t="shared" si="65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3"/>
        <v>0.9</v>
      </c>
      <c r="C177" s="55">
        <v>0.9</v>
      </c>
      <c r="D177" s="44">
        <f t="shared" si="64"/>
        <v>0.9</v>
      </c>
      <c r="E177" s="44">
        <f t="shared" si="64"/>
        <v>0.9</v>
      </c>
      <c r="F177" s="44">
        <f t="shared" si="64"/>
        <v>0.9</v>
      </c>
      <c r="G177" s="44">
        <f t="shared" si="64"/>
        <v>0.9</v>
      </c>
      <c r="H177" s="44">
        <f t="shared" si="64"/>
        <v>0.9</v>
      </c>
      <c r="I177" s="44">
        <f t="shared" si="64"/>
        <v>0.9</v>
      </c>
      <c r="J177" s="44">
        <f t="shared" si="64"/>
        <v>0.9</v>
      </c>
      <c r="K177" s="44">
        <f t="shared" si="64"/>
        <v>0.9</v>
      </c>
      <c r="L177" s="44">
        <f t="shared" si="64"/>
        <v>0.9</v>
      </c>
      <c r="M177" s="44">
        <f t="shared" si="64"/>
        <v>0.9</v>
      </c>
      <c r="N177" s="44">
        <f t="shared" si="64"/>
        <v>0.9</v>
      </c>
      <c r="O177" s="44">
        <f t="shared" si="64"/>
        <v>0.9</v>
      </c>
      <c r="P177" s="44">
        <f t="shared" si="64"/>
        <v>0.9</v>
      </c>
      <c r="Q177" s="44">
        <f t="shared" si="64"/>
        <v>0.9</v>
      </c>
      <c r="R177" s="44">
        <f t="shared" si="64"/>
        <v>0.9</v>
      </c>
      <c r="S177" s="44">
        <f t="shared" si="65"/>
        <v>0.9</v>
      </c>
      <c r="T177" s="44">
        <f t="shared" si="65"/>
        <v>0.9</v>
      </c>
      <c r="U177" s="44">
        <f t="shared" si="65"/>
        <v>0.9</v>
      </c>
      <c r="V177" s="44">
        <f t="shared" si="65"/>
        <v>0.9</v>
      </c>
      <c r="W177" s="44">
        <f t="shared" si="65"/>
        <v>0.9</v>
      </c>
      <c r="X177" s="44">
        <f t="shared" si="65"/>
        <v>0.9</v>
      </c>
      <c r="Y177" s="44">
        <f t="shared" si="65"/>
        <v>0.9</v>
      </c>
      <c r="Z177" s="44">
        <f t="shared" si="65"/>
        <v>0.9</v>
      </c>
      <c r="AA177" s="44">
        <f t="shared" si="65"/>
        <v>0.9</v>
      </c>
      <c r="AB177" s="44">
        <f t="shared" si="65"/>
        <v>0.9</v>
      </c>
      <c r="AC177" s="44">
        <f t="shared" si="65"/>
        <v>0.9</v>
      </c>
      <c r="AD177" s="44">
        <f t="shared" si="65"/>
        <v>0.9</v>
      </c>
      <c r="AE177" s="44">
        <f t="shared" si="65"/>
        <v>0.9</v>
      </c>
      <c r="AF177" s="44">
        <f t="shared" si="65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6">AF179</f>
        <v>0.57999999999999996</v>
      </c>
      <c r="C179" s="55">
        <v>0.57999999999999996</v>
      </c>
      <c r="D179" s="44">
        <f t="shared" ref="D179:S191" si="67">C179</f>
        <v>0.57999999999999996</v>
      </c>
      <c r="E179" s="44">
        <f t="shared" si="67"/>
        <v>0.57999999999999996</v>
      </c>
      <c r="F179" s="44">
        <f t="shared" si="67"/>
        <v>0.57999999999999996</v>
      </c>
      <c r="G179" s="44">
        <f t="shared" si="67"/>
        <v>0.57999999999999996</v>
      </c>
      <c r="H179" s="44">
        <f t="shared" si="67"/>
        <v>0.57999999999999996</v>
      </c>
      <c r="I179" s="44">
        <f t="shared" si="67"/>
        <v>0.57999999999999996</v>
      </c>
      <c r="J179" s="44">
        <f t="shared" si="67"/>
        <v>0.57999999999999996</v>
      </c>
      <c r="K179" s="44">
        <f t="shared" si="67"/>
        <v>0.57999999999999996</v>
      </c>
      <c r="L179" s="44">
        <f t="shared" si="67"/>
        <v>0.57999999999999996</v>
      </c>
      <c r="M179" s="44">
        <f t="shared" si="67"/>
        <v>0.57999999999999996</v>
      </c>
      <c r="N179" s="44">
        <f t="shared" si="67"/>
        <v>0.57999999999999996</v>
      </c>
      <c r="O179" s="44">
        <f t="shared" si="67"/>
        <v>0.57999999999999996</v>
      </c>
      <c r="P179" s="44">
        <f t="shared" si="67"/>
        <v>0.57999999999999996</v>
      </c>
      <c r="Q179" s="44">
        <f t="shared" si="67"/>
        <v>0.57999999999999996</v>
      </c>
      <c r="R179" s="44">
        <f t="shared" si="67"/>
        <v>0.57999999999999996</v>
      </c>
      <c r="S179" s="44">
        <f t="shared" si="67"/>
        <v>0.57999999999999996</v>
      </c>
      <c r="T179" s="44">
        <f t="shared" ref="S179:AF191" si="68">S179</f>
        <v>0.57999999999999996</v>
      </c>
      <c r="U179" s="44">
        <f t="shared" si="68"/>
        <v>0.57999999999999996</v>
      </c>
      <c r="V179" s="44">
        <f t="shared" si="68"/>
        <v>0.57999999999999996</v>
      </c>
      <c r="W179" s="44">
        <f t="shared" si="68"/>
        <v>0.57999999999999996</v>
      </c>
      <c r="X179" s="44">
        <f t="shared" si="68"/>
        <v>0.57999999999999996</v>
      </c>
      <c r="Y179" s="44">
        <f t="shared" si="68"/>
        <v>0.57999999999999996</v>
      </c>
      <c r="Z179" s="44">
        <f t="shared" si="68"/>
        <v>0.57999999999999996</v>
      </c>
      <c r="AA179" s="44">
        <f t="shared" si="68"/>
        <v>0.57999999999999996</v>
      </c>
      <c r="AB179" s="44">
        <f t="shared" si="68"/>
        <v>0.57999999999999996</v>
      </c>
      <c r="AC179" s="44">
        <f t="shared" si="68"/>
        <v>0.57999999999999996</v>
      </c>
      <c r="AD179" s="44">
        <f t="shared" si="68"/>
        <v>0.57999999999999996</v>
      </c>
      <c r="AE179" s="44">
        <f t="shared" si="68"/>
        <v>0.57999999999999996</v>
      </c>
      <c r="AF179" s="44">
        <f t="shared" si="68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6"/>
        <v>0.8</v>
      </c>
      <c r="C180" s="55">
        <v>0.8</v>
      </c>
      <c r="D180" s="44">
        <f t="shared" si="67"/>
        <v>0.8</v>
      </c>
      <c r="E180" s="44">
        <f t="shared" si="67"/>
        <v>0.8</v>
      </c>
      <c r="F180" s="44">
        <f t="shared" si="67"/>
        <v>0.8</v>
      </c>
      <c r="G180" s="44">
        <f t="shared" si="67"/>
        <v>0.8</v>
      </c>
      <c r="H180" s="44">
        <f t="shared" si="67"/>
        <v>0.8</v>
      </c>
      <c r="I180" s="44">
        <f t="shared" si="67"/>
        <v>0.8</v>
      </c>
      <c r="J180" s="44">
        <f t="shared" si="67"/>
        <v>0.8</v>
      </c>
      <c r="K180" s="44">
        <f t="shared" si="67"/>
        <v>0.8</v>
      </c>
      <c r="L180" s="44">
        <f t="shared" si="67"/>
        <v>0.8</v>
      </c>
      <c r="M180" s="44">
        <f t="shared" si="67"/>
        <v>0.8</v>
      </c>
      <c r="N180" s="44">
        <f t="shared" si="67"/>
        <v>0.8</v>
      </c>
      <c r="O180" s="44">
        <f t="shared" si="67"/>
        <v>0.8</v>
      </c>
      <c r="P180" s="44">
        <f t="shared" si="67"/>
        <v>0.8</v>
      </c>
      <c r="Q180" s="44">
        <f t="shared" si="67"/>
        <v>0.8</v>
      </c>
      <c r="R180" s="44">
        <f t="shared" si="67"/>
        <v>0.8</v>
      </c>
      <c r="S180" s="44">
        <f t="shared" si="67"/>
        <v>0.8</v>
      </c>
      <c r="T180" s="44">
        <f t="shared" si="68"/>
        <v>0.8</v>
      </c>
      <c r="U180" s="44">
        <f t="shared" si="68"/>
        <v>0.8</v>
      </c>
      <c r="V180" s="44">
        <f t="shared" si="68"/>
        <v>0.8</v>
      </c>
      <c r="W180" s="44">
        <f t="shared" si="68"/>
        <v>0.8</v>
      </c>
      <c r="X180" s="44">
        <f t="shared" si="68"/>
        <v>0.8</v>
      </c>
      <c r="Y180" s="44">
        <f t="shared" si="68"/>
        <v>0.8</v>
      </c>
      <c r="Z180" s="44">
        <f t="shared" si="68"/>
        <v>0.8</v>
      </c>
      <c r="AA180" s="44">
        <f t="shared" si="68"/>
        <v>0.8</v>
      </c>
      <c r="AB180" s="44">
        <f t="shared" si="68"/>
        <v>0.8</v>
      </c>
      <c r="AC180" s="44">
        <f t="shared" si="68"/>
        <v>0.8</v>
      </c>
      <c r="AD180" s="44">
        <f t="shared" si="68"/>
        <v>0.8</v>
      </c>
      <c r="AE180" s="44">
        <f t="shared" si="68"/>
        <v>0.8</v>
      </c>
      <c r="AF180" s="44">
        <f t="shared" si="68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6"/>
        <v>0</v>
      </c>
      <c r="C181" s="55">
        <v>0</v>
      </c>
      <c r="D181" s="44">
        <f t="shared" si="67"/>
        <v>0</v>
      </c>
      <c r="E181" s="44">
        <f t="shared" si="67"/>
        <v>0</v>
      </c>
      <c r="F181" s="44">
        <f t="shared" si="67"/>
        <v>0</v>
      </c>
      <c r="G181" s="44">
        <f t="shared" si="67"/>
        <v>0</v>
      </c>
      <c r="H181" s="44">
        <f t="shared" si="67"/>
        <v>0</v>
      </c>
      <c r="I181" s="44">
        <f t="shared" si="67"/>
        <v>0</v>
      </c>
      <c r="J181" s="44">
        <f t="shared" si="67"/>
        <v>0</v>
      </c>
      <c r="K181" s="44">
        <f t="shared" si="67"/>
        <v>0</v>
      </c>
      <c r="L181" s="44">
        <f t="shared" si="67"/>
        <v>0</v>
      </c>
      <c r="M181" s="44">
        <f t="shared" si="67"/>
        <v>0</v>
      </c>
      <c r="N181" s="44">
        <f t="shared" si="67"/>
        <v>0</v>
      </c>
      <c r="O181" s="44">
        <f t="shared" si="67"/>
        <v>0</v>
      </c>
      <c r="P181" s="44">
        <f t="shared" si="67"/>
        <v>0</v>
      </c>
      <c r="Q181" s="44">
        <f t="shared" si="67"/>
        <v>0</v>
      </c>
      <c r="R181" s="44">
        <f t="shared" si="67"/>
        <v>0</v>
      </c>
      <c r="S181" s="44">
        <f t="shared" si="67"/>
        <v>0</v>
      </c>
      <c r="T181" s="44">
        <f t="shared" si="68"/>
        <v>0</v>
      </c>
      <c r="U181" s="44">
        <f t="shared" si="68"/>
        <v>0</v>
      </c>
      <c r="V181" s="44">
        <f t="shared" si="68"/>
        <v>0</v>
      </c>
      <c r="W181" s="44">
        <f t="shared" si="68"/>
        <v>0</v>
      </c>
      <c r="X181" s="44">
        <f t="shared" si="68"/>
        <v>0</v>
      </c>
      <c r="Y181" s="44">
        <f t="shared" si="68"/>
        <v>0</v>
      </c>
      <c r="Z181" s="44">
        <f t="shared" si="68"/>
        <v>0</v>
      </c>
      <c r="AA181" s="44">
        <f t="shared" si="68"/>
        <v>0</v>
      </c>
      <c r="AB181" s="44">
        <f t="shared" si="68"/>
        <v>0</v>
      </c>
      <c r="AC181" s="44">
        <f t="shared" si="68"/>
        <v>0</v>
      </c>
      <c r="AD181" s="44">
        <f t="shared" si="68"/>
        <v>0</v>
      </c>
      <c r="AE181" s="44">
        <f t="shared" si="68"/>
        <v>0</v>
      </c>
      <c r="AF181" s="44">
        <f t="shared" si="68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6"/>
        <v>0.6</v>
      </c>
      <c r="C182" s="55">
        <v>0.6</v>
      </c>
      <c r="D182" s="44">
        <f t="shared" si="67"/>
        <v>0.6</v>
      </c>
      <c r="E182" s="44">
        <f t="shared" si="67"/>
        <v>0.6</v>
      </c>
      <c r="F182" s="44">
        <f t="shared" si="67"/>
        <v>0.6</v>
      </c>
      <c r="G182" s="44">
        <f t="shared" si="67"/>
        <v>0.6</v>
      </c>
      <c r="H182" s="44">
        <f t="shared" si="67"/>
        <v>0.6</v>
      </c>
      <c r="I182" s="44">
        <f t="shared" si="67"/>
        <v>0.6</v>
      </c>
      <c r="J182" s="44">
        <f t="shared" si="67"/>
        <v>0.6</v>
      </c>
      <c r="K182" s="44">
        <f t="shared" si="67"/>
        <v>0.6</v>
      </c>
      <c r="L182" s="44">
        <f t="shared" si="67"/>
        <v>0.6</v>
      </c>
      <c r="M182" s="44">
        <f t="shared" si="67"/>
        <v>0.6</v>
      </c>
      <c r="N182" s="44">
        <f t="shared" si="67"/>
        <v>0.6</v>
      </c>
      <c r="O182" s="44">
        <f t="shared" si="67"/>
        <v>0.6</v>
      </c>
      <c r="P182" s="44">
        <f t="shared" si="67"/>
        <v>0.6</v>
      </c>
      <c r="Q182" s="44">
        <f t="shared" si="67"/>
        <v>0.6</v>
      </c>
      <c r="R182" s="44">
        <f t="shared" si="67"/>
        <v>0.6</v>
      </c>
      <c r="S182" s="44">
        <f t="shared" si="67"/>
        <v>0.6</v>
      </c>
      <c r="T182" s="44">
        <f t="shared" si="68"/>
        <v>0.6</v>
      </c>
      <c r="U182" s="44">
        <f t="shared" si="68"/>
        <v>0.6</v>
      </c>
      <c r="V182" s="44">
        <f t="shared" si="68"/>
        <v>0.6</v>
      </c>
      <c r="W182" s="44">
        <f t="shared" si="68"/>
        <v>0.6</v>
      </c>
      <c r="X182" s="44">
        <f t="shared" si="68"/>
        <v>0.6</v>
      </c>
      <c r="Y182" s="44">
        <f t="shared" si="68"/>
        <v>0.6</v>
      </c>
      <c r="Z182" s="44">
        <f t="shared" si="68"/>
        <v>0.6</v>
      </c>
      <c r="AA182" s="44">
        <f t="shared" si="68"/>
        <v>0.6</v>
      </c>
      <c r="AB182" s="44">
        <f t="shared" si="68"/>
        <v>0.6</v>
      </c>
      <c r="AC182" s="44">
        <f t="shared" si="68"/>
        <v>0.6</v>
      </c>
      <c r="AD182" s="44">
        <f t="shared" si="68"/>
        <v>0.6</v>
      </c>
      <c r="AE182" s="44">
        <f t="shared" si="68"/>
        <v>0.6</v>
      </c>
      <c r="AF182" s="44">
        <f t="shared" si="68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6"/>
        <v>0.6</v>
      </c>
      <c r="C183" s="55">
        <v>0.6</v>
      </c>
      <c r="D183" s="44">
        <f t="shared" si="67"/>
        <v>0.6</v>
      </c>
      <c r="E183" s="44">
        <f t="shared" si="67"/>
        <v>0.6</v>
      </c>
      <c r="F183" s="44">
        <f t="shared" si="67"/>
        <v>0.6</v>
      </c>
      <c r="G183" s="44">
        <f t="shared" si="67"/>
        <v>0.6</v>
      </c>
      <c r="H183" s="44">
        <f t="shared" si="67"/>
        <v>0.6</v>
      </c>
      <c r="I183" s="44">
        <f t="shared" si="67"/>
        <v>0.6</v>
      </c>
      <c r="J183" s="44">
        <f t="shared" si="67"/>
        <v>0.6</v>
      </c>
      <c r="K183" s="44">
        <f t="shared" si="67"/>
        <v>0.6</v>
      </c>
      <c r="L183" s="44">
        <f t="shared" si="67"/>
        <v>0.6</v>
      </c>
      <c r="M183" s="44">
        <f t="shared" si="67"/>
        <v>0.6</v>
      </c>
      <c r="N183" s="44">
        <f t="shared" si="67"/>
        <v>0.6</v>
      </c>
      <c r="O183" s="44">
        <f t="shared" si="67"/>
        <v>0.6</v>
      </c>
      <c r="P183" s="44">
        <f t="shared" si="67"/>
        <v>0.6</v>
      </c>
      <c r="Q183" s="44">
        <f t="shared" si="67"/>
        <v>0.6</v>
      </c>
      <c r="R183" s="44">
        <f t="shared" si="67"/>
        <v>0.6</v>
      </c>
      <c r="S183" s="44">
        <f t="shared" si="67"/>
        <v>0.6</v>
      </c>
      <c r="T183" s="44">
        <f t="shared" si="68"/>
        <v>0.6</v>
      </c>
      <c r="U183" s="44">
        <f t="shared" si="68"/>
        <v>0.6</v>
      </c>
      <c r="V183" s="44">
        <f t="shared" si="68"/>
        <v>0.6</v>
      </c>
      <c r="W183" s="44">
        <f t="shared" si="68"/>
        <v>0.6</v>
      </c>
      <c r="X183" s="44">
        <f t="shared" si="68"/>
        <v>0.6</v>
      </c>
      <c r="Y183" s="44">
        <f t="shared" si="68"/>
        <v>0.6</v>
      </c>
      <c r="Z183" s="44">
        <f t="shared" si="68"/>
        <v>0.6</v>
      </c>
      <c r="AA183" s="44">
        <f t="shared" si="68"/>
        <v>0.6</v>
      </c>
      <c r="AB183" s="44">
        <f t="shared" si="68"/>
        <v>0.6</v>
      </c>
      <c r="AC183" s="44">
        <f t="shared" si="68"/>
        <v>0.6</v>
      </c>
      <c r="AD183" s="44">
        <f t="shared" si="68"/>
        <v>0.6</v>
      </c>
      <c r="AE183" s="44">
        <f t="shared" si="68"/>
        <v>0.6</v>
      </c>
      <c r="AF183" s="44">
        <f t="shared" si="68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6"/>
        <v>0.35</v>
      </c>
      <c r="C184" s="55">
        <v>0.35</v>
      </c>
      <c r="D184" s="44">
        <f t="shared" si="67"/>
        <v>0.35</v>
      </c>
      <c r="E184" s="44">
        <f t="shared" si="67"/>
        <v>0.35</v>
      </c>
      <c r="F184" s="44">
        <f t="shared" si="67"/>
        <v>0.35</v>
      </c>
      <c r="G184" s="44">
        <f t="shared" si="67"/>
        <v>0.35</v>
      </c>
      <c r="H184" s="44">
        <f t="shared" si="67"/>
        <v>0.35</v>
      </c>
      <c r="I184" s="44">
        <f t="shared" si="67"/>
        <v>0.35</v>
      </c>
      <c r="J184" s="44">
        <f t="shared" si="67"/>
        <v>0.35</v>
      </c>
      <c r="K184" s="44">
        <f t="shared" si="67"/>
        <v>0.35</v>
      </c>
      <c r="L184" s="44">
        <f t="shared" si="67"/>
        <v>0.35</v>
      </c>
      <c r="M184" s="44">
        <f t="shared" si="67"/>
        <v>0.35</v>
      </c>
      <c r="N184" s="44">
        <f t="shared" si="67"/>
        <v>0.35</v>
      </c>
      <c r="O184" s="44">
        <f t="shared" si="67"/>
        <v>0.35</v>
      </c>
      <c r="P184" s="44">
        <f t="shared" si="67"/>
        <v>0.35</v>
      </c>
      <c r="Q184" s="44">
        <f t="shared" si="67"/>
        <v>0.35</v>
      </c>
      <c r="R184" s="44">
        <f t="shared" si="67"/>
        <v>0.35</v>
      </c>
      <c r="S184" s="44">
        <f t="shared" si="67"/>
        <v>0.35</v>
      </c>
      <c r="T184" s="44">
        <f t="shared" si="68"/>
        <v>0.35</v>
      </c>
      <c r="U184" s="44">
        <f t="shared" si="68"/>
        <v>0.35</v>
      </c>
      <c r="V184" s="44">
        <f t="shared" si="68"/>
        <v>0.35</v>
      </c>
      <c r="W184" s="44">
        <f t="shared" si="68"/>
        <v>0.35</v>
      </c>
      <c r="X184" s="44">
        <f t="shared" si="68"/>
        <v>0.35</v>
      </c>
      <c r="Y184" s="44">
        <f t="shared" si="68"/>
        <v>0.35</v>
      </c>
      <c r="Z184" s="44">
        <f t="shared" si="68"/>
        <v>0.35</v>
      </c>
      <c r="AA184" s="44">
        <f t="shared" si="68"/>
        <v>0.35</v>
      </c>
      <c r="AB184" s="44">
        <f t="shared" si="68"/>
        <v>0.35</v>
      </c>
      <c r="AC184" s="44">
        <f t="shared" si="68"/>
        <v>0.35</v>
      </c>
      <c r="AD184" s="44">
        <f t="shared" si="68"/>
        <v>0.35</v>
      </c>
      <c r="AE184" s="44">
        <f t="shared" si="68"/>
        <v>0.35</v>
      </c>
      <c r="AF184" s="44">
        <f t="shared" si="68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6"/>
        <v>0.28999999999999998</v>
      </c>
      <c r="C185" s="55">
        <v>0.28999999999999998</v>
      </c>
      <c r="D185" s="44">
        <f t="shared" si="67"/>
        <v>0.28999999999999998</v>
      </c>
      <c r="E185" s="44">
        <f t="shared" si="67"/>
        <v>0.28999999999999998</v>
      </c>
      <c r="F185" s="44">
        <f t="shared" si="67"/>
        <v>0.28999999999999998</v>
      </c>
      <c r="G185" s="44">
        <f t="shared" si="67"/>
        <v>0.28999999999999998</v>
      </c>
      <c r="H185" s="44">
        <f t="shared" si="67"/>
        <v>0.28999999999999998</v>
      </c>
      <c r="I185" s="44">
        <f t="shared" si="67"/>
        <v>0.28999999999999998</v>
      </c>
      <c r="J185" s="44">
        <f t="shared" si="67"/>
        <v>0.28999999999999998</v>
      </c>
      <c r="K185" s="44">
        <f t="shared" si="67"/>
        <v>0.28999999999999998</v>
      </c>
      <c r="L185" s="44">
        <f t="shared" si="67"/>
        <v>0.28999999999999998</v>
      </c>
      <c r="M185" s="44">
        <f t="shared" si="67"/>
        <v>0.28999999999999998</v>
      </c>
      <c r="N185" s="44">
        <f t="shared" si="67"/>
        <v>0.28999999999999998</v>
      </c>
      <c r="O185" s="44">
        <f t="shared" si="67"/>
        <v>0.28999999999999998</v>
      </c>
      <c r="P185" s="44">
        <f t="shared" si="67"/>
        <v>0.28999999999999998</v>
      </c>
      <c r="Q185" s="44">
        <f t="shared" si="67"/>
        <v>0.28999999999999998</v>
      </c>
      <c r="R185" s="44">
        <f t="shared" si="67"/>
        <v>0.28999999999999998</v>
      </c>
      <c r="S185" s="44">
        <f t="shared" si="67"/>
        <v>0.28999999999999998</v>
      </c>
      <c r="T185" s="44">
        <f t="shared" si="68"/>
        <v>0.28999999999999998</v>
      </c>
      <c r="U185" s="44">
        <f t="shared" si="68"/>
        <v>0.28999999999999998</v>
      </c>
      <c r="V185" s="44">
        <f t="shared" si="68"/>
        <v>0.28999999999999998</v>
      </c>
      <c r="W185" s="44">
        <f t="shared" si="68"/>
        <v>0.28999999999999998</v>
      </c>
      <c r="X185" s="44">
        <f t="shared" si="68"/>
        <v>0.28999999999999998</v>
      </c>
      <c r="Y185" s="44">
        <f t="shared" si="68"/>
        <v>0.28999999999999998</v>
      </c>
      <c r="Z185" s="44">
        <f t="shared" si="68"/>
        <v>0.28999999999999998</v>
      </c>
      <c r="AA185" s="44">
        <f t="shared" si="68"/>
        <v>0.28999999999999998</v>
      </c>
      <c r="AB185" s="44">
        <f t="shared" si="68"/>
        <v>0.28999999999999998</v>
      </c>
      <c r="AC185" s="44">
        <f t="shared" si="68"/>
        <v>0.28999999999999998</v>
      </c>
      <c r="AD185" s="44">
        <f t="shared" si="68"/>
        <v>0.28999999999999998</v>
      </c>
      <c r="AE185" s="44">
        <f t="shared" si="68"/>
        <v>0.28999999999999998</v>
      </c>
      <c r="AF185" s="44">
        <f t="shared" si="6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6"/>
        <v>0.06</v>
      </c>
      <c r="C186" s="55">
        <v>0.06</v>
      </c>
      <c r="D186" s="44">
        <f t="shared" si="67"/>
        <v>0.06</v>
      </c>
      <c r="E186" s="44">
        <f t="shared" si="67"/>
        <v>0.06</v>
      </c>
      <c r="F186" s="44">
        <f t="shared" si="67"/>
        <v>0.06</v>
      </c>
      <c r="G186" s="44">
        <f t="shared" si="67"/>
        <v>0.06</v>
      </c>
      <c r="H186" s="44">
        <f t="shared" si="67"/>
        <v>0.06</v>
      </c>
      <c r="I186" s="44">
        <f t="shared" si="67"/>
        <v>0.06</v>
      </c>
      <c r="J186" s="44">
        <f t="shared" si="67"/>
        <v>0.06</v>
      </c>
      <c r="K186" s="44">
        <f t="shared" si="67"/>
        <v>0.06</v>
      </c>
      <c r="L186" s="44">
        <f t="shared" si="67"/>
        <v>0.06</v>
      </c>
      <c r="M186" s="44">
        <f t="shared" si="67"/>
        <v>0.06</v>
      </c>
      <c r="N186" s="44">
        <f t="shared" si="67"/>
        <v>0.06</v>
      </c>
      <c r="O186" s="44">
        <f t="shared" si="67"/>
        <v>0.06</v>
      </c>
      <c r="P186" s="44">
        <f t="shared" si="67"/>
        <v>0.06</v>
      </c>
      <c r="Q186" s="44">
        <f t="shared" si="67"/>
        <v>0.06</v>
      </c>
      <c r="R186" s="44">
        <f t="shared" si="67"/>
        <v>0.06</v>
      </c>
      <c r="S186" s="44">
        <f t="shared" si="67"/>
        <v>0.06</v>
      </c>
      <c r="T186" s="44">
        <f t="shared" si="68"/>
        <v>0.06</v>
      </c>
      <c r="U186" s="44">
        <f t="shared" si="68"/>
        <v>0.06</v>
      </c>
      <c r="V186" s="44">
        <f t="shared" si="68"/>
        <v>0.06</v>
      </c>
      <c r="W186" s="44">
        <f t="shared" si="68"/>
        <v>0.06</v>
      </c>
      <c r="X186" s="44">
        <f t="shared" si="68"/>
        <v>0.06</v>
      </c>
      <c r="Y186" s="44">
        <f t="shared" si="68"/>
        <v>0.06</v>
      </c>
      <c r="Z186" s="44">
        <f t="shared" si="68"/>
        <v>0.06</v>
      </c>
      <c r="AA186" s="44">
        <f t="shared" si="68"/>
        <v>0.06</v>
      </c>
      <c r="AB186" s="44">
        <f t="shared" si="68"/>
        <v>0.06</v>
      </c>
      <c r="AC186" s="44">
        <f t="shared" si="68"/>
        <v>0.06</v>
      </c>
      <c r="AD186" s="44">
        <f t="shared" si="68"/>
        <v>0.06</v>
      </c>
      <c r="AE186" s="44">
        <f t="shared" si="68"/>
        <v>0.06</v>
      </c>
      <c r="AF186" s="44">
        <f t="shared" si="68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6"/>
        <v>0.11</v>
      </c>
      <c r="C187" s="55">
        <v>0.11</v>
      </c>
      <c r="D187" s="44">
        <f t="shared" si="67"/>
        <v>0.11</v>
      </c>
      <c r="E187" s="44">
        <f t="shared" si="67"/>
        <v>0.11</v>
      </c>
      <c r="F187" s="44">
        <f t="shared" si="67"/>
        <v>0.11</v>
      </c>
      <c r="G187" s="44">
        <f t="shared" si="67"/>
        <v>0.11</v>
      </c>
      <c r="H187" s="44">
        <f t="shared" si="67"/>
        <v>0.11</v>
      </c>
      <c r="I187" s="44">
        <f t="shared" si="67"/>
        <v>0.11</v>
      </c>
      <c r="J187" s="44">
        <f t="shared" si="67"/>
        <v>0.11</v>
      </c>
      <c r="K187" s="44">
        <f t="shared" si="67"/>
        <v>0.11</v>
      </c>
      <c r="L187" s="44">
        <f t="shared" si="67"/>
        <v>0.11</v>
      </c>
      <c r="M187" s="44">
        <f t="shared" si="67"/>
        <v>0.11</v>
      </c>
      <c r="N187" s="44">
        <f t="shared" si="67"/>
        <v>0.11</v>
      </c>
      <c r="O187" s="44">
        <f t="shared" si="67"/>
        <v>0.11</v>
      </c>
      <c r="P187" s="44">
        <f t="shared" si="67"/>
        <v>0.11</v>
      </c>
      <c r="Q187" s="44">
        <f t="shared" si="67"/>
        <v>0.11</v>
      </c>
      <c r="R187" s="44">
        <f t="shared" si="67"/>
        <v>0.11</v>
      </c>
      <c r="S187" s="44">
        <f t="shared" si="67"/>
        <v>0.11</v>
      </c>
      <c r="T187" s="44">
        <f t="shared" si="68"/>
        <v>0.11</v>
      </c>
      <c r="U187" s="44">
        <f t="shared" si="68"/>
        <v>0.11</v>
      </c>
      <c r="V187" s="44">
        <f t="shared" si="68"/>
        <v>0.11</v>
      </c>
      <c r="W187" s="44">
        <f t="shared" si="68"/>
        <v>0.11</v>
      </c>
      <c r="X187" s="44">
        <f t="shared" si="68"/>
        <v>0.11</v>
      </c>
      <c r="Y187" s="44">
        <f t="shared" si="68"/>
        <v>0.11</v>
      </c>
      <c r="Z187" s="44">
        <f t="shared" si="68"/>
        <v>0.11</v>
      </c>
      <c r="AA187" s="44">
        <f t="shared" si="68"/>
        <v>0.11</v>
      </c>
      <c r="AB187" s="44">
        <f t="shared" si="68"/>
        <v>0.11</v>
      </c>
      <c r="AC187" s="44">
        <f t="shared" si="68"/>
        <v>0.11</v>
      </c>
      <c r="AD187" s="44">
        <f t="shared" si="68"/>
        <v>0.11</v>
      </c>
      <c r="AE187" s="44">
        <f t="shared" si="68"/>
        <v>0.11</v>
      </c>
      <c r="AF187" s="44">
        <f t="shared" si="68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6"/>
        <v>0.1</v>
      </c>
      <c r="C188" s="55">
        <v>0.1</v>
      </c>
      <c r="D188" s="44">
        <f t="shared" si="67"/>
        <v>0.1</v>
      </c>
      <c r="E188" s="44">
        <f t="shared" si="67"/>
        <v>0.1</v>
      </c>
      <c r="F188" s="44">
        <f t="shared" si="67"/>
        <v>0.1</v>
      </c>
      <c r="G188" s="44">
        <f t="shared" si="67"/>
        <v>0.1</v>
      </c>
      <c r="H188" s="44">
        <f t="shared" si="67"/>
        <v>0.1</v>
      </c>
      <c r="I188" s="44">
        <f t="shared" si="67"/>
        <v>0.1</v>
      </c>
      <c r="J188" s="44">
        <f t="shared" si="67"/>
        <v>0.1</v>
      </c>
      <c r="K188" s="44">
        <f t="shared" si="67"/>
        <v>0.1</v>
      </c>
      <c r="L188" s="44">
        <f t="shared" si="67"/>
        <v>0.1</v>
      </c>
      <c r="M188" s="44">
        <f t="shared" si="67"/>
        <v>0.1</v>
      </c>
      <c r="N188" s="44">
        <f t="shared" si="67"/>
        <v>0.1</v>
      </c>
      <c r="O188" s="44">
        <f t="shared" si="67"/>
        <v>0.1</v>
      </c>
      <c r="P188" s="44">
        <f t="shared" si="67"/>
        <v>0.1</v>
      </c>
      <c r="Q188" s="44">
        <f t="shared" si="67"/>
        <v>0.1</v>
      </c>
      <c r="R188" s="44">
        <f t="shared" si="67"/>
        <v>0.1</v>
      </c>
      <c r="S188" s="44">
        <f t="shared" si="68"/>
        <v>0.1</v>
      </c>
      <c r="T188" s="44">
        <f t="shared" si="68"/>
        <v>0.1</v>
      </c>
      <c r="U188" s="44">
        <f t="shared" si="68"/>
        <v>0.1</v>
      </c>
      <c r="V188" s="44">
        <f t="shared" si="68"/>
        <v>0.1</v>
      </c>
      <c r="W188" s="44">
        <f t="shared" si="68"/>
        <v>0.1</v>
      </c>
      <c r="X188" s="44">
        <f t="shared" si="68"/>
        <v>0.1</v>
      </c>
      <c r="Y188" s="44">
        <f t="shared" si="68"/>
        <v>0.1</v>
      </c>
      <c r="Z188" s="44">
        <f t="shared" si="68"/>
        <v>0.1</v>
      </c>
      <c r="AA188" s="44">
        <f t="shared" si="68"/>
        <v>0.1</v>
      </c>
      <c r="AB188" s="44">
        <f t="shared" si="68"/>
        <v>0.1</v>
      </c>
      <c r="AC188" s="44">
        <f t="shared" si="68"/>
        <v>0.1</v>
      </c>
      <c r="AD188" s="44">
        <f t="shared" si="68"/>
        <v>0.1</v>
      </c>
      <c r="AE188" s="44">
        <f t="shared" si="68"/>
        <v>0.1</v>
      </c>
      <c r="AF188" s="44">
        <f t="shared" si="68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6"/>
        <v>0.09</v>
      </c>
      <c r="C189" s="55">
        <v>0.09</v>
      </c>
      <c r="D189" s="44">
        <f t="shared" si="67"/>
        <v>0.09</v>
      </c>
      <c r="E189" s="44">
        <f t="shared" si="67"/>
        <v>0.09</v>
      </c>
      <c r="F189" s="44">
        <f t="shared" si="67"/>
        <v>0.09</v>
      </c>
      <c r="G189" s="44">
        <f t="shared" si="67"/>
        <v>0.09</v>
      </c>
      <c r="H189" s="44">
        <f t="shared" si="67"/>
        <v>0.09</v>
      </c>
      <c r="I189" s="44">
        <f t="shared" si="67"/>
        <v>0.09</v>
      </c>
      <c r="J189" s="44">
        <f t="shared" si="67"/>
        <v>0.09</v>
      </c>
      <c r="K189" s="44">
        <f t="shared" si="67"/>
        <v>0.09</v>
      </c>
      <c r="L189" s="44">
        <f t="shared" si="67"/>
        <v>0.09</v>
      </c>
      <c r="M189" s="44">
        <f t="shared" si="67"/>
        <v>0.09</v>
      </c>
      <c r="N189" s="44">
        <f t="shared" si="67"/>
        <v>0.09</v>
      </c>
      <c r="O189" s="44">
        <f t="shared" si="67"/>
        <v>0.09</v>
      </c>
      <c r="P189" s="44">
        <f t="shared" si="67"/>
        <v>0.09</v>
      </c>
      <c r="Q189" s="44">
        <f t="shared" si="67"/>
        <v>0.09</v>
      </c>
      <c r="R189" s="44">
        <f t="shared" si="67"/>
        <v>0.09</v>
      </c>
      <c r="S189" s="44">
        <f t="shared" si="68"/>
        <v>0.09</v>
      </c>
      <c r="T189" s="44">
        <f t="shared" si="68"/>
        <v>0.09</v>
      </c>
      <c r="U189" s="44">
        <f t="shared" si="68"/>
        <v>0.09</v>
      </c>
      <c r="V189" s="44">
        <f t="shared" si="68"/>
        <v>0.09</v>
      </c>
      <c r="W189" s="44">
        <f t="shared" si="68"/>
        <v>0.09</v>
      </c>
      <c r="X189" s="44">
        <f t="shared" si="68"/>
        <v>0.09</v>
      </c>
      <c r="Y189" s="44">
        <f t="shared" si="68"/>
        <v>0.09</v>
      </c>
      <c r="Z189" s="44">
        <f t="shared" si="68"/>
        <v>0.09</v>
      </c>
      <c r="AA189" s="44">
        <f t="shared" si="68"/>
        <v>0.09</v>
      </c>
      <c r="AB189" s="44">
        <f t="shared" si="68"/>
        <v>0.09</v>
      </c>
      <c r="AC189" s="44">
        <f t="shared" si="68"/>
        <v>0.09</v>
      </c>
      <c r="AD189" s="44">
        <f t="shared" si="68"/>
        <v>0.09</v>
      </c>
      <c r="AE189" s="44">
        <f t="shared" si="68"/>
        <v>0.09</v>
      </c>
      <c r="AF189" s="44">
        <f t="shared" si="68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6"/>
        <v>0.04</v>
      </c>
      <c r="C190" s="54">
        <v>0.04</v>
      </c>
      <c r="D190" s="44">
        <f t="shared" si="67"/>
        <v>0.04</v>
      </c>
      <c r="E190" s="44">
        <f t="shared" si="67"/>
        <v>0.04</v>
      </c>
      <c r="F190" s="44">
        <f t="shared" si="67"/>
        <v>0.04</v>
      </c>
      <c r="G190" s="44">
        <f t="shared" si="67"/>
        <v>0.04</v>
      </c>
      <c r="H190" s="44">
        <f t="shared" si="67"/>
        <v>0.04</v>
      </c>
      <c r="I190" s="44">
        <f t="shared" si="67"/>
        <v>0.04</v>
      </c>
      <c r="J190" s="44">
        <f t="shared" si="67"/>
        <v>0.04</v>
      </c>
      <c r="K190" s="44">
        <f t="shared" si="67"/>
        <v>0.04</v>
      </c>
      <c r="L190" s="44">
        <f t="shared" si="67"/>
        <v>0.04</v>
      </c>
      <c r="M190" s="44">
        <f t="shared" si="67"/>
        <v>0.04</v>
      </c>
      <c r="N190" s="44">
        <f t="shared" si="67"/>
        <v>0.04</v>
      </c>
      <c r="O190" s="44">
        <f t="shared" si="67"/>
        <v>0.04</v>
      </c>
      <c r="P190" s="44">
        <f t="shared" si="67"/>
        <v>0.04</v>
      </c>
      <c r="Q190" s="44">
        <f t="shared" si="67"/>
        <v>0.04</v>
      </c>
      <c r="R190" s="44">
        <f t="shared" si="67"/>
        <v>0.04</v>
      </c>
      <c r="S190" s="44">
        <f t="shared" si="68"/>
        <v>0.04</v>
      </c>
      <c r="T190" s="44">
        <f t="shared" si="68"/>
        <v>0.04</v>
      </c>
      <c r="U190" s="44">
        <f t="shared" si="68"/>
        <v>0.04</v>
      </c>
      <c r="V190" s="44">
        <f t="shared" si="68"/>
        <v>0.04</v>
      </c>
      <c r="W190" s="44">
        <f t="shared" si="68"/>
        <v>0.04</v>
      </c>
      <c r="X190" s="44">
        <f t="shared" si="68"/>
        <v>0.04</v>
      </c>
      <c r="Y190" s="44">
        <f t="shared" si="68"/>
        <v>0.04</v>
      </c>
      <c r="Z190" s="44">
        <f t="shared" si="68"/>
        <v>0.04</v>
      </c>
      <c r="AA190" s="44">
        <f t="shared" si="68"/>
        <v>0.04</v>
      </c>
      <c r="AB190" s="44">
        <f t="shared" si="68"/>
        <v>0.04</v>
      </c>
      <c r="AC190" s="44">
        <f t="shared" si="68"/>
        <v>0.04</v>
      </c>
      <c r="AD190" s="44">
        <f t="shared" si="68"/>
        <v>0.04</v>
      </c>
      <c r="AE190" s="44">
        <f t="shared" si="68"/>
        <v>0.04</v>
      </c>
      <c r="AF190" s="44">
        <f t="shared" si="68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6"/>
        <v>2.3E-2</v>
      </c>
      <c r="C191" s="54">
        <v>2.3E-2</v>
      </c>
      <c r="D191" s="44">
        <f>C191</f>
        <v>2.3E-2</v>
      </c>
      <c r="E191" s="44">
        <f t="shared" si="67"/>
        <v>2.3E-2</v>
      </c>
      <c r="F191" s="44">
        <f t="shared" si="67"/>
        <v>2.3E-2</v>
      </c>
      <c r="G191" s="44">
        <f t="shared" si="67"/>
        <v>2.3E-2</v>
      </c>
      <c r="H191" s="44">
        <f t="shared" si="67"/>
        <v>2.3E-2</v>
      </c>
      <c r="I191" s="44">
        <f t="shared" si="67"/>
        <v>2.3E-2</v>
      </c>
      <c r="J191" s="44">
        <f t="shared" si="67"/>
        <v>2.3E-2</v>
      </c>
      <c r="K191" s="44">
        <f t="shared" si="67"/>
        <v>2.3E-2</v>
      </c>
      <c r="L191" s="44">
        <f t="shared" si="67"/>
        <v>2.3E-2</v>
      </c>
      <c r="M191" s="44">
        <f t="shared" si="67"/>
        <v>2.3E-2</v>
      </c>
      <c r="N191" s="44">
        <f t="shared" si="67"/>
        <v>2.3E-2</v>
      </c>
      <c r="O191" s="44">
        <f t="shared" si="67"/>
        <v>2.3E-2</v>
      </c>
      <c r="P191" s="44">
        <f t="shared" si="67"/>
        <v>2.3E-2</v>
      </c>
      <c r="Q191" s="44">
        <f t="shared" si="67"/>
        <v>2.3E-2</v>
      </c>
      <c r="R191" s="44">
        <f t="shared" si="67"/>
        <v>2.3E-2</v>
      </c>
      <c r="S191" s="44">
        <f t="shared" si="68"/>
        <v>2.3E-2</v>
      </c>
      <c r="T191" s="44">
        <f t="shared" si="68"/>
        <v>2.3E-2</v>
      </c>
      <c r="U191" s="44">
        <f t="shared" si="68"/>
        <v>2.3E-2</v>
      </c>
      <c r="V191" s="44">
        <f t="shared" si="68"/>
        <v>2.3E-2</v>
      </c>
      <c r="W191" s="44">
        <f t="shared" si="68"/>
        <v>2.3E-2</v>
      </c>
      <c r="X191" s="44">
        <f t="shared" si="68"/>
        <v>2.3E-2</v>
      </c>
      <c r="Y191" s="44">
        <f t="shared" si="68"/>
        <v>2.3E-2</v>
      </c>
      <c r="Z191" s="44">
        <f t="shared" si="68"/>
        <v>2.3E-2</v>
      </c>
      <c r="AA191" s="44">
        <f t="shared" si="68"/>
        <v>2.3E-2</v>
      </c>
      <c r="AB191" s="44">
        <f t="shared" si="68"/>
        <v>2.3E-2</v>
      </c>
      <c r="AC191" s="44">
        <f t="shared" si="68"/>
        <v>2.3E-2</v>
      </c>
      <c r="AD191" s="44">
        <f t="shared" si="68"/>
        <v>2.3E-2</v>
      </c>
      <c r="AE191" s="44">
        <f t="shared" si="68"/>
        <v>2.3E-2</v>
      </c>
      <c r="AF191" s="44">
        <f t="shared" si="68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9">SUM(C102:C191)</f>
        <v>194.70600000000002</v>
      </c>
      <c r="D192" s="51">
        <f t="shared" si="69"/>
        <v>194.70600000000002</v>
      </c>
      <c r="E192" s="51">
        <f t="shared" si="69"/>
        <v>194.70600000000002</v>
      </c>
      <c r="F192" s="51">
        <f t="shared" si="69"/>
        <v>194.70600000000002</v>
      </c>
      <c r="G192" s="51">
        <f t="shared" si="69"/>
        <v>194.70600000000002</v>
      </c>
      <c r="H192" s="51">
        <f t="shared" si="69"/>
        <v>194.70600000000002</v>
      </c>
      <c r="I192" s="51">
        <f t="shared" si="69"/>
        <v>194.70600000000002</v>
      </c>
      <c r="J192" s="51">
        <f t="shared" si="69"/>
        <v>192.10600000000005</v>
      </c>
      <c r="K192" s="51">
        <f t="shared" si="69"/>
        <v>192.10600000000005</v>
      </c>
      <c r="L192" s="51">
        <f t="shared" si="69"/>
        <v>192.10600000000005</v>
      </c>
      <c r="M192" s="51">
        <f t="shared" si="69"/>
        <v>192.10600000000005</v>
      </c>
      <c r="N192" s="51">
        <f t="shared" si="69"/>
        <v>192.10600000000005</v>
      </c>
      <c r="O192" s="51">
        <f t="shared" si="69"/>
        <v>192.10600000000005</v>
      </c>
      <c r="P192" s="51">
        <f t="shared" si="69"/>
        <v>192.10600000000005</v>
      </c>
      <c r="Q192" s="51">
        <f t="shared" si="69"/>
        <v>192.10600000000005</v>
      </c>
      <c r="R192" s="51">
        <f t="shared" si="69"/>
        <v>192.10600000000005</v>
      </c>
      <c r="S192" s="51">
        <f t="shared" si="69"/>
        <v>192.10600000000005</v>
      </c>
      <c r="T192" s="51">
        <f t="shared" si="69"/>
        <v>192.10600000000005</v>
      </c>
      <c r="U192" s="51">
        <f t="shared" si="69"/>
        <v>192.10600000000005</v>
      </c>
      <c r="V192" s="51">
        <f t="shared" si="69"/>
        <v>192.10600000000005</v>
      </c>
      <c r="W192" s="51">
        <f t="shared" si="69"/>
        <v>192.10600000000005</v>
      </c>
      <c r="X192" s="51">
        <f t="shared" si="69"/>
        <v>192.10600000000005</v>
      </c>
      <c r="Y192" s="51">
        <f t="shared" si="69"/>
        <v>192.10600000000005</v>
      </c>
      <c r="Z192" s="51">
        <f t="shared" si="69"/>
        <v>192.10600000000005</v>
      </c>
      <c r="AA192" s="51">
        <f t="shared" si="69"/>
        <v>192.10600000000005</v>
      </c>
      <c r="AB192" s="51">
        <f t="shared" si="69"/>
        <v>192.10600000000005</v>
      </c>
      <c r="AC192" s="51">
        <f t="shared" si="69"/>
        <v>192.10600000000005</v>
      </c>
      <c r="AD192" s="51">
        <f t="shared" si="69"/>
        <v>192.10600000000005</v>
      </c>
      <c r="AE192" s="51">
        <f t="shared" si="69"/>
        <v>192.10600000000005</v>
      </c>
      <c r="AF192" s="51">
        <f t="shared" si="69"/>
        <v>192.10600000000005</v>
      </c>
      <c r="AG192" s="50">
        <f t="shared" si="69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0">AF194</f>
        <v>0.3</v>
      </c>
      <c r="C194" s="47">
        <v>0.3</v>
      </c>
      <c r="D194" s="47">
        <f t="shared" ref="D194:S199" si="71">C194</f>
        <v>0.3</v>
      </c>
      <c r="E194" s="47">
        <f t="shared" si="71"/>
        <v>0.3</v>
      </c>
      <c r="F194" s="47">
        <f t="shared" si="71"/>
        <v>0.3</v>
      </c>
      <c r="G194" s="47">
        <f t="shared" si="71"/>
        <v>0.3</v>
      </c>
      <c r="H194" s="47">
        <f t="shared" si="71"/>
        <v>0.3</v>
      </c>
      <c r="I194" s="47">
        <f t="shared" si="71"/>
        <v>0.3</v>
      </c>
      <c r="J194" s="47">
        <f t="shared" si="71"/>
        <v>0.3</v>
      </c>
      <c r="K194" s="47">
        <f t="shared" si="71"/>
        <v>0.3</v>
      </c>
      <c r="L194" s="47">
        <f t="shared" si="71"/>
        <v>0.3</v>
      </c>
      <c r="M194" s="47">
        <f t="shared" si="71"/>
        <v>0.3</v>
      </c>
      <c r="N194" s="47">
        <f t="shared" si="71"/>
        <v>0.3</v>
      </c>
      <c r="O194" s="47">
        <f t="shared" si="71"/>
        <v>0.3</v>
      </c>
      <c r="P194" s="47">
        <f t="shared" si="71"/>
        <v>0.3</v>
      </c>
      <c r="Q194" s="47">
        <f t="shared" si="71"/>
        <v>0.3</v>
      </c>
      <c r="R194" s="47">
        <f t="shared" si="71"/>
        <v>0.3</v>
      </c>
      <c r="S194" s="47">
        <f t="shared" si="71"/>
        <v>0.3</v>
      </c>
      <c r="T194" s="47">
        <f t="shared" ref="T194:AF199" si="72">S194</f>
        <v>0.3</v>
      </c>
      <c r="U194" s="47">
        <f t="shared" si="72"/>
        <v>0.3</v>
      </c>
      <c r="V194" s="47">
        <f t="shared" si="72"/>
        <v>0.3</v>
      </c>
      <c r="W194" s="47">
        <f t="shared" si="72"/>
        <v>0.3</v>
      </c>
      <c r="X194" s="47">
        <f t="shared" si="72"/>
        <v>0.3</v>
      </c>
      <c r="Y194" s="47">
        <f t="shared" si="72"/>
        <v>0.3</v>
      </c>
      <c r="Z194" s="47">
        <f t="shared" si="72"/>
        <v>0.3</v>
      </c>
      <c r="AA194" s="47">
        <f t="shared" si="72"/>
        <v>0.3</v>
      </c>
      <c r="AB194" s="47">
        <f t="shared" si="72"/>
        <v>0.3</v>
      </c>
      <c r="AC194" s="47">
        <f t="shared" si="72"/>
        <v>0.3</v>
      </c>
      <c r="AD194" s="47">
        <f t="shared" si="72"/>
        <v>0.3</v>
      </c>
      <c r="AE194" s="47">
        <f t="shared" si="72"/>
        <v>0.3</v>
      </c>
      <c r="AF194" s="47">
        <f t="shared" si="72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0"/>
        <v>0.4</v>
      </c>
      <c r="C195" s="44">
        <v>0.4</v>
      </c>
      <c r="D195" s="44">
        <f t="shared" si="71"/>
        <v>0.4</v>
      </c>
      <c r="E195" s="44">
        <f t="shared" si="71"/>
        <v>0.4</v>
      </c>
      <c r="F195" s="44">
        <f t="shared" si="71"/>
        <v>0.4</v>
      </c>
      <c r="G195" s="44">
        <f t="shared" si="71"/>
        <v>0.4</v>
      </c>
      <c r="H195" s="44">
        <f t="shared" si="71"/>
        <v>0.4</v>
      </c>
      <c r="I195" s="44">
        <f t="shared" si="71"/>
        <v>0.4</v>
      </c>
      <c r="J195" s="44">
        <f t="shared" si="71"/>
        <v>0.4</v>
      </c>
      <c r="K195" s="44">
        <f t="shared" si="71"/>
        <v>0.4</v>
      </c>
      <c r="L195" s="44">
        <f t="shared" si="71"/>
        <v>0.4</v>
      </c>
      <c r="M195" s="44">
        <f t="shared" si="71"/>
        <v>0.4</v>
      </c>
      <c r="N195" s="44">
        <f t="shared" si="71"/>
        <v>0.4</v>
      </c>
      <c r="O195" s="44">
        <f t="shared" si="71"/>
        <v>0.4</v>
      </c>
      <c r="P195" s="44">
        <f t="shared" si="71"/>
        <v>0.4</v>
      </c>
      <c r="Q195" s="44">
        <f t="shared" si="71"/>
        <v>0.4</v>
      </c>
      <c r="R195" s="44">
        <f t="shared" si="71"/>
        <v>0.4</v>
      </c>
      <c r="S195" s="44">
        <f t="shared" si="71"/>
        <v>0.4</v>
      </c>
      <c r="T195" s="44">
        <f t="shared" si="72"/>
        <v>0.4</v>
      </c>
      <c r="U195" s="44">
        <f t="shared" si="72"/>
        <v>0.4</v>
      </c>
      <c r="V195" s="44">
        <f t="shared" si="72"/>
        <v>0.4</v>
      </c>
      <c r="W195" s="44">
        <f>V195</f>
        <v>0.4</v>
      </c>
      <c r="X195" s="44">
        <f>W195</f>
        <v>0.4</v>
      </c>
      <c r="Y195" s="44">
        <f t="shared" si="72"/>
        <v>0.4</v>
      </c>
      <c r="Z195" s="44">
        <f t="shared" si="72"/>
        <v>0.4</v>
      </c>
      <c r="AA195" s="44">
        <f t="shared" si="72"/>
        <v>0.4</v>
      </c>
      <c r="AB195" s="44">
        <f t="shared" si="72"/>
        <v>0.4</v>
      </c>
      <c r="AC195" s="44">
        <f t="shared" si="72"/>
        <v>0.4</v>
      </c>
      <c r="AD195" s="44">
        <f t="shared" si="72"/>
        <v>0.4</v>
      </c>
      <c r="AE195" s="44">
        <f t="shared" si="72"/>
        <v>0.4</v>
      </c>
      <c r="AF195" s="44">
        <f t="shared" si="72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0"/>
        <v>1.5</v>
      </c>
      <c r="C196" s="44">
        <v>1.5</v>
      </c>
      <c r="D196" s="44">
        <f t="shared" si="71"/>
        <v>1.5</v>
      </c>
      <c r="E196" s="44">
        <f t="shared" si="71"/>
        <v>1.5</v>
      </c>
      <c r="F196" s="44">
        <f t="shared" si="71"/>
        <v>1.5</v>
      </c>
      <c r="G196" s="44">
        <f t="shared" si="71"/>
        <v>1.5</v>
      </c>
      <c r="H196" s="44">
        <f t="shared" si="71"/>
        <v>1.5</v>
      </c>
      <c r="I196" s="44">
        <f t="shared" si="71"/>
        <v>1.5</v>
      </c>
      <c r="J196" s="44">
        <f t="shared" si="71"/>
        <v>1.5</v>
      </c>
      <c r="K196" s="44">
        <f t="shared" si="71"/>
        <v>1.5</v>
      </c>
      <c r="L196" s="44">
        <f t="shared" si="71"/>
        <v>1.5</v>
      </c>
      <c r="M196" s="44">
        <f t="shared" si="71"/>
        <v>1.5</v>
      </c>
      <c r="N196" s="44">
        <f t="shared" si="71"/>
        <v>1.5</v>
      </c>
      <c r="O196" s="44">
        <f t="shared" si="71"/>
        <v>1.5</v>
      </c>
      <c r="P196" s="44">
        <f t="shared" si="71"/>
        <v>1.5</v>
      </c>
      <c r="Q196" s="44">
        <f t="shared" si="71"/>
        <v>1.5</v>
      </c>
      <c r="R196" s="44">
        <f t="shared" si="71"/>
        <v>1.5</v>
      </c>
      <c r="S196" s="44">
        <f t="shared" si="71"/>
        <v>1.5</v>
      </c>
      <c r="T196" s="44">
        <f t="shared" si="72"/>
        <v>1.5</v>
      </c>
      <c r="U196" s="44">
        <f t="shared" si="72"/>
        <v>1.5</v>
      </c>
      <c r="V196" s="44">
        <f t="shared" si="72"/>
        <v>1.5</v>
      </c>
      <c r="W196" s="44">
        <f t="shared" si="72"/>
        <v>1.5</v>
      </c>
      <c r="X196" s="44">
        <f t="shared" si="72"/>
        <v>1.5</v>
      </c>
      <c r="Y196" s="44">
        <f t="shared" si="72"/>
        <v>1.5</v>
      </c>
      <c r="Z196" s="44">
        <f t="shared" si="72"/>
        <v>1.5</v>
      </c>
      <c r="AA196" s="44">
        <f t="shared" si="72"/>
        <v>1.5</v>
      </c>
      <c r="AB196" s="44">
        <f t="shared" si="72"/>
        <v>1.5</v>
      </c>
      <c r="AC196" s="44">
        <f t="shared" si="72"/>
        <v>1.5</v>
      </c>
      <c r="AD196" s="44">
        <f t="shared" si="72"/>
        <v>1.5</v>
      </c>
      <c r="AE196" s="44">
        <f t="shared" si="72"/>
        <v>1.5</v>
      </c>
      <c r="AF196" s="44">
        <f t="shared" si="72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0"/>
        <v>0.3</v>
      </c>
      <c r="C197" s="44">
        <v>0.3</v>
      </c>
      <c r="D197" s="44">
        <f t="shared" si="71"/>
        <v>0.3</v>
      </c>
      <c r="E197" s="44">
        <f t="shared" si="71"/>
        <v>0.3</v>
      </c>
      <c r="F197" s="44">
        <f t="shared" si="71"/>
        <v>0.3</v>
      </c>
      <c r="G197" s="44">
        <f t="shared" si="71"/>
        <v>0.3</v>
      </c>
      <c r="H197" s="44">
        <f t="shared" si="71"/>
        <v>0.3</v>
      </c>
      <c r="I197" s="44">
        <f t="shared" si="71"/>
        <v>0.3</v>
      </c>
      <c r="J197" s="44">
        <f t="shared" si="71"/>
        <v>0.3</v>
      </c>
      <c r="K197" s="44">
        <f t="shared" si="71"/>
        <v>0.3</v>
      </c>
      <c r="L197" s="44">
        <f t="shared" si="71"/>
        <v>0.3</v>
      </c>
      <c r="M197" s="44">
        <f t="shared" si="71"/>
        <v>0.3</v>
      </c>
      <c r="N197" s="44">
        <f t="shared" si="71"/>
        <v>0.3</v>
      </c>
      <c r="O197" s="44">
        <f t="shared" si="71"/>
        <v>0.3</v>
      </c>
      <c r="P197" s="44">
        <f t="shared" si="71"/>
        <v>0.3</v>
      </c>
      <c r="Q197" s="44">
        <f t="shared" si="71"/>
        <v>0.3</v>
      </c>
      <c r="R197" s="44">
        <f t="shared" si="71"/>
        <v>0.3</v>
      </c>
      <c r="S197" s="44">
        <f t="shared" si="71"/>
        <v>0.3</v>
      </c>
      <c r="T197" s="44">
        <f t="shared" si="72"/>
        <v>0.3</v>
      </c>
      <c r="U197" s="44">
        <f t="shared" si="72"/>
        <v>0.3</v>
      </c>
      <c r="V197" s="44">
        <f t="shared" si="72"/>
        <v>0.3</v>
      </c>
      <c r="W197" s="44">
        <f t="shared" si="72"/>
        <v>0.3</v>
      </c>
      <c r="X197" s="44">
        <f t="shared" si="72"/>
        <v>0.3</v>
      </c>
      <c r="Y197" s="44">
        <f t="shared" si="72"/>
        <v>0.3</v>
      </c>
      <c r="Z197" s="44">
        <f t="shared" si="72"/>
        <v>0.3</v>
      </c>
      <c r="AA197" s="44">
        <f t="shared" si="72"/>
        <v>0.3</v>
      </c>
      <c r="AB197" s="44">
        <f t="shared" si="72"/>
        <v>0.3</v>
      </c>
      <c r="AC197" s="44">
        <f t="shared" si="72"/>
        <v>0.3</v>
      </c>
      <c r="AD197" s="44">
        <f t="shared" si="72"/>
        <v>0.3</v>
      </c>
      <c r="AE197" s="44">
        <f t="shared" si="72"/>
        <v>0.3</v>
      </c>
      <c r="AF197" s="44">
        <f t="shared" si="72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0"/>
        <v>0.4</v>
      </c>
      <c r="C198" s="44">
        <v>0.4</v>
      </c>
      <c r="D198" s="44">
        <f t="shared" si="71"/>
        <v>0.4</v>
      </c>
      <c r="E198" s="44">
        <f t="shared" si="71"/>
        <v>0.4</v>
      </c>
      <c r="F198" s="44">
        <f t="shared" si="71"/>
        <v>0.4</v>
      </c>
      <c r="G198" s="44">
        <f t="shared" si="71"/>
        <v>0.4</v>
      </c>
      <c r="H198" s="44">
        <f t="shared" si="71"/>
        <v>0.4</v>
      </c>
      <c r="I198" s="44">
        <f t="shared" si="71"/>
        <v>0.4</v>
      </c>
      <c r="J198" s="44">
        <f t="shared" si="71"/>
        <v>0.4</v>
      </c>
      <c r="K198" s="44">
        <f t="shared" si="71"/>
        <v>0.4</v>
      </c>
      <c r="L198" s="44">
        <f t="shared" si="71"/>
        <v>0.4</v>
      </c>
      <c r="M198" s="44">
        <f t="shared" si="71"/>
        <v>0.4</v>
      </c>
      <c r="N198" s="44">
        <f t="shared" si="71"/>
        <v>0.4</v>
      </c>
      <c r="O198" s="44">
        <f t="shared" si="71"/>
        <v>0.4</v>
      </c>
      <c r="P198" s="44">
        <f t="shared" si="71"/>
        <v>0.4</v>
      </c>
      <c r="Q198" s="44">
        <f t="shared" si="71"/>
        <v>0.4</v>
      </c>
      <c r="R198" s="44">
        <f t="shared" si="71"/>
        <v>0.4</v>
      </c>
      <c r="S198" s="44">
        <f t="shared" si="71"/>
        <v>0.4</v>
      </c>
      <c r="T198" s="44">
        <f t="shared" si="72"/>
        <v>0.4</v>
      </c>
      <c r="U198" s="44">
        <f t="shared" si="72"/>
        <v>0.4</v>
      </c>
      <c r="V198" s="44">
        <f t="shared" si="72"/>
        <v>0.4</v>
      </c>
      <c r="W198" s="44">
        <f t="shared" si="72"/>
        <v>0.4</v>
      </c>
      <c r="X198" s="44">
        <f t="shared" si="72"/>
        <v>0.4</v>
      </c>
      <c r="Y198" s="44">
        <f t="shared" si="72"/>
        <v>0.4</v>
      </c>
      <c r="Z198" s="44">
        <f t="shared" si="72"/>
        <v>0.4</v>
      </c>
      <c r="AA198" s="44">
        <f t="shared" si="72"/>
        <v>0.4</v>
      </c>
      <c r="AB198" s="44">
        <f t="shared" si="72"/>
        <v>0.4</v>
      </c>
      <c r="AC198" s="44">
        <f t="shared" si="72"/>
        <v>0.4</v>
      </c>
      <c r="AD198" s="44">
        <f t="shared" si="72"/>
        <v>0.4</v>
      </c>
      <c r="AE198" s="44">
        <f t="shared" si="72"/>
        <v>0.4</v>
      </c>
      <c r="AF198" s="44">
        <f t="shared" si="72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0"/>
        <v>0.64</v>
      </c>
      <c r="C199" s="40">
        <v>0.64</v>
      </c>
      <c r="D199" s="40">
        <f t="shared" si="71"/>
        <v>0.64</v>
      </c>
      <c r="E199" s="40">
        <f t="shared" si="71"/>
        <v>0.64</v>
      </c>
      <c r="F199" s="40">
        <f t="shared" si="71"/>
        <v>0.64</v>
      </c>
      <c r="G199" s="40">
        <f t="shared" si="71"/>
        <v>0.64</v>
      </c>
      <c r="H199" s="40">
        <f t="shared" si="71"/>
        <v>0.64</v>
      </c>
      <c r="I199" s="40">
        <f t="shared" si="71"/>
        <v>0.64</v>
      </c>
      <c r="J199" s="40">
        <f t="shared" si="71"/>
        <v>0.64</v>
      </c>
      <c r="K199" s="40">
        <f t="shared" si="71"/>
        <v>0.64</v>
      </c>
      <c r="L199" s="40">
        <f t="shared" si="71"/>
        <v>0.64</v>
      </c>
      <c r="M199" s="40">
        <f t="shared" si="71"/>
        <v>0.64</v>
      </c>
      <c r="N199" s="40">
        <f t="shared" si="71"/>
        <v>0.64</v>
      </c>
      <c r="O199" s="40">
        <f t="shared" si="71"/>
        <v>0.64</v>
      </c>
      <c r="P199" s="40">
        <f t="shared" si="71"/>
        <v>0.64</v>
      </c>
      <c r="Q199" s="40">
        <f t="shared" si="71"/>
        <v>0.64</v>
      </c>
      <c r="R199" s="40">
        <f t="shared" si="71"/>
        <v>0.64</v>
      </c>
      <c r="S199" s="40">
        <f t="shared" si="71"/>
        <v>0.64</v>
      </c>
      <c r="T199" s="40">
        <f t="shared" si="72"/>
        <v>0.64</v>
      </c>
      <c r="U199" s="40">
        <f t="shared" si="72"/>
        <v>0.64</v>
      </c>
      <c r="V199" s="40">
        <f t="shared" si="72"/>
        <v>0.64</v>
      </c>
      <c r="W199" s="40">
        <f t="shared" si="72"/>
        <v>0.64</v>
      </c>
      <c r="X199" s="40">
        <f t="shared" si="72"/>
        <v>0.64</v>
      </c>
      <c r="Y199" s="40">
        <f t="shared" si="72"/>
        <v>0.64</v>
      </c>
      <c r="Z199" s="40">
        <f t="shared" si="72"/>
        <v>0.64</v>
      </c>
      <c r="AA199" s="40">
        <f t="shared" si="72"/>
        <v>0.64</v>
      </c>
      <c r="AB199" s="40">
        <f t="shared" si="72"/>
        <v>0.64</v>
      </c>
      <c r="AC199" s="40">
        <f t="shared" si="72"/>
        <v>0.64</v>
      </c>
      <c r="AD199" s="40">
        <f t="shared" si="72"/>
        <v>0.64</v>
      </c>
      <c r="AE199" s="40">
        <f t="shared" si="72"/>
        <v>0.64</v>
      </c>
      <c r="AF199" s="40">
        <f t="shared" si="7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3">SUM(D194:D199)</f>
        <v>3.54</v>
      </c>
      <c r="E200" s="37">
        <f t="shared" si="73"/>
        <v>3.54</v>
      </c>
      <c r="F200" s="37">
        <f t="shared" si="73"/>
        <v>3.54</v>
      </c>
      <c r="G200" s="37">
        <f t="shared" si="73"/>
        <v>3.54</v>
      </c>
      <c r="H200" s="37">
        <f t="shared" si="73"/>
        <v>3.54</v>
      </c>
      <c r="I200" s="37">
        <f t="shared" si="73"/>
        <v>3.54</v>
      </c>
      <c r="J200" s="37">
        <f t="shared" si="73"/>
        <v>3.54</v>
      </c>
      <c r="K200" s="37">
        <f t="shared" si="73"/>
        <v>3.54</v>
      </c>
      <c r="L200" s="37">
        <f t="shared" si="73"/>
        <v>3.54</v>
      </c>
      <c r="M200" s="37">
        <f>SUM(M194:M199)</f>
        <v>3.54</v>
      </c>
      <c r="N200" s="37">
        <f t="shared" ref="N200:S200" si="74">SUM(N194:N199)</f>
        <v>3.54</v>
      </c>
      <c r="O200" s="37">
        <f t="shared" si="74"/>
        <v>3.54</v>
      </c>
      <c r="P200" s="37">
        <f t="shared" si="74"/>
        <v>3.54</v>
      </c>
      <c r="Q200" s="37">
        <f t="shared" si="74"/>
        <v>3.54</v>
      </c>
      <c r="R200" s="37">
        <f t="shared" si="74"/>
        <v>3.54</v>
      </c>
      <c r="S200" s="37">
        <f t="shared" si="74"/>
        <v>3.54</v>
      </c>
      <c r="T200" s="37">
        <f>SUM(T194:T199)</f>
        <v>3.54</v>
      </c>
      <c r="U200" s="37">
        <f t="shared" ref="U200:AG200" si="75">SUM(U194:U199)</f>
        <v>3.54</v>
      </c>
      <c r="V200" s="37">
        <f t="shared" si="75"/>
        <v>3.54</v>
      </c>
      <c r="W200" s="37">
        <f t="shared" si="75"/>
        <v>3.54</v>
      </c>
      <c r="X200" s="37">
        <f t="shared" si="75"/>
        <v>3.54</v>
      </c>
      <c r="Y200" s="37">
        <f t="shared" si="75"/>
        <v>3.54</v>
      </c>
      <c r="Z200" s="37">
        <f t="shared" si="75"/>
        <v>3.54</v>
      </c>
      <c r="AA200" s="37">
        <f t="shared" si="75"/>
        <v>3.54</v>
      </c>
      <c r="AB200" s="37">
        <f t="shared" si="75"/>
        <v>3.54</v>
      </c>
      <c r="AC200" s="37">
        <f t="shared" si="75"/>
        <v>3.54</v>
      </c>
      <c r="AD200" s="37">
        <f t="shared" si="75"/>
        <v>3.54</v>
      </c>
      <c r="AE200" s="37">
        <f t="shared" si="75"/>
        <v>3.54</v>
      </c>
      <c r="AF200" s="37">
        <f t="shared" si="75"/>
        <v>3.54</v>
      </c>
      <c r="AG200" s="36">
        <f t="shared" si="75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1370.5400000000002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8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2078/12/8)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2078/12/8)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6">B75</f>
        <v>1163.44</v>
      </c>
      <c r="U214" s="9">
        <f t="shared" si="76"/>
        <v>1139.04</v>
      </c>
      <c r="V214" s="9">
        <f t="shared" si="76"/>
        <v>1120.8400000000001</v>
      </c>
      <c r="W214" s="9">
        <f t="shared" si="76"/>
        <v>1090.54</v>
      </c>
      <c r="X214" s="9">
        <f t="shared" si="76"/>
        <v>1083.24</v>
      </c>
      <c r="Y214" s="9">
        <f t="shared" si="76"/>
        <v>1087.6399999999999</v>
      </c>
      <c r="Z214" s="9">
        <f t="shared" si="76"/>
        <v>1150.8399999999999</v>
      </c>
      <c r="AA214" s="9">
        <f t="shared" si="76"/>
        <v>1197.44</v>
      </c>
      <c r="AB214" s="9">
        <f t="shared" si="76"/>
        <v>1259.2400000000002</v>
      </c>
      <c r="AC214" s="9">
        <f t="shared" si="76"/>
        <v>1333.7400000000002</v>
      </c>
      <c r="AD214" s="9">
        <f t="shared" si="76"/>
        <v>1370.5400000000002</v>
      </c>
      <c r="AE214" s="9">
        <f t="shared" si="76"/>
        <v>1352.04</v>
      </c>
      <c r="AF214" s="9">
        <f t="shared" si="76"/>
        <v>1323.94</v>
      </c>
      <c r="AG214" s="9">
        <f t="shared" si="76"/>
        <v>1341.0400000000002</v>
      </c>
      <c r="AH214" s="9">
        <f t="shared" si="76"/>
        <v>1330.94</v>
      </c>
      <c r="AI214" s="9">
        <f t="shared" si="76"/>
        <v>1314.44</v>
      </c>
      <c r="AJ214" s="9">
        <f t="shared" si="76"/>
        <v>1278.94</v>
      </c>
      <c r="AK214" s="9">
        <f t="shared" si="76"/>
        <v>1359.74</v>
      </c>
      <c r="AL214" s="9">
        <f t="shared" si="76"/>
        <v>1345.54</v>
      </c>
      <c r="AM214" s="9">
        <f t="shared" si="76"/>
        <v>1385.71</v>
      </c>
      <c r="AN214" s="9">
        <f t="shared" si="76"/>
        <v>1349.04</v>
      </c>
      <c r="AO214" s="9">
        <f t="shared" si="76"/>
        <v>1332.1399999999999</v>
      </c>
      <c r="AP214" s="9">
        <f t="shared" si="76"/>
        <v>1370.1</v>
      </c>
      <c r="AQ214" s="9">
        <f t="shared" si="76"/>
        <v>1484.24</v>
      </c>
      <c r="AR214" s="9">
        <f t="shared" si="76"/>
        <v>1578.24</v>
      </c>
      <c r="AS214" s="9">
        <f t="shared" si="76"/>
        <v>1534.8400000000001</v>
      </c>
      <c r="AT214" s="9">
        <f t="shared" si="76"/>
        <v>1340.44</v>
      </c>
      <c r="AU214" s="9">
        <f t="shared" si="76"/>
        <v>1331.14</v>
      </c>
      <c r="AV214" s="9">
        <f t="shared" si="76"/>
        <v>1268.6400000000001</v>
      </c>
      <c r="AW214" s="9">
        <f t="shared" si="76"/>
        <v>1292.2400000000002</v>
      </c>
      <c r="AX214" s="9">
        <f t="shared" si="76"/>
        <v>1231.98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7">C199</f>
        <v>0.64</v>
      </c>
      <c r="C235" s="4">
        <f t="shared" si="77"/>
        <v>0.64</v>
      </c>
      <c r="D235" s="4">
        <f t="shared" si="77"/>
        <v>0.64</v>
      </c>
      <c r="E235" s="4">
        <f t="shared" si="77"/>
        <v>0.64</v>
      </c>
      <c r="F235" s="4">
        <f t="shared" si="77"/>
        <v>0.64</v>
      </c>
      <c r="G235" s="4">
        <f t="shared" si="77"/>
        <v>0.64</v>
      </c>
      <c r="H235" s="4">
        <f t="shared" si="77"/>
        <v>0.64</v>
      </c>
      <c r="I235" s="4">
        <f t="shared" si="77"/>
        <v>0.64</v>
      </c>
      <c r="J235" s="4">
        <f t="shared" si="77"/>
        <v>0.64</v>
      </c>
      <c r="K235" s="4">
        <f t="shared" si="77"/>
        <v>0.64</v>
      </c>
      <c r="L235" s="4">
        <f t="shared" si="77"/>
        <v>0.64</v>
      </c>
      <c r="M235" s="4">
        <f t="shared" si="77"/>
        <v>0.64</v>
      </c>
      <c r="N235" s="4">
        <f t="shared" si="77"/>
        <v>0.64</v>
      </c>
      <c r="O235" s="4">
        <f t="shared" si="77"/>
        <v>0.64</v>
      </c>
      <c r="P235" s="4">
        <f t="shared" si="77"/>
        <v>0.64</v>
      </c>
      <c r="Q235" s="4">
        <f t="shared" si="77"/>
        <v>0.64</v>
      </c>
      <c r="R235" s="4">
        <f t="shared" si="77"/>
        <v>0.64</v>
      </c>
      <c r="S235" s="4">
        <f t="shared" si="77"/>
        <v>0.64</v>
      </c>
      <c r="T235" s="4">
        <f t="shared" si="77"/>
        <v>0.64</v>
      </c>
      <c r="U235" s="4">
        <f t="shared" si="77"/>
        <v>0.64</v>
      </c>
      <c r="V235" s="4">
        <f t="shared" si="77"/>
        <v>0.64</v>
      </c>
      <c r="W235" s="4">
        <f t="shared" si="77"/>
        <v>0.64</v>
      </c>
      <c r="X235" s="4">
        <f t="shared" si="77"/>
        <v>0.64</v>
      </c>
      <c r="Y235" s="4">
        <f t="shared" si="77"/>
        <v>0.64</v>
      </c>
      <c r="Z235" s="4">
        <f t="shared" si="77"/>
        <v>0.64</v>
      </c>
      <c r="AA235" s="4">
        <f t="shared" si="77"/>
        <v>0.64</v>
      </c>
      <c r="AB235" s="4">
        <f t="shared" si="77"/>
        <v>0.64</v>
      </c>
      <c r="AC235" s="4">
        <f t="shared" si="77"/>
        <v>0.64</v>
      </c>
      <c r="AD235" s="4">
        <f t="shared" si="77"/>
        <v>0.64</v>
      </c>
      <c r="AE235" s="4">
        <f t="shared" si="77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8">IF(C203&lt;100,"",C203-520)</f>
        <v/>
      </c>
      <c r="D236" s="3" t="str">
        <f t="shared" si="78"/>
        <v/>
      </c>
      <c r="E236" s="3" t="str">
        <f t="shared" si="78"/>
        <v/>
      </c>
      <c r="F236" s="3" t="str">
        <f t="shared" si="78"/>
        <v/>
      </c>
      <c r="G236" s="3" t="str">
        <f t="shared" si="78"/>
        <v/>
      </c>
      <c r="H236" s="3" t="str">
        <f t="shared" si="78"/>
        <v/>
      </c>
      <c r="I236" s="3" t="str">
        <f t="shared" si="78"/>
        <v/>
      </c>
      <c r="J236" s="3" t="str">
        <f t="shared" si="78"/>
        <v/>
      </c>
      <c r="K236" s="3" t="str">
        <f t="shared" si="78"/>
        <v/>
      </c>
      <c r="L236" s="3" t="str">
        <f t="shared" si="78"/>
        <v/>
      </c>
      <c r="M236" s="3" t="str">
        <f t="shared" si="78"/>
        <v/>
      </c>
      <c r="N236" s="3" t="str">
        <f t="shared" si="78"/>
        <v/>
      </c>
      <c r="O236" s="3" t="str">
        <f t="shared" si="78"/>
        <v/>
      </c>
      <c r="P236" s="3" t="str">
        <f t="shared" si="78"/>
        <v/>
      </c>
      <c r="Q236" s="3" t="str">
        <f t="shared" si="78"/>
        <v/>
      </c>
      <c r="R236" s="3" t="str">
        <f t="shared" si="78"/>
        <v/>
      </c>
      <c r="S236" s="3" t="str">
        <f t="shared" si="78"/>
        <v/>
      </c>
      <c r="T236" s="3" t="str">
        <f t="shared" si="78"/>
        <v/>
      </c>
      <c r="U236" s="3" t="str">
        <f t="shared" si="78"/>
        <v/>
      </c>
      <c r="V236" s="3" t="str">
        <f t="shared" si="78"/>
        <v/>
      </c>
      <c r="W236" s="3" t="str">
        <f t="shared" si="78"/>
        <v/>
      </c>
      <c r="X236" s="3" t="str">
        <f t="shared" si="78"/>
        <v/>
      </c>
      <c r="Y236" s="3" t="str">
        <f t="shared" si="78"/>
        <v/>
      </c>
      <c r="Z236" s="3" t="str">
        <f t="shared" si="78"/>
        <v/>
      </c>
      <c r="AA236" s="3" t="str">
        <f t="shared" si="78"/>
        <v/>
      </c>
      <c r="AB236" s="3" t="str">
        <f t="shared" si="78"/>
        <v/>
      </c>
      <c r="AC236" s="3" t="str">
        <f t="shared" si="78"/>
        <v/>
      </c>
      <c r="AD236" s="3" t="str">
        <f t="shared" si="78"/>
        <v/>
      </c>
      <c r="AE236" s="3" t="str">
        <f t="shared" si="78"/>
        <v/>
      </c>
      <c r="AF236" s="3" t="str">
        <f t="shared" si="78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9">IF(B204&lt;100,"",B204-620)</f>
        <v/>
      </c>
      <c r="C237" s="3" t="str">
        <f t="shared" si="79"/>
        <v/>
      </c>
      <c r="D237" s="3" t="str">
        <f t="shared" si="79"/>
        <v/>
      </c>
      <c r="E237" s="3" t="str">
        <f t="shared" si="79"/>
        <v/>
      </c>
      <c r="F237" s="3" t="str">
        <f t="shared" si="79"/>
        <v/>
      </c>
      <c r="G237" s="3" t="str">
        <f t="shared" si="79"/>
        <v/>
      </c>
      <c r="H237" s="3" t="str">
        <f t="shared" si="79"/>
        <v/>
      </c>
      <c r="I237" s="3" t="str">
        <f t="shared" si="79"/>
        <v/>
      </c>
      <c r="J237" s="3" t="str">
        <f t="shared" si="79"/>
        <v/>
      </c>
      <c r="K237" s="3" t="str">
        <f t="shared" si="79"/>
        <v/>
      </c>
      <c r="L237" s="3" t="str">
        <f t="shared" si="79"/>
        <v/>
      </c>
      <c r="M237" s="3" t="str">
        <f t="shared" si="79"/>
        <v/>
      </c>
      <c r="N237" s="3" t="str">
        <f t="shared" si="79"/>
        <v/>
      </c>
      <c r="O237" s="3" t="str">
        <f t="shared" si="79"/>
        <v/>
      </c>
      <c r="P237" s="3" t="str">
        <f t="shared" si="79"/>
        <v/>
      </c>
      <c r="Q237" s="3" t="str">
        <f t="shared" si="79"/>
        <v/>
      </c>
      <c r="R237" s="3" t="str">
        <f t="shared" si="79"/>
        <v/>
      </c>
      <c r="S237" s="3" t="str">
        <f t="shared" si="79"/>
        <v/>
      </c>
      <c r="T237" s="3" t="str">
        <f t="shared" si="79"/>
        <v/>
      </c>
      <c r="U237" s="3" t="str">
        <f t="shared" si="79"/>
        <v/>
      </c>
      <c r="V237" s="3" t="str">
        <f t="shared" si="79"/>
        <v/>
      </c>
      <c r="W237" s="3" t="str">
        <f t="shared" si="79"/>
        <v/>
      </c>
      <c r="X237" s="3" t="str">
        <f t="shared" si="79"/>
        <v/>
      </c>
      <c r="Y237" s="3" t="str">
        <f t="shared" si="79"/>
        <v/>
      </c>
      <c r="Z237" s="3" t="str">
        <f t="shared" si="79"/>
        <v/>
      </c>
      <c r="AA237" s="3" t="str">
        <f t="shared" si="79"/>
        <v/>
      </c>
      <c r="AB237" s="3" t="str">
        <f t="shared" si="79"/>
        <v/>
      </c>
      <c r="AC237" s="3" t="str">
        <f t="shared" si="79"/>
        <v/>
      </c>
      <c r="AD237" s="3" t="str">
        <f t="shared" si="79"/>
        <v/>
      </c>
      <c r="AE237" s="3" t="str">
        <f t="shared" si="79"/>
        <v/>
      </c>
      <c r="AF237" s="3" t="str">
        <f t="shared" si="79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0">IF(B205&lt;100,"",B205-330)</f>
        <v/>
      </c>
      <c r="C238" s="3" t="str">
        <f t="shared" si="80"/>
        <v/>
      </c>
      <c r="D238" s="3" t="str">
        <f t="shared" si="80"/>
        <v/>
      </c>
      <c r="E238" s="3" t="str">
        <f t="shared" si="80"/>
        <v/>
      </c>
      <c r="F238" s="3" t="str">
        <f t="shared" si="80"/>
        <v/>
      </c>
      <c r="G238" s="3" t="str">
        <f t="shared" si="80"/>
        <v/>
      </c>
      <c r="H238" s="3" t="str">
        <f t="shared" si="80"/>
        <v/>
      </c>
      <c r="I238" s="3" t="str">
        <f t="shared" si="80"/>
        <v/>
      </c>
      <c r="J238" s="3" t="str">
        <f t="shared" si="80"/>
        <v/>
      </c>
      <c r="K238" s="3" t="str">
        <f t="shared" si="80"/>
        <v/>
      </c>
      <c r="L238" s="3" t="str">
        <f t="shared" si="80"/>
        <v/>
      </c>
      <c r="M238" s="3" t="str">
        <f t="shared" si="80"/>
        <v/>
      </c>
      <c r="N238" s="3" t="str">
        <f t="shared" si="80"/>
        <v/>
      </c>
      <c r="O238" s="3" t="str">
        <f t="shared" si="80"/>
        <v/>
      </c>
      <c r="P238" s="3" t="str">
        <f t="shared" si="80"/>
        <v/>
      </c>
      <c r="Q238" s="3" t="str">
        <f t="shared" si="80"/>
        <v/>
      </c>
      <c r="R238" s="3" t="str">
        <f t="shared" si="80"/>
        <v/>
      </c>
      <c r="S238" s="3" t="str">
        <f t="shared" si="80"/>
        <v/>
      </c>
      <c r="T238" s="3" t="str">
        <f t="shared" si="80"/>
        <v/>
      </c>
      <c r="U238" s="3" t="str">
        <f t="shared" si="80"/>
        <v/>
      </c>
      <c r="V238" s="3" t="str">
        <f t="shared" si="80"/>
        <v/>
      </c>
      <c r="W238" s="3" t="str">
        <f t="shared" si="80"/>
        <v/>
      </c>
      <c r="X238" s="3" t="str">
        <f t="shared" si="80"/>
        <v/>
      </c>
      <c r="Y238" s="3" t="str">
        <f t="shared" si="80"/>
        <v/>
      </c>
      <c r="Z238" s="3" t="str">
        <f t="shared" si="80"/>
        <v/>
      </c>
      <c r="AA238" s="3" t="str">
        <f t="shared" si="80"/>
        <v/>
      </c>
      <c r="AB238" s="3" t="str">
        <f t="shared" si="80"/>
        <v/>
      </c>
      <c r="AC238" s="3" t="str">
        <f t="shared" si="80"/>
        <v/>
      </c>
      <c r="AD238" s="3" t="str">
        <f t="shared" si="80"/>
        <v/>
      </c>
      <c r="AE238" s="3" t="str">
        <f t="shared" si="80"/>
        <v/>
      </c>
      <c r="AF238" s="3" t="str">
        <f t="shared" si="80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1">IF(C206&lt;100,"",C206-1500)</f>
        <v/>
      </c>
      <c r="D239" s="3" t="str">
        <f t="shared" si="81"/>
        <v/>
      </c>
      <c r="E239" s="3" t="str">
        <f t="shared" si="81"/>
        <v/>
      </c>
      <c r="F239" s="3" t="str">
        <f t="shared" si="81"/>
        <v/>
      </c>
      <c r="G239" s="3" t="str">
        <f t="shared" si="81"/>
        <v/>
      </c>
      <c r="H239" s="3" t="str">
        <f t="shared" si="81"/>
        <v/>
      </c>
      <c r="I239" s="3" t="str">
        <f t="shared" si="81"/>
        <v/>
      </c>
      <c r="J239" s="3" t="str">
        <f t="shared" si="81"/>
        <v/>
      </c>
      <c r="K239" s="3" t="str">
        <f t="shared" si="81"/>
        <v/>
      </c>
      <c r="L239" s="3" t="str">
        <f t="shared" si="81"/>
        <v/>
      </c>
      <c r="M239" s="3" t="str">
        <f t="shared" si="81"/>
        <v/>
      </c>
      <c r="N239" s="3" t="str">
        <f t="shared" si="81"/>
        <v/>
      </c>
      <c r="O239" s="3" t="str">
        <f t="shared" si="81"/>
        <v/>
      </c>
      <c r="P239" s="3" t="str">
        <f t="shared" si="81"/>
        <v/>
      </c>
      <c r="Q239" s="3" t="str">
        <f t="shared" si="81"/>
        <v/>
      </c>
      <c r="R239" s="3" t="str">
        <f t="shared" si="81"/>
        <v/>
      </c>
      <c r="S239" s="3" t="str">
        <f t="shared" si="81"/>
        <v/>
      </c>
      <c r="T239" s="3" t="str">
        <f t="shared" si="81"/>
        <v/>
      </c>
      <c r="U239" s="3" t="str">
        <f t="shared" si="81"/>
        <v/>
      </c>
      <c r="V239" s="3" t="str">
        <f t="shared" si="81"/>
        <v/>
      </c>
      <c r="W239" s="3" t="str">
        <f t="shared" si="81"/>
        <v/>
      </c>
      <c r="X239" s="3" t="str">
        <f t="shared" si="81"/>
        <v/>
      </c>
      <c r="Y239" s="3" t="str">
        <f t="shared" si="81"/>
        <v/>
      </c>
      <c r="Z239" s="3" t="str">
        <f t="shared" si="81"/>
        <v/>
      </c>
      <c r="AA239" s="3" t="str">
        <f t="shared" si="81"/>
        <v/>
      </c>
      <c r="AB239" s="3" t="str">
        <f t="shared" si="81"/>
        <v/>
      </c>
      <c r="AC239" s="3" t="str">
        <f t="shared" si="81"/>
        <v/>
      </c>
      <c r="AD239" s="3" t="str">
        <f t="shared" si="81"/>
        <v/>
      </c>
      <c r="AE239" s="3" t="str">
        <f t="shared" si="81"/>
        <v/>
      </c>
      <c r="AF239" s="3" t="str">
        <f t="shared" si="81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C57:L59 N62 D63:D67 C60:O60 C61:N61 O61:O62 M11:Q11 X85:AA91 Z16:Z31 AB81:AF81 C81:R81 C56:AF56 C82:AF83 D194:AF200 B194:B200 AB84:AF91 B9:AF10 B192:AF192 AF57:AF59 AG73 AB94:AF100 U213:AF213 N12:Q14 P60:R62 M39:S42 M37:T37 R11:T14 M58:W59 O45:V48 Z11:Z14 U11:Y11 U18:Y30 U36:Z36 T40:Y42 AB11:AE11 Z40:AE43 M53:AF55 C68:AF80">
    <cfRule type="expression" dxfId="6818" priority="343">
      <formula>B$9&gt;=20/24</formula>
    </cfRule>
    <cfRule type="expression" dxfId="6817" priority="344">
      <formula>AND(B$9&gt;=14/24,B$9&lt;20/24)</formula>
    </cfRule>
    <cfRule type="expression" dxfId="6816" priority="345">
      <formula>AND(B$9&gt;=8/24,B$9&lt;14/24)</formula>
    </cfRule>
    <cfRule type="expression" dxfId="6815" priority="346">
      <formula>B$9&lt;8/24</formula>
    </cfRule>
  </conditionalFormatting>
  <conditionalFormatting sqref="AL4:AL6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6814" priority="338">
      <formula>M$9&gt;=20/24</formula>
    </cfRule>
    <cfRule type="expression" dxfId="6813" priority="339">
      <formula>AND(M$9&gt;=14/24,M$9&lt;20/24)</formula>
    </cfRule>
    <cfRule type="expression" dxfId="6812" priority="340">
      <formula>AND(M$9&gt;=8/24,M$9&lt;14/24)</formula>
    </cfRule>
    <cfRule type="expression" dxfId="6811" priority="341">
      <formula>M$9&lt;8/24</formula>
    </cfRule>
  </conditionalFormatting>
  <conditionalFormatting sqref="M43:T43">
    <cfRule type="expression" dxfId="6810" priority="334">
      <formula>M$9&gt;=20/24</formula>
    </cfRule>
    <cfRule type="expression" dxfId="6809" priority="335">
      <formula>AND(M$9&gt;=14/24,M$9&lt;20/24)</formula>
    </cfRule>
    <cfRule type="expression" dxfId="6808" priority="336">
      <formula>AND(M$9&gt;=8/24,M$9&lt;14/24)</formula>
    </cfRule>
    <cfRule type="expression" dxfId="6807" priority="337">
      <formula>M$9&lt;8/24</formula>
    </cfRule>
  </conditionalFormatting>
  <conditionalFormatting sqref="Z32">
    <cfRule type="expression" dxfId="6806" priority="330">
      <formula>Z$9&gt;=20/24</formula>
    </cfRule>
    <cfRule type="expression" dxfId="6805" priority="331">
      <formula>AND(Z$9&gt;=14/24,Z$9&lt;20/24)</formula>
    </cfRule>
    <cfRule type="expression" dxfId="6804" priority="332">
      <formula>AND(Z$9&gt;=8/24,Z$9&lt;14/24)</formula>
    </cfRule>
    <cfRule type="expression" dxfId="6803" priority="333">
      <formula>Z$9&lt;8/24</formula>
    </cfRule>
  </conditionalFormatting>
  <conditionalFormatting sqref="T39:AE39">
    <cfRule type="expression" dxfId="6802" priority="326">
      <formula>T$9&gt;=20/24</formula>
    </cfRule>
    <cfRule type="expression" dxfId="6801" priority="327">
      <formula>AND(T$9&gt;=14/24,T$9&lt;20/24)</formula>
    </cfRule>
    <cfRule type="expression" dxfId="6800" priority="328">
      <formula>AND(T$9&gt;=8/24,T$9&lt;14/24)</formula>
    </cfRule>
    <cfRule type="expression" dxfId="6799" priority="329">
      <formula>T$9&lt;8/24</formula>
    </cfRule>
  </conditionalFormatting>
  <conditionalFormatting sqref="S57:Z57 AB57:AE57">
    <cfRule type="expression" dxfId="6798" priority="322">
      <formula>S$9&gt;=20/24</formula>
    </cfRule>
    <cfRule type="expression" dxfId="6797" priority="323">
      <formula>AND(S$9&gt;=14/24,S$9&lt;20/24)</formula>
    </cfRule>
    <cfRule type="expression" dxfId="6796" priority="324">
      <formula>AND(S$9&gt;=8/24,S$9&lt;14/24)</formula>
    </cfRule>
    <cfRule type="expression" dxfId="6795" priority="325">
      <formula>S$9&lt;8/24</formula>
    </cfRule>
  </conditionalFormatting>
  <conditionalFormatting sqref="S81:AA81">
    <cfRule type="expression" dxfId="6794" priority="318">
      <formula>S$9&gt;=20/24</formula>
    </cfRule>
    <cfRule type="expression" dxfId="6793" priority="319">
      <formula>AND(S$9&gt;=14/24,S$9&lt;20/24)</formula>
    </cfRule>
    <cfRule type="expression" dxfId="6792" priority="320">
      <formula>AND(S$9&gt;=8/24,S$9&lt;14/24)</formula>
    </cfRule>
    <cfRule type="expression" dxfId="6791" priority="321">
      <formula>S$9&lt;8/24</formula>
    </cfRule>
  </conditionalFormatting>
  <conditionalFormatting sqref="U84:AA84">
    <cfRule type="expression" dxfId="6790" priority="314">
      <formula>U$9&gt;=20/24</formula>
    </cfRule>
    <cfRule type="expression" dxfId="6789" priority="315">
      <formula>AND(U$9&gt;=14/24,U$9&lt;20/24)</formula>
    </cfRule>
    <cfRule type="expression" dxfId="6788" priority="316">
      <formula>AND(U$9&gt;=8/24,U$9&lt;14/24)</formula>
    </cfRule>
    <cfRule type="expression" dxfId="6787" priority="317">
      <formula>U$9&lt;8/24</formula>
    </cfRule>
  </conditionalFormatting>
  <conditionalFormatting sqref="O49:V49">
    <cfRule type="expression" dxfId="6786" priority="306">
      <formula>O$9&gt;=20/24</formula>
    </cfRule>
    <cfRule type="expression" dxfId="6785" priority="307">
      <formula>AND(O$9&gt;=14/24,O$9&lt;20/24)</formula>
    </cfRule>
    <cfRule type="expression" dxfId="6784" priority="308">
      <formula>AND(O$9&gt;=8/24,O$9&lt;14/24)</formula>
    </cfRule>
    <cfRule type="expression" dxfId="6783" priority="309">
      <formula>O$9&lt;8/24</formula>
    </cfRule>
  </conditionalFormatting>
  <conditionalFormatting sqref="O50:V50">
    <cfRule type="expression" dxfId="6782" priority="302">
      <formula>O$9&gt;=20/24</formula>
    </cfRule>
    <cfRule type="expression" dxfId="6781" priority="303">
      <formula>AND(O$9&gt;=14/24,O$9&lt;20/24)</formula>
    </cfRule>
    <cfRule type="expression" dxfId="6780" priority="304">
      <formula>AND(O$9&gt;=8/24,O$9&lt;14/24)</formula>
    </cfRule>
    <cfRule type="expression" dxfId="6779" priority="305">
      <formula>O$9&lt;8/24</formula>
    </cfRule>
  </conditionalFormatting>
  <conditionalFormatting sqref="O45:V48">
    <cfRule type="expression" dxfId="6778" priority="298">
      <formula>O$9&gt;=20/24</formula>
    </cfRule>
    <cfRule type="expression" dxfId="6777" priority="299">
      <formula>AND(O$9&gt;=14/24,O$9&lt;20/24)</formula>
    </cfRule>
    <cfRule type="expression" dxfId="6776" priority="300">
      <formula>AND(O$9&gt;=8/24,O$9&lt;14/24)</formula>
    </cfRule>
    <cfRule type="expression" dxfId="6775" priority="301">
      <formula>O$9&lt;8/24</formula>
    </cfRule>
  </conditionalFormatting>
  <conditionalFormatting sqref="U37:Z37 AB37:AE37">
    <cfRule type="expression" dxfId="6774" priority="294">
      <formula>U$9&gt;=20/24</formula>
    </cfRule>
    <cfRule type="expression" dxfId="6773" priority="295">
      <formula>AND(U$9&gt;=14/24,U$9&lt;20/24)</formula>
    </cfRule>
    <cfRule type="expression" dxfId="6772" priority="296">
      <formula>AND(U$9&gt;=8/24,U$9&lt;14/24)</formula>
    </cfRule>
    <cfRule type="expression" dxfId="6771" priority="297">
      <formula>U$9&lt;8/24</formula>
    </cfRule>
  </conditionalFormatting>
  <conditionalFormatting sqref="U31:Y32 U35:Z35">
    <cfRule type="expression" dxfId="6770" priority="290">
      <formula>U$9&gt;=20/24</formula>
    </cfRule>
    <cfRule type="expression" dxfId="6769" priority="291">
      <formula>AND(U$9&gt;=14/24,U$9&lt;20/24)</formula>
    </cfRule>
    <cfRule type="expression" dxfId="6768" priority="292">
      <formula>AND(U$9&gt;=8/24,U$9&lt;14/24)</formula>
    </cfRule>
    <cfRule type="expression" dxfId="6767" priority="293">
      <formula>U$9&lt;8/24</formula>
    </cfRule>
  </conditionalFormatting>
  <conditionalFormatting sqref="T42:T43 U43:Y43 AA43:AE43 T45:AF48">
    <cfRule type="expression" dxfId="6766" priority="286">
      <formula>T$9&gt;=20/24</formula>
    </cfRule>
    <cfRule type="expression" dxfId="6765" priority="287">
      <formula>AND(T$9&gt;=14/24,T$9&lt;20/24)</formula>
    </cfRule>
    <cfRule type="expression" dxfId="6764" priority="288">
      <formula>AND(T$9&gt;=8/24,T$9&lt;14/24)</formula>
    </cfRule>
    <cfRule type="expression" dxfId="6763" priority="289">
      <formula>T$9&lt;8/24</formula>
    </cfRule>
  </conditionalFormatting>
  <conditionalFormatting sqref="T49:AF49">
    <cfRule type="expression" dxfId="6762" priority="282">
      <formula>T$9&gt;=20/24</formula>
    </cfRule>
    <cfRule type="expression" dxfId="6761" priority="283">
      <formula>AND(T$9&gt;=14/24,T$9&lt;20/24)</formula>
    </cfRule>
    <cfRule type="expression" dxfId="6760" priority="284">
      <formula>AND(T$9&gt;=8/24,T$9&lt;14/24)</formula>
    </cfRule>
    <cfRule type="expression" dxfId="6759" priority="285">
      <formula>T$9&lt;8/24</formula>
    </cfRule>
  </conditionalFormatting>
  <conditionalFormatting sqref="T50:AF50">
    <cfRule type="expression" dxfId="6758" priority="278">
      <formula>T$9&gt;=20/24</formula>
    </cfRule>
    <cfRule type="expression" dxfId="6757" priority="279">
      <formula>AND(T$9&gt;=14/24,T$9&lt;20/24)</formula>
    </cfRule>
    <cfRule type="expression" dxfId="6756" priority="280">
      <formula>AND(T$9&gt;=8/24,T$9&lt;14/24)</formula>
    </cfRule>
    <cfRule type="expression" dxfId="6755" priority="281">
      <formula>T$9&lt;8/24</formula>
    </cfRule>
  </conditionalFormatting>
  <conditionalFormatting sqref="S60:T65 S67:T67 X60:Z67 AB60:AD61 AE60:AF67">
    <cfRule type="expression" dxfId="6754" priority="274">
      <formula>S$9&gt;=20/24</formula>
    </cfRule>
    <cfRule type="expression" dxfId="6753" priority="275">
      <formula>AND(S$9&gt;=14/24,S$9&lt;20/24)</formula>
    </cfRule>
    <cfRule type="expression" dxfId="6752" priority="276">
      <formula>AND(S$9&gt;=8/24,S$9&lt;14/24)</formula>
    </cfRule>
    <cfRule type="expression" dxfId="6751" priority="277">
      <formula>S$9&lt;8/24</formula>
    </cfRule>
  </conditionalFormatting>
  <conditionalFormatting sqref="D62:I62 I63:I67 J62:L67 M63:R67 S66:V66">
    <cfRule type="expression" dxfId="6750" priority="270">
      <formula>D$9&gt;=20/24</formula>
    </cfRule>
    <cfRule type="expression" dxfId="6749" priority="271">
      <formula>AND(D$9&gt;=14/24,D$9&lt;20/24)</formula>
    </cfRule>
    <cfRule type="expression" dxfId="6748" priority="272">
      <formula>AND(D$9&gt;=8/24,D$9&lt;14/24)</formula>
    </cfRule>
    <cfRule type="expression" dxfId="6747" priority="273">
      <formula>D$9&lt;8/24</formula>
    </cfRule>
  </conditionalFormatting>
  <conditionalFormatting sqref="U94:AA97">
    <cfRule type="expression" dxfId="6746" priority="266">
      <formula>U$9&gt;=20/24</formula>
    </cfRule>
    <cfRule type="expression" dxfId="6745" priority="267">
      <formula>AND(U$9&gt;=14/24,U$9&lt;20/24)</formula>
    </cfRule>
    <cfRule type="expression" dxfId="6744" priority="268">
      <formula>AND(U$9&gt;=8/24,U$9&lt;14/24)</formula>
    </cfRule>
    <cfRule type="expression" dxfId="6743" priority="269">
      <formula>U$9&lt;8/24</formula>
    </cfRule>
  </conditionalFormatting>
  <conditionalFormatting sqref="AG51 C51:AF52 C56:AF56 C38:AF38 I45:L45 L46:L50 M45:M50 C44:M44 N44:R50 C39:R43 E37:T37 E11:T14 Z11:Z32 U11:Y11 U18:Y32 U34:Z37 AB37:AF37 AB11:AF11 D53:AF55 S39:AF50">
    <cfRule type="expression" dxfId="6742" priority="265">
      <formula>C11&gt;$AG11</formula>
    </cfRule>
  </conditionalFormatting>
  <conditionalFormatting sqref="A101:A157 A84:A97 A11:A14 A16:A32 A45:A72 A80:A82 A74:A78 A35:A43 A170:A200">
    <cfRule type="expression" dxfId="6741" priority="264">
      <formula>$AH11=0</formula>
    </cfRule>
  </conditionalFormatting>
  <conditionalFormatting sqref="U98:AA98">
    <cfRule type="expression" dxfId="6740" priority="260">
      <formula>U$9&gt;=20/24</formula>
    </cfRule>
    <cfRule type="expression" dxfId="6739" priority="261">
      <formula>AND(U$9&gt;=14/24,U$9&lt;20/24)</formula>
    </cfRule>
    <cfRule type="expression" dxfId="6738" priority="262">
      <formula>AND(U$9&gt;=8/24,U$9&lt;14/24)</formula>
    </cfRule>
    <cfRule type="expression" dxfId="6737" priority="263">
      <formula>U$9&lt;8/24</formula>
    </cfRule>
  </conditionalFormatting>
  <conditionalFormatting sqref="A98">
    <cfRule type="expression" dxfId="6736" priority="259">
      <formula>$AH98=0</formula>
    </cfRule>
  </conditionalFormatting>
  <conditionalFormatting sqref="E63:H67">
    <cfRule type="expression" dxfId="6735" priority="251">
      <formula>E$9&gt;=20/24</formula>
    </cfRule>
    <cfRule type="expression" dxfId="6734" priority="252">
      <formula>AND(E$9&gt;=14/24,E$9&lt;20/24)</formula>
    </cfRule>
    <cfRule type="expression" dxfId="6733" priority="253">
      <formula>AND(E$9&gt;=8/24,E$9&lt;14/24)</formula>
    </cfRule>
    <cfRule type="expression" dxfId="6732" priority="254">
      <formula>E$9&lt;8/24</formula>
    </cfRule>
  </conditionalFormatting>
  <conditionalFormatting sqref="M62">
    <cfRule type="expression" dxfId="6731" priority="247">
      <formula>M$9&gt;=20/24</formula>
    </cfRule>
    <cfRule type="expression" dxfId="6730" priority="248">
      <formula>AND(M$9&gt;=14/24,M$9&lt;20/24)</formula>
    </cfRule>
    <cfRule type="expression" dxfId="6729" priority="249">
      <formula>AND(M$9&gt;=8/24,M$9&lt;14/24)</formula>
    </cfRule>
    <cfRule type="expression" dxfId="6728" priority="250">
      <formula>M$9&lt;8/24</formula>
    </cfRule>
  </conditionalFormatting>
  <conditionalFormatting sqref="AL32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Z34">
    <cfRule type="expression" dxfId="6727" priority="242">
      <formula>Z$9&gt;=20/24</formula>
    </cfRule>
    <cfRule type="expression" dxfId="6726" priority="243">
      <formula>AND(Z$9&gt;=14/24,Z$9&lt;20/24)</formula>
    </cfRule>
    <cfRule type="expression" dxfId="6725" priority="244">
      <formula>AND(Z$9&gt;=8/24,Z$9&lt;14/24)</formula>
    </cfRule>
    <cfRule type="expression" dxfId="6724" priority="245">
      <formula>Z$9&lt;8/24</formula>
    </cfRule>
  </conditionalFormatting>
  <conditionalFormatting sqref="U34:Y34">
    <cfRule type="expression" dxfId="6723" priority="234">
      <formula>U$9&gt;=20/24</formula>
    </cfRule>
    <cfRule type="expression" dxfId="6722" priority="235">
      <formula>AND(U$9&gt;=14/24,U$9&lt;20/24)</formula>
    </cfRule>
    <cfRule type="expression" dxfId="6721" priority="236">
      <formula>AND(U$9&gt;=8/24,U$9&lt;14/24)</formula>
    </cfRule>
    <cfRule type="expression" dxfId="6720" priority="237">
      <formula>U$9&lt;8/24</formula>
    </cfRule>
  </conditionalFormatting>
  <conditionalFormatting sqref="A34">
    <cfRule type="expression" dxfId="6719" priority="233">
      <formula>$AH34=0</formula>
    </cfRule>
  </conditionalFormatting>
  <conditionalFormatting sqref="A83">
    <cfRule type="expression" dxfId="6718" priority="232">
      <formula>$AH83=0</formula>
    </cfRule>
  </conditionalFormatting>
  <conditionalFormatting sqref="Z15">
    <cfRule type="expression" dxfId="6717" priority="228">
      <formula>Z$9&gt;=20/24</formula>
    </cfRule>
    <cfRule type="expression" dxfId="6716" priority="229">
      <formula>AND(Z$9&gt;=14/24,Z$9&lt;20/24)</formula>
    </cfRule>
    <cfRule type="expression" dxfId="6715" priority="230">
      <formula>AND(Z$9&gt;=8/24,Z$9&lt;14/24)</formula>
    </cfRule>
    <cfRule type="expression" dxfId="6714" priority="231">
      <formula>Z$9&lt;8/24</formula>
    </cfRule>
  </conditionalFormatting>
  <conditionalFormatting sqref="N15:T15">
    <cfRule type="expression" dxfId="6713" priority="224">
      <formula>N$9&gt;=20/24</formula>
    </cfRule>
    <cfRule type="expression" dxfId="6712" priority="225">
      <formula>AND(N$9&gt;=14/24,N$9&lt;20/24)</formula>
    </cfRule>
    <cfRule type="expression" dxfId="6711" priority="226">
      <formula>AND(N$9&gt;=8/24,N$9&lt;14/24)</formula>
    </cfRule>
    <cfRule type="expression" dxfId="6710" priority="227">
      <formula>N$9&lt;8/24</formula>
    </cfRule>
  </conditionalFormatting>
  <conditionalFormatting sqref="E15:T15">
    <cfRule type="expression" dxfId="6709" priority="223">
      <formula>E15&gt;$AG15</formula>
    </cfRule>
  </conditionalFormatting>
  <conditionalFormatting sqref="A15">
    <cfRule type="expression" dxfId="6708" priority="222">
      <formula>$AH15=0</formula>
    </cfRule>
  </conditionalFormatting>
  <conditionalFormatting sqref="A164:A169">
    <cfRule type="expression" dxfId="6707" priority="221">
      <formula>$AH164=0</formula>
    </cfRule>
  </conditionalFormatting>
  <conditionalFormatting sqref="A158:A163">
    <cfRule type="expression" dxfId="6706" priority="220">
      <formula>$AH158=0</formula>
    </cfRule>
  </conditionalFormatting>
  <conditionalFormatting sqref="Z44:AF44">
    <cfRule type="expression" dxfId="6705" priority="216">
      <formula>Z$9&gt;=20/24</formula>
    </cfRule>
    <cfRule type="expression" dxfId="6704" priority="217">
      <formula>AND(Z$9&gt;=14/24,Z$9&lt;20/24)</formula>
    </cfRule>
    <cfRule type="expression" dxfId="6703" priority="218">
      <formula>AND(Z$9&gt;=8/24,Z$9&lt;14/24)</formula>
    </cfRule>
    <cfRule type="expression" dxfId="6702" priority="219">
      <formula>Z$9&lt;8/24</formula>
    </cfRule>
  </conditionalFormatting>
  <conditionalFormatting sqref="M44:T44">
    <cfRule type="expression" dxfId="6701" priority="212">
      <formula>M$9&gt;=20/24</formula>
    </cfRule>
    <cfRule type="expression" dxfId="6700" priority="213">
      <formula>AND(M$9&gt;=14/24,M$9&lt;20/24)</formula>
    </cfRule>
    <cfRule type="expression" dxfId="6699" priority="214">
      <formula>AND(M$9&gt;=8/24,M$9&lt;14/24)</formula>
    </cfRule>
    <cfRule type="expression" dxfId="6698" priority="215">
      <formula>M$9&lt;8/24</formula>
    </cfRule>
  </conditionalFormatting>
  <conditionalFormatting sqref="T44:Y44">
    <cfRule type="expression" dxfId="6697" priority="208">
      <formula>T$9&gt;=20/24</formula>
    </cfRule>
    <cfRule type="expression" dxfId="6696" priority="209">
      <formula>AND(T$9&gt;=14/24,T$9&lt;20/24)</formula>
    </cfRule>
    <cfRule type="expression" dxfId="6695" priority="210">
      <formula>AND(T$9&gt;=8/24,T$9&lt;14/24)</formula>
    </cfRule>
    <cfRule type="expression" dxfId="6694" priority="211">
      <formula>T$9&lt;8/24</formula>
    </cfRule>
  </conditionalFormatting>
  <conditionalFormatting sqref="A44">
    <cfRule type="expression" dxfId="6693" priority="207">
      <formula>$AH44=0</formula>
    </cfRule>
  </conditionalFormatting>
  <conditionalFormatting sqref="A79">
    <cfRule type="expression" dxfId="6692" priority="206">
      <formula>$AH79=0</formula>
    </cfRule>
  </conditionalFormatting>
  <conditionalFormatting sqref="A73">
    <cfRule type="expression" dxfId="6691" priority="205">
      <formula>$AH73=0</formula>
    </cfRule>
  </conditionalFormatting>
  <conditionalFormatting sqref="AL34:AL35 AL7:AL31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U60:W61 W62:W67 U67:V67 U62:V65">
    <cfRule type="expression" dxfId="6690" priority="201">
      <formula>U$9&gt;=20/24</formula>
    </cfRule>
    <cfRule type="expression" dxfId="6689" priority="202">
      <formula>AND(U$9&gt;=14/24,U$9&lt;20/24)</formula>
    </cfRule>
    <cfRule type="expression" dxfId="6688" priority="203">
      <formula>AND(U$9&gt;=8/24,U$9&lt;14/24)</formula>
    </cfRule>
    <cfRule type="expression" dxfId="6687" priority="204">
      <formula>U$9&lt;8/24</formula>
    </cfRule>
  </conditionalFormatting>
  <conditionalFormatting sqref="U85:W91">
    <cfRule type="expression" dxfId="6686" priority="197">
      <formula>U$9&gt;=20/24</formula>
    </cfRule>
    <cfRule type="expression" dxfId="6685" priority="198">
      <formula>AND(U$9&gt;=14/24,U$9&lt;20/24)</formula>
    </cfRule>
    <cfRule type="expression" dxfId="6684" priority="199">
      <formula>AND(U$9&gt;=8/24,U$9&lt;14/24)</formula>
    </cfRule>
    <cfRule type="expression" dxfId="6683" priority="200">
      <formula>U$9&lt;8/24</formula>
    </cfRule>
  </conditionalFormatting>
  <conditionalFormatting sqref="T85:T91 C84:S91">
    <cfRule type="expression" dxfId="6682" priority="193">
      <formula>C$9&gt;=20/24</formula>
    </cfRule>
    <cfRule type="expression" dxfId="6681" priority="194">
      <formula>AND(C$9&gt;=14/24,C$9&lt;20/24)</formula>
    </cfRule>
    <cfRule type="expression" dxfId="6680" priority="195">
      <formula>AND(C$9&gt;=8/24,C$9&lt;14/24)</formula>
    </cfRule>
    <cfRule type="expression" dxfId="6679" priority="196">
      <formula>C$9&lt;8/24</formula>
    </cfRule>
  </conditionalFormatting>
  <conditionalFormatting sqref="T84">
    <cfRule type="expression" dxfId="6678" priority="189">
      <formula>T$9&gt;=20/24</formula>
    </cfRule>
    <cfRule type="expression" dxfId="6677" priority="190">
      <formula>AND(T$9&gt;=14/24,T$9&lt;20/24)</formula>
    </cfRule>
    <cfRule type="expression" dxfId="6676" priority="191">
      <formula>AND(T$9&gt;=8/24,T$9&lt;14/24)</formula>
    </cfRule>
    <cfRule type="expression" dxfId="6675" priority="192">
      <formula>T$9&lt;8/24</formula>
    </cfRule>
  </conditionalFormatting>
  <conditionalFormatting sqref="C95:M97 C94:F94">
    <cfRule type="expression" dxfId="6674" priority="185">
      <formula>C$9&gt;=20/24</formula>
    </cfRule>
    <cfRule type="expression" dxfId="6673" priority="186">
      <formula>AND(C$9&gt;=14/24,C$9&lt;20/24)</formula>
    </cfRule>
    <cfRule type="expression" dxfId="6672" priority="187">
      <formula>AND(C$9&gt;=8/24,C$9&lt;14/24)</formula>
    </cfRule>
    <cfRule type="expression" dxfId="6671" priority="188">
      <formula>C$9&lt;8/24</formula>
    </cfRule>
  </conditionalFormatting>
  <conditionalFormatting sqref="N95:R97 O94:R94">
    <cfRule type="expression" dxfId="6670" priority="181">
      <formula>N$9&gt;=20/24</formula>
    </cfRule>
    <cfRule type="expression" dxfId="6669" priority="182">
      <formula>AND(N$9&gt;=14/24,N$9&lt;20/24)</formula>
    </cfRule>
    <cfRule type="expression" dxfId="6668" priority="183">
      <formula>AND(N$9&gt;=8/24,N$9&lt;14/24)</formula>
    </cfRule>
    <cfRule type="expression" dxfId="6667" priority="184">
      <formula>N$9&lt;8/24</formula>
    </cfRule>
  </conditionalFormatting>
  <conditionalFormatting sqref="S94:T97">
    <cfRule type="expression" dxfId="6666" priority="177">
      <formula>S$9&gt;=20/24</formula>
    </cfRule>
    <cfRule type="expression" dxfId="6665" priority="178">
      <formula>AND(S$9&gt;=14/24,S$9&lt;20/24)</formula>
    </cfRule>
    <cfRule type="expression" dxfId="6664" priority="179">
      <formula>AND(S$9&gt;=8/24,S$9&lt;14/24)</formula>
    </cfRule>
    <cfRule type="expression" dxfId="6663" priority="180">
      <formula>S$9&lt;8/24</formula>
    </cfRule>
  </conditionalFormatting>
  <conditionalFormatting sqref="C98:M98">
    <cfRule type="expression" dxfId="6662" priority="173">
      <formula>C$9&gt;=20/24</formula>
    </cfRule>
    <cfRule type="expression" dxfId="6661" priority="174">
      <formula>AND(C$9&gt;=14/24,C$9&lt;20/24)</formula>
    </cfRule>
    <cfRule type="expression" dxfId="6660" priority="175">
      <formula>AND(C$9&gt;=8/24,C$9&lt;14/24)</formula>
    </cfRule>
    <cfRule type="expression" dxfId="6659" priority="176">
      <formula>C$9&lt;8/24</formula>
    </cfRule>
  </conditionalFormatting>
  <conditionalFormatting sqref="N98:R98">
    <cfRule type="expression" dxfId="6658" priority="169">
      <formula>N$9&gt;=20/24</formula>
    </cfRule>
    <cfRule type="expression" dxfId="6657" priority="170">
      <formula>AND(N$9&gt;=14/24,N$9&lt;20/24)</formula>
    </cfRule>
    <cfRule type="expression" dxfId="6656" priority="171">
      <formula>AND(N$9&gt;=8/24,N$9&lt;14/24)</formula>
    </cfRule>
    <cfRule type="expression" dxfId="6655" priority="172">
      <formula>N$9&lt;8/24</formula>
    </cfRule>
  </conditionalFormatting>
  <conditionalFormatting sqref="S98:T98">
    <cfRule type="expression" dxfId="6654" priority="165">
      <formula>S$9&gt;=20/24</formula>
    </cfRule>
    <cfRule type="expression" dxfId="6653" priority="166">
      <formula>AND(S$9&gt;=14/24,S$9&lt;20/24)</formula>
    </cfRule>
    <cfRule type="expression" dxfId="6652" priority="167">
      <formula>AND(S$9&gt;=8/24,S$9&lt;14/24)</formula>
    </cfRule>
    <cfRule type="expression" dxfId="6651" priority="168">
      <formula>S$9&lt;8/24</formula>
    </cfRule>
  </conditionalFormatting>
  <conditionalFormatting sqref="M94:N94">
    <cfRule type="expression" dxfId="6650" priority="161">
      <formula>M$9&gt;=20/24</formula>
    </cfRule>
    <cfRule type="expression" dxfId="6649" priority="162">
      <formula>AND(M$9&gt;=14/24,M$9&lt;20/24)</formula>
    </cfRule>
    <cfRule type="expression" dxfId="6648" priority="163">
      <formula>AND(M$9&gt;=8/24,M$9&lt;14/24)</formula>
    </cfRule>
    <cfRule type="expression" dxfId="6647" priority="164">
      <formula>M$9&lt;8/24</formula>
    </cfRule>
  </conditionalFormatting>
  <conditionalFormatting sqref="G94:L94">
    <cfRule type="expression" dxfId="6646" priority="157">
      <formula>G$9&gt;=20/24</formula>
    </cfRule>
    <cfRule type="expression" dxfId="6645" priority="158">
      <formula>AND(G$9&gt;=14/24,G$9&lt;20/24)</formula>
    </cfRule>
    <cfRule type="expression" dxfId="6644" priority="159">
      <formula>AND(G$9&gt;=8/24,G$9&lt;14/24)</formula>
    </cfRule>
    <cfRule type="expression" dxfId="6643" priority="160">
      <formula>G$9&lt;8/24</formula>
    </cfRule>
  </conditionalFormatting>
  <conditionalFormatting sqref="U94:X94">
    <cfRule type="expression" dxfId="6642" priority="153">
      <formula>U$9&gt;=20/24</formula>
    </cfRule>
    <cfRule type="expression" dxfId="6641" priority="154">
      <formula>AND(U$9&gt;=14/24,U$9&lt;20/24)</formula>
    </cfRule>
    <cfRule type="expression" dxfId="6640" priority="155">
      <formula>AND(U$9&gt;=8/24,U$9&lt;14/24)</formula>
    </cfRule>
    <cfRule type="expression" dxfId="6639" priority="156">
      <formula>U$9&lt;8/24</formula>
    </cfRule>
  </conditionalFormatting>
  <conditionalFormatting sqref="N94:T94">
    <cfRule type="expression" dxfId="6638" priority="149">
      <formula>N$9&gt;=20/24</formula>
    </cfRule>
    <cfRule type="expression" dxfId="6637" priority="150">
      <formula>AND(N$9&gt;=14/24,N$9&lt;20/24)</formula>
    </cfRule>
    <cfRule type="expression" dxfId="6636" priority="151">
      <formula>AND(N$9&gt;=8/24,N$9&lt;14/24)</formula>
    </cfRule>
    <cfRule type="expression" dxfId="6635" priority="152">
      <formula>N$9&lt;8/24</formula>
    </cfRule>
  </conditionalFormatting>
  <conditionalFormatting sqref="U99:AA100">
    <cfRule type="expression" dxfId="6634" priority="145">
      <formula>U$9&gt;=20/24</formula>
    </cfRule>
    <cfRule type="expression" dxfId="6633" priority="146">
      <formula>AND(U$9&gt;=14/24,U$9&lt;20/24)</formula>
    </cfRule>
    <cfRule type="expression" dxfId="6632" priority="147">
      <formula>AND(U$9&gt;=8/24,U$9&lt;14/24)</formula>
    </cfRule>
    <cfRule type="expression" dxfId="6631" priority="148">
      <formula>U$9&lt;8/24</formula>
    </cfRule>
  </conditionalFormatting>
  <conditionalFormatting sqref="C99:M100">
    <cfRule type="expression" dxfId="6630" priority="141">
      <formula>C$9&gt;=20/24</formula>
    </cfRule>
    <cfRule type="expression" dxfId="6629" priority="142">
      <formula>AND(C$9&gt;=14/24,C$9&lt;20/24)</formula>
    </cfRule>
    <cfRule type="expression" dxfId="6628" priority="143">
      <formula>AND(C$9&gt;=8/24,C$9&lt;14/24)</formula>
    </cfRule>
    <cfRule type="expression" dxfId="6627" priority="144">
      <formula>C$9&lt;8/24</formula>
    </cfRule>
  </conditionalFormatting>
  <conditionalFormatting sqref="N99:R100">
    <cfRule type="expression" dxfId="6626" priority="137">
      <formula>N$9&gt;=20/24</formula>
    </cfRule>
    <cfRule type="expression" dxfId="6625" priority="138">
      <formula>AND(N$9&gt;=14/24,N$9&lt;20/24)</formula>
    </cfRule>
    <cfRule type="expression" dxfId="6624" priority="139">
      <formula>AND(N$9&gt;=8/24,N$9&lt;14/24)</formula>
    </cfRule>
    <cfRule type="expression" dxfId="6623" priority="140">
      <formula>N$9&lt;8/24</formula>
    </cfRule>
  </conditionalFormatting>
  <conditionalFormatting sqref="S99:T100">
    <cfRule type="expression" dxfId="6622" priority="133">
      <formula>S$9&gt;=20/24</formula>
    </cfRule>
    <cfRule type="expression" dxfId="6621" priority="134">
      <formula>AND(S$9&gt;=14/24,S$9&lt;20/24)</formula>
    </cfRule>
    <cfRule type="expression" dxfId="6620" priority="135">
      <formula>AND(S$9&gt;=8/24,S$9&lt;14/24)</formula>
    </cfRule>
    <cfRule type="expression" dxfId="6619" priority="136">
      <formula>S$9&lt;8/24</formula>
    </cfRule>
  </conditionalFormatting>
  <conditionalFormatting sqref="U12:Y16">
    <cfRule type="expression" dxfId="6618" priority="129">
      <formula>U$9&gt;=20/24</formula>
    </cfRule>
    <cfRule type="expression" dxfId="6617" priority="130">
      <formula>AND(U$9&gt;=14/24,U$9&lt;20/24)</formula>
    </cfRule>
    <cfRule type="expression" dxfId="6616" priority="131">
      <formula>AND(U$9&gt;=8/24,U$9&lt;14/24)</formula>
    </cfRule>
    <cfRule type="expression" dxfId="6615" priority="132">
      <formula>U$9&lt;8/24</formula>
    </cfRule>
  </conditionalFormatting>
  <conditionalFormatting sqref="U17:Y17">
    <cfRule type="expression" dxfId="6614" priority="125">
      <formula>U$9&gt;=20/24</formula>
    </cfRule>
    <cfRule type="expression" dxfId="6613" priority="126">
      <formula>AND(U$9&gt;=14/24,U$9&lt;20/24)</formula>
    </cfRule>
    <cfRule type="expression" dxfId="6612" priority="127">
      <formula>AND(U$9&gt;=8/24,U$9&lt;14/24)</formula>
    </cfRule>
    <cfRule type="expression" dxfId="6611" priority="128">
      <formula>U$9&lt;8/24</formula>
    </cfRule>
  </conditionalFormatting>
  <conditionalFormatting sqref="U12:Y13">
    <cfRule type="expression" dxfId="6610" priority="121">
      <formula>U$9&gt;=20/24</formula>
    </cfRule>
    <cfRule type="expression" dxfId="6609" priority="122">
      <formula>AND(U$9&gt;=14/24,U$9&lt;20/24)</formula>
    </cfRule>
    <cfRule type="expression" dxfId="6608" priority="123">
      <formula>AND(U$9&gt;=8/24,U$9&lt;14/24)</formula>
    </cfRule>
    <cfRule type="expression" dxfId="6607" priority="124">
      <formula>U$9&lt;8/24</formula>
    </cfRule>
  </conditionalFormatting>
  <conditionalFormatting sqref="AB58:AE59">
    <cfRule type="expression" dxfId="6606" priority="117">
      <formula>AB$9&gt;=20/24</formula>
    </cfRule>
    <cfRule type="expression" dxfId="6605" priority="118">
      <formula>AND(AB$9&gt;=14/24,AB$9&lt;20/24)</formula>
    </cfRule>
    <cfRule type="expression" dxfId="6604" priority="119">
      <formula>AND(AB$9&gt;=8/24,AB$9&lt;14/24)</formula>
    </cfRule>
    <cfRule type="expression" dxfId="6603" priority="120">
      <formula>AB$9&lt;8/24</formula>
    </cfRule>
  </conditionalFormatting>
  <conditionalFormatting sqref="AL33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602" priority="350">
      <formula>C$9&gt;=20/24</formula>
    </cfRule>
    <cfRule type="expression" dxfId="6601" priority="351">
      <formula>AND(C$9&gt;=14/24,C$9&lt;20/24)</formula>
    </cfRule>
    <cfRule type="expression" dxfId="6600" priority="352">
      <formula>AND(C$9&gt;=8/24,C$9&lt;14/24)</formula>
    </cfRule>
    <cfRule type="expression" dxfId="6599" priority="353">
      <formula>C$9&lt;8/24</formula>
    </cfRule>
  </conditionalFormatting>
  <conditionalFormatting sqref="A201">
    <cfRule type="expression" dxfId="6598" priority="354">
      <formula>$AH201=0</formula>
    </cfRule>
  </conditionalFormatting>
  <conditionalFormatting sqref="AG213">
    <cfRule type="expression" dxfId="6597" priority="355">
      <formula>B$9&gt;=20/24</formula>
    </cfRule>
    <cfRule type="expression" dxfId="6596" priority="356">
      <formula>AND(B$9&gt;=14/24,B$9&lt;20/24)</formula>
    </cfRule>
    <cfRule type="expression" dxfId="6595" priority="357">
      <formula>AND(B$9&gt;=8/24,B$9&lt;14/24)</formula>
    </cfRule>
    <cfRule type="expression" dxfId="6594" priority="358">
      <formula>B$9&lt;8/24</formula>
    </cfRule>
  </conditionalFormatting>
  <conditionalFormatting sqref="S8">
    <cfRule type="expression" dxfId="6593" priority="111">
      <formula>U$9&gt;=20/24</formula>
    </cfRule>
    <cfRule type="expression" dxfId="6592" priority="112">
      <formula>AND(U$9&gt;=14/24,U$9&lt;20/24)</formula>
    </cfRule>
    <cfRule type="expression" dxfId="6591" priority="113">
      <formula>AND(U$9&gt;=8/24,U$9&lt;14/24)</formula>
    </cfRule>
    <cfRule type="expression" dxfId="6590" priority="114">
      <formula>U$9&lt;8/24</formula>
    </cfRule>
  </conditionalFormatting>
  <conditionalFormatting sqref="AB8">
    <cfRule type="expression" dxfId="6589" priority="107">
      <formula>AD$9&gt;=20/24</formula>
    </cfRule>
    <cfRule type="expression" dxfId="6588" priority="108">
      <formula>AND(AD$9&gt;=14/24,AD$9&lt;20/24)</formula>
    </cfRule>
    <cfRule type="expression" dxfId="6587" priority="109">
      <formula>AND(AD$9&gt;=8/24,AD$9&lt;14/24)</formula>
    </cfRule>
    <cfRule type="expression" dxfId="6586" priority="110">
      <formula>AD$9&lt;8/24</formula>
    </cfRule>
  </conditionalFormatting>
  <conditionalFormatting sqref="AH213:AX213">
    <cfRule type="expression" dxfId="6585" priority="359">
      <formula>AG$9&gt;=20/24</formula>
    </cfRule>
    <cfRule type="expression" dxfId="6584" priority="360">
      <formula>AND(AG$9&gt;=14/24,AG$9&lt;20/24)</formula>
    </cfRule>
    <cfRule type="expression" dxfId="6583" priority="361">
      <formula>AND(AG$9&gt;=8/24,AG$9&lt;14/24)</formula>
    </cfRule>
    <cfRule type="expression" dxfId="6582" priority="362">
      <formula>AG$9&lt;8/24</formula>
    </cfRule>
  </conditionalFormatting>
  <conditionalFormatting sqref="T213">
    <cfRule type="expression" dxfId="6581" priority="363">
      <formula>AX$9&gt;=20/24</formula>
    </cfRule>
    <cfRule type="expression" dxfId="6580" priority="364">
      <formula>AND(AX$9&gt;=14/24,AX$9&lt;20/24)</formula>
    </cfRule>
    <cfRule type="expression" dxfId="6579" priority="365">
      <formula>AND(AX$9&gt;=8/24,AX$9&lt;14/24)</formula>
    </cfRule>
    <cfRule type="expression" dxfId="6578" priority="366">
      <formula>AX$9&lt;8/24</formula>
    </cfRule>
  </conditionalFormatting>
  <conditionalFormatting sqref="A99:A100">
    <cfRule type="expression" dxfId="6577" priority="106">
      <formula>$AH99=0</formula>
    </cfRule>
  </conditionalFormatting>
  <conditionalFormatting sqref="Z33">
    <cfRule type="expression" dxfId="6576" priority="98">
      <formula>Z$9&gt;=20/24</formula>
    </cfRule>
    <cfRule type="expression" dxfId="6575" priority="99">
      <formula>AND(Z$9&gt;=14/24,Z$9&lt;20/24)</formula>
    </cfRule>
    <cfRule type="expression" dxfId="6574" priority="100">
      <formula>AND(Z$9&gt;=8/24,Z$9&lt;14/24)</formula>
    </cfRule>
    <cfRule type="expression" dxfId="6573" priority="101">
      <formula>Z$9&lt;8/24</formula>
    </cfRule>
  </conditionalFormatting>
  <conditionalFormatting sqref="U33:Y33">
    <cfRule type="expression" dxfId="6572" priority="94">
      <formula>U$9&gt;=20/24</formula>
    </cfRule>
    <cfRule type="expression" dxfId="6571" priority="95">
      <formula>AND(U$9&gt;=14/24,U$9&lt;20/24)</formula>
    </cfRule>
    <cfRule type="expression" dxfId="6570" priority="96">
      <formula>AND(U$9&gt;=8/24,U$9&lt;14/24)</formula>
    </cfRule>
    <cfRule type="expression" dxfId="6569" priority="97">
      <formula>U$9&lt;8/24</formula>
    </cfRule>
  </conditionalFormatting>
  <conditionalFormatting sqref="U33:Z33">
    <cfRule type="expression" dxfId="6568" priority="93">
      <formula>U33&gt;$AG33</formula>
    </cfRule>
  </conditionalFormatting>
  <conditionalFormatting sqref="B94:B100 B68:B91 B53:B62 C53:C55 C62 B11:D14 B16:T31 B36:T36">
    <cfRule type="expression" dxfId="6567" priority="89">
      <formula>B$9&gt;=20/24</formula>
    </cfRule>
    <cfRule type="expression" dxfId="6566" priority="90">
      <formula>AND(B$9&gt;=14/24,B$9&lt;20/24)</formula>
    </cfRule>
    <cfRule type="expression" dxfId="6565" priority="91">
      <formula>AND(B$9&gt;=8/24,B$9&lt;14/24)</formula>
    </cfRule>
    <cfRule type="expression" dxfId="6564" priority="92">
      <formula>B$9&lt;8/24</formula>
    </cfRule>
  </conditionalFormatting>
  <conditionalFormatting sqref="B32:T32">
    <cfRule type="expression" dxfId="6563" priority="85">
      <formula>B$9&gt;=20/24</formula>
    </cfRule>
    <cfRule type="expression" dxfId="6562" priority="86">
      <formula>AND(B$9&gt;=14/24,B$9&lt;20/24)</formula>
    </cfRule>
    <cfRule type="expression" dxfId="6561" priority="87">
      <formula>AND(B$9&gt;=8/24,B$9&lt;14/24)</formula>
    </cfRule>
    <cfRule type="expression" dxfId="6560" priority="88">
      <formula>B$9&lt;8/24</formula>
    </cfRule>
  </conditionalFormatting>
  <conditionalFormatting sqref="B37:D37">
    <cfRule type="expression" dxfId="6559" priority="81">
      <formula>B$9&gt;=20/24</formula>
    </cfRule>
    <cfRule type="expression" dxfId="6558" priority="82">
      <formula>AND(B$9&gt;=14/24,B$9&lt;20/24)</formula>
    </cfRule>
    <cfRule type="expression" dxfId="6557" priority="83">
      <formula>AND(B$9&gt;=8/24,B$9&lt;14/24)</formula>
    </cfRule>
    <cfRule type="expression" dxfId="6556" priority="84">
      <formula>B$9&lt;8/24</formula>
    </cfRule>
  </conditionalFormatting>
  <conditionalFormatting sqref="B35:T35">
    <cfRule type="expression" dxfId="6555" priority="77">
      <formula>B$9&gt;=20/24</formula>
    </cfRule>
    <cfRule type="expression" dxfId="6554" priority="78">
      <formula>AND(B$9&gt;=14/24,B$9&lt;20/24)</formula>
    </cfRule>
    <cfRule type="expression" dxfId="6553" priority="79">
      <formula>AND(B$9&gt;=8/24,B$9&lt;14/24)</formula>
    </cfRule>
    <cfRule type="expression" dxfId="6552" priority="80">
      <formula>B$9&lt;8/24</formula>
    </cfRule>
  </conditionalFormatting>
  <conditionalFormatting sqref="B45:H48 I46:K48">
    <cfRule type="expression" dxfId="6551" priority="73">
      <formula>B$9&gt;=20/24</formula>
    </cfRule>
    <cfRule type="expression" dxfId="6550" priority="74">
      <formula>AND(B$9&gt;=14/24,B$9&lt;20/24)</formula>
    </cfRule>
    <cfRule type="expression" dxfId="6549" priority="75">
      <formula>AND(B$9&gt;=8/24,B$9&lt;14/24)</formula>
    </cfRule>
    <cfRule type="expression" dxfId="6548" priority="76">
      <formula>B$9&lt;8/24</formula>
    </cfRule>
  </conditionalFormatting>
  <conditionalFormatting sqref="B49:K49">
    <cfRule type="expression" dxfId="6547" priority="69">
      <formula>B$9&gt;=20/24</formula>
    </cfRule>
    <cfRule type="expression" dxfId="6546" priority="70">
      <formula>AND(B$9&gt;=14/24,B$9&lt;20/24)</formula>
    </cfRule>
    <cfRule type="expression" dxfId="6545" priority="71">
      <formula>AND(B$9&gt;=8/24,B$9&lt;14/24)</formula>
    </cfRule>
    <cfRule type="expression" dxfId="6544" priority="72">
      <formula>B$9&lt;8/24</formula>
    </cfRule>
  </conditionalFormatting>
  <conditionalFormatting sqref="B50:K50">
    <cfRule type="expression" dxfId="6543" priority="65">
      <formula>B$9&gt;=20/24</formula>
    </cfRule>
    <cfRule type="expression" dxfId="6542" priority="66">
      <formula>AND(B$9&gt;=14/24,B$9&lt;20/24)</formula>
    </cfRule>
    <cfRule type="expression" dxfId="6541" priority="67">
      <formula>AND(B$9&gt;=8/24,B$9&lt;14/24)</formula>
    </cfRule>
    <cfRule type="expression" dxfId="6540" priority="68">
      <formula>B$9&lt;8/24</formula>
    </cfRule>
  </conditionalFormatting>
  <conditionalFormatting sqref="B63:C67">
    <cfRule type="expression" dxfId="6539" priority="61">
      <formula>B$9&gt;=20/24</formula>
    </cfRule>
    <cfRule type="expression" dxfId="6538" priority="62">
      <formula>AND(B$9&gt;=14/24,B$9&lt;20/24)</formula>
    </cfRule>
    <cfRule type="expression" dxfId="6537" priority="63">
      <formula>AND(B$9&gt;=8/24,B$9&lt;14/24)</formula>
    </cfRule>
    <cfRule type="expression" dxfId="6536" priority="64">
      <formula>B$9&lt;8/24</formula>
    </cfRule>
  </conditionalFormatting>
  <conditionalFormatting sqref="B34:B56 C53:C55 B11:D32 C34:D37 C45:H50 I46:K50 E16:T32 E34:T36">
    <cfRule type="expression" dxfId="6535" priority="60">
      <formula>B11&gt;$AG11</formula>
    </cfRule>
  </conditionalFormatting>
  <conditionalFormatting sqref="B34:T34">
    <cfRule type="expression" dxfId="6534" priority="56">
      <formula>B$9&gt;=20/24</formula>
    </cfRule>
    <cfRule type="expression" dxfId="6533" priority="57">
      <formula>AND(B$9&gt;=14/24,B$9&lt;20/24)</formula>
    </cfRule>
    <cfRule type="expression" dxfId="6532" priority="58">
      <formula>AND(B$9&gt;=8/24,B$9&lt;14/24)</formula>
    </cfRule>
    <cfRule type="expression" dxfId="6531" priority="59">
      <formula>B$9&lt;8/24</formula>
    </cfRule>
  </conditionalFormatting>
  <conditionalFormatting sqref="B15:D15">
    <cfRule type="expression" dxfId="6530" priority="52">
      <formula>B$9&gt;=20/24</formula>
    </cfRule>
    <cfRule type="expression" dxfId="6529" priority="53">
      <formula>AND(B$9&gt;=14/24,B$9&lt;20/24)</formula>
    </cfRule>
    <cfRule type="expression" dxfId="6528" priority="54">
      <formula>AND(B$9&gt;=8/24,B$9&lt;14/24)</formula>
    </cfRule>
    <cfRule type="expression" dxfId="6527" priority="55">
      <formula>B$9&lt;8/24</formula>
    </cfRule>
  </conditionalFormatting>
  <conditionalFormatting sqref="B33:T33">
    <cfRule type="expression" dxfId="6526" priority="48">
      <formula>B$9&gt;=20/24</formula>
    </cfRule>
    <cfRule type="expression" dxfId="6525" priority="49">
      <formula>AND(B$9&gt;=14/24,B$9&lt;20/24)</formula>
    </cfRule>
    <cfRule type="expression" dxfId="6524" priority="50">
      <formula>AND(B$9&gt;=8/24,B$9&lt;14/24)</formula>
    </cfRule>
    <cfRule type="expression" dxfId="6523" priority="51">
      <formula>B$9&lt;8/24</formula>
    </cfRule>
  </conditionalFormatting>
  <conditionalFormatting sqref="B33:T33">
    <cfRule type="expression" dxfId="6522" priority="47">
      <formula>B33&gt;$AG33</formula>
    </cfRule>
  </conditionalFormatting>
  <conditionalFormatting sqref="AA11 AA18:AF30 AA36:AF36">
    <cfRule type="expression" dxfId="6521" priority="43">
      <formula>AA$9&gt;=20/24</formula>
    </cfRule>
    <cfRule type="expression" dxfId="6520" priority="44">
      <formula>AND(AA$9&gt;=14/24,AA$9&lt;20/24)</formula>
    </cfRule>
    <cfRule type="expression" dxfId="6519" priority="45">
      <formula>AND(AA$9&gt;=8/24,AA$9&lt;14/24)</formula>
    </cfRule>
    <cfRule type="expression" dxfId="6518" priority="46">
      <formula>AA$9&lt;8/24</formula>
    </cfRule>
  </conditionalFormatting>
  <conditionalFormatting sqref="AA37">
    <cfRule type="expression" dxfId="6517" priority="39">
      <formula>AA$9&gt;=20/24</formula>
    </cfRule>
    <cfRule type="expression" dxfId="6516" priority="40">
      <formula>AND(AA$9&gt;=14/24,AA$9&lt;20/24)</formula>
    </cfRule>
    <cfRule type="expression" dxfId="6515" priority="41">
      <formula>AND(AA$9&gt;=8/24,AA$9&lt;14/24)</formula>
    </cfRule>
    <cfRule type="expression" dxfId="6514" priority="42">
      <formula>AA$9&lt;8/24</formula>
    </cfRule>
  </conditionalFormatting>
  <conditionalFormatting sqref="AA31:AF32 AA35:AF35">
    <cfRule type="expression" dxfId="6513" priority="35">
      <formula>AA$9&gt;=20/24</formula>
    </cfRule>
    <cfRule type="expression" dxfId="6512" priority="36">
      <formula>AND(AA$9&gt;=14/24,AA$9&lt;20/24)</formula>
    </cfRule>
    <cfRule type="expression" dxfId="6511" priority="37">
      <formula>AND(AA$9&gt;=8/24,AA$9&lt;14/24)</formula>
    </cfRule>
    <cfRule type="expression" dxfId="6510" priority="38">
      <formula>AA$9&lt;8/24</formula>
    </cfRule>
  </conditionalFormatting>
  <conditionalFormatting sqref="AA11 AA34:AA37 AA18:AF32 AB34:AF36">
    <cfRule type="expression" dxfId="6509" priority="34">
      <formula>AA11&gt;$AG11</formula>
    </cfRule>
  </conditionalFormatting>
  <conditionalFormatting sqref="AA34:AF34">
    <cfRule type="expression" dxfId="6508" priority="30">
      <formula>AA$9&gt;=20/24</formula>
    </cfRule>
    <cfRule type="expression" dxfId="6507" priority="31">
      <formula>AND(AA$9&gt;=14/24,AA$9&lt;20/24)</formula>
    </cfRule>
    <cfRule type="expression" dxfId="6506" priority="32">
      <formula>AND(AA$9&gt;=8/24,AA$9&lt;14/24)</formula>
    </cfRule>
    <cfRule type="expression" dxfId="6505" priority="33">
      <formula>AA$9&lt;8/24</formula>
    </cfRule>
  </conditionalFormatting>
  <conditionalFormatting sqref="AA12:AF16">
    <cfRule type="expression" dxfId="6504" priority="26">
      <formula>AA$9&gt;=20/24</formula>
    </cfRule>
    <cfRule type="expression" dxfId="6503" priority="27">
      <formula>AND(AA$9&gt;=14/24,AA$9&lt;20/24)</formula>
    </cfRule>
    <cfRule type="expression" dxfId="6502" priority="28">
      <formula>AND(AA$9&gt;=8/24,AA$9&lt;14/24)</formula>
    </cfRule>
    <cfRule type="expression" dxfId="6501" priority="29">
      <formula>AA$9&lt;8/24</formula>
    </cfRule>
  </conditionalFormatting>
  <conditionalFormatting sqref="AA17:AF17">
    <cfRule type="expression" dxfId="6500" priority="22">
      <formula>AA$9&gt;=20/24</formula>
    </cfRule>
    <cfRule type="expression" dxfId="6499" priority="23">
      <formula>AND(AA$9&gt;=14/24,AA$9&lt;20/24)</formula>
    </cfRule>
    <cfRule type="expression" dxfId="6498" priority="24">
      <formula>AND(AA$9&gt;=8/24,AA$9&lt;14/24)</formula>
    </cfRule>
    <cfRule type="expression" dxfId="6497" priority="25">
      <formula>AA$9&lt;8/24</formula>
    </cfRule>
  </conditionalFormatting>
  <conditionalFormatting sqref="AA12:AF13">
    <cfRule type="expression" dxfId="6496" priority="18">
      <formula>AA$9&gt;=20/24</formula>
    </cfRule>
    <cfRule type="expression" dxfId="6495" priority="19">
      <formula>AND(AA$9&gt;=14/24,AA$9&lt;20/24)</formula>
    </cfRule>
    <cfRule type="expression" dxfId="6494" priority="20">
      <formula>AND(AA$9&gt;=8/24,AA$9&lt;14/24)</formula>
    </cfRule>
    <cfRule type="expression" dxfId="6493" priority="21">
      <formula>AA$9&lt;8/24</formula>
    </cfRule>
  </conditionalFormatting>
  <conditionalFormatting sqref="AA33:AF33">
    <cfRule type="expression" dxfId="6492" priority="14">
      <formula>AA$9&gt;=20/24</formula>
    </cfRule>
    <cfRule type="expression" dxfId="6491" priority="15">
      <formula>AND(AA$9&gt;=14/24,AA$9&lt;20/24)</formula>
    </cfRule>
    <cfRule type="expression" dxfId="6490" priority="16">
      <formula>AND(AA$9&gt;=8/24,AA$9&lt;14/24)</formula>
    </cfRule>
    <cfRule type="expression" dxfId="6489" priority="17">
      <formula>AA$9&lt;8/24</formula>
    </cfRule>
  </conditionalFormatting>
  <conditionalFormatting sqref="AA33:AF33">
    <cfRule type="expression" dxfId="6488" priority="13">
      <formula>AA33&gt;$AG33</formula>
    </cfRule>
  </conditionalFormatting>
  <conditionalFormatting sqref="AA44:AF44">
    <cfRule type="expression" dxfId="6487" priority="9">
      <formula>AA$9&gt;=20/24</formula>
    </cfRule>
    <cfRule type="expression" dxfId="6486" priority="10">
      <formula>AND(AA$9&gt;=14/24,AA$9&lt;20/24)</formula>
    </cfRule>
    <cfRule type="expression" dxfId="6485" priority="11">
      <formula>AND(AA$9&gt;=8/24,AA$9&lt;14/24)</formula>
    </cfRule>
    <cfRule type="expression" dxfId="6484" priority="12">
      <formula>AA$9&lt;8/24</formula>
    </cfRule>
  </conditionalFormatting>
  <conditionalFormatting sqref="AA57">
    <cfRule type="expression" dxfId="6483" priority="5">
      <formula>AA$9&gt;=20/24</formula>
    </cfRule>
    <cfRule type="expression" dxfId="6482" priority="6">
      <formula>AND(AA$9&gt;=14/24,AA$9&lt;20/24)</formula>
    </cfRule>
    <cfRule type="expression" dxfId="6481" priority="7">
      <formula>AND(AA$9&gt;=8/24,AA$9&lt;14/24)</formula>
    </cfRule>
    <cfRule type="expression" dxfId="6480" priority="8">
      <formula>AA$9&lt;8/24</formula>
    </cfRule>
  </conditionalFormatting>
  <conditionalFormatting sqref="AA60:AA67 AB62:AD67">
    <cfRule type="expression" dxfId="6479" priority="1">
      <formula>AA$9&gt;=20/24</formula>
    </cfRule>
    <cfRule type="expression" dxfId="6478" priority="2">
      <formula>AND(AA$9&gt;=14/24,AA$9&lt;20/24)</formula>
    </cfRule>
    <cfRule type="expression" dxfId="6477" priority="3">
      <formula>AND(AA$9&gt;=8/24,AA$9&lt;14/24)</formula>
    </cfRule>
    <cfRule type="expression" dxfId="6476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6" id="{2161C972-F4C0-4227-9D25-071CD13C6302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CJ472"/>
  <sheetViews>
    <sheetView zoomScale="90" zoomScaleNormal="90" workbookViewId="0">
      <pane xSplit="1" ySplit="10" topLeftCell="B62" activePane="bottomRight" state="frozen"/>
      <selection activeCell="AF88" sqref="AF88"/>
      <selection pane="topRight" activeCell="AF88" sqref="AF88"/>
      <selection pane="bottomLeft" activeCell="AF88" sqref="AF88"/>
      <selection pane="bottomRight" activeCell="C95" sqref="C9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2078/12/9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107</v>
      </c>
      <c r="C5" s="157">
        <f t="shared" si="0"/>
        <v>114</v>
      </c>
      <c r="D5" s="157">
        <f t="shared" si="0"/>
        <v>114.48</v>
      </c>
      <c r="E5" s="157">
        <f t="shared" si="0"/>
        <v>116.67</v>
      </c>
      <c r="F5" s="157">
        <f t="shared" si="0"/>
        <v>114.46</v>
      </c>
      <c r="G5" s="157">
        <f t="shared" si="0"/>
        <v>104.5</v>
      </c>
      <c r="H5" s="157">
        <f t="shared" si="0"/>
        <v>118.6</v>
      </c>
      <c r="I5" s="157">
        <f t="shared" si="0"/>
        <v>119.5</v>
      </c>
      <c r="J5" s="157">
        <f t="shared" si="0"/>
        <v>117.4</v>
      </c>
      <c r="K5" s="157">
        <f t="shared" si="0"/>
        <v>94.77</v>
      </c>
      <c r="L5" s="157">
        <f t="shared" si="0"/>
        <v>105.3</v>
      </c>
      <c r="M5" s="157">
        <f t="shared" si="0"/>
        <v>360.6</v>
      </c>
      <c r="N5" s="157">
        <f t="shared" si="0"/>
        <v>319</v>
      </c>
      <c r="O5" s="157">
        <f t="shared" si="0"/>
        <v>339.6</v>
      </c>
      <c r="P5" s="157">
        <f t="shared" si="0"/>
        <v>315.29999999999995</v>
      </c>
      <c r="Q5" s="157">
        <f t="shared" si="0"/>
        <v>378.2</v>
      </c>
      <c r="R5" s="157">
        <f t="shared" si="0"/>
        <v>423.9</v>
      </c>
      <c r="S5" s="157">
        <f t="shared" si="0"/>
        <v>402</v>
      </c>
      <c r="T5" s="157">
        <f t="shared" si="0"/>
        <v>414.5</v>
      </c>
      <c r="U5" s="157">
        <f t="shared" si="0"/>
        <v>407.5</v>
      </c>
      <c r="V5" s="157">
        <f t="shared" si="0"/>
        <v>336</v>
      </c>
      <c r="W5" s="157">
        <f t="shared" si="0"/>
        <v>161</v>
      </c>
      <c r="X5" s="157">
        <f t="shared" si="0"/>
        <v>173</v>
      </c>
      <c r="Y5" s="157">
        <f t="shared" si="0"/>
        <v>120.7</v>
      </c>
      <c r="Z5" s="157">
        <f t="shared" si="0"/>
        <v>117</v>
      </c>
      <c r="AA5" s="157">
        <f t="shared" si="0"/>
        <v>148</v>
      </c>
      <c r="AB5" s="157">
        <f t="shared" si="0"/>
        <v>186.4</v>
      </c>
      <c r="AC5" s="157">
        <f t="shared" si="0"/>
        <v>169.2</v>
      </c>
      <c r="AD5" s="157">
        <f t="shared" si="0"/>
        <v>114.34</v>
      </c>
      <c r="AE5" s="157">
        <f t="shared" si="0"/>
        <v>107.9</v>
      </c>
      <c r="AF5" s="157">
        <f>B68</f>
        <v>94.92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1376MW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Load=1083</v>
      </c>
      <c r="B7" s="146">
        <f>B75</f>
        <v>1205.06</v>
      </c>
      <c r="C7" s="146">
        <f t="shared" ref="C7:AF7" si="1">C75</f>
        <v>1165.44</v>
      </c>
      <c r="D7" s="146">
        <f t="shared" si="1"/>
        <v>1143.24</v>
      </c>
      <c r="E7" s="146">
        <f t="shared" si="1"/>
        <v>1094.4199999999998</v>
      </c>
      <c r="F7" s="146">
        <f t="shared" si="1"/>
        <v>1083.1100000000001</v>
      </c>
      <c r="G7" s="146">
        <f t="shared" si="1"/>
        <v>1091.0999999999999</v>
      </c>
      <c r="H7" s="146">
        <f t="shared" si="1"/>
        <v>1141.74</v>
      </c>
      <c r="I7" s="146">
        <f t="shared" si="1"/>
        <v>1196.4399999999998</v>
      </c>
      <c r="J7" s="146">
        <f t="shared" si="1"/>
        <v>1261.04</v>
      </c>
      <c r="K7" s="146">
        <f t="shared" si="1"/>
        <v>1343.8400000000001</v>
      </c>
      <c r="L7" s="146">
        <f t="shared" si="1"/>
        <v>1375.5100000000002</v>
      </c>
      <c r="M7" s="146">
        <f t="shared" si="1"/>
        <v>1369.94</v>
      </c>
      <c r="N7" s="146">
        <f t="shared" si="1"/>
        <v>1360.74</v>
      </c>
      <c r="O7" s="146">
        <f t="shared" si="1"/>
        <v>1297.44</v>
      </c>
      <c r="P7" s="146">
        <f t="shared" si="1"/>
        <v>1335.7400000000002</v>
      </c>
      <c r="Q7" s="146">
        <f t="shared" si="1"/>
        <v>1321.24</v>
      </c>
      <c r="R7" s="146">
        <f t="shared" si="1"/>
        <v>1321.3400000000001</v>
      </c>
      <c r="S7" s="146">
        <f t="shared" si="1"/>
        <v>1431.44</v>
      </c>
      <c r="T7" s="146">
        <f t="shared" si="1"/>
        <v>1413.7400000000002</v>
      </c>
      <c r="U7" s="146">
        <f t="shared" si="1"/>
        <v>1349.2400000000002</v>
      </c>
      <c r="V7" s="146">
        <f t="shared" si="1"/>
        <v>1336.3400000000001</v>
      </c>
      <c r="W7" s="146">
        <f t="shared" si="1"/>
        <v>1317.2400000000002</v>
      </c>
      <c r="X7" s="146">
        <f t="shared" si="1"/>
        <v>1406.2400000000002</v>
      </c>
      <c r="Y7" s="146">
        <f t="shared" si="1"/>
        <v>1515.3400000000001</v>
      </c>
      <c r="Z7" s="146">
        <f t="shared" si="1"/>
        <v>1607.54</v>
      </c>
      <c r="AA7" s="146">
        <f t="shared" si="1"/>
        <v>1588.8400000000001</v>
      </c>
      <c r="AB7" s="146">
        <f t="shared" si="1"/>
        <v>1544.2400000000002</v>
      </c>
      <c r="AC7" s="146">
        <f t="shared" si="1"/>
        <v>1497.14</v>
      </c>
      <c r="AD7" s="146">
        <f t="shared" si="1"/>
        <v>1453.14</v>
      </c>
      <c r="AE7" s="146">
        <f t="shared" si="1"/>
        <v>1295.7800000000002</v>
      </c>
      <c r="AF7" s="146">
        <f t="shared" si="1"/>
        <v>1220.1400000000001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70</v>
      </c>
      <c r="C11" s="127">
        <v>60</v>
      </c>
      <c r="D11" s="127">
        <v>60</v>
      </c>
      <c r="E11" s="127">
        <v>60</v>
      </c>
      <c r="F11" s="127">
        <v>40</v>
      </c>
      <c r="G11" s="127">
        <v>50</v>
      </c>
      <c r="H11" s="127">
        <v>110</v>
      </c>
      <c r="I11" s="127">
        <v>150</v>
      </c>
      <c r="J11" s="127">
        <v>210</v>
      </c>
      <c r="K11" s="127">
        <v>240</v>
      </c>
      <c r="L11" s="127">
        <v>240</v>
      </c>
      <c r="M11" s="181">
        <v>230</v>
      </c>
      <c r="N11" s="181">
        <v>40</v>
      </c>
      <c r="O11" s="181">
        <v>40</v>
      </c>
      <c r="P11" s="181">
        <v>40</v>
      </c>
      <c r="Q11" s="181">
        <v>40</v>
      </c>
      <c r="R11" s="181">
        <v>40</v>
      </c>
      <c r="S11" s="103">
        <v>12</v>
      </c>
      <c r="T11" s="103">
        <v>30</v>
      </c>
      <c r="U11" s="103">
        <v>12</v>
      </c>
      <c r="V11" s="103">
        <v>12</v>
      </c>
      <c r="W11" s="103">
        <v>12</v>
      </c>
      <c r="X11" s="103">
        <v>160</v>
      </c>
      <c r="Y11" s="103">
        <v>180</v>
      </c>
      <c r="Z11" s="179">
        <v>310</v>
      </c>
      <c r="AA11" s="103">
        <v>300</v>
      </c>
      <c r="AB11" s="103">
        <v>250</v>
      </c>
      <c r="AC11" s="103">
        <v>180</v>
      </c>
      <c r="AD11" s="103">
        <v>180</v>
      </c>
      <c r="AE11" s="103">
        <v>110</v>
      </c>
      <c r="AF11" s="127">
        <v>70</v>
      </c>
      <c r="AG11" s="54">
        <v>456</v>
      </c>
      <c r="AH11" s="21">
        <f>MAX(B11:AF11)</f>
        <v>310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81">
        <v>27</v>
      </c>
      <c r="N12" s="181">
        <v>27</v>
      </c>
      <c r="O12" s="181">
        <v>27</v>
      </c>
      <c r="P12" s="181">
        <v>27</v>
      </c>
      <c r="Q12" s="181">
        <v>27</v>
      </c>
      <c r="R12" s="181">
        <v>27</v>
      </c>
      <c r="S12" s="181">
        <v>27</v>
      </c>
      <c r="T12" s="181">
        <v>27</v>
      </c>
      <c r="U12" s="181">
        <v>27</v>
      </c>
      <c r="V12" s="181">
        <v>27</v>
      </c>
      <c r="W12" s="181">
        <v>27</v>
      </c>
      <c r="X12" s="181">
        <v>27</v>
      </c>
      <c r="Y12" s="181">
        <v>27</v>
      </c>
      <c r="Z12" s="103">
        <v>26.5</v>
      </c>
      <c r="AA12" s="103">
        <v>26.5</v>
      </c>
      <c r="AB12" s="103">
        <v>26.5</v>
      </c>
      <c r="AC12" s="103">
        <v>26.5</v>
      </c>
      <c r="AD12" s="103">
        <v>26.5</v>
      </c>
      <c r="AE12" s="103">
        <v>26.5</v>
      </c>
      <c r="AF12" s="103">
        <v>26.5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26.5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18</v>
      </c>
      <c r="C13" s="127">
        <v>18</v>
      </c>
      <c r="D13" s="127">
        <v>18</v>
      </c>
      <c r="E13" s="127">
        <v>18</v>
      </c>
      <c r="F13" s="127">
        <v>18</v>
      </c>
      <c r="G13" s="127">
        <v>18</v>
      </c>
      <c r="H13" s="127">
        <v>18</v>
      </c>
      <c r="I13" s="127">
        <v>18</v>
      </c>
      <c r="J13" s="127">
        <v>18</v>
      </c>
      <c r="K13" s="127">
        <v>18</v>
      </c>
      <c r="L13" s="127">
        <v>18</v>
      </c>
      <c r="M13" s="181">
        <v>18</v>
      </c>
      <c r="N13" s="181">
        <v>18</v>
      </c>
      <c r="O13" s="181">
        <v>18</v>
      </c>
      <c r="P13" s="181">
        <v>18</v>
      </c>
      <c r="Q13" s="181">
        <v>17.100000000000001</v>
      </c>
      <c r="R13" s="181">
        <v>17.100000000000001</v>
      </c>
      <c r="S13" s="181">
        <v>17.100000000000001</v>
      </c>
      <c r="T13" s="181">
        <v>17.100000000000001</v>
      </c>
      <c r="U13" s="181">
        <v>17.100000000000001</v>
      </c>
      <c r="V13" s="181">
        <v>17.100000000000001</v>
      </c>
      <c r="W13" s="181">
        <v>17.100000000000001</v>
      </c>
      <c r="X13" s="181">
        <v>17.100000000000001</v>
      </c>
      <c r="Y13" s="181">
        <v>17.100000000000001</v>
      </c>
      <c r="Z13" s="103">
        <v>16.600000000000001</v>
      </c>
      <c r="AA13" s="103">
        <v>16.600000000000001</v>
      </c>
      <c r="AB13" s="103">
        <v>16.600000000000001</v>
      </c>
      <c r="AC13" s="103">
        <v>16.600000000000001</v>
      </c>
      <c r="AD13" s="103">
        <v>16.600000000000001</v>
      </c>
      <c r="AE13" s="103">
        <v>16.600000000000001</v>
      </c>
      <c r="AF13" s="103">
        <v>16.600000000000001</v>
      </c>
      <c r="AG13" s="134">
        <v>52.4</v>
      </c>
      <c r="AH13" s="21">
        <f t="shared" si="2"/>
        <v>18</v>
      </c>
      <c r="AI13" s="20">
        <f t="shared" si="3"/>
        <v>16.600000000000001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25.1</v>
      </c>
      <c r="C14" s="127">
        <v>25.1</v>
      </c>
      <c r="D14" s="127">
        <v>25.1</v>
      </c>
      <c r="E14" s="127">
        <v>25.1</v>
      </c>
      <c r="F14" s="127">
        <v>25.1</v>
      </c>
      <c r="G14" s="127">
        <v>25.1</v>
      </c>
      <c r="H14" s="127">
        <v>25.1</v>
      </c>
      <c r="I14" s="127">
        <v>25.1</v>
      </c>
      <c r="J14" s="127">
        <v>25.1</v>
      </c>
      <c r="K14" s="127">
        <v>25.1</v>
      </c>
      <c r="L14" s="127">
        <v>25.1</v>
      </c>
      <c r="M14" s="181">
        <v>25.1</v>
      </c>
      <c r="N14" s="181">
        <v>25.1</v>
      </c>
      <c r="O14" s="181">
        <v>25.1</v>
      </c>
      <c r="P14" s="181">
        <v>25.9</v>
      </c>
      <c r="Q14" s="181">
        <v>25.4</v>
      </c>
      <c r="R14" s="181">
        <v>25.4</v>
      </c>
      <c r="S14" s="181">
        <v>25.4</v>
      </c>
      <c r="T14" s="181">
        <v>25.4</v>
      </c>
      <c r="U14" s="181">
        <v>25.4</v>
      </c>
      <c r="V14" s="181">
        <v>25.4</v>
      </c>
      <c r="W14" s="181">
        <v>25.4</v>
      </c>
      <c r="X14" s="181">
        <v>25.4</v>
      </c>
      <c r="Y14" s="181">
        <v>25.4</v>
      </c>
      <c r="Z14" s="103">
        <v>25.1</v>
      </c>
      <c r="AA14" s="103">
        <v>25.1</v>
      </c>
      <c r="AB14" s="103">
        <v>25.1</v>
      </c>
      <c r="AC14" s="103">
        <v>25.1</v>
      </c>
      <c r="AD14" s="103">
        <v>25.1</v>
      </c>
      <c r="AE14" s="103">
        <v>25.1</v>
      </c>
      <c r="AF14" s="103">
        <v>25.1</v>
      </c>
      <c r="AG14" s="134">
        <v>50</v>
      </c>
      <c r="AH14" s="21">
        <f t="shared" si="2"/>
        <v>25.9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22.8</v>
      </c>
      <c r="C15" s="123">
        <v>22.8</v>
      </c>
      <c r="D15" s="123">
        <v>22.8</v>
      </c>
      <c r="E15" s="123">
        <v>22.8</v>
      </c>
      <c r="F15" s="123">
        <v>22.8</v>
      </c>
      <c r="G15" s="123">
        <v>22.8</v>
      </c>
      <c r="H15" s="123">
        <v>22.8</v>
      </c>
      <c r="I15" s="123">
        <v>22.8</v>
      </c>
      <c r="J15" s="123">
        <v>22.8</v>
      </c>
      <c r="K15" s="123">
        <v>22.8</v>
      </c>
      <c r="L15" s="123">
        <v>22.8</v>
      </c>
      <c r="M15" s="182">
        <v>22.8</v>
      </c>
      <c r="N15" s="182">
        <v>22.8</v>
      </c>
      <c r="O15" s="182">
        <v>22.8</v>
      </c>
      <c r="P15" s="182">
        <v>22.8</v>
      </c>
      <c r="Q15" s="181">
        <v>22.7</v>
      </c>
      <c r="R15" s="181">
        <v>22.7</v>
      </c>
      <c r="S15" s="181">
        <v>22.7</v>
      </c>
      <c r="T15" s="181">
        <v>22.7</v>
      </c>
      <c r="U15" s="181">
        <v>22.7</v>
      </c>
      <c r="V15" s="181">
        <v>22.7</v>
      </c>
      <c r="W15" s="181">
        <v>22.7</v>
      </c>
      <c r="X15" s="181">
        <v>22.7</v>
      </c>
      <c r="Y15" s="181">
        <v>22.7</v>
      </c>
      <c r="Z15" s="103">
        <v>22.8</v>
      </c>
      <c r="AA15" s="103">
        <v>22.8</v>
      </c>
      <c r="AB15" s="103">
        <v>22.8</v>
      </c>
      <c r="AC15" s="103">
        <v>22.8</v>
      </c>
      <c r="AD15" s="103">
        <v>22.8</v>
      </c>
      <c r="AE15" s="103">
        <v>22.8</v>
      </c>
      <c r="AF15" s="103">
        <v>22.8</v>
      </c>
      <c r="AG15" s="108">
        <v>45</v>
      </c>
      <c r="AH15" s="21">
        <f t="shared" si="2"/>
        <v>22.8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81">
        <v>14</v>
      </c>
      <c r="N16" s="181">
        <v>14</v>
      </c>
      <c r="O16" s="181">
        <v>14</v>
      </c>
      <c r="P16" s="181">
        <v>14</v>
      </c>
      <c r="Q16" s="181">
        <v>14</v>
      </c>
      <c r="R16" s="181">
        <v>14</v>
      </c>
      <c r="S16" s="70">
        <v>14</v>
      </c>
      <c r="T16" s="70">
        <v>14</v>
      </c>
      <c r="U16" s="70">
        <v>14</v>
      </c>
      <c r="V16" s="70">
        <v>14</v>
      </c>
      <c r="W16" s="70">
        <v>14</v>
      </c>
      <c r="X16" s="70">
        <v>14</v>
      </c>
      <c r="Y16" s="70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81">
        <v>6.5</v>
      </c>
      <c r="N17" s="181">
        <v>6.5</v>
      </c>
      <c r="O17" s="181">
        <v>6.5</v>
      </c>
      <c r="P17" s="181">
        <v>6.5</v>
      </c>
      <c r="Q17" s="181">
        <v>6.5</v>
      </c>
      <c r="R17" s="181">
        <v>6.5</v>
      </c>
      <c r="S17" s="67">
        <v>6.5</v>
      </c>
      <c r="T17" s="67">
        <v>6.5</v>
      </c>
      <c r="U17" s="67">
        <v>6.5</v>
      </c>
      <c r="V17" s="67">
        <v>6.5</v>
      </c>
      <c r="W17" s="67">
        <v>6.5</v>
      </c>
      <c r="X17" s="67">
        <v>6.5</v>
      </c>
      <c r="Y17" s="67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81">
        <v>8</v>
      </c>
      <c r="N18" s="181">
        <v>8</v>
      </c>
      <c r="O18" s="181">
        <v>8</v>
      </c>
      <c r="P18" s="181">
        <v>8</v>
      </c>
      <c r="Q18" s="181">
        <v>8</v>
      </c>
      <c r="R18" s="181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11.4</v>
      </c>
      <c r="C19" s="127">
        <v>11.4</v>
      </c>
      <c r="D19" s="127">
        <v>11.4</v>
      </c>
      <c r="E19" s="127">
        <v>11.4</v>
      </c>
      <c r="F19" s="127">
        <v>11.4</v>
      </c>
      <c r="G19" s="127">
        <v>11.4</v>
      </c>
      <c r="H19" s="127">
        <v>11.4</v>
      </c>
      <c r="I19" s="127">
        <v>11.4</v>
      </c>
      <c r="J19" s="127">
        <v>11.4</v>
      </c>
      <c r="K19" s="127">
        <v>11.4</v>
      </c>
      <c r="L19" s="127">
        <v>11.4</v>
      </c>
      <c r="M19" s="181">
        <v>11.4</v>
      </c>
      <c r="N19" s="181">
        <v>11.4</v>
      </c>
      <c r="O19" s="181">
        <v>11.4</v>
      </c>
      <c r="P19" s="181">
        <v>11.4</v>
      </c>
      <c r="Q19" s="181">
        <v>11.4</v>
      </c>
      <c r="R19" s="181">
        <v>11.4</v>
      </c>
      <c r="S19" s="103">
        <v>11.4</v>
      </c>
      <c r="T19" s="103">
        <v>11.4</v>
      </c>
      <c r="U19" s="103">
        <v>11.4</v>
      </c>
      <c r="V19" s="103">
        <v>11.4</v>
      </c>
      <c r="W19" s="103">
        <v>11.4</v>
      </c>
      <c r="X19" s="103">
        <v>11.4</v>
      </c>
      <c r="Y19" s="103">
        <v>11.4</v>
      </c>
      <c r="Z19" s="103">
        <v>11.4</v>
      </c>
      <c r="AA19" s="103">
        <v>11.4</v>
      </c>
      <c r="AB19" s="103">
        <v>11.4</v>
      </c>
      <c r="AC19" s="103">
        <v>11.4</v>
      </c>
      <c r="AD19" s="103">
        <v>11.4</v>
      </c>
      <c r="AE19" s="103">
        <v>11.4</v>
      </c>
      <c r="AF19" s="103">
        <v>11.4</v>
      </c>
      <c r="AG19" s="134">
        <v>30</v>
      </c>
      <c r="AH19" s="21">
        <f t="shared" si="2"/>
        <v>11.4</v>
      </c>
      <c r="AI19" s="20">
        <f t="shared" si="3"/>
        <v>11.4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7.8</v>
      </c>
      <c r="C20" s="127">
        <v>7.8</v>
      </c>
      <c r="D20" s="127">
        <v>7.8</v>
      </c>
      <c r="E20" s="127">
        <v>7.8</v>
      </c>
      <c r="F20" s="127">
        <v>7.8</v>
      </c>
      <c r="G20" s="127">
        <v>7.8</v>
      </c>
      <c r="H20" s="127">
        <v>7.8</v>
      </c>
      <c r="I20" s="127">
        <v>7.8</v>
      </c>
      <c r="J20" s="127">
        <v>7.8</v>
      </c>
      <c r="K20" s="127">
        <v>7.8</v>
      </c>
      <c r="L20" s="127">
        <v>7.8</v>
      </c>
      <c r="M20" s="181">
        <v>7.8</v>
      </c>
      <c r="N20" s="181">
        <v>7.8</v>
      </c>
      <c r="O20" s="181">
        <v>7.8</v>
      </c>
      <c r="P20" s="181">
        <v>7.8</v>
      </c>
      <c r="Q20" s="181">
        <v>7.8</v>
      </c>
      <c r="R20" s="181">
        <v>7.8</v>
      </c>
      <c r="S20" s="103">
        <v>7.8</v>
      </c>
      <c r="T20" s="103">
        <v>7.8</v>
      </c>
      <c r="U20" s="103">
        <v>7.8</v>
      </c>
      <c r="V20" s="103">
        <v>7.8</v>
      </c>
      <c r="W20" s="103">
        <v>7.8</v>
      </c>
      <c r="X20" s="103">
        <v>7.8</v>
      </c>
      <c r="Y20" s="103">
        <v>7.8</v>
      </c>
      <c r="Z20" s="103">
        <v>7.8</v>
      </c>
      <c r="AA20" s="103">
        <v>7.8</v>
      </c>
      <c r="AB20" s="103">
        <v>7.8</v>
      </c>
      <c r="AC20" s="103">
        <v>7.8</v>
      </c>
      <c r="AD20" s="103">
        <v>7.8</v>
      </c>
      <c r="AE20" s="103">
        <v>7.8</v>
      </c>
      <c r="AF20" s="103">
        <v>7.8</v>
      </c>
      <c r="AG20" s="134">
        <v>27</v>
      </c>
      <c r="AH20" s="21">
        <f t="shared" si="2"/>
        <v>7.8</v>
      </c>
      <c r="AI20" s="20">
        <f t="shared" si="3"/>
        <v>7.8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81">
        <v>3.5</v>
      </c>
      <c r="N21" s="181">
        <v>3.5</v>
      </c>
      <c r="O21" s="181">
        <v>3.5</v>
      </c>
      <c r="P21" s="181">
        <v>3.5</v>
      </c>
      <c r="Q21" s="181">
        <v>3.5</v>
      </c>
      <c r="R21" s="181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16.5</v>
      </c>
      <c r="C22" s="127">
        <v>16.5</v>
      </c>
      <c r="D22" s="127">
        <v>16.5</v>
      </c>
      <c r="E22" s="127">
        <v>16.5</v>
      </c>
      <c r="F22" s="127">
        <v>16.5</v>
      </c>
      <c r="G22" s="127">
        <v>16.5</v>
      </c>
      <c r="H22" s="127">
        <v>16.5</v>
      </c>
      <c r="I22" s="127">
        <v>16.5</v>
      </c>
      <c r="J22" s="127">
        <v>16.5</v>
      </c>
      <c r="K22" s="127">
        <v>16.5</v>
      </c>
      <c r="L22" s="127">
        <v>16.5</v>
      </c>
      <c r="M22" s="181">
        <v>16.5</v>
      </c>
      <c r="N22" s="181">
        <v>16.5</v>
      </c>
      <c r="O22" s="181">
        <v>16.5</v>
      </c>
      <c r="P22" s="181">
        <v>16.5</v>
      </c>
      <c r="Q22" s="181">
        <v>16.5</v>
      </c>
      <c r="R22" s="181">
        <v>16.5</v>
      </c>
      <c r="S22" s="103">
        <v>16.5</v>
      </c>
      <c r="T22" s="103">
        <v>16.5</v>
      </c>
      <c r="U22" s="103">
        <v>16.5</v>
      </c>
      <c r="V22" s="103">
        <v>16.5</v>
      </c>
      <c r="W22" s="103">
        <v>16.5</v>
      </c>
      <c r="X22" s="103">
        <v>16.5</v>
      </c>
      <c r="Y22" s="103">
        <v>16.5</v>
      </c>
      <c r="Z22" s="103">
        <v>16.5</v>
      </c>
      <c r="AA22" s="103">
        <v>16.5</v>
      </c>
      <c r="AB22" s="103">
        <v>16.5</v>
      </c>
      <c r="AC22" s="103">
        <v>16.5</v>
      </c>
      <c r="AD22" s="103">
        <v>16.5</v>
      </c>
      <c r="AE22" s="103">
        <v>16.5</v>
      </c>
      <c r="AF22" s="103">
        <v>16.5</v>
      </c>
      <c r="AG22" s="134">
        <v>25</v>
      </c>
      <c r="AH22" s="21">
        <f t="shared" si="2"/>
        <v>16.5</v>
      </c>
      <c r="AI22" s="20">
        <f t="shared" si="3"/>
        <v>16.5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81">
        <v>4.8</v>
      </c>
      <c r="N23" s="181">
        <v>4.8</v>
      </c>
      <c r="O23" s="181">
        <v>4.8</v>
      </c>
      <c r="P23" s="181">
        <v>4.8</v>
      </c>
      <c r="Q23" s="181">
        <v>4.8</v>
      </c>
      <c r="R23" s="181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5.2</v>
      </c>
      <c r="C24" s="127">
        <v>5.2</v>
      </c>
      <c r="D24" s="127">
        <v>5.2</v>
      </c>
      <c r="E24" s="127">
        <v>5.2</v>
      </c>
      <c r="F24" s="127">
        <v>5.2</v>
      </c>
      <c r="G24" s="127">
        <v>5.2</v>
      </c>
      <c r="H24" s="127">
        <v>5.2</v>
      </c>
      <c r="I24" s="127">
        <v>5.2</v>
      </c>
      <c r="J24" s="127">
        <v>5.2</v>
      </c>
      <c r="K24" s="127">
        <v>5.2</v>
      </c>
      <c r="L24" s="127">
        <v>5.2</v>
      </c>
      <c r="M24" s="181">
        <v>5.2</v>
      </c>
      <c r="N24" s="181">
        <v>5.2</v>
      </c>
      <c r="O24" s="181">
        <v>5.2</v>
      </c>
      <c r="P24" s="181">
        <v>5.2</v>
      </c>
      <c r="Q24" s="181">
        <v>5.2</v>
      </c>
      <c r="R24" s="181">
        <v>5.2</v>
      </c>
      <c r="S24" s="103">
        <v>5.2</v>
      </c>
      <c r="T24" s="103">
        <v>5.2</v>
      </c>
      <c r="U24" s="103">
        <v>5.2</v>
      </c>
      <c r="V24" s="103">
        <v>5.2</v>
      </c>
      <c r="W24" s="103">
        <v>5.2</v>
      </c>
      <c r="X24" s="103">
        <v>5.2</v>
      </c>
      <c r="Y24" s="103">
        <v>5.2</v>
      </c>
      <c r="Z24" s="103">
        <v>5.2</v>
      </c>
      <c r="AA24" s="103">
        <v>5.2</v>
      </c>
      <c r="AB24" s="103">
        <v>5.2</v>
      </c>
      <c r="AC24" s="103">
        <v>5.2</v>
      </c>
      <c r="AD24" s="103">
        <v>5.2</v>
      </c>
      <c r="AE24" s="103">
        <v>5.2</v>
      </c>
      <c r="AF24" s="103">
        <v>5.2</v>
      </c>
      <c r="AG24" s="134">
        <v>25</v>
      </c>
      <c r="AH24" s="21">
        <f t="shared" si="2"/>
        <v>5.2</v>
      </c>
      <c r="AI24" s="20">
        <f t="shared" si="3"/>
        <v>5.2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81">
        <v>5</v>
      </c>
      <c r="N25" s="181">
        <v>5</v>
      </c>
      <c r="O25" s="181">
        <v>5</v>
      </c>
      <c r="P25" s="181">
        <v>5</v>
      </c>
      <c r="Q25" s="181">
        <v>5</v>
      </c>
      <c r="R25" s="181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81">
        <v>6.7</v>
      </c>
      <c r="N26" s="181">
        <v>6.7</v>
      </c>
      <c r="O26" s="181">
        <v>6.7</v>
      </c>
      <c r="P26" s="181">
        <v>6.7</v>
      </c>
      <c r="Q26" s="181">
        <v>6.7</v>
      </c>
      <c r="R26" s="181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81">
        <v>2.5</v>
      </c>
      <c r="N27" s="181">
        <v>2.5</v>
      </c>
      <c r="O27" s="181">
        <v>2.5</v>
      </c>
      <c r="P27" s="181">
        <v>2.5</v>
      </c>
      <c r="Q27" s="181">
        <v>2.5</v>
      </c>
      <c r="R27" s="181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27">
        <v>2.5</v>
      </c>
      <c r="AC27" s="127">
        <v>2.5</v>
      </c>
      <c r="AD27" s="127">
        <v>2.5</v>
      </c>
      <c r="AE27" s="127">
        <v>2.5</v>
      </c>
      <c r="AF27" s="127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0</v>
      </c>
      <c r="C28" s="127">
        <v>0</v>
      </c>
      <c r="D28" s="127">
        <v>0</v>
      </c>
      <c r="E28" s="127">
        <v>0</v>
      </c>
      <c r="F28" s="127">
        <v>0</v>
      </c>
      <c r="G28" s="127">
        <v>0</v>
      </c>
      <c r="H28" s="127">
        <v>0</v>
      </c>
      <c r="I28" s="127">
        <v>0</v>
      </c>
      <c r="J28" s="127">
        <v>0</v>
      </c>
      <c r="K28" s="127">
        <v>0</v>
      </c>
      <c r="L28" s="127">
        <v>0</v>
      </c>
      <c r="M28" s="181">
        <v>0</v>
      </c>
      <c r="N28" s="181">
        <v>0</v>
      </c>
      <c r="O28" s="181">
        <v>0</v>
      </c>
      <c r="P28" s="181">
        <v>0</v>
      </c>
      <c r="Q28" s="181">
        <v>0</v>
      </c>
      <c r="R28" s="181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0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81">
        <v>4.5999999999999996</v>
      </c>
      <c r="N29" s="181">
        <v>4.5999999999999996</v>
      </c>
      <c r="O29" s="181">
        <v>4.5999999999999996</v>
      </c>
      <c r="P29" s="181">
        <v>4.5999999999999996</v>
      </c>
      <c r="Q29" s="181">
        <v>4.5999999999999996</v>
      </c>
      <c r="R29" s="181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81">
        <v>10</v>
      </c>
      <c r="N30" s="181">
        <v>10</v>
      </c>
      <c r="O30" s="181">
        <v>10</v>
      </c>
      <c r="P30" s="181">
        <v>10</v>
      </c>
      <c r="Q30" s="181">
        <v>10</v>
      </c>
      <c r="R30" s="181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82">
        <v>6</v>
      </c>
      <c r="N31" s="182">
        <v>6</v>
      </c>
      <c r="O31" s="182">
        <v>6</v>
      </c>
      <c r="P31" s="182">
        <v>6</v>
      </c>
      <c r="Q31" s="182">
        <v>6</v>
      </c>
      <c r="R31" s="182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82">
        <v>3.7</v>
      </c>
      <c r="N32" s="182">
        <v>3.7</v>
      </c>
      <c r="O32" s="182">
        <v>3.7</v>
      </c>
      <c r="P32" s="182">
        <v>3.7</v>
      </c>
      <c r="Q32" s="182">
        <v>3.7</v>
      </c>
      <c r="R32" s="182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82">
        <v>0</v>
      </c>
      <c r="N33" s="182">
        <v>0</v>
      </c>
      <c r="O33" s="182">
        <v>0</v>
      </c>
      <c r="P33" s="182">
        <v>0</v>
      </c>
      <c r="Q33" s="182">
        <v>0</v>
      </c>
      <c r="R33" s="182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82">
        <v>5</v>
      </c>
      <c r="N34" s="182">
        <v>5</v>
      </c>
      <c r="O34" s="182">
        <v>5</v>
      </c>
      <c r="P34" s="182">
        <v>5</v>
      </c>
      <c r="Q34" s="182">
        <v>5</v>
      </c>
      <c r="R34" s="182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5</v>
      </c>
      <c r="M35" s="182">
        <v>5</v>
      </c>
      <c r="N35" s="182">
        <v>5</v>
      </c>
      <c r="O35" s="182">
        <v>5</v>
      </c>
      <c r="P35" s="182">
        <v>5</v>
      </c>
      <c r="Q35" s="182">
        <v>5</v>
      </c>
      <c r="R35" s="182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5</v>
      </c>
      <c r="AA35" s="103">
        <v>5</v>
      </c>
      <c r="AB35" s="103">
        <v>5</v>
      </c>
      <c r="AC35" s="103">
        <v>5</v>
      </c>
      <c r="AD35" s="103">
        <v>5</v>
      </c>
      <c r="AE35" s="103">
        <v>5</v>
      </c>
      <c r="AF35" s="103">
        <v>5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82">
        <v>160</v>
      </c>
      <c r="N36" s="182">
        <v>160</v>
      </c>
      <c r="O36" s="182">
        <v>160</v>
      </c>
      <c r="P36" s="182">
        <v>160</v>
      </c>
      <c r="Q36" s="182">
        <v>160</v>
      </c>
      <c r="R36" s="182">
        <v>160</v>
      </c>
      <c r="S36" s="182">
        <v>160</v>
      </c>
      <c r="T36" s="182">
        <v>160</v>
      </c>
      <c r="U36" s="182">
        <v>160</v>
      </c>
      <c r="V36" s="182">
        <v>160</v>
      </c>
      <c r="W36" s="182">
        <v>160</v>
      </c>
      <c r="X36" s="182">
        <v>160</v>
      </c>
      <c r="Y36" s="182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45</v>
      </c>
      <c r="C37" s="123">
        <v>49.3</v>
      </c>
      <c r="D37" s="123">
        <v>56.8</v>
      </c>
      <c r="E37" s="123">
        <f>19.4+36.3</f>
        <v>55.699999999999996</v>
      </c>
      <c r="F37" s="123">
        <f>20.3+37</f>
        <v>57.3</v>
      </c>
      <c r="G37" s="123">
        <f>21.2+37.9</f>
        <v>59.099999999999994</v>
      </c>
      <c r="H37" s="123">
        <f>21.2+36.4</f>
        <v>57.599999999999994</v>
      </c>
      <c r="I37" s="123">
        <f>20.2+33.2</f>
        <v>53.400000000000006</v>
      </c>
      <c r="J37" s="123">
        <f>20.7+35.8</f>
        <v>56.5</v>
      </c>
      <c r="K37" s="123">
        <f>20.1+33.5</f>
        <v>53.6</v>
      </c>
      <c r="L37" s="123">
        <v>52</v>
      </c>
      <c r="M37" s="181">
        <v>53.6</v>
      </c>
      <c r="N37" s="181">
        <v>53.3</v>
      </c>
      <c r="O37" s="181">
        <v>48.8</v>
      </c>
      <c r="P37" s="181">
        <v>41.7</v>
      </c>
      <c r="Q37" s="181">
        <v>52.7</v>
      </c>
      <c r="R37" s="181">
        <v>50.4</v>
      </c>
      <c r="S37" s="181">
        <v>50.4</v>
      </c>
      <c r="T37" s="181">
        <v>43</v>
      </c>
      <c r="U37" s="181">
        <v>44.4</v>
      </c>
      <c r="V37" s="181">
        <v>44.4</v>
      </c>
      <c r="W37" s="181">
        <v>44.4</v>
      </c>
      <c r="X37" s="181">
        <v>44.4</v>
      </c>
      <c r="Y37" s="181">
        <v>46</v>
      </c>
      <c r="Z37" s="128">
        <v>49</v>
      </c>
      <c r="AA37" s="128">
        <v>49</v>
      </c>
      <c r="AB37" s="128">
        <f>33.9+16</f>
        <v>49.9</v>
      </c>
      <c r="AC37" s="128">
        <v>48.9</v>
      </c>
      <c r="AD37" s="128">
        <v>53</v>
      </c>
      <c r="AE37" s="128">
        <v>58</v>
      </c>
      <c r="AF37" s="123">
        <v>57</v>
      </c>
      <c r="AG37" s="106">
        <v>240</v>
      </c>
      <c r="AH37" s="21">
        <f t="shared" si="2"/>
        <v>59.099999999999994</v>
      </c>
      <c r="AI37" s="20">
        <f t="shared" si="3"/>
        <v>41.7</v>
      </c>
      <c r="AK37" s="42"/>
    </row>
    <row r="38" spans="1:88" ht="15.75" thickBot="1" x14ac:dyDescent="0.3">
      <c r="A38" s="100" t="s">
        <v>173</v>
      </c>
      <c r="B38" s="99">
        <f>SUM(B11:B36)</f>
        <v>444.1</v>
      </c>
      <c r="C38" s="99">
        <f t="shared" ref="C38:AF38" si="4">SUM(C11:C36)</f>
        <v>434.09999999999997</v>
      </c>
      <c r="D38" s="99">
        <f t="shared" si="4"/>
        <v>434.09999999999997</v>
      </c>
      <c r="E38" s="99">
        <f t="shared" si="4"/>
        <v>434.09999999999997</v>
      </c>
      <c r="F38" s="99">
        <f t="shared" si="4"/>
        <v>414.1</v>
      </c>
      <c r="G38" s="99">
        <f t="shared" si="4"/>
        <v>424.1</v>
      </c>
      <c r="H38" s="99">
        <f t="shared" si="4"/>
        <v>484.1</v>
      </c>
      <c r="I38" s="99">
        <f t="shared" si="4"/>
        <v>524.09999999999991</v>
      </c>
      <c r="J38" s="99">
        <f t="shared" si="4"/>
        <v>584.1</v>
      </c>
      <c r="K38" s="99">
        <f t="shared" si="4"/>
        <v>614.1</v>
      </c>
      <c r="L38" s="99">
        <f t="shared" si="4"/>
        <v>619.1</v>
      </c>
      <c r="M38" s="99">
        <f t="shared" si="4"/>
        <v>609.1</v>
      </c>
      <c r="N38" s="99">
        <f t="shared" si="4"/>
        <v>419.1</v>
      </c>
      <c r="O38" s="99">
        <f t="shared" si="4"/>
        <v>419.1</v>
      </c>
      <c r="P38" s="99">
        <f t="shared" si="4"/>
        <v>419.9</v>
      </c>
      <c r="Q38" s="99">
        <f t="shared" si="4"/>
        <v>418.4</v>
      </c>
      <c r="R38" s="99">
        <f t="shared" si="4"/>
        <v>418.4</v>
      </c>
      <c r="S38" s="99">
        <f t="shared" si="4"/>
        <v>390.4</v>
      </c>
      <c r="T38" s="99">
        <f t="shared" si="4"/>
        <v>408.4</v>
      </c>
      <c r="U38" s="99">
        <f t="shared" si="4"/>
        <v>390.4</v>
      </c>
      <c r="V38" s="99">
        <f t="shared" si="4"/>
        <v>390.4</v>
      </c>
      <c r="W38" s="99">
        <f t="shared" si="4"/>
        <v>390.4</v>
      </c>
      <c r="X38" s="99">
        <f t="shared" si="4"/>
        <v>538.4</v>
      </c>
      <c r="Y38" s="99">
        <f t="shared" si="4"/>
        <v>558.4</v>
      </c>
      <c r="Z38" s="99">
        <f t="shared" si="4"/>
        <v>687.2</v>
      </c>
      <c r="AA38" s="99">
        <f t="shared" si="4"/>
        <v>677.2</v>
      </c>
      <c r="AB38" s="99">
        <f t="shared" si="4"/>
        <v>627.20000000000005</v>
      </c>
      <c r="AC38" s="99">
        <f t="shared" si="4"/>
        <v>557.20000000000005</v>
      </c>
      <c r="AD38" s="99">
        <f t="shared" si="4"/>
        <v>557.20000000000005</v>
      </c>
      <c r="AE38" s="99">
        <f t="shared" si="4"/>
        <v>487.20000000000005</v>
      </c>
      <c r="AF38" s="99">
        <f t="shared" si="4"/>
        <v>447.2</v>
      </c>
      <c r="AG38" s="106">
        <f>SUM(AG11:AG37)</f>
        <v>1492.8299999999997</v>
      </c>
      <c r="AH38" s="21">
        <f t="shared" si="2"/>
        <v>687.2</v>
      </c>
      <c r="AI38" s="20">
        <f t="shared" si="3"/>
        <v>390.4</v>
      </c>
      <c r="AK38" s="42"/>
    </row>
    <row r="39" spans="1:88" x14ac:dyDescent="0.25">
      <c r="A39" s="109" t="s">
        <v>172</v>
      </c>
      <c r="B39" s="127">
        <v>140.4</v>
      </c>
      <c r="C39" s="123">
        <v>110.3</v>
      </c>
      <c r="D39" s="123">
        <v>97</v>
      </c>
      <c r="E39" s="123">
        <v>61</v>
      </c>
      <c r="F39" s="123">
        <v>60.7</v>
      </c>
      <c r="G39" s="123">
        <v>60.9</v>
      </c>
      <c r="H39" s="123">
        <v>61</v>
      </c>
      <c r="I39" s="123">
        <v>61.4</v>
      </c>
      <c r="J39" s="123">
        <v>60.6</v>
      </c>
      <c r="K39" s="123">
        <v>71.3</v>
      </c>
      <c r="L39" s="123">
        <v>91</v>
      </c>
      <c r="M39" s="103">
        <v>91.1</v>
      </c>
      <c r="N39" s="103">
        <v>61.2</v>
      </c>
      <c r="O39" s="103">
        <v>61</v>
      </c>
      <c r="P39" s="103">
        <v>71.599999999999994</v>
      </c>
      <c r="Q39" s="103">
        <v>81.3</v>
      </c>
      <c r="R39" s="103">
        <v>70.400000000000006</v>
      </c>
      <c r="S39" s="103">
        <v>131</v>
      </c>
      <c r="T39" s="103">
        <v>91</v>
      </c>
      <c r="U39" s="103">
        <v>97</v>
      </c>
      <c r="V39" s="103">
        <v>96</v>
      </c>
      <c r="W39" s="103">
        <v>96</v>
      </c>
      <c r="X39" s="103">
        <v>144</v>
      </c>
      <c r="Y39" s="103">
        <v>144.80000000000001</v>
      </c>
      <c r="Z39" s="103">
        <v>144.69999999999999</v>
      </c>
      <c r="AA39" s="103">
        <v>144.69999999999999</v>
      </c>
      <c r="AB39" s="103">
        <v>144.19999999999999</v>
      </c>
      <c r="AC39" s="103">
        <v>133</v>
      </c>
      <c r="AD39" s="103">
        <v>121.2</v>
      </c>
      <c r="AE39" s="103">
        <v>95.1</v>
      </c>
      <c r="AF39" s="127">
        <v>91</v>
      </c>
      <c r="AG39" s="108">
        <v>144</v>
      </c>
      <c r="AH39" s="21">
        <f t="shared" si="2"/>
        <v>144.80000000000001</v>
      </c>
      <c r="AI39" s="20">
        <f t="shared" si="3"/>
        <v>60.6</v>
      </c>
      <c r="AK39" s="42"/>
    </row>
    <row r="40" spans="1:88" x14ac:dyDescent="0.25">
      <c r="A40" s="107" t="s">
        <v>171</v>
      </c>
      <c r="B40" s="123">
        <v>61.1</v>
      </c>
      <c r="C40" s="123">
        <v>50.7</v>
      </c>
      <c r="D40" s="123">
        <v>34.9</v>
      </c>
      <c r="E40" s="123">
        <v>23.2</v>
      </c>
      <c r="F40" s="123">
        <v>23</v>
      </c>
      <c r="G40" s="123">
        <v>23</v>
      </c>
      <c r="H40" s="123">
        <v>23.2</v>
      </c>
      <c r="I40" s="123">
        <v>23.3</v>
      </c>
      <c r="J40" s="123">
        <v>23.3</v>
      </c>
      <c r="K40" s="123">
        <v>34.6</v>
      </c>
      <c r="L40" s="123">
        <v>44.3</v>
      </c>
      <c r="M40" s="73">
        <v>44.4</v>
      </c>
      <c r="N40" s="73">
        <v>24.4</v>
      </c>
      <c r="O40" s="73">
        <v>35.200000000000003</v>
      </c>
      <c r="P40" s="73">
        <v>35.700000000000003</v>
      </c>
      <c r="Q40" s="73">
        <v>36</v>
      </c>
      <c r="R40" s="73">
        <v>35.299999999999997</v>
      </c>
      <c r="S40" s="73">
        <v>24</v>
      </c>
      <c r="T40" s="73">
        <v>60</v>
      </c>
      <c r="U40" s="73">
        <v>60.5</v>
      </c>
      <c r="V40" s="73">
        <v>47</v>
      </c>
      <c r="W40" s="73">
        <v>47</v>
      </c>
      <c r="X40" s="73">
        <v>59</v>
      </c>
      <c r="Y40" s="73">
        <v>68.7</v>
      </c>
      <c r="Z40" s="73">
        <v>71.5</v>
      </c>
      <c r="AA40" s="73">
        <v>71.5</v>
      </c>
      <c r="AB40" s="73">
        <v>59.4</v>
      </c>
      <c r="AC40" s="73">
        <v>59.5</v>
      </c>
      <c r="AD40" s="73">
        <v>60.5</v>
      </c>
      <c r="AE40" s="73">
        <v>60.3</v>
      </c>
      <c r="AF40" s="123">
        <v>34.799999999999997</v>
      </c>
      <c r="AG40" s="106">
        <v>70</v>
      </c>
      <c r="AH40" s="21">
        <f t="shared" si="2"/>
        <v>71.5</v>
      </c>
      <c r="AI40" s="20">
        <f t="shared" si="3"/>
        <v>23</v>
      </c>
      <c r="AK40" s="42"/>
    </row>
    <row r="41" spans="1:88" x14ac:dyDescent="0.25">
      <c r="A41" s="107" t="s">
        <v>170</v>
      </c>
      <c r="B41" s="123">
        <v>46.1</v>
      </c>
      <c r="C41" s="123">
        <v>46</v>
      </c>
      <c r="D41" s="123">
        <v>45.9</v>
      </c>
      <c r="E41" s="123">
        <v>45</v>
      </c>
      <c r="F41" s="123">
        <v>45.1</v>
      </c>
      <c r="G41" s="123">
        <v>45.1</v>
      </c>
      <c r="H41" s="123">
        <v>45.4</v>
      </c>
      <c r="I41" s="123">
        <v>45.5</v>
      </c>
      <c r="J41" s="123">
        <v>45.4</v>
      </c>
      <c r="K41" s="123">
        <v>45.3</v>
      </c>
      <c r="L41" s="123">
        <v>65.2</v>
      </c>
      <c r="M41" s="73">
        <v>55.7</v>
      </c>
      <c r="N41" s="73">
        <v>30.8</v>
      </c>
      <c r="O41" s="73">
        <v>34.700000000000003</v>
      </c>
      <c r="P41" s="73">
        <v>40.1</v>
      </c>
      <c r="Q41" s="73">
        <v>39.9</v>
      </c>
      <c r="R41" s="73">
        <v>40</v>
      </c>
      <c r="S41" s="73">
        <v>32.9</v>
      </c>
      <c r="T41" s="73">
        <v>24</v>
      </c>
      <c r="U41" s="73">
        <v>23</v>
      </c>
      <c r="V41" s="73">
        <v>16.600000000000001</v>
      </c>
      <c r="W41" s="73">
        <v>45</v>
      </c>
      <c r="X41" s="73">
        <v>47</v>
      </c>
      <c r="Y41" s="73">
        <v>65.3</v>
      </c>
      <c r="Z41" s="73">
        <v>67</v>
      </c>
      <c r="AA41" s="73">
        <v>67</v>
      </c>
      <c r="AB41" s="73">
        <v>51.2</v>
      </c>
      <c r="AC41" s="73">
        <v>52.8</v>
      </c>
      <c r="AD41" s="73">
        <v>44.2</v>
      </c>
      <c r="AE41" s="73">
        <v>44.8</v>
      </c>
      <c r="AF41" s="123">
        <v>45.2</v>
      </c>
      <c r="AG41" s="106">
        <v>69</v>
      </c>
      <c r="AH41" s="21">
        <f t="shared" si="2"/>
        <v>67</v>
      </c>
      <c r="AI41" s="20">
        <f t="shared" si="3"/>
        <v>16.600000000000001</v>
      </c>
      <c r="AK41" s="42"/>
    </row>
    <row r="42" spans="1:88" x14ac:dyDescent="0.25">
      <c r="A42" s="107" t="s">
        <v>169</v>
      </c>
      <c r="B42" s="123">
        <v>57.1</v>
      </c>
      <c r="C42" s="123">
        <v>58.7</v>
      </c>
      <c r="D42" s="123">
        <v>58.7</v>
      </c>
      <c r="E42" s="123">
        <v>58.7</v>
      </c>
      <c r="F42" s="123">
        <v>60</v>
      </c>
      <c r="G42" s="123">
        <v>60</v>
      </c>
      <c r="H42" s="123">
        <v>60</v>
      </c>
      <c r="I42" s="123">
        <v>60</v>
      </c>
      <c r="J42" s="123">
        <v>60</v>
      </c>
      <c r="K42" s="123">
        <v>60</v>
      </c>
      <c r="L42" s="123">
        <v>60</v>
      </c>
      <c r="M42" s="73">
        <v>60</v>
      </c>
      <c r="N42" s="73">
        <v>60</v>
      </c>
      <c r="O42" s="73">
        <v>60</v>
      </c>
      <c r="P42" s="73">
        <v>60</v>
      </c>
      <c r="Q42" s="73">
        <v>60</v>
      </c>
      <c r="R42" s="73">
        <v>60</v>
      </c>
      <c r="S42" s="73">
        <v>60</v>
      </c>
      <c r="T42" s="73">
        <v>60</v>
      </c>
      <c r="U42" s="73">
        <v>60</v>
      </c>
      <c r="V42" s="73">
        <v>60</v>
      </c>
      <c r="W42" s="73">
        <v>60</v>
      </c>
      <c r="X42" s="73">
        <v>60</v>
      </c>
      <c r="Y42" s="73">
        <v>60</v>
      </c>
      <c r="Z42" s="73">
        <v>60</v>
      </c>
      <c r="AA42" s="73">
        <v>60</v>
      </c>
      <c r="AB42" s="73">
        <v>60</v>
      </c>
      <c r="AC42" s="73">
        <v>60</v>
      </c>
      <c r="AD42" s="73">
        <v>60</v>
      </c>
      <c r="AE42" s="73">
        <v>60</v>
      </c>
      <c r="AF42" s="123">
        <v>60</v>
      </c>
      <c r="AG42" s="106">
        <v>60</v>
      </c>
      <c r="AH42" s="21">
        <f t="shared" si="2"/>
        <v>60</v>
      </c>
      <c r="AI42" s="20">
        <f t="shared" si="3"/>
        <v>57.1</v>
      </c>
      <c r="AK42" s="42"/>
    </row>
    <row r="43" spans="1:88" x14ac:dyDescent="0.25">
      <c r="A43" s="107" t="s">
        <v>168</v>
      </c>
      <c r="B43" s="123">
        <v>12.1</v>
      </c>
      <c r="C43" s="123">
        <v>9.4</v>
      </c>
      <c r="D43" s="123">
        <v>9.4</v>
      </c>
      <c r="E43" s="123">
        <v>9.4</v>
      </c>
      <c r="F43" s="123">
        <v>15</v>
      </c>
      <c r="G43" s="123">
        <v>15</v>
      </c>
      <c r="H43" s="123">
        <v>15</v>
      </c>
      <c r="I43" s="123">
        <v>15</v>
      </c>
      <c r="J43" s="123">
        <v>20</v>
      </c>
      <c r="K43" s="123">
        <v>20</v>
      </c>
      <c r="L43" s="123">
        <v>20</v>
      </c>
      <c r="M43" s="103">
        <v>20.399999999999999</v>
      </c>
      <c r="N43" s="103">
        <v>20</v>
      </c>
      <c r="O43" s="103">
        <v>15</v>
      </c>
      <c r="P43" s="103">
        <v>15</v>
      </c>
      <c r="Q43" s="103">
        <v>15</v>
      </c>
      <c r="R43" s="103">
        <v>15</v>
      </c>
      <c r="S43" s="103">
        <v>15</v>
      </c>
      <c r="T43" s="103">
        <v>15</v>
      </c>
      <c r="U43" s="103">
        <v>15</v>
      </c>
      <c r="V43" s="103">
        <v>15</v>
      </c>
      <c r="W43" s="103">
        <v>15</v>
      </c>
      <c r="X43" s="103">
        <v>24</v>
      </c>
      <c r="Y43" s="103">
        <v>28</v>
      </c>
      <c r="Z43" s="73">
        <v>28</v>
      </c>
      <c r="AA43" s="73">
        <v>28</v>
      </c>
      <c r="AB43" s="73">
        <v>30</v>
      </c>
      <c r="AC43" s="73">
        <v>24</v>
      </c>
      <c r="AD43" s="73">
        <v>16.600000000000001</v>
      </c>
      <c r="AE43" s="73">
        <v>9.8000000000000007</v>
      </c>
      <c r="AF43" s="73">
        <v>9.8000000000000007</v>
      </c>
      <c r="AG43" s="106">
        <v>30</v>
      </c>
      <c r="AH43" s="21">
        <f t="shared" si="2"/>
        <v>30</v>
      </c>
      <c r="AI43" s="20">
        <f t="shared" si="3"/>
        <v>9.4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3</v>
      </c>
      <c r="L44" s="123">
        <v>3</v>
      </c>
      <c r="M44" s="103">
        <v>5</v>
      </c>
      <c r="N44" s="103">
        <v>5</v>
      </c>
      <c r="O44" s="103">
        <v>6</v>
      </c>
      <c r="P44" s="103">
        <v>6</v>
      </c>
      <c r="Q44" s="103">
        <v>6</v>
      </c>
      <c r="R44" s="103">
        <v>6</v>
      </c>
      <c r="S44" s="103">
        <v>6</v>
      </c>
      <c r="T44" s="103">
        <v>6</v>
      </c>
      <c r="U44" s="103">
        <v>6</v>
      </c>
      <c r="V44" s="103">
        <v>6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6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17.5</v>
      </c>
      <c r="C45" s="123">
        <v>17.5</v>
      </c>
      <c r="D45" s="123">
        <v>17.5</v>
      </c>
      <c r="E45" s="123">
        <v>17.5</v>
      </c>
      <c r="F45" s="123">
        <v>17.5</v>
      </c>
      <c r="G45" s="123">
        <v>17.5</v>
      </c>
      <c r="H45" s="123">
        <v>17.5</v>
      </c>
      <c r="I45" s="123">
        <v>17.5</v>
      </c>
      <c r="J45" s="123">
        <v>17.5</v>
      </c>
      <c r="K45" s="123">
        <v>17.5</v>
      </c>
      <c r="L45" s="123">
        <v>17.5</v>
      </c>
      <c r="M45" s="123">
        <v>17.5</v>
      </c>
      <c r="N45" s="103">
        <v>17</v>
      </c>
      <c r="O45" s="103">
        <v>17</v>
      </c>
      <c r="P45" s="103">
        <v>17</v>
      </c>
      <c r="Q45" s="103">
        <v>17</v>
      </c>
      <c r="R45" s="103">
        <v>17</v>
      </c>
      <c r="S45" s="103">
        <v>17</v>
      </c>
      <c r="T45" s="103">
        <v>17</v>
      </c>
      <c r="U45" s="103">
        <v>17</v>
      </c>
      <c r="V45" s="103">
        <v>17</v>
      </c>
      <c r="W45" s="103">
        <v>17</v>
      </c>
      <c r="X45" s="103">
        <v>17</v>
      </c>
      <c r="Y45" s="103">
        <v>17</v>
      </c>
      <c r="Z45" s="103">
        <v>17.5</v>
      </c>
      <c r="AA45" s="103">
        <v>17.5</v>
      </c>
      <c r="AB45" s="103">
        <v>17.600000000000001</v>
      </c>
      <c r="AC45" s="103">
        <v>17.600000000000001</v>
      </c>
      <c r="AD45" s="103">
        <v>17.600000000000001</v>
      </c>
      <c r="AE45" s="103">
        <v>17.600000000000001</v>
      </c>
      <c r="AF45" s="103">
        <v>17.600000000000001</v>
      </c>
      <c r="AG45" s="106">
        <v>24</v>
      </c>
      <c r="AH45" s="21">
        <f t="shared" si="2"/>
        <v>17.600000000000001</v>
      </c>
      <c r="AI45" s="20">
        <f t="shared" si="3"/>
        <v>17</v>
      </c>
      <c r="AK45" s="42"/>
    </row>
    <row r="46" spans="1:88" x14ac:dyDescent="0.25">
      <c r="A46" s="107" t="s">
        <v>165</v>
      </c>
      <c r="B46" s="123">
        <v>2.2999999999999998</v>
      </c>
      <c r="C46" s="123">
        <v>2.2999999999999998</v>
      </c>
      <c r="D46" s="123">
        <v>2.2999999999999998</v>
      </c>
      <c r="E46" s="123">
        <v>2.2999999999999998</v>
      </c>
      <c r="F46" s="123">
        <v>2.2999999999999998</v>
      </c>
      <c r="G46" s="123">
        <v>2.2999999999999998</v>
      </c>
      <c r="H46" s="123">
        <v>2.2999999999999998</v>
      </c>
      <c r="I46" s="123">
        <v>2.2999999999999998</v>
      </c>
      <c r="J46" s="123">
        <v>2.2999999999999998</v>
      </c>
      <c r="K46" s="123">
        <v>2.2999999999999998</v>
      </c>
      <c r="L46" s="123">
        <v>2.2999999999999998</v>
      </c>
      <c r="M46" s="123">
        <v>2.2999999999999998</v>
      </c>
      <c r="N46" s="123">
        <v>2.2999999999999998</v>
      </c>
      <c r="O46" s="123">
        <v>2.2999999999999998</v>
      </c>
      <c r="P46" s="123">
        <v>2.2999999999999998</v>
      </c>
      <c r="Q46" s="123">
        <v>2.2999999999999998</v>
      </c>
      <c r="R46" s="123">
        <v>2.2999999999999998</v>
      </c>
      <c r="S46" s="123">
        <v>2.2999999999999998</v>
      </c>
      <c r="T46" s="123">
        <v>2.2999999999999998</v>
      </c>
      <c r="U46" s="123">
        <v>2.2999999999999998</v>
      </c>
      <c r="V46" s="123">
        <v>2.2999999999999998</v>
      </c>
      <c r="W46" s="123">
        <v>2.2999999999999998</v>
      </c>
      <c r="X46" s="123">
        <v>2.2999999999999998</v>
      </c>
      <c r="Y46" s="123">
        <v>2.2999999999999998</v>
      </c>
      <c r="Z46" s="103">
        <v>2.2999999999999998</v>
      </c>
      <c r="AA46" s="103">
        <v>2.2999999999999998</v>
      </c>
      <c r="AB46" s="103">
        <v>2.2999999999999998</v>
      </c>
      <c r="AC46" s="103">
        <v>2.2999999999999998</v>
      </c>
      <c r="AD46" s="103">
        <v>2.2999999999999998</v>
      </c>
      <c r="AE46" s="103">
        <v>2.2999999999999998</v>
      </c>
      <c r="AF46" s="103">
        <v>2.2999999999999998</v>
      </c>
      <c r="AG46" s="106">
        <v>15</v>
      </c>
      <c r="AH46" s="21">
        <f t="shared" si="2"/>
        <v>2.2999999999999998</v>
      </c>
      <c r="AI46" s="20">
        <f t="shared" si="3"/>
        <v>2.2999999999999998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6.1</v>
      </c>
      <c r="C48" s="123">
        <v>6.1</v>
      </c>
      <c r="D48" s="123">
        <v>6.1</v>
      </c>
      <c r="E48" s="123">
        <v>6.1</v>
      </c>
      <c r="F48" s="123">
        <v>6.1</v>
      </c>
      <c r="G48" s="123">
        <v>6.1</v>
      </c>
      <c r="H48" s="123">
        <v>6.1</v>
      </c>
      <c r="I48" s="123">
        <v>6.1</v>
      </c>
      <c r="J48" s="123">
        <v>6.1</v>
      </c>
      <c r="K48" s="123">
        <v>6.1</v>
      </c>
      <c r="L48" s="123">
        <v>6.1</v>
      </c>
      <c r="M48" s="123">
        <v>6.1</v>
      </c>
      <c r="N48" s="123">
        <v>6.1</v>
      </c>
      <c r="O48" s="123">
        <v>6.1</v>
      </c>
      <c r="P48" s="123">
        <v>6.1</v>
      </c>
      <c r="Q48" s="123">
        <v>6.1</v>
      </c>
      <c r="R48" s="123">
        <v>6.1</v>
      </c>
      <c r="S48" s="123">
        <v>6.1</v>
      </c>
      <c r="T48" s="123">
        <v>6.1</v>
      </c>
      <c r="U48" s="123">
        <v>6.1</v>
      </c>
      <c r="V48" s="123">
        <v>6.1</v>
      </c>
      <c r="W48" s="123">
        <v>6.1</v>
      </c>
      <c r="X48" s="123">
        <v>6.1</v>
      </c>
      <c r="Y48" s="123">
        <v>6.1</v>
      </c>
      <c r="Z48" s="103">
        <v>6.1</v>
      </c>
      <c r="AA48" s="103">
        <v>6.1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6.1</v>
      </c>
      <c r="AK48" s="42"/>
    </row>
    <row r="49" spans="1:37" x14ac:dyDescent="0.25">
      <c r="A49" s="107" t="s">
        <v>162</v>
      </c>
      <c r="B49" s="123">
        <v>5.8</v>
      </c>
      <c r="C49" s="123">
        <v>5.8</v>
      </c>
      <c r="D49" s="123">
        <v>5.8</v>
      </c>
      <c r="E49" s="123">
        <v>5.8</v>
      </c>
      <c r="F49" s="123">
        <v>5.8</v>
      </c>
      <c r="G49" s="123">
        <v>5.8</v>
      </c>
      <c r="H49" s="123">
        <v>5.8</v>
      </c>
      <c r="I49" s="123">
        <v>5.8</v>
      </c>
      <c r="J49" s="123">
        <v>5.8</v>
      </c>
      <c r="K49" s="123">
        <v>5.8</v>
      </c>
      <c r="L49" s="123">
        <v>5.8</v>
      </c>
      <c r="M49" s="123">
        <v>5.8</v>
      </c>
      <c r="N49" s="123">
        <v>5.8</v>
      </c>
      <c r="O49" s="123">
        <v>5.8</v>
      </c>
      <c r="P49" s="123">
        <v>5.8</v>
      </c>
      <c r="Q49" s="123">
        <v>5.8</v>
      </c>
      <c r="R49" s="123">
        <v>5.8</v>
      </c>
      <c r="S49" s="123">
        <v>5.8</v>
      </c>
      <c r="T49" s="123">
        <v>5.8</v>
      </c>
      <c r="U49" s="123">
        <v>5.8</v>
      </c>
      <c r="V49" s="123">
        <v>5.8</v>
      </c>
      <c r="W49" s="123">
        <v>5.8</v>
      </c>
      <c r="X49" s="123">
        <v>5.8</v>
      </c>
      <c r="Y49" s="123">
        <v>5.8</v>
      </c>
      <c r="Z49" s="103">
        <v>5.8</v>
      </c>
      <c r="AA49" s="103">
        <v>5.8</v>
      </c>
      <c r="AB49" s="103">
        <v>6.3</v>
      </c>
      <c r="AC49" s="103">
        <v>6.3</v>
      </c>
      <c r="AD49" s="103">
        <v>6.3</v>
      </c>
      <c r="AE49" s="103">
        <v>6.3</v>
      </c>
      <c r="AF49" s="103">
        <v>6.3</v>
      </c>
      <c r="AG49" s="106">
        <v>10.050000000000001</v>
      </c>
      <c r="AH49" s="21">
        <f t="shared" si="2"/>
        <v>6.3</v>
      </c>
      <c r="AI49" s="20">
        <f t="shared" si="3"/>
        <v>5.8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366.54000000000008</v>
      </c>
      <c r="C52" s="99">
        <f t="shared" ref="C52:AF52" si="6">SUM(C39:C51)</f>
        <v>324.84000000000003</v>
      </c>
      <c r="D52" s="99">
        <f t="shared" si="6"/>
        <v>295.64000000000004</v>
      </c>
      <c r="E52" s="99">
        <f t="shared" si="6"/>
        <v>247.04</v>
      </c>
      <c r="F52" s="99">
        <f t="shared" si="6"/>
        <v>253.54000000000002</v>
      </c>
      <c r="G52" s="99">
        <f t="shared" si="6"/>
        <v>253.74</v>
      </c>
      <c r="H52" s="99">
        <f t="shared" si="6"/>
        <v>254.34</v>
      </c>
      <c r="I52" s="99">
        <f t="shared" si="6"/>
        <v>254.94</v>
      </c>
      <c r="J52" s="99">
        <f t="shared" si="6"/>
        <v>259.04000000000002</v>
      </c>
      <c r="K52" s="99">
        <f t="shared" si="6"/>
        <v>283.94000000000005</v>
      </c>
      <c r="L52" s="99">
        <f t="shared" si="6"/>
        <v>333.24000000000007</v>
      </c>
      <c r="M52" s="99">
        <f t="shared" si="6"/>
        <v>326.34000000000003</v>
      </c>
      <c r="N52" s="99">
        <f t="shared" si="6"/>
        <v>250.64</v>
      </c>
      <c r="O52" s="99">
        <f t="shared" si="6"/>
        <v>261.14000000000004</v>
      </c>
      <c r="P52" s="99">
        <f t="shared" si="6"/>
        <v>277.6400000000001</v>
      </c>
      <c r="Q52" s="99">
        <f t="shared" si="6"/>
        <v>287.44000000000005</v>
      </c>
      <c r="R52" s="99">
        <f t="shared" si="6"/>
        <v>275.94000000000005</v>
      </c>
      <c r="S52" s="99">
        <f t="shared" si="6"/>
        <v>318.14000000000004</v>
      </c>
      <c r="T52" s="99">
        <f t="shared" si="6"/>
        <v>305.24000000000007</v>
      </c>
      <c r="U52" s="99">
        <f t="shared" si="6"/>
        <v>310.74000000000007</v>
      </c>
      <c r="V52" s="99">
        <f t="shared" si="6"/>
        <v>289.84000000000009</v>
      </c>
      <c r="W52" s="99">
        <f t="shared" si="6"/>
        <v>312.24000000000007</v>
      </c>
      <c r="X52" s="99">
        <f t="shared" si="6"/>
        <v>383.24000000000007</v>
      </c>
      <c r="Y52" s="99">
        <f t="shared" si="6"/>
        <v>416.04000000000008</v>
      </c>
      <c r="Z52" s="99">
        <f t="shared" si="6"/>
        <v>420.94000000000005</v>
      </c>
      <c r="AA52" s="99">
        <f t="shared" si="6"/>
        <v>420.94000000000005</v>
      </c>
      <c r="AB52" s="99">
        <f t="shared" si="6"/>
        <v>396.24000000000007</v>
      </c>
      <c r="AC52" s="99">
        <f t="shared" si="6"/>
        <v>380.74000000000007</v>
      </c>
      <c r="AD52" s="99">
        <f t="shared" si="6"/>
        <v>353.94000000000005</v>
      </c>
      <c r="AE52" s="99">
        <f t="shared" si="6"/>
        <v>321.44000000000005</v>
      </c>
      <c r="AF52" s="99">
        <f t="shared" si="6"/>
        <v>292.24000000000007</v>
      </c>
      <c r="AG52" s="98">
        <f>SUM(AG39:AG51)</f>
        <v>489.91</v>
      </c>
      <c r="AH52" s="21">
        <f t="shared" si="2"/>
        <v>420.94000000000005</v>
      </c>
      <c r="AI52" s="20">
        <f t="shared" si="3"/>
        <v>247.04</v>
      </c>
      <c r="AK52" s="42"/>
    </row>
    <row r="53" spans="1:37" x14ac:dyDescent="0.25">
      <c r="A53" s="109" t="s">
        <v>159</v>
      </c>
      <c r="B53" s="103">
        <v>59.8</v>
      </c>
      <c r="C53" s="103">
        <v>59.8</v>
      </c>
      <c r="D53" s="103">
        <v>59.8</v>
      </c>
      <c r="E53" s="123">
        <v>59.3</v>
      </c>
      <c r="F53" s="123">
        <v>59.3</v>
      </c>
      <c r="G53" s="123">
        <v>59.3</v>
      </c>
      <c r="H53" s="123">
        <v>59.3</v>
      </c>
      <c r="I53" s="123">
        <v>59.3</v>
      </c>
      <c r="J53" s="123">
        <v>59.3</v>
      </c>
      <c r="K53" s="123">
        <v>59.3</v>
      </c>
      <c r="L53" s="123">
        <v>59.3</v>
      </c>
      <c r="M53" s="122">
        <v>59.3</v>
      </c>
      <c r="N53" s="122">
        <v>59.3</v>
      </c>
      <c r="O53" s="122">
        <v>58.9</v>
      </c>
      <c r="P53" s="122">
        <v>59.3</v>
      </c>
      <c r="Q53" s="103">
        <v>59.4</v>
      </c>
      <c r="R53" s="103">
        <v>59.1</v>
      </c>
      <c r="S53" s="103">
        <v>59</v>
      </c>
      <c r="T53" s="103">
        <v>59.2</v>
      </c>
      <c r="U53" s="103">
        <v>59.2</v>
      </c>
      <c r="V53" s="103">
        <v>59</v>
      </c>
      <c r="W53" s="103">
        <v>59</v>
      </c>
      <c r="X53" s="103">
        <v>59</v>
      </c>
      <c r="Y53" s="103">
        <v>59.1</v>
      </c>
      <c r="Z53" s="103">
        <v>59.1</v>
      </c>
      <c r="AA53" s="103">
        <v>59.1</v>
      </c>
      <c r="AB53" s="103">
        <v>59.3</v>
      </c>
      <c r="AC53" s="103">
        <v>59.3</v>
      </c>
      <c r="AD53" s="103">
        <v>59.3</v>
      </c>
      <c r="AE53" s="103">
        <v>59.3</v>
      </c>
      <c r="AF53" s="103">
        <v>59.3</v>
      </c>
      <c r="AG53" s="108">
        <v>60</v>
      </c>
      <c r="AH53" s="21">
        <f t="shared" si="2"/>
        <v>59.8</v>
      </c>
      <c r="AI53" s="20">
        <f t="shared" si="3"/>
        <v>58.9</v>
      </c>
      <c r="AK53" s="42"/>
    </row>
    <row r="54" spans="1:37" x14ac:dyDescent="0.25">
      <c r="A54" s="107" t="s">
        <v>158</v>
      </c>
      <c r="B54" s="73">
        <v>29.1</v>
      </c>
      <c r="C54" s="73">
        <v>29.1</v>
      </c>
      <c r="D54" s="73">
        <v>29.1</v>
      </c>
      <c r="E54" s="123">
        <v>28.9</v>
      </c>
      <c r="F54" s="123">
        <v>28.9</v>
      </c>
      <c r="G54" s="123">
        <v>28.9</v>
      </c>
      <c r="H54" s="123">
        <v>28.9</v>
      </c>
      <c r="I54" s="123">
        <v>28.9</v>
      </c>
      <c r="J54" s="123">
        <v>28.6</v>
      </c>
      <c r="K54" s="123">
        <v>28.6</v>
      </c>
      <c r="L54" s="123">
        <v>28.6</v>
      </c>
      <c r="M54" s="122">
        <v>29.2</v>
      </c>
      <c r="N54" s="122">
        <v>30.1</v>
      </c>
      <c r="O54" s="122">
        <v>28.8</v>
      </c>
      <c r="P54" s="122">
        <v>28.8</v>
      </c>
      <c r="Q54" s="73">
        <v>29.8</v>
      </c>
      <c r="R54" s="73">
        <v>29.1</v>
      </c>
      <c r="S54" s="103">
        <v>29.3</v>
      </c>
      <c r="T54" s="103">
        <v>28.5</v>
      </c>
      <c r="U54" s="103">
        <v>29</v>
      </c>
      <c r="V54" s="73">
        <v>29</v>
      </c>
      <c r="W54" s="73">
        <v>29</v>
      </c>
      <c r="X54" s="73">
        <v>29</v>
      </c>
      <c r="Y54" s="73">
        <v>28.4</v>
      </c>
      <c r="Z54" s="73">
        <v>29</v>
      </c>
      <c r="AA54" s="73">
        <v>29</v>
      </c>
      <c r="AB54" s="73">
        <v>28.2</v>
      </c>
      <c r="AC54" s="73">
        <v>28.2</v>
      </c>
      <c r="AD54" s="73">
        <v>28.2</v>
      </c>
      <c r="AE54" s="73">
        <v>28.2</v>
      </c>
      <c r="AF54" s="73">
        <v>28.2</v>
      </c>
      <c r="AG54" s="106">
        <v>32</v>
      </c>
      <c r="AH54" s="21">
        <f t="shared" si="2"/>
        <v>30.1</v>
      </c>
      <c r="AI54" s="20">
        <f t="shared" si="3"/>
        <v>28.2</v>
      </c>
      <c r="AK54" s="42"/>
    </row>
    <row r="55" spans="1:37" ht="15.75" thickBot="1" x14ac:dyDescent="0.3">
      <c r="A55" s="121" t="s">
        <v>157</v>
      </c>
      <c r="B55" s="118">
        <v>10.6</v>
      </c>
      <c r="C55" s="118">
        <v>10.6</v>
      </c>
      <c r="D55" s="118">
        <v>10.6</v>
      </c>
      <c r="E55" s="120">
        <v>10.6</v>
      </c>
      <c r="F55" s="120">
        <v>10.6</v>
      </c>
      <c r="G55" s="120">
        <v>10.6</v>
      </c>
      <c r="H55" s="120">
        <v>10.6</v>
      </c>
      <c r="I55" s="120">
        <v>10.6</v>
      </c>
      <c r="J55" s="120">
        <v>10.5</v>
      </c>
      <c r="K55" s="120">
        <v>10.5</v>
      </c>
      <c r="L55" s="120">
        <v>10.5</v>
      </c>
      <c r="M55" s="119">
        <v>10.7</v>
      </c>
      <c r="N55" s="119">
        <v>11</v>
      </c>
      <c r="O55" s="119">
        <v>10.5</v>
      </c>
      <c r="P55" s="119">
        <v>10.5</v>
      </c>
      <c r="Q55" s="118">
        <v>10.9</v>
      </c>
      <c r="R55" s="118">
        <v>10.6</v>
      </c>
      <c r="S55" s="103">
        <v>10.7</v>
      </c>
      <c r="T55" s="103">
        <v>10.4</v>
      </c>
      <c r="U55" s="103">
        <v>10.4</v>
      </c>
      <c r="V55" s="118">
        <v>10.6</v>
      </c>
      <c r="W55" s="118">
        <v>10.6</v>
      </c>
      <c r="X55" s="118">
        <v>10.6</v>
      </c>
      <c r="Y55" s="118">
        <v>10.4</v>
      </c>
      <c r="Z55" s="118">
        <v>10.6</v>
      </c>
      <c r="AA55" s="118">
        <v>10.6</v>
      </c>
      <c r="AB55" s="118">
        <v>10.3</v>
      </c>
      <c r="AC55" s="118">
        <v>10.3</v>
      </c>
      <c r="AD55" s="118">
        <v>10.3</v>
      </c>
      <c r="AE55" s="118">
        <v>10.3</v>
      </c>
      <c r="AF55" s="118">
        <v>10.3</v>
      </c>
      <c r="AG55" s="117">
        <v>14</v>
      </c>
      <c r="AH55" s="21">
        <f t="shared" si="2"/>
        <v>11</v>
      </c>
      <c r="AI55" s="20">
        <f t="shared" si="3"/>
        <v>10.3</v>
      </c>
      <c r="AK55" s="42"/>
    </row>
    <row r="56" spans="1:37" ht="15.75" thickBot="1" x14ac:dyDescent="0.3">
      <c r="A56" s="100" t="s">
        <v>156</v>
      </c>
      <c r="B56" s="99">
        <f>SUM(B53:B55)</f>
        <v>99.5</v>
      </c>
      <c r="C56" s="99">
        <f>SUM(C53:C55)</f>
        <v>99.5</v>
      </c>
      <c r="D56" s="99">
        <f t="shared" ref="D56:AF56" si="7">SUM(D53:D55)</f>
        <v>99.5</v>
      </c>
      <c r="E56" s="99">
        <f t="shared" si="7"/>
        <v>98.799999999999983</v>
      </c>
      <c r="F56" s="99">
        <f t="shared" si="7"/>
        <v>98.799999999999983</v>
      </c>
      <c r="G56" s="99">
        <f t="shared" si="7"/>
        <v>98.799999999999983</v>
      </c>
      <c r="H56" s="99">
        <f t="shared" si="7"/>
        <v>98.799999999999983</v>
      </c>
      <c r="I56" s="99">
        <f t="shared" si="7"/>
        <v>98.799999999999983</v>
      </c>
      <c r="J56" s="99">
        <f t="shared" si="7"/>
        <v>98.4</v>
      </c>
      <c r="K56" s="99">
        <f t="shared" si="7"/>
        <v>98.4</v>
      </c>
      <c r="L56" s="99">
        <f t="shared" si="7"/>
        <v>98.4</v>
      </c>
      <c r="M56" s="99">
        <f t="shared" si="7"/>
        <v>99.2</v>
      </c>
      <c r="N56" s="99">
        <f t="shared" si="7"/>
        <v>100.4</v>
      </c>
      <c r="O56" s="99">
        <f t="shared" si="7"/>
        <v>98.2</v>
      </c>
      <c r="P56" s="99">
        <f t="shared" si="7"/>
        <v>98.6</v>
      </c>
      <c r="Q56" s="99">
        <f t="shared" si="7"/>
        <v>100.10000000000001</v>
      </c>
      <c r="R56" s="99">
        <f t="shared" si="7"/>
        <v>98.8</v>
      </c>
      <c r="S56" s="99">
        <f t="shared" si="7"/>
        <v>99</v>
      </c>
      <c r="T56" s="99">
        <f t="shared" si="7"/>
        <v>98.100000000000009</v>
      </c>
      <c r="U56" s="99">
        <f t="shared" si="7"/>
        <v>98.600000000000009</v>
      </c>
      <c r="V56" s="99">
        <f t="shared" si="7"/>
        <v>98.6</v>
      </c>
      <c r="W56" s="99">
        <f t="shared" si="7"/>
        <v>98.6</v>
      </c>
      <c r="X56" s="99">
        <f t="shared" si="7"/>
        <v>98.6</v>
      </c>
      <c r="Y56" s="99">
        <f t="shared" si="7"/>
        <v>97.9</v>
      </c>
      <c r="Z56" s="99">
        <f t="shared" si="7"/>
        <v>98.699999999999989</v>
      </c>
      <c r="AA56" s="99">
        <f t="shared" si="7"/>
        <v>98.699999999999989</v>
      </c>
      <c r="AB56" s="99">
        <f t="shared" si="7"/>
        <v>97.8</v>
      </c>
      <c r="AC56" s="99">
        <f t="shared" si="7"/>
        <v>97.8</v>
      </c>
      <c r="AD56" s="99">
        <f t="shared" si="7"/>
        <v>97.8</v>
      </c>
      <c r="AE56" s="99">
        <f t="shared" si="7"/>
        <v>97.8</v>
      </c>
      <c r="AF56" s="99">
        <f t="shared" si="7"/>
        <v>97.8</v>
      </c>
      <c r="AG56" s="98">
        <f>SUM(AG53:AG55)</f>
        <v>106</v>
      </c>
      <c r="AH56" s="21">
        <f t="shared" si="2"/>
        <v>100.4</v>
      </c>
      <c r="AI56" s="20">
        <f t="shared" si="3"/>
        <v>97.8</v>
      </c>
      <c r="AK56" s="42"/>
    </row>
    <row r="57" spans="1:37" x14ac:dyDescent="0.25">
      <c r="A57" s="109" t="s">
        <v>135</v>
      </c>
      <c r="B57" s="103">
        <v>26.44</v>
      </c>
      <c r="C57" s="103">
        <v>25</v>
      </c>
      <c r="D57" s="103">
        <v>23.7</v>
      </c>
      <c r="E57" s="103">
        <v>21.48</v>
      </c>
      <c r="F57" s="103">
        <v>31.97</v>
      </c>
      <c r="G57" s="103">
        <v>32.36</v>
      </c>
      <c r="H57" s="103">
        <v>33.9</v>
      </c>
      <c r="I57" s="103">
        <v>35.6</v>
      </c>
      <c r="J57" s="103">
        <v>26.5</v>
      </c>
      <c r="K57" s="103">
        <v>29.4</v>
      </c>
      <c r="L57" s="103">
        <v>27.37</v>
      </c>
      <c r="M57" s="103">
        <v>30</v>
      </c>
      <c r="N57" s="103">
        <v>65</v>
      </c>
      <c r="O57" s="103">
        <v>36.6</v>
      </c>
      <c r="P57" s="103">
        <v>41.2</v>
      </c>
      <c r="Q57" s="103">
        <v>41.5</v>
      </c>
      <c r="R57" s="103">
        <v>37.6</v>
      </c>
      <c r="S57" s="103">
        <v>64.900000000000006</v>
      </c>
      <c r="T57" s="103">
        <v>39</v>
      </c>
      <c r="U57" s="103">
        <v>38</v>
      </c>
      <c r="V57" s="103">
        <v>35</v>
      </c>
      <c r="W57" s="103">
        <v>38</v>
      </c>
      <c r="X57" s="103">
        <v>39</v>
      </c>
      <c r="Y57" s="103">
        <v>37</v>
      </c>
      <c r="Z57" s="103">
        <v>44.7</v>
      </c>
      <c r="AA57" s="103">
        <v>49</v>
      </c>
      <c r="AB57" s="103">
        <v>45.9</v>
      </c>
      <c r="AC57" s="103">
        <v>67</v>
      </c>
      <c r="AD57" s="103">
        <v>71.099999999999994</v>
      </c>
      <c r="AE57" s="103">
        <v>48.04</v>
      </c>
      <c r="AF57" s="103">
        <v>42.4</v>
      </c>
      <c r="AG57" s="108"/>
      <c r="AH57" s="21">
        <f t="shared" si="2"/>
        <v>71.099999999999994</v>
      </c>
      <c r="AI57" s="20">
        <f t="shared" si="3"/>
        <v>21.48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103">
        <v>0</v>
      </c>
      <c r="N58" s="103">
        <v>45</v>
      </c>
      <c r="O58" s="103">
        <v>93</v>
      </c>
      <c r="P58" s="103">
        <v>94.5</v>
      </c>
      <c r="Q58" s="103">
        <v>94.1</v>
      </c>
      <c r="R58" s="103">
        <v>140.19999999999999</v>
      </c>
      <c r="S58" s="103">
        <v>164</v>
      </c>
      <c r="T58" s="103">
        <v>162</v>
      </c>
      <c r="U58" s="103">
        <v>162</v>
      </c>
      <c r="V58" s="103">
        <v>165</v>
      </c>
      <c r="W58" s="103">
        <v>160</v>
      </c>
      <c r="X58" s="116">
        <v>0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165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50.48</v>
      </c>
      <c r="C59" s="73">
        <v>64</v>
      </c>
      <c r="D59" s="73">
        <v>72.3</v>
      </c>
      <c r="E59" s="73">
        <v>75</v>
      </c>
      <c r="F59" s="73">
        <v>66.7</v>
      </c>
      <c r="G59" s="73">
        <v>64.099999999999994</v>
      </c>
      <c r="H59" s="103">
        <v>52.6</v>
      </c>
      <c r="I59" s="103">
        <v>65</v>
      </c>
      <c r="J59" s="103">
        <v>75</v>
      </c>
      <c r="K59" s="103">
        <v>70</v>
      </c>
      <c r="L59" s="103">
        <v>49.4</v>
      </c>
      <c r="M59" s="73">
        <v>57.3</v>
      </c>
      <c r="N59" s="73">
        <v>136.19999999999999</v>
      </c>
      <c r="O59" s="73">
        <v>47.7</v>
      </c>
      <c r="P59" s="73">
        <v>55.4</v>
      </c>
      <c r="Q59" s="73">
        <v>62.3</v>
      </c>
      <c r="R59" s="73">
        <v>59.3</v>
      </c>
      <c r="S59" s="73">
        <v>100</v>
      </c>
      <c r="T59" s="73">
        <v>52</v>
      </c>
      <c r="U59" s="73">
        <v>66</v>
      </c>
      <c r="V59" s="73">
        <v>65</v>
      </c>
      <c r="W59" s="73">
        <v>120</v>
      </c>
      <c r="X59" s="115">
        <v>104</v>
      </c>
      <c r="Y59" s="115">
        <v>118</v>
      </c>
      <c r="Z59" s="115">
        <v>58</v>
      </c>
      <c r="AA59" s="115">
        <v>50</v>
      </c>
      <c r="AB59" s="73">
        <v>83.1</v>
      </c>
      <c r="AC59" s="73">
        <v>100.4</v>
      </c>
      <c r="AD59" s="73">
        <v>79.099999999999994</v>
      </c>
      <c r="AE59" s="73">
        <v>38.799999999999997</v>
      </c>
      <c r="AF59" s="73">
        <v>38</v>
      </c>
      <c r="AG59" s="113"/>
      <c r="AH59" s="21">
        <f t="shared" si="2"/>
        <v>136.19999999999999</v>
      </c>
      <c r="AI59" s="20">
        <f t="shared" si="3"/>
        <v>38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3">
        <v>0</v>
      </c>
      <c r="N60" s="73">
        <v>20</v>
      </c>
      <c r="O60" s="73">
        <v>45.6</v>
      </c>
      <c r="P60" s="73">
        <v>45.6</v>
      </c>
      <c r="Q60" s="73">
        <v>45.4</v>
      </c>
      <c r="R60" s="73">
        <v>43.6</v>
      </c>
      <c r="S60" s="73">
        <v>49</v>
      </c>
      <c r="T60" s="73">
        <v>56</v>
      </c>
      <c r="U60" s="73">
        <v>48.5</v>
      </c>
      <c r="V60" s="73">
        <v>54</v>
      </c>
      <c r="W60" s="73">
        <v>0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113"/>
      <c r="AH60" s="21">
        <f t="shared" si="2"/>
        <v>56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103">
        <v>0</v>
      </c>
      <c r="N61" s="103">
        <v>76.400000000000006</v>
      </c>
      <c r="O61" s="103">
        <v>78.099999999999994</v>
      </c>
      <c r="P61" s="103">
        <v>84.9</v>
      </c>
      <c r="Q61" s="103">
        <v>54</v>
      </c>
      <c r="R61" s="103">
        <v>79.5</v>
      </c>
      <c r="S61" s="103">
        <v>28</v>
      </c>
      <c r="T61" s="103">
        <v>75</v>
      </c>
      <c r="U61" s="103">
        <v>82</v>
      </c>
      <c r="V61" s="103">
        <v>70.5</v>
      </c>
      <c r="W61" s="103">
        <v>0</v>
      </c>
      <c r="X61" s="103">
        <v>0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84.9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9</v>
      </c>
      <c r="C62" s="73">
        <v>9</v>
      </c>
      <c r="D62" s="73">
        <v>9</v>
      </c>
      <c r="E62" s="73">
        <v>9</v>
      </c>
      <c r="F62" s="73">
        <v>9</v>
      </c>
      <c r="G62" s="73">
        <v>9</v>
      </c>
      <c r="H62" s="73">
        <v>9</v>
      </c>
      <c r="I62" s="73">
        <v>9</v>
      </c>
      <c r="J62" s="73">
        <v>9</v>
      </c>
      <c r="K62" s="73">
        <v>9</v>
      </c>
      <c r="L62" s="73">
        <v>9</v>
      </c>
      <c r="M62" s="73">
        <v>9</v>
      </c>
      <c r="N62" s="73">
        <v>9</v>
      </c>
      <c r="O62" s="73">
        <v>9</v>
      </c>
      <c r="P62" s="73">
        <v>9</v>
      </c>
      <c r="Q62" s="73">
        <v>9</v>
      </c>
      <c r="R62" s="73">
        <v>9</v>
      </c>
      <c r="S62" s="67">
        <v>9</v>
      </c>
      <c r="T62" s="67">
        <v>9</v>
      </c>
      <c r="U62" s="67">
        <v>9</v>
      </c>
      <c r="V62" s="67">
        <v>9</v>
      </c>
      <c r="W62" s="67">
        <v>9</v>
      </c>
      <c r="X62" s="67">
        <v>9</v>
      </c>
      <c r="Y62" s="67">
        <v>9</v>
      </c>
      <c r="Z62" s="67">
        <v>9</v>
      </c>
      <c r="AA62" s="67">
        <v>9</v>
      </c>
      <c r="AB62" s="67">
        <v>10</v>
      </c>
      <c r="AC62" s="67">
        <v>10</v>
      </c>
      <c r="AD62" s="67">
        <v>10</v>
      </c>
      <c r="AE62" s="67">
        <v>10</v>
      </c>
      <c r="AF62" s="67">
        <v>10</v>
      </c>
      <c r="AG62" s="113"/>
      <c r="AH62" s="21">
        <f t="shared" si="2"/>
        <v>10</v>
      </c>
      <c r="AI62" s="20">
        <f t="shared" si="3"/>
        <v>9</v>
      </c>
      <c r="AK62" s="42"/>
    </row>
    <row r="63" spans="1:37" x14ac:dyDescent="0.25">
      <c r="A63" s="107" t="s">
        <v>152</v>
      </c>
      <c r="B63" s="6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8.5</v>
      </c>
      <c r="AF64" s="77">
        <v>8.5</v>
      </c>
      <c r="AG64" s="113"/>
      <c r="AH64" s="21">
        <f t="shared" si="2"/>
        <v>8.5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6</v>
      </c>
      <c r="C66" s="77">
        <v>6</v>
      </c>
      <c r="D66" s="77">
        <v>6</v>
      </c>
      <c r="E66" s="77">
        <v>6</v>
      </c>
      <c r="F66" s="77">
        <v>6</v>
      </c>
      <c r="G66" s="77">
        <v>6</v>
      </c>
      <c r="H66" s="77">
        <v>6</v>
      </c>
      <c r="I66" s="77">
        <v>6</v>
      </c>
      <c r="J66" s="77">
        <v>6</v>
      </c>
      <c r="K66" s="77">
        <v>6</v>
      </c>
      <c r="L66" s="77">
        <v>6</v>
      </c>
      <c r="M66" s="73">
        <v>6</v>
      </c>
      <c r="N66" s="73">
        <v>6</v>
      </c>
      <c r="O66" s="73">
        <v>6</v>
      </c>
      <c r="P66" s="73">
        <v>6</v>
      </c>
      <c r="Q66" s="73">
        <v>6</v>
      </c>
      <c r="R66" s="73">
        <v>6</v>
      </c>
      <c r="S66" s="73">
        <v>6</v>
      </c>
      <c r="T66" s="73">
        <v>6</v>
      </c>
      <c r="U66" s="73">
        <v>6</v>
      </c>
      <c r="V66" s="73">
        <v>6</v>
      </c>
      <c r="W66" s="73">
        <v>6</v>
      </c>
      <c r="X66" s="73">
        <v>6</v>
      </c>
      <c r="Y66" s="73">
        <v>6</v>
      </c>
      <c r="Z66" s="70">
        <v>6</v>
      </c>
      <c r="AA66" s="70">
        <v>6</v>
      </c>
      <c r="AB66" s="70">
        <v>6</v>
      </c>
      <c r="AC66" s="70">
        <v>6</v>
      </c>
      <c r="AD66" s="70">
        <v>6</v>
      </c>
      <c r="AE66" s="70">
        <v>6</v>
      </c>
      <c r="AF66" s="70">
        <v>6</v>
      </c>
      <c r="AG66" s="102"/>
      <c r="AH66" s="21">
        <f t="shared" si="2"/>
        <v>6</v>
      </c>
      <c r="AI66" s="20">
        <f t="shared" si="3"/>
        <v>6</v>
      </c>
      <c r="AK66" s="42"/>
    </row>
    <row r="67" spans="1:88" ht="15.75" thickBot="1" x14ac:dyDescent="0.3">
      <c r="A67" s="104" t="s">
        <v>148</v>
      </c>
      <c r="B67" s="70">
        <v>0</v>
      </c>
      <c r="C67" s="77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103">
        <v>0</v>
      </c>
      <c r="N67" s="103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94.92</v>
      </c>
      <c r="C68" s="99">
        <f>SUM(C57:C67)</f>
        <v>107</v>
      </c>
      <c r="D68" s="99">
        <f t="shared" ref="D68:AF68" si="8">SUM(D57:D67)</f>
        <v>114</v>
      </c>
      <c r="E68" s="99">
        <f t="shared" si="8"/>
        <v>114.48</v>
      </c>
      <c r="F68" s="99">
        <f t="shared" si="8"/>
        <v>116.67</v>
      </c>
      <c r="G68" s="99">
        <f t="shared" si="8"/>
        <v>114.46</v>
      </c>
      <c r="H68" s="99">
        <f t="shared" si="8"/>
        <v>104.5</v>
      </c>
      <c r="I68" s="99">
        <f t="shared" si="8"/>
        <v>118.6</v>
      </c>
      <c r="J68" s="99">
        <f t="shared" si="8"/>
        <v>119.5</v>
      </c>
      <c r="K68" s="99">
        <f t="shared" si="8"/>
        <v>117.4</v>
      </c>
      <c r="L68" s="99">
        <f t="shared" si="8"/>
        <v>94.77</v>
      </c>
      <c r="M68" s="99">
        <f t="shared" si="8"/>
        <v>105.3</v>
      </c>
      <c r="N68" s="99">
        <f t="shared" si="8"/>
        <v>360.6</v>
      </c>
      <c r="O68" s="99">
        <f t="shared" si="8"/>
        <v>319</v>
      </c>
      <c r="P68" s="99">
        <f t="shared" si="8"/>
        <v>339.6</v>
      </c>
      <c r="Q68" s="99">
        <f t="shared" si="8"/>
        <v>315.29999999999995</v>
      </c>
      <c r="R68" s="99">
        <f t="shared" si="8"/>
        <v>378.2</v>
      </c>
      <c r="S68" s="99">
        <f t="shared" si="8"/>
        <v>423.9</v>
      </c>
      <c r="T68" s="99">
        <f t="shared" si="8"/>
        <v>402</v>
      </c>
      <c r="U68" s="99">
        <f t="shared" si="8"/>
        <v>414.5</v>
      </c>
      <c r="V68" s="99">
        <f t="shared" si="8"/>
        <v>407.5</v>
      </c>
      <c r="W68" s="99">
        <f t="shared" si="8"/>
        <v>336</v>
      </c>
      <c r="X68" s="99">
        <f t="shared" si="8"/>
        <v>161</v>
      </c>
      <c r="Y68" s="99">
        <f t="shared" si="8"/>
        <v>173</v>
      </c>
      <c r="Z68" s="99">
        <f t="shared" si="8"/>
        <v>120.7</v>
      </c>
      <c r="AA68" s="99">
        <f t="shared" si="8"/>
        <v>117</v>
      </c>
      <c r="AB68" s="99">
        <f t="shared" si="8"/>
        <v>148</v>
      </c>
      <c r="AC68" s="99">
        <f t="shared" si="8"/>
        <v>186.4</v>
      </c>
      <c r="AD68" s="99">
        <f t="shared" si="8"/>
        <v>169.2</v>
      </c>
      <c r="AE68" s="99">
        <f t="shared" si="8"/>
        <v>114.34</v>
      </c>
      <c r="AF68" s="99">
        <f t="shared" si="8"/>
        <v>107.9</v>
      </c>
      <c r="AG68" s="98">
        <f>SUM(AG57:AG67)</f>
        <v>0</v>
      </c>
      <c r="AH68" s="21">
        <f t="shared" si="2"/>
        <v>423.9</v>
      </c>
      <c r="AI68" s="20">
        <f t="shared" si="3"/>
        <v>94.77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1005.0600000000001</v>
      </c>
      <c r="C73" s="110">
        <f>C68+C56+C52+C38+C72</f>
        <v>965.44</v>
      </c>
      <c r="D73" s="110">
        <f t="shared" ref="D73:AG73" si="10">D68+D56+D52+D38+D72</f>
        <v>943.24</v>
      </c>
      <c r="E73" s="110">
        <f t="shared" si="10"/>
        <v>894.41999999999985</v>
      </c>
      <c r="F73" s="110">
        <f t="shared" si="10"/>
        <v>883.11</v>
      </c>
      <c r="G73" s="110">
        <f t="shared" si="10"/>
        <v>891.1</v>
      </c>
      <c r="H73" s="110">
        <f t="shared" si="10"/>
        <v>941.74</v>
      </c>
      <c r="I73" s="110">
        <f t="shared" si="10"/>
        <v>996.43999999999983</v>
      </c>
      <c r="J73" s="110">
        <f t="shared" si="10"/>
        <v>1061.04</v>
      </c>
      <c r="K73" s="110">
        <f t="shared" si="10"/>
        <v>1113.8400000000001</v>
      </c>
      <c r="L73" s="110">
        <f t="shared" si="10"/>
        <v>1145.5100000000002</v>
      </c>
      <c r="M73" s="110">
        <f t="shared" si="10"/>
        <v>1139.94</v>
      </c>
      <c r="N73" s="110">
        <f t="shared" si="10"/>
        <v>1130.74</v>
      </c>
      <c r="O73" s="110">
        <f t="shared" si="10"/>
        <v>1097.44</v>
      </c>
      <c r="P73" s="110">
        <f t="shared" si="10"/>
        <v>1135.7400000000002</v>
      </c>
      <c r="Q73" s="110">
        <f t="shared" si="10"/>
        <v>1121.24</v>
      </c>
      <c r="R73" s="110">
        <f t="shared" si="10"/>
        <v>1171.3400000000001</v>
      </c>
      <c r="S73" s="110">
        <f t="shared" si="10"/>
        <v>1231.44</v>
      </c>
      <c r="T73" s="110">
        <f t="shared" si="10"/>
        <v>1213.7400000000002</v>
      </c>
      <c r="U73" s="110">
        <f t="shared" si="10"/>
        <v>1214.2400000000002</v>
      </c>
      <c r="V73" s="110">
        <f t="shared" si="10"/>
        <v>1186.3400000000001</v>
      </c>
      <c r="W73" s="110">
        <f t="shared" si="10"/>
        <v>1137.2400000000002</v>
      </c>
      <c r="X73" s="110">
        <f t="shared" si="10"/>
        <v>1181.2400000000002</v>
      </c>
      <c r="Y73" s="110">
        <f t="shared" si="10"/>
        <v>1245.3400000000001</v>
      </c>
      <c r="Z73" s="110">
        <f t="shared" si="10"/>
        <v>1327.54</v>
      </c>
      <c r="AA73" s="110">
        <f t="shared" si="10"/>
        <v>1313.8400000000001</v>
      </c>
      <c r="AB73" s="110">
        <f t="shared" si="10"/>
        <v>1269.2400000000002</v>
      </c>
      <c r="AC73" s="110">
        <f t="shared" si="10"/>
        <v>1222.1400000000001</v>
      </c>
      <c r="AD73" s="110">
        <f t="shared" si="10"/>
        <v>1178.1400000000001</v>
      </c>
      <c r="AE73" s="110">
        <f t="shared" si="10"/>
        <v>1020.7800000000001</v>
      </c>
      <c r="AF73" s="110">
        <f t="shared" si="10"/>
        <v>945.1400000000001</v>
      </c>
      <c r="AG73" s="110">
        <f t="shared" si="10"/>
        <v>2144.14</v>
      </c>
      <c r="AH73" s="21">
        <f t="shared" si="2"/>
        <v>1327.54</v>
      </c>
      <c r="AI73" s="20">
        <f t="shared" si="3"/>
        <v>883.11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200</v>
      </c>
      <c r="C74" s="111">
        <v>200</v>
      </c>
      <c r="D74" s="111">
        <v>200</v>
      </c>
      <c r="E74" s="111">
        <v>200</v>
      </c>
      <c r="F74" s="111">
        <v>200</v>
      </c>
      <c r="G74" s="111">
        <v>200</v>
      </c>
      <c r="H74" s="111">
        <v>200</v>
      </c>
      <c r="I74" s="111">
        <v>200</v>
      </c>
      <c r="J74" s="111">
        <v>200</v>
      </c>
      <c r="K74" s="111">
        <v>230</v>
      </c>
      <c r="L74" s="111">
        <v>230</v>
      </c>
      <c r="M74" s="111">
        <v>230</v>
      </c>
      <c r="N74" s="111">
        <v>230</v>
      </c>
      <c r="O74" s="111">
        <v>200</v>
      </c>
      <c r="P74" s="111">
        <v>200</v>
      </c>
      <c r="Q74" s="111">
        <v>200</v>
      </c>
      <c r="R74" s="111">
        <v>150</v>
      </c>
      <c r="S74" s="111">
        <v>200</v>
      </c>
      <c r="T74" s="111">
        <v>200</v>
      </c>
      <c r="U74" s="111">
        <v>135</v>
      </c>
      <c r="V74" s="111">
        <v>150</v>
      </c>
      <c r="W74" s="111">
        <v>180</v>
      </c>
      <c r="X74" s="111">
        <v>225</v>
      </c>
      <c r="Y74" s="111">
        <v>270</v>
      </c>
      <c r="Z74" s="111">
        <v>280</v>
      </c>
      <c r="AA74" s="111">
        <v>275</v>
      </c>
      <c r="AB74" s="111">
        <v>275</v>
      </c>
      <c r="AC74" s="111">
        <v>275</v>
      </c>
      <c r="AD74" s="111">
        <v>275</v>
      </c>
      <c r="AE74" s="111">
        <v>275</v>
      </c>
      <c r="AF74" s="111">
        <v>275</v>
      </c>
      <c r="AG74" s="98"/>
      <c r="AH74" s="21">
        <f t="shared" si="2"/>
        <v>280</v>
      </c>
      <c r="AI74" s="20">
        <f t="shared" si="3"/>
        <v>135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1205.06</v>
      </c>
      <c r="C75" s="110">
        <f>C73+C74</f>
        <v>1165.44</v>
      </c>
      <c r="D75" s="110">
        <f t="shared" ref="D75:AF75" si="11">D72+D68+D56+D52+D38+D74</f>
        <v>1143.24</v>
      </c>
      <c r="E75" s="110">
        <f t="shared" si="11"/>
        <v>1094.4199999999998</v>
      </c>
      <c r="F75" s="110">
        <f t="shared" si="11"/>
        <v>1083.1100000000001</v>
      </c>
      <c r="G75" s="110">
        <f t="shared" si="11"/>
        <v>1091.0999999999999</v>
      </c>
      <c r="H75" s="110">
        <f t="shared" si="11"/>
        <v>1141.74</v>
      </c>
      <c r="I75" s="110">
        <f t="shared" si="11"/>
        <v>1196.4399999999998</v>
      </c>
      <c r="J75" s="110">
        <f t="shared" si="11"/>
        <v>1261.04</v>
      </c>
      <c r="K75" s="110">
        <f t="shared" si="11"/>
        <v>1343.8400000000001</v>
      </c>
      <c r="L75" s="110">
        <f t="shared" si="11"/>
        <v>1375.5100000000002</v>
      </c>
      <c r="M75" s="110">
        <f t="shared" si="11"/>
        <v>1369.94</v>
      </c>
      <c r="N75" s="110">
        <f t="shared" si="11"/>
        <v>1360.74</v>
      </c>
      <c r="O75" s="110">
        <f t="shared" si="11"/>
        <v>1297.44</v>
      </c>
      <c r="P75" s="110">
        <f t="shared" si="11"/>
        <v>1335.7400000000002</v>
      </c>
      <c r="Q75" s="110">
        <f t="shared" si="11"/>
        <v>1321.24</v>
      </c>
      <c r="R75" s="110">
        <f t="shared" si="11"/>
        <v>1321.3400000000001</v>
      </c>
      <c r="S75" s="110">
        <f t="shared" si="11"/>
        <v>1431.44</v>
      </c>
      <c r="T75" s="110">
        <f t="shared" si="11"/>
        <v>1413.7400000000002</v>
      </c>
      <c r="U75" s="110">
        <f t="shared" si="11"/>
        <v>1349.2400000000002</v>
      </c>
      <c r="V75" s="110">
        <f t="shared" si="11"/>
        <v>1336.3400000000001</v>
      </c>
      <c r="W75" s="110">
        <f t="shared" si="11"/>
        <v>1317.2400000000002</v>
      </c>
      <c r="X75" s="110">
        <f t="shared" si="11"/>
        <v>1406.2400000000002</v>
      </c>
      <c r="Y75" s="110">
        <f t="shared" si="11"/>
        <v>1515.3400000000001</v>
      </c>
      <c r="Z75" s="110">
        <f t="shared" si="11"/>
        <v>1607.54</v>
      </c>
      <c r="AA75" s="110">
        <f t="shared" si="11"/>
        <v>1588.8400000000001</v>
      </c>
      <c r="AB75" s="110">
        <f t="shared" si="11"/>
        <v>1544.2400000000002</v>
      </c>
      <c r="AC75" s="110">
        <f t="shared" si="11"/>
        <v>1497.14</v>
      </c>
      <c r="AD75" s="110">
        <f t="shared" si="11"/>
        <v>1453.14</v>
      </c>
      <c r="AE75" s="110">
        <f t="shared" si="11"/>
        <v>1295.7800000000002</v>
      </c>
      <c r="AF75" s="110">
        <f t="shared" si="11"/>
        <v>1220.1400000000001</v>
      </c>
      <c r="AG75" s="98">
        <f>AG72+AG68+AG56+AG52+AG38+AG74</f>
        <v>2144.14</v>
      </c>
      <c r="AH75" s="21">
        <f t="shared" si="2"/>
        <v>1607.54</v>
      </c>
      <c r="AI75" s="20">
        <f t="shared" si="3"/>
        <v>1083.1100000000001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2410.12</v>
      </c>
      <c r="C83" s="99">
        <f t="shared" ref="C83:AG83" si="20">SUM(C70:C82)</f>
        <v>2330.88</v>
      </c>
      <c r="D83" s="99">
        <f t="shared" si="20"/>
        <v>2286.48</v>
      </c>
      <c r="E83" s="99">
        <f t="shared" si="20"/>
        <v>2188.8399999999997</v>
      </c>
      <c r="F83" s="99">
        <f t="shared" si="20"/>
        <v>2166.2200000000003</v>
      </c>
      <c r="G83" s="99">
        <f t="shared" si="20"/>
        <v>2182.1999999999998</v>
      </c>
      <c r="H83" s="99">
        <f t="shared" si="20"/>
        <v>2283.48</v>
      </c>
      <c r="I83" s="99">
        <f t="shared" si="20"/>
        <v>2392.8799999999997</v>
      </c>
      <c r="J83" s="99">
        <f t="shared" si="20"/>
        <v>2522.08</v>
      </c>
      <c r="K83" s="99">
        <f t="shared" si="20"/>
        <v>2687.6800000000003</v>
      </c>
      <c r="L83" s="99">
        <f t="shared" si="20"/>
        <v>2751.0200000000004</v>
      </c>
      <c r="M83" s="99">
        <f t="shared" si="20"/>
        <v>2739.88</v>
      </c>
      <c r="N83" s="99">
        <f t="shared" si="20"/>
        <v>2721.48</v>
      </c>
      <c r="O83" s="99">
        <f t="shared" si="20"/>
        <v>2594.88</v>
      </c>
      <c r="P83" s="99">
        <f t="shared" si="20"/>
        <v>2671.4800000000005</v>
      </c>
      <c r="Q83" s="99">
        <f t="shared" si="20"/>
        <v>2642.48</v>
      </c>
      <c r="R83" s="99">
        <f t="shared" si="20"/>
        <v>2642.6800000000003</v>
      </c>
      <c r="S83" s="99">
        <f t="shared" si="20"/>
        <v>2862.88</v>
      </c>
      <c r="T83" s="99">
        <f t="shared" si="20"/>
        <v>2827.4800000000005</v>
      </c>
      <c r="U83" s="99">
        <f t="shared" si="20"/>
        <v>2698.4800000000005</v>
      </c>
      <c r="V83" s="99">
        <f t="shared" si="20"/>
        <v>2672.6800000000003</v>
      </c>
      <c r="W83" s="99">
        <f t="shared" si="20"/>
        <v>2634.4800000000005</v>
      </c>
      <c r="X83" s="99">
        <f t="shared" si="20"/>
        <v>2812.4800000000005</v>
      </c>
      <c r="Y83" s="99">
        <f t="shared" si="20"/>
        <v>3030.6800000000003</v>
      </c>
      <c r="Z83" s="99">
        <f t="shared" si="20"/>
        <v>3215.08</v>
      </c>
      <c r="AA83" s="99">
        <f t="shared" si="20"/>
        <v>3177.6800000000003</v>
      </c>
      <c r="AB83" s="99">
        <f t="shared" si="20"/>
        <v>3088.4800000000005</v>
      </c>
      <c r="AC83" s="99">
        <f t="shared" si="20"/>
        <v>2994.28</v>
      </c>
      <c r="AD83" s="99">
        <f t="shared" si="20"/>
        <v>2906.28</v>
      </c>
      <c r="AE83" s="99">
        <f t="shared" si="20"/>
        <v>2591.5600000000004</v>
      </c>
      <c r="AF83" s="99">
        <f t="shared" si="20"/>
        <v>2440.2800000000002</v>
      </c>
      <c r="AG83" s="98">
        <f t="shared" si="20"/>
        <v>4360.08</v>
      </c>
      <c r="AH83" s="21">
        <f t="shared" si="13"/>
        <v>3215.08</v>
      </c>
      <c r="AI83" s="20">
        <f t="shared" si="14"/>
        <v>2166.2200000000003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49.646999999999998</v>
      </c>
      <c r="C84" s="96">
        <v>49.930999999999997</v>
      </c>
      <c r="D84" s="96">
        <v>49.91</v>
      </c>
      <c r="E84" s="96">
        <v>49.872</v>
      </c>
      <c r="F84" s="96">
        <v>49.981999999999999</v>
      </c>
      <c r="G84" s="96">
        <v>49.802</v>
      </c>
      <c r="H84" s="96">
        <v>49.77</v>
      </c>
      <c r="I84" s="96">
        <v>49.899000000000001</v>
      </c>
      <c r="J84" s="96">
        <v>50.033999999999999</v>
      </c>
      <c r="K84" s="96">
        <v>49.85</v>
      </c>
      <c r="L84" s="96">
        <v>50.042999999999999</v>
      </c>
      <c r="M84" s="96">
        <v>50.08</v>
      </c>
      <c r="N84" s="96">
        <v>50.045999999999999</v>
      </c>
      <c r="O84" s="96">
        <v>49.991</v>
      </c>
      <c r="P84" s="96">
        <v>49.853000000000002</v>
      </c>
      <c r="Q84" s="96">
        <v>50.048000000000002</v>
      </c>
      <c r="R84" s="96">
        <v>50.115000000000002</v>
      </c>
      <c r="S84" s="96">
        <v>50.02</v>
      </c>
      <c r="T84" s="96">
        <v>50.03</v>
      </c>
      <c r="U84" s="96">
        <v>49.951000000000001</v>
      </c>
      <c r="V84" s="96">
        <v>50.03</v>
      </c>
      <c r="W84" s="96">
        <v>49.97</v>
      </c>
      <c r="X84" s="96">
        <v>50.09</v>
      </c>
      <c r="Y84" s="96">
        <v>50</v>
      </c>
      <c r="Z84" s="96">
        <v>49.79</v>
      </c>
      <c r="AA84" s="96">
        <v>49.8</v>
      </c>
      <c r="AB84" s="96">
        <v>49.993000000000002</v>
      </c>
      <c r="AC84" s="96">
        <v>49.863</v>
      </c>
      <c r="AD84" s="96">
        <v>49.972999999999999</v>
      </c>
      <c r="AE84" s="96">
        <v>49.912999999999997</v>
      </c>
      <c r="AF84" s="96">
        <v>49.962000000000003</v>
      </c>
      <c r="AG84" s="95"/>
      <c r="AH84" s="21">
        <f t="shared" si="13"/>
        <v>50.115000000000002</v>
      </c>
      <c r="AI84" s="20">
        <f t="shared" si="14"/>
        <v>49.646999999999998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128.69999999999999</v>
      </c>
      <c r="C85" s="73">
        <v>129.6</v>
      </c>
      <c r="D85" s="73">
        <v>129.9</v>
      </c>
      <c r="E85" s="73">
        <v>130.5</v>
      </c>
      <c r="F85" s="73">
        <v>131.19999999999999</v>
      </c>
      <c r="G85" s="73">
        <v>130.5</v>
      </c>
      <c r="H85" s="73">
        <v>130.1</v>
      </c>
      <c r="I85" s="73">
        <v>129.5</v>
      </c>
      <c r="J85" s="73">
        <v>128.30000000000001</v>
      </c>
      <c r="K85" s="73">
        <v>127.4</v>
      </c>
      <c r="L85" s="73">
        <v>127.8</v>
      </c>
      <c r="M85" s="73">
        <v>127.8</v>
      </c>
      <c r="N85" s="73">
        <v>128.9</v>
      </c>
      <c r="O85" s="73">
        <v>128.9</v>
      </c>
      <c r="P85" s="73">
        <v>128.1</v>
      </c>
      <c r="Q85" s="73">
        <v>127.7</v>
      </c>
      <c r="R85" s="73">
        <v>128.4</v>
      </c>
      <c r="S85" s="73">
        <v>127</v>
      </c>
      <c r="T85" s="73">
        <v>128.69999999999999</v>
      </c>
      <c r="U85" s="94">
        <v>128</v>
      </c>
      <c r="V85" s="94">
        <v>130</v>
      </c>
      <c r="W85" s="94">
        <v>128.69999999999999</v>
      </c>
      <c r="X85" s="94">
        <v>128</v>
      </c>
      <c r="Y85" s="94">
        <v>127.8</v>
      </c>
      <c r="Z85" s="94">
        <v>127</v>
      </c>
      <c r="AA85" s="94">
        <v>128</v>
      </c>
      <c r="AB85" s="73">
        <v>129.5</v>
      </c>
      <c r="AC85" s="73">
        <v>128.80000000000001</v>
      </c>
      <c r="AD85" s="73">
        <v>129.30000000000001</v>
      </c>
      <c r="AE85" s="73">
        <v>130.19999999999999</v>
      </c>
      <c r="AF85" s="73">
        <v>130.4</v>
      </c>
      <c r="AG85" s="89"/>
      <c r="AH85" s="21">
        <f t="shared" si="13"/>
        <v>131.19999999999999</v>
      </c>
      <c r="AI85" s="20">
        <f t="shared" si="14"/>
        <v>127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132.9</v>
      </c>
      <c r="C86" s="73">
        <v>133.6</v>
      </c>
      <c r="D86" s="73">
        <v>133.9</v>
      </c>
      <c r="E86" s="73">
        <v>134.30000000000001</v>
      </c>
      <c r="F86" s="73">
        <v>134.9</v>
      </c>
      <c r="G86" s="73">
        <v>134.1</v>
      </c>
      <c r="H86" s="73">
        <v>133.4</v>
      </c>
      <c r="I86" s="73">
        <v>132.6</v>
      </c>
      <c r="J86" s="73">
        <v>130.80000000000001</v>
      </c>
      <c r="K86" s="73">
        <v>129.80000000000001</v>
      </c>
      <c r="L86" s="73">
        <v>130.1</v>
      </c>
      <c r="M86" s="73">
        <v>129.9</v>
      </c>
      <c r="N86" s="73">
        <v>130.5</v>
      </c>
      <c r="O86" s="73">
        <v>130.6</v>
      </c>
      <c r="P86" s="73">
        <v>130</v>
      </c>
      <c r="Q86" s="73">
        <v>129.69999999999999</v>
      </c>
      <c r="R86" s="73">
        <v>130</v>
      </c>
      <c r="S86" s="73">
        <v>129</v>
      </c>
      <c r="T86" s="73">
        <v>130.5</v>
      </c>
      <c r="U86" s="94">
        <v>130</v>
      </c>
      <c r="V86" s="94">
        <v>131</v>
      </c>
      <c r="W86" s="94">
        <v>130.5</v>
      </c>
      <c r="X86" s="94">
        <v>130</v>
      </c>
      <c r="Y86" s="94">
        <v>129.80000000000001</v>
      </c>
      <c r="Z86" s="94">
        <v>129</v>
      </c>
      <c r="AA86" s="94">
        <v>131</v>
      </c>
      <c r="AB86" s="73">
        <v>131.9</v>
      </c>
      <c r="AC86" s="73">
        <v>131.4</v>
      </c>
      <c r="AD86" s="73">
        <v>131.9</v>
      </c>
      <c r="AE86" s="73">
        <v>133.30000000000001</v>
      </c>
      <c r="AF86" s="73">
        <v>133.9</v>
      </c>
      <c r="AG86" s="89"/>
      <c r="AH86" s="21">
        <f t="shared" si="13"/>
        <v>134.9</v>
      </c>
      <c r="AI86" s="20">
        <f t="shared" si="14"/>
        <v>129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130.69999999999999</v>
      </c>
      <c r="C87" s="73">
        <v>132</v>
      </c>
      <c r="D87" s="73">
        <v>129.80000000000001</v>
      </c>
      <c r="E87" s="73">
        <v>130.6</v>
      </c>
      <c r="F87" s="73">
        <v>131.4</v>
      </c>
      <c r="G87" s="73">
        <v>131</v>
      </c>
      <c r="H87" s="73">
        <v>130.1</v>
      </c>
      <c r="I87" s="73">
        <v>129.30000000000001</v>
      </c>
      <c r="J87" s="73">
        <v>129.80000000000001</v>
      </c>
      <c r="K87" s="73">
        <v>128.19999999999999</v>
      </c>
      <c r="L87" s="73">
        <v>127.3</v>
      </c>
      <c r="M87" s="73">
        <v>128.30000000000001</v>
      </c>
      <c r="N87" s="73">
        <v>129</v>
      </c>
      <c r="O87" s="73">
        <v>128.19999999999999</v>
      </c>
      <c r="P87" s="73">
        <v>126.1</v>
      </c>
      <c r="Q87" s="73">
        <v>126.3</v>
      </c>
      <c r="R87" s="73">
        <v>127.3</v>
      </c>
      <c r="S87" s="73">
        <v>125</v>
      </c>
      <c r="T87" s="73">
        <v>126.3</v>
      </c>
      <c r="U87" s="73">
        <v>129</v>
      </c>
      <c r="V87" s="73">
        <v>130</v>
      </c>
      <c r="W87" s="73">
        <v>130</v>
      </c>
      <c r="X87" s="94">
        <v>128</v>
      </c>
      <c r="Y87" s="94">
        <v>127.3</v>
      </c>
      <c r="Z87" s="94">
        <v>127.5</v>
      </c>
      <c r="AA87" s="94">
        <v>132</v>
      </c>
      <c r="AB87" s="73">
        <v>131.6</v>
      </c>
      <c r="AC87" s="73">
        <v>127.8</v>
      </c>
      <c r="AD87" s="73">
        <v>130</v>
      </c>
      <c r="AE87" s="73">
        <v>130.6</v>
      </c>
      <c r="AF87" s="73">
        <v>130.69999999999999</v>
      </c>
      <c r="AG87" s="89"/>
      <c r="AH87" s="21">
        <f t="shared" si="13"/>
        <v>132</v>
      </c>
      <c r="AI87" s="20">
        <f t="shared" si="14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132.5</v>
      </c>
      <c r="C88" s="73">
        <v>133.69999999999999</v>
      </c>
      <c r="D88" s="73">
        <v>130.5</v>
      </c>
      <c r="E88" s="73">
        <v>131.19999999999999</v>
      </c>
      <c r="F88" s="73">
        <v>132</v>
      </c>
      <c r="G88" s="73">
        <v>131.4</v>
      </c>
      <c r="H88" s="73">
        <v>130.4</v>
      </c>
      <c r="I88" s="73">
        <v>129.19999999999999</v>
      </c>
      <c r="J88" s="73">
        <v>132.4</v>
      </c>
      <c r="K88" s="73">
        <v>130.80000000000001</v>
      </c>
      <c r="L88" s="73">
        <v>129</v>
      </c>
      <c r="M88" s="73">
        <v>129.69999999999999</v>
      </c>
      <c r="N88" s="73">
        <v>129.80000000000001</v>
      </c>
      <c r="O88" s="73">
        <v>130.4</v>
      </c>
      <c r="P88" s="73">
        <v>128.1</v>
      </c>
      <c r="Q88" s="73">
        <v>128.6</v>
      </c>
      <c r="R88" s="73">
        <v>129.19999999999999</v>
      </c>
      <c r="S88" s="73">
        <v>126.8</v>
      </c>
      <c r="T88" s="73">
        <v>127.4</v>
      </c>
      <c r="U88" s="73">
        <v>130</v>
      </c>
      <c r="V88" s="73">
        <v>132</v>
      </c>
      <c r="W88" s="73">
        <v>132</v>
      </c>
      <c r="X88" s="94">
        <v>130</v>
      </c>
      <c r="Y88" s="94">
        <v>129</v>
      </c>
      <c r="Z88" s="94">
        <v>129</v>
      </c>
      <c r="AA88" s="94">
        <v>135</v>
      </c>
      <c r="AB88" s="73">
        <v>134.5</v>
      </c>
      <c r="AC88" s="73">
        <v>131.6</v>
      </c>
      <c r="AD88" s="73">
        <v>133.80000000000001</v>
      </c>
      <c r="AE88" s="73">
        <v>133.6</v>
      </c>
      <c r="AF88" s="73">
        <v>134.1</v>
      </c>
      <c r="AG88" s="89"/>
      <c r="AH88" s="21">
        <f t="shared" si="13"/>
        <v>135</v>
      </c>
      <c r="AI88" s="20">
        <f t="shared" si="14"/>
        <v>126.8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135.19999999999999</v>
      </c>
      <c r="C89" s="66">
        <v>135.30000000000001</v>
      </c>
      <c r="D89" s="66">
        <v>135.69999999999999</v>
      </c>
      <c r="E89" s="66">
        <v>134.30000000000001</v>
      </c>
      <c r="F89" s="66">
        <v>136.19999999999999</v>
      </c>
      <c r="G89" s="66">
        <v>134.30000000000001</v>
      </c>
      <c r="H89" s="66">
        <v>132.9</v>
      </c>
      <c r="I89" s="66">
        <v>131.4</v>
      </c>
      <c r="J89" s="66">
        <v>130.6</v>
      </c>
      <c r="K89" s="66">
        <v>131.4</v>
      </c>
      <c r="L89" s="66">
        <v>132.4</v>
      </c>
      <c r="M89" s="66">
        <v>132.6</v>
      </c>
      <c r="N89" s="66">
        <v>134.9</v>
      </c>
      <c r="O89" s="66">
        <v>136.5</v>
      </c>
      <c r="P89" s="66">
        <v>134.19999999999999</v>
      </c>
      <c r="Q89" s="66">
        <v>132.9</v>
      </c>
      <c r="R89" s="66">
        <v>131.80000000000001</v>
      </c>
      <c r="S89" s="66">
        <v>130</v>
      </c>
      <c r="T89" s="66">
        <v>135.30000000000001</v>
      </c>
      <c r="U89" s="66">
        <v>133</v>
      </c>
      <c r="V89" s="66">
        <v>135</v>
      </c>
      <c r="W89" s="66">
        <v>135</v>
      </c>
      <c r="X89" s="94">
        <v>135.80000000000001</v>
      </c>
      <c r="Y89" s="94">
        <v>135</v>
      </c>
      <c r="Z89" s="94">
        <v>133</v>
      </c>
      <c r="AA89" s="94">
        <v>135</v>
      </c>
      <c r="AB89" s="66">
        <v>135.30000000000001</v>
      </c>
      <c r="AC89" s="66">
        <v>135.80000000000001</v>
      </c>
      <c r="AD89" s="66">
        <v>133.30000000000001</v>
      </c>
      <c r="AE89" s="66">
        <v>134.5</v>
      </c>
      <c r="AF89" s="66">
        <v>134.69999999999999</v>
      </c>
      <c r="AG89" s="91"/>
      <c r="AH89" s="21">
        <f t="shared" si="13"/>
        <v>136.5</v>
      </c>
      <c r="AI89" s="20">
        <f t="shared" si="14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133.69999999999999</v>
      </c>
      <c r="C90" s="73">
        <v>134.4</v>
      </c>
      <c r="D90" s="73">
        <v>135.30000000000001</v>
      </c>
      <c r="E90" s="73">
        <v>134.4</v>
      </c>
      <c r="F90" s="73">
        <v>137.9</v>
      </c>
      <c r="G90" s="73">
        <v>134.4</v>
      </c>
      <c r="H90" s="73">
        <v>132.1</v>
      </c>
      <c r="I90" s="73">
        <v>130.19999999999999</v>
      </c>
      <c r="J90" s="73">
        <v>127.8</v>
      </c>
      <c r="K90" s="73">
        <v>128.5</v>
      </c>
      <c r="L90" s="73">
        <v>129</v>
      </c>
      <c r="M90" s="73">
        <v>132.1</v>
      </c>
      <c r="N90" s="73">
        <v>132</v>
      </c>
      <c r="O90" s="73">
        <v>137.6</v>
      </c>
      <c r="P90" s="73">
        <v>130.5</v>
      </c>
      <c r="Q90" s="73">
        <v>129.9</v>
      </c>
      <c r="R90" s="73">
        <v>130.19999999999999</v>
      </c>
      <c r="S90" s="73">
        <v>130</v>
      </c>
      <c r="T90" s="73">
        <v>134</v>
      </c>
      <c r="U90" s="73">
        <v>133</v>
      </c>
      <c r="V90" s="73">
        <v>131</v>
      </c>
      <c r="W90" s="73">
        <v>131</v>
      </c>
      <c r="X90" s="94">
        <v>132.30000000000001</v>
      </c>
      <c r="Y90" s="94">
        <v>131</v>
      </c>
      <c r="Z90" s="94">
        <v>127</v>
      </c>
      <c r="AA90" s="94">
        <v>131</v>
      </c>
      <c r="AB90" s="73">
        <v>132.19999999999999</v>
      </c>
      <c r="AC90" s="73">
        <v>132</v>
      </c>
      <c r="AD90" s="73">
        <v>133.6</v>
      </c>
      <c r="AE90" s="73">
        <v>132.1</v>
      </c>
      <c r="AF90" s="73">
        <v>134.6</v>
      </c>
      <c r="AG90" s="89"/>
      <c r="AH90" s="21">
        <f t="shared" si="13"/>
        <v>137.9</v>
      </c>
      <c r="AI90" s="20">
        <f t="shared" si="14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66.900000000000006</v>
      </c>
      <c r="C91" s="87">
        <v>67.2</v>
      </c>
      <c r="D91" s="87">
        <v>67.5</v>
      </c>
      <c r="E91" s="87">
        <v>67.599999999999994</v>
      </c>
      <c r="F91" s="87">
        <v>67.8</v>
      </c>
      <c r="G91" s="87">
        <v>67.5</v>
      </c>
      <c r="H91" s="87">
        <v>67.099999999999994</v>
      </c>
      <c r="I91" s="87">
        <v>66</v>
      </c>
      <c r="J91" s="87">
        <v>65.7</v>
      </c>
      <c r="K91" s="87">
        <v>65.400000000000006</v>
      </c>
      <c r="L91" s="87">
        <v>65.8</v>
      </c>
      <c r="M91" s="87">
        <v>65.5</v>
      </c>
      <c r="N91" s="87">
        <v>65.8</v>
      </c>
      <c r="O91" s="87">
        <v>65.7</v>
      </c>
      <c r="P91" s="87">
        <v>65.400000000000006</v>
      </c>
      <c r="Q91" s="87">
        <v>65.3</v>
      </c>
      <c r="R91" s="87">
        <v>65.5</v>
      </c>
      <c r="S91" s="87">
        <v>65.099999999999994</v>
      </c>
      <c r="T91" s="87">
        <v>65.8</v>
      </c>
      <c r="U91" s="87">
        <v>65.5</v>
      </c>
      <c r="V91" s="87">
        <v>66.2</v>
      </c>
      <c r="W91" s="87">
        <v>66.2</v>
      </c>
      <c r="X91" s="87">
        <v>65.900000000000006</v>
      </c>
      <c r="Y91" s="87">
        <v>65.5</v>
      </c>
      <c r="Z91" s="87">
        <v>65.3</v>
      </c>
      <c r="AA91" s="87">
        <v>66.3</v>
      </c>
      <c r="AB91" s="87">
        <v>66.599999999999994</v>
      </c>
      <c r="AC91" s="87">
        <v>66</v>
      </c>
      <c r="AD91" s="87">
        <v>66.400000000000006</v>
      </c>
      <c r="AE91" s="87">
        <v>67.2</v>
      </c>
      <c r="AF91" s="87">
        <v>67.599999999999994</v>
      </c>
      <c r="AG91" s="86"/>
      <c r="AH91" s="21">
        <f t="shared" si="13"/>
        <v>67.8</v>
      </c>
      <c r="AI91" s="20">
        <f t="shared" si="14"/>
        <v>65.099999999999994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162.74</v>
      </c>
      <c r="C93" s="82">
        <f t="shared" si="21"/>
        <v>158.04</v>
      </c>
      <c r="D93" s="82">
        <f t="shared" si="21"/>
        <v>154.43999999999997</v>
      </c>
      <c r="E93" s="82">
        <f t="shared" si="21"/>
        <v>152.84</v>
      </c>
      <c r="F93" s="82">
        <f t="shared" si="21"/>
        <v>152.34</v>
      </c>
      <c r="G93" s="80">
        <f t="shared" si="21"/>
        <v>175.54</v>
      </c>
      <c r="H93" s="80">
        <f t="shared" si="21"/>
        <v>203.34</v>
      </c>
      <c r="I93" s="80">
        <f t="shared" si="21"/>
        <v>234.24</v>
      </c>
      <c r="J93" s="80">
        <f t="shared" si="21"/>
        <v>280.94000000000005</v>
      </c>
      <c r="K93" s="80">
        <f t="shared" si="21"/>
        <v>309.34000000000003</v>
      </c>
      <c r="L93" s="80">
        <f t="shared" si="21"/>
        <v>334.34000000000003</v>
      </c>
      <c r="M93" s="80">
        <f t="shared" si="21"/>
        <v>268.54000000000002</v>
      </c>
      <c r="N93" s="80">
        <f t="shared" si="21"/>
        <v>314.94000000000005</v>
      </c>
      <c r="O93" s="80">
        <f t="shared" si="21"/>
        <v>309.34000000000009</v>
      </c>
      <c r="P93" s="80">
        <f t="shared" si="21"/>
        <v>301.94000000000005</v>
      </c>
      <c r="Q93" s="80">
        <f t="shared" si="21"/>
        <v>300.24</v>
      </c>
      <c r="R93" s="80">
        <f t="shared" si="21"/>
        <v>305.04000000000008</v>
      </c>
      <c r="S93" s="80">
        <f t="shared" si="21"/>
        <v>304.94000000000005</v>
      </c>
      <c r="T93" s="80">
        <f t="shared" si="21"/>
        <v>295.34000000000003</v>
      </c>
      <c r="U93" s="80">
        <f t="shared" si="21"/>
        <v>303.44000000000005</v>
      </c>
      <c r="V93" s="80">
        <f t="shared" si="21"/>
        <v>311.64000000000004</v>
      </c>
      <c r="W93" s="80">
        <f t="shared" si="21"/>
        <v>328.84000000000003</v>
      </c>
      <c r="X93" s="80">
        <f t="shared" si="21"/>
        <v>332.34000000000003</v>
      </c>
      <c r="Y93" s="80">
        <f t="shared" si="21"/>
        <v>365.34000000000003</v>
      </c>
      <c r="Z93" s="80">
        <f t="shared" si="21"/>
        <v>382.94000000000005</v>
      </c>
      <c r="AA93" s="80">
        <f t="shared" si="21"/>
        <v>359.94000000000005</v>
      </c>
      <c r="AB93" s="80">
        <f t="shared" si="21"/>
        <v>338.04000000000008</v>
      </c>
      <c r="AC93" s="80">
        <f t="shared" si="21"/>
        <v>306.64000000000004</v>
      </c>
      <c r="AD93" s="80">
        <f t="shared" si="21"/>
        <v>287.04000000000002</v>
      </c>
      <c r="AE93" s="80">
        <f t="shared" si="21"/>
        <v>218.84</v>
      </c>
      <c r="AF93" s="80">
        <f t="shared" si="21"/>
        <v>182.34</v>
      </c>
      <c r="AG93" s="79"/>
      <c r="AH93" s="21">
        <f>MAX(C93:AF93)</f>
        <v>382.94000000000005</v>
      </c>
      <c r="AI93" s="20">
        <f>MIN(C93:AF93)</f>
        <v>152.34</v>
      </c>
    </row>
    <row r="94" spans="1:88" x14ac:dyDescent="0.25">
      <c r="A94" s="48" t="s">
        <v>122</v>
      </c>
      <c r="B94" s="78">
        <v>36.700000000000003</v>
      </c>
      <c r="C94" s="77">
        <v>27.3</v>
      </c>
      <c r="D94" s="77">
        <v>16.2</v>
      </c>
      <c r="E94" s="77">
        <v>2</v>
      </c>
      <c r="F94" s="77">
        <v>10</v>
      </c>
      <c r="G94" s="76">
        <v>15.5</v>
      </c>
      <c r="H94" s="76">
        <v>9.4</v>
      </c>
      <c r="I94" s="76">
        <v>2.6</v>
      </c>
      <c r="J94" s="76">
        <v>-5.3</v>
      </c>
      <c r="K94" s="76">
        <v>-2.2000000000000002</v>
      </c>
      <c r="L94" s="76">
        <v>19.3</v>
      </c>
      <c r="M94" s="75">
        <v>19.7</v>
      </c>
      <c r="N94" s="76">
        <v>19.3</v>
      </c>
      <c r="O94" s="76">
        <v>23.8</v>
      </c>
      <c r="P94" s="76">
        <v>24.7</v>
      </c>
      <c r="Q94" s="76">
        <v>25.5</v>
      </c>
      <c r="R94" s="76">
        <v>18.8</v>
      </c>
      <c r="S94" s="76">
        <v>3.6</v>
      </c>
      <c r="T94" s="76">
        <v>19</v>
      </c>
      <c r="U94" s="75">
        <v>27.5</v>
      </c>
      <c r="V94" s="75">
        <v>19.3</v>
      </c>
      <c r="W94" s="75">
        <v>43</v>
      </c>
      <c r="X94" s="76">
        <v>41</v>
      </c>
      <c r="Y94" s="76">
        <v>50</v>
      </c>
      <c r="Z94" s="76">
        <v>37</v>
      </c>
      <c r="AA94" s="76">
        <v>32</v>
      </c>
      <c r="AB94" s="75">
        <v>34.200000000000003</v>
      </c>
      <c r="AC94" s="75">
        <v>40.200000000000003</v>
      </c>
      <c r="AD94" s="75">
        <v>37.799999999999997</v>
      </c>
      <c r="AE94" s="75">
        <v>34.4</v>
      </c>
      <c r="AF94" s="75">
        <v>25</v>
      </c>
      <c r="AG94" s="3">
        <v>75</v>
      </c>
      <c r="AH94" s="21">
        <f t="shared" ref="AH94:AH100" si="22">IF(ABS(MAX(C94:AF94))&gt;ABS(MIN(C94:AF94)),MAX(C94:AF94),MIN(C94:AF94))</f>
        <v>50</v>
      </c>
      <c r="AI94" s="64">
        <f t="shared" ref="AI94:AI100" si="23">INDEX($C$9:$AF$9,1,MATCH(AH94,C94:AF94,0))</f>
        <v>0.77083333333333337</v>
      </c>
    </row>
    <row r="95" spans="1:88" x14ac:dyDescent="0.25">
      <c r="A95" s="45" t="s">
        <v>121</v>
      </c>
      <c r="B95" s="74">
        <v>-65</v>
      </c>
      <c r="C95" s="67">
        <v>-65</v>
      </c>
      <c r="D95" s="67">
        <v>-65</v>
      </c>
      <c r="E95" s="67">
        <v>-60</v>
      </c>
      <c r="F95" s="67">
        <v>-60</v>
      </c>
      <c r="G95" s="67">
        <v>-50</v>
      </c>
      <c r="H95" s="67">
        <v>-40</v>
      </c>
      <c r="I95" s="67">
        <v>-27</v>
      </c>
      <c r="J95" s="67">
        <v>-8.6</v>
      </c>
      <c r="K95" s="67">
        <v>1.7</v>
      </c>
      <c r="L95" s="67">
        <v>7.6</v>
      </c>
      <c r="M95" s="67">
        <v>8</v>
      </c>
      <c r="N95" s="67">
        <v>18.8</v>
      </c>
      <c r="O95" s="67">
        <v>14.4</v>
      </c>
      <c r="P95" s="67">
        <v>10.199999999999999</v>
      </c>
      <c r="Q95" s="67">
        <v>7.6</v>
      </c>
      <c r="R95" s="67">
        <v>16.600000000000001</v>
      </c>
      <c r="S95" s="67">
        <v>15</v>
      </c>
      <c r="T95" s="67">
        <v>13</v>
      </c>
      <c r="U95" s="67">
        <v>15</v>
      </c>
      <c r="V95" s="67">
        <v>23</v>
      </c>
      <c r="W95" s="67">
        <v>12</v>
      </c>
      <c r="X95" s="67">
        <v>13</v>
      </c>
      <c r="Y95" s="67">
        <v>21</v>
      </c>
      <c r="Z95" s="67">
        <v>25</v>
      </c>
      <c r="AA95" s="67">
        <v>17</v>
      </c>
      <c r="AB95" s="73">
        <v>10</v>
      </c>
      <c r="AC95" s="73">
        <v>-3</v>
      </c>
      <c r="AD95" s="73">
        <v>-10</v>
      </c>
      <c r="AE95" s="73">
        <v>-34.5</v>
      </c>
      <c r="AF95" s="73">
        <v>-45.2</v>
      </c>
      <c r="AG95" s="3">
        <v>240</v>
      </c>
      <c r="AH95" s="21">
        <f t="shared" si="22"/>
        <v>-65</v>
      </c>
      <c r="AI95" s="64">
        <f t="shared" si="23"/>
        <v>4.1666666666666664E-2</v>
      </c>
    </row>
    <row r="96" spans="1:88" x14ac:dyDescent="0.25">
      <c r="A96" s="45" t="s">
        <v>120</v>
      </c>
      <c r="B96" s="74">
        <v>28.2</v>
      </c>
      <c r="C96" s="67">
        <v>27.6</v>
      </c>
      <c r="D96" s="67">
        <v>27.3</v>
      </c>
      <c r="E96" s="67">
        <v>28.9</v>
      </c>
      <c r="F96" s="67">
        <v>28.9</v>
      </c>
      <c r="G96" s="67">
        <v>30.9</v>
      </c>
      <c r="H96" s="67">
        <v>34.1</v>
      </c>
      <c r="I96" s="67">
        <v>38</v>
      </c>
      <c r="J96" s="67">
        <v>43.5</v>
      </c>
      <c r="K96" s="67">
        <v>46</v>
      </c>
      <c r="L96" s="67">
        <v>48.8</v>
      </c>
      <c r="M96" s="67">
        <v>48.5</v>
      </c>
      <c r="N96" s="67">
        <v>50.7</v>
      </c>
      <c r="O96" s="67">
        <v>50.1</v>
      </c>
      <c r="P96" s="67">
        <v>49.8</v>
      </c>
      <c r="Q96" s="67">
        <v>47</v>
      </c>
      <c r="R96" s="67">
        <v>39.700000000000003</v>
      </c>
      <c r="S96" s="67">
        <v>40</v>
      </c>
      <c r="T96" s="67">
        <v>41</v>
      </c>
      <c r="U96" s="67">
        <v>43.3</v>
      </c>
      <c r="V96" s="67">
        <v>49</v>
      </c>
      <c r="W96" s="67">
        <v>50</v>
      </c>
      <c r="X96" s="67">
        <v>51</v>
      </c>
      <c r="Y96" s="67">
        <v>54</v>
      </c>
      <c r="Z96" s="67">
        <v>56</v>
      </c>
      <c r="AA96" s="67">
        <v>56</v>
      </c>
      <c r="AB96" s="73">
        <v>52.4</v>
      </c>
      <c r="AC96" s="73">
        <v>49.7</v>
      </c>
      <c r="AD96" s="73">
        <v>47</v>
      </c>
      <c r="AE96" s="73">
        <v>39.299999999999997</v>
      </c>
      <c r="AF96" s="73">
        <v>29.1</v>
      </c>
      <c r="AG96" s="3">
        <v>60</v>
      </c>
      <c r="AH96" s="21">
        <f t="shared" si="22"/>
        <v>56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-15.2</v>
      </c>
      <c r="C97" s="70">
        <v>-11.5</v>
      </c>
      <c r="D97" s="70">
        <v>-3.7</v>
      </c>
      <c r="E97" s="70">
        <v>2.2999999999999998</v>
      </c>
      <c r="F97" s="70">
        <v>-7.5</v>
      </c>
      <c r="G97" s="70">
        <v>-1.8</v>
      </c>
      <c r="H97" s="70">
        <v>18.899999999999999</v>
      </c>
      <c r="I97" s="70">
        <v>39.700000000000003</v>
      </c>
      <c r="J97" s="70">
        <v>70.400000000000006</v>
      </c>
      <c r="K97" s="70">
        <v>79.900000000000006</v>
      </c>
      <c r="L97" s="70">
        <v>74.7</v>
      </c>
      <c r="M97" s="70">
        <v>6.4</v>
      </c>
      <c r="N97" s="70">
        <v>40.700000000000003</v>
      </c>
      <c r="O97" s="70">
        <v>34.6</v>
      </c>
      <c r="P97" s="70">
        <v>30.8</v>
      </c>
      <c r="Q97" s="70">
        <v>33.799999999999997</v>
      </c>
      <c r="R97" s="70">
        <v>43.6</v>
      </c>
      <c r="S97" s="70">
        <v>60</v>
      </c>
      <c r="T97" s="70">
        <v>36</v>
      </c>
      <c r="U97" s="70">
        <v>31.3</v>
      </c>
      <c r="V97" s="70">
        <v>34</v>
      </c>
      <c r="W97" s="70">
        <v>43.5</v>
      </c>
      <c r="X97" s="70">
        <v>47</v>
      </c>
      <c r="Y97" s="70">
        <v>60</v>
      </c>
      <c r="Z97" s="70">
        <v>84</v>
      </c>
      <c r="AA97" s="70">
        <v>74</v>
      </c>
      <c r="AB97" s="69">
        <v>59.9</v>
      </c>
      <c r="AC97" s="69">
        <v>38.200000000000003</v>
      </c>
      <c r="AD97" s="69">
        <v>30.7</v>
      </c>
      <c r="AE97" s="69">
        <v>-1.9</v>
      </c>
      <c r="AF97" s="69">
        <v>-8.1</v>
      </c>
      <c r="AG97" s="72">
        <v>120</v>
      </c>
      <c r="AH97" s="21">
        <f t="shared" si="22"/>
        <v>84</v>
      </c>
      <c r="AI97" s="64">
        <f t="shared" si="23"/>
        <v>0.79166666666666663</v>
      </c>
    </row>
    <row r="98" spans="1:37" x14ac:dyDescent="0.25">
      <c r="A98" s="41" t="s">
        <v>118</v>
      </c>
      <c r="B98" s="71">
        <v>2.8</v>
      </c>
      <c r="C98" s="70">
        <v>6.6</v>
      </c>
      <c r="D98" s="70">
        <v>13.8</v>
      </c>
      <c r="E98" s="70">
        <v>17.600000000000001</v>
      </c>
      <c r="F98" s="70">
        <v>7.2</v>
      </c>
      <c r="G98" s="70">
        <v>12</v>
      </c>
      <c r="H98" s="70">
        <v>24.2</v>
      </c>
      <c r="I98" s="70">
        <v>37.299999999999997</v>
      </c>
      <c r="J98" s="70">
        <v>58.9</v>
      </c>
      <c r="K98" s="70">
        <v>64.3</v>
      </c>
      <c r="L98" s="70">
        <v>54.5</v>
      </c>
      <c r="M98" s="70">
        <v>45.8</v>
      </c>
      <c r="N98" s="70">
        <v>28.4</v>
      </c>
      <c r="O98" s="70">
        <v>22.8</v>
      </c>
      <c r="P98" s="70">
        <v>23.7</v>
      </c>
      <c r="Q98" s="70">
        <v>25.2</v>
      </c>
      <c r="R98" s="70">
        <v>33.9</v>
      </c>
      <c r="S98" s="70">
        <v>55</v>
      </c>
      <c r="T98" s="70">
        <v>28</v>
      </c>
      <c r="U98" s="70">
        <v>25</v>
      </c>
      <c r="V98" s="70">
        <v>25</v>
      </c>
      <c r="W98" s="70">
        <v>24</v>
      </c>
      <c r="X98" s="70">
        <v>28</v>
      </c>
      <c r="Y98" s="70">
        <v>37</v>
      </c>
      <c r="Z98" s="70">
        <v>52</v>
      </c>
      <c r="AA98" s="70">
        <v>48</v>
      </c>
      <c r="AB98" s="69">
        <v>40.1</v>
      </c>
      <c r="AC98" s="69">
        <v>26.3</v>
      </c>
      <c r="AD98" s="69">
        <v>21.8</v>
      </c>
      <c r="AE98" s="69">
        <v>2.2000000000000002</v>
      </c>
      <c r="AF98" s="69">
        <v>0</v>
      </c>
      <c r="AG98" s="72"/>
      <c r="AH98" s="21">
        <f t="shared" si="22"/>
        <v>64.3</v>
      </c>
      <c r="AI98" s="64">
        <f t="shared" si="23"/>
        <v>0.29166666666666669</v>
      </c>
    </row>
    <row r="99" spans="1:37" x14ac:dyDescent="0.25">
      <c r="A99" s="41" t="s">
        <v>117</v>
      </c>
      <c r="B99" s="71">
        <v>39.6</v>
      </c>
      <c r="C99" s="70">
        <v>44.6</v>
      </c>
      <c r="D99" s="70">
        <v>48.7</v>
      </c>
      <c r="E99" s="70">
        <v>57.9</v>
      </c>
      <c r="F99" s="70">
        <v>46.7</v>
      </c>
      <c r="G99" s="70">
        <v>40.5</v>
      </c>
      <c r="H99" s="70">
        <v>46.7</v>
      </c>
      <c r="I99" s="70">
        <v>52.6</v>
      </c>
      <c r="J99" s="70">
        <v>60.8</v>
      </c>
      <c r="K99" s="70">
        <v>61</v>
      </c>
      <c r="L99" s="70">
        <v>51.1</v>
      </c>
      <c r="M99" s="70">
        <v>47.9</v>
      </c>
      <c r="N99" s="70">
        <v>23.6</v>
      </c>
      <c r="O99" s="70">
        <v>27.1</v>
      </c>
      <c r="P99" s="70">
        <v>30.7</v>
      </c>
      <c r="Q99" s="70">
        <v>30</v>
      </c>
      <c r="R99" s="70">
        <v>39.6</v>
      </c>
      <c r="S99" s="70">
        <v>32</v>
      </c>
      <c r="T99" s="70">
        <v>40.6</v>
      </c>
      <c r="U99" s="70">
        <v>30.6</v>
      </c>
      <c r="V99" s="70">
        <v>27</v>
      </c>
      <c r="W99" s="70">
        <v>29</v>
      </c>
      <c r="X99" s="70">
        <v>31</v>
      </c>
      <c r="Y99" s="70">
        <v>38</v>
      </c>
      <c r="Z99" s="70">
        <v>53</v>
      </c>
      <c r="AA99" s="70">
        <v>51</v>
      </c>
      <c r="AB99" s="69">
        <v>48.9</v>
      </c>
      <c r="AC99" s="69">
        <v>36.6</v>
      </c>
      <c r="AD99" s="69">
        <v>37.200000000000003</v>
      </c>
      <c r="AE99" s="69">
        <v>44.2</v>
      </c>
      <c r="AF99" s="69">
        <v>41</v>
      </c>
      <c r="AG99" s="65"/>
      <c r="AH99" s="21">
        <f t="shared" si="22"/>
        <v>61</v>
      </c>
      <c r="AI99" s="64">
        <f t="shared" si="23"/>
        <v>0.29166666666666669</v>
      </c>
    </row>
    <row r="100" spans="1:37" ht="15.75" thickBot="1" x14ac:dyDescent="0.3">
      <c r="A100" s="68" t="s">
        <v>116</v>
      </c>
      <c r="B100" s="66">
        <v>58.5</v>
      </c>
      <c r="C100" s="67">
        <v>57.5</v>
      </c>
      <c r="D100" s="67">
        <v>50.7</v>
      </c>
      <c r="E100" s="67">
        <v>48.9</v>
      </c>
      <c r="F100" s="67">
        <v>45</v>
      </c>
      <c r="G100" s="67">
        <v>45</v>
      </c>
      <c r="H100" s="67">
        <v>49.9</v>
      </c>
      <c r="I100" s="67">
        <v>50.6</v>
      </c>
      <c r="J100" s="67">
        <v>57.2</v>
      </c>
      <c r="K100" s="67">
        <v>59</v>
      </c>
      <c r="L100" s="67">
        <v>60.1</v>
      </c>
      <c r="M100" s="67">
        <v>60.8</v>
      </c>
      <c r="N100" s="67">
        <v>37.1</v>
      </c>
      <c r="O100" s="67">
        <v>14.9</v>
      </c>
      <c r="P100" s="67">
        <v>17.7</v>
      </c>
      <c r="Q100" s="67">
        <v>18.3</v>
      </c>
      <c r="R100" s="67">
        <v>0</v>
      </c>
      <c r="S100" s="67">
        <v>2</v>
      </c>
      <c r="T100" s="67">
        <v>0</v>
      </c>
      <c r="U100" s="67">
        <v>0.2</v>
      </c>
      <c r="V100" s="67">
        <v>2</v>
      </c>
      <c r="W100" s="67">
        <v>82</v>
      </c>
      <c r="X100" s="67">
        <v>83</v>
      </c>
      <c r="Y100" s="67">
        <v>91</v>
      </c>
      <c r="Z100" s="67">
        <v>94</v>
      </c>
      <c r="AA100" s="67">
        <v>88</v>
      </c>
      <c r="AB100" s="66">
        <v>87.3</v>
      </c>
      <c r="AC100" s="66">
        <v>86.1</v>
      </c>
      <c r="AD100" s="66">
        <v>84</v>
      </c>
      <c r="AE100" s="66">
        <v>68.3</v>
      </c>
      <c r="AF100" s="66">
        <v>59</v>
      </c>
      <c r="AG100" s="65"/>
      <c r="AH100" s="21">
        <f t="shared" si="22"/>
        <v>94</v>
      </c>
      <c r="AI100" s="64">
        <f t="shared" si="23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1375.5100000000002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9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2078/12/9)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2078/12/9)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1205.06</v>
      </c>
      <c r="U214" s="9">
        <f t="shared" si="60"/>
        <v>1165.44</v>
      </c>
      <c r="V214" s="9">
        <f t="shared" si="60"/>
        <v>1143.24</v>
      </c>
      <c r="W214" s="9">
        <f t="shared" si="60"/>
        <v>1094.4199999999998</v>
      </c>
      <c r="X214" s="9">
        <f t="shared" si="60"/>
        <v>1083.1100000000001</v>
      </c>
      <c r="Y214" s="9">
        <f t="shared" si="60"/>
        <v>1091.0999999999999</v>
      </c>
      <c r="Z214" s="9">
        <f t="shared" si="60"/>
        <v>1141.74</v>
      </c>
      <c r="AA214" s="9">
        <f t="shared" si="60"/>
        <v>1196.4399999999998</v>
      </c>
      <c r="AB214" s="9">
        <f t="shared" si="60"/>
        <v>1261.04</v>
      </c>
      <c r="AC214" s="9">
        <f t="shared" si="60"/>
        <v>1343.8400000000001</v>
      </c>
      <c r="AD214" s="9">
        <f t="shared" si="60"/>
        <v>1375.5100000000002</v>
      </c>
      <c r="AE214" s="9">
        <f t="shared" si="60"/>
        <v>1369.94</v>
      </c>
      <c r="AF214" s="9">
        <f t="shared" si="60"/>
        <v>1360.74</v>
      </c>
      <c r="AG214" s="9">
        <f t="shared" si="60"/>
        <v>1297.44</v>
      </c>
      <c r="AH214" s="9">
        <f t="shared" si="60"/>
        <v>1335.7400000000002</v>
      </c>
      <c r="AI214" s="9">
        <f t="shared" si="60"/>
        <v>1321.24</v>
      </c>
      <c r="AJ214" s="9">
        <f t="shared" si="60"/>
        <v>1321.3400000000001</v>
      </c>
      <c r="AK214" s="9">
        <f t="shared" si="60"/>
        <v>1431.44</v>
      </c>
      <c r="AL214" s="9">
        <f t="shared" si="60"/>
        <v>1413.7400000000002</v>
      </c>
      <c r="AM214" s="9">
        <f t="shared" si="60"/>
        <v>1349.2400000000002</v>
      </c>
      <c r="AN214" s="9">
        <f t="shared" si="60"/>
        <v>1336.3400000000001</v>
      </c>
      <c r="AO214" s="9">
        <f t="shared" si="60"/>
        <v>1317.2400000000002</v>
      </c>
      <c r="AP214" s="9">
        <f t="shared" si="60"/>
        <v>1406.2400000000002</v>
      </c>
      <c r="AQ214" s="9">
        <f t="shared" si="60"/>
        <v>1515.3400000000001</v>
      </c>
      <c r="AR214" s="9">
        <f t="shared" si="60"/>
        <v>1607.54</v>
      </c>
      <c r="AS214" s="9">
        <f t="shared" si="60"/>
        <v>1588.8400000000001</v>
      </c>
      <c r="AT214" s="9">
        <f t="shared" si="60"/>
        <v>1544.2400000000002</v>
      </c>
      <c r="AU214" s="9">
        <f t="shared" si="60"/>
        <v>1497.14</v>
      </c>
      <c r="AV214" s="9">
        <f t="shared" si="60"/>
        <v>1453.14</v>
      </c>
      <c r="AW214" s="9">
        <f t="shared" si="60"/>
        <v>1295.7800000000002</v>
      </c>
      <c r="AX214" s="9">
        <f t="shared" si="60"/>
        <v>1220.1400000000001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P39:R39 M39:O42 P40:Q42 R42 R40:T41 M58:W59 X85:AA91 AB81:AF81 B81:R81 C56:AF56 B82:AF83 D194:AF200 B194:B200 C68:AF72 AB84:AF91 B84:B91 B9:AF10 B192:AF192 AF57:AF59 B53:B72 AG73 AB94:AF100 B94:B100 U213:AF213 C53:D55 M60:R61 C57:L61 C63:L67 M37:O37 B36:O36 M12:P12 U40:Y42 P36:Y37 S18:Y30 N45:Y48 O67:Y67 Z16:AA31 Z40:AE43 M11:AE11 AB28:AF31 AB16:AF26 Z36:AF36 Q12:AF14 AF43 M53:AF55 B73:AF80">
    <cfRule type="expression" dxfId="6474" priority="251">
      <formula>B$9&gt;=20/24</formula>
    </cfRule>
    <cfRule type="expression" dxfId="6473" priority="252">
      <formula>AND(B$9&gt;=14/24,B$9&lt;20/24)</formula>
    </cfRule>
    <cfRule type="expression" dxfId="6472" priority="253">
      <formula>AND(B$9&gt;=8/24,B$9&lt;14/24)</formula>
    </cfRule>
    <cfRule type="expression" dxfId="6471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6470" priority="246">
      <formula>M$9&gt;=20/24</formula>
    </cfRule>
    <cfRule type="expression" dxfId="6469" priority="247">
      <formula>AND(M$9&gt;=14/24,M$9&lt;20/24)</formula>
    </cfRule>
    <cfRule type="expression" dxfId="6468" priority="248">
      <formula>AND(M$9&gt;=8/24,M$9&lt;14/24)</formula>
    </cfRule>
    <cfRule type="expression" dxfId="6467" priority="249">
      <formula>M$9&lt;8/24</formula>
    </cfRule>
  </conditionalFormatting>
  <conditionalFormatting sqref="M43:W43">
    <cfRule type="expression" dxfId="6466" priority="242">
      <formula>M$9&gt;=20/24</formula>
    </cfRule>
    <cfRule type="expression" dxfId="6465" priority="243">
      <formula>AND(M$9&gt;=14/24,M$9&lt;20/24)</formula>
    </cfRule>
    <cfRule type="expression" dxfId="6464" priority="244">
      <formula>AND(M$9&gt;=8/24,M$9&lt;14/24)</formula>
    </cfRule>
    <cfRule type="expression" dxfId="6463" priority="245">
      <formula>M$9&lt;8/24</formula>
    </cfRule>
  </conditionalFormatting>
  <conditionalFormatting sqref="Z32:AF32">
    <cfRule type="expression" dxfId="6462" priority="238">
      <formula>Z$9&gt;=20/24</formula>
    </cfRule>
    <cfRule type="expression" dxfId="6461" priority="239">
      <formula>AND(Z$9&gt;=14/24,Z$9&lt;20/24)</formula>
    </cfRule>
    <cfRule type="expression" dxfId="6460" priority="240">
      <formula>AND(Z$9&gt;=8/24,Z$9&lt;14/24)</formula>
    </cfRule>
    <cfRule type="expression" dxfId="6459" priority="241">
      <formula>Z$9&lt;8/24</formula>
    </cfRule>
  </conditionalFormatting>
  <conditionalFormatting sqref="S39:AE39">
    <cfRule type="expression" dxfId="6458" priority="234">
      <formula>S$9&gt;=20/24</formula>
    </cfRule>
    <cfRule type="expression" dxfId="6457" priority="235">
      <formula>AND(S$9&gt;=14/24,S$9&lt;20/24)</formula>
    </cfRule>
    <cfRule type="expression" dxfId="6456" priority="236">
      <formula>AND(S$9&gt;=8/24,S$9&lt;14/24)</formula>
    </cfRule>
    <cfRule type="expression" dxfId="6455" priority="237">
      <formula>S$9&lt;8/24</formula>
    </cfRule>
  </conditionalFormatting>
  <conditionalFormatting sqref="S57:AE57">
    <cfRule type="expression" dxfId="6454" priority="230">
      <formula>S$9&gt;=20/24</formula>
    </cfRule>
    <cfRule type="expression" dxfId="6453" priority="231">
      <formula>AND(S$9&gt;=14/24,S$9&lt;20/24)</formula>
    </cfRule>
    <cfRule type="expression" dxfId="6452" priority="232">
      <formula>AND(S$9&gt;=8/24,S$9&lt;14/24)</formula>
    </cfRule>
    <cfRule type="expression" dxfId="6451" priority="233">
      <formula>S$9&lt;8/24</formula>
    </cfRule>
  </conditionalFormatting>
  <conditionalFormatting sqref="S81:AA81">
    <cfRule type="expression" dxfId="6450" priority="226">
      <formula>S$9&gt;=20/24</formula>
    </cfRule>
    <cfRule type="expression" dxfId="6449" priority="227">
      <formula>AND(S$9&gt;=14/24,S$9&lt;20/24)</formula>
    </cfRule>
    <cfRule type="expression" dxfId="6448" priority="228">
      <formula>AND(S$9&gt;=8/24,S$9&lt;14/24)</formula>
    </cfRule>
    <cfRule type="expression" dxfId="6447" priority="229">
      <formula>S$9&lt;8/24</formula>
    </cfRule>
  </conditionalFormatting>
  <conditionalFormatting sqref="U84:AA84">
    <cfRule type="expression" dxfId="6446" priority="222">
      <formula>U$9&gt;=20/24</formula>
    </cfRule>
    <cfRule type="expression" dxfId="6445" priority="223">
      <formula>AND(U$9&gt;=14/24,U$9&lt;20/24)</formula>
    </cfRule>
    <cfRule type="expression" dxfId="6444" priority="224">
      <formula>AND(U$9&gt;=8/24,U$9&lt;14/24)</formula>
    </cfRule>
    <cfRule type="expression" dxfId="6443" priority="225">
      <formula>U$9&lt;8/24</formula>
    </cfRule>
  </conditionalFormatting>
  <conditionalFormatting sqref="M49:Y49">
    <cfRule type="expression" dxfId="6442" priority="214">
      <formula>M$9&gt;=20/24</formula>
    </cfRule>
    <cfRule type="expression" dxfId="6441" priority="215">
      <formula>AND(M$9&gt;=14/24,M$9&lt;20/24)</formula>
    </cfRule>
    <cfRule type="expression" dxfId="6440" priority="216">
      <formula>AND(M$9&gt;=8/24,M$9&lt;14/24)</formula>
    </cfRule>
    <cfRule type="expression" dxfId="6439" priority="217">
      <formula>M$9&lt;8/24</formula>
    </cfRule>
  </conditionalFormatting>
  <conditionalFormatting sqref="M50:Y50">
    <cfRule type="expression" dxfId="6438" priority="210">
      <formula>M$9&gt;=20/24</formula>
    </cfRule>
    <cfRule type="expression" dxfId="6437" priority="211">
      <formula>AND(M$9&gt;=14/24,M$9&lt;20/24)</formula>
    </cfRule>
    <cfRule type="expression" dxfId="6436" priority="212">
      <formula>AND(M$9&gt;=8/24,M$9&lt;14/24)</formula>
    </cfRule>
    <cfRule type="expression" dxfId="6435" priority="213">
      <formula>M$9&lt;8/24</formula>
    </cfRule>
  </conditionalFormatting>
  <conditionalFormatting sqref="M45:Y48">
    <cfRule type="expression" dxfId="6434" priority="206">
      <formula>M$9&gt;=20/24</formula>
    </cfRule>
    <cfRule type="expression" dxfId="6433" priority="207">
      <formula>AND(M$9&gt;=14/24,M$9&lt;20/24)</formula>
    </cfRule>
    <cfRule type="expression" dxfId="6432" priority="208">
      <formula>AND(M$9&gt;=8/24,M$9&lt;14/24)</formula>
    </cfRule>
    <cfRule type="expression" dxfId="6431" priority="209">
      <formula>M$9&lt;8/24</formula>
    </cfRule>
  </conditionalFormatting>
  <conditionalFormatting sqref="Z37:AE37">
    <cfRule type="expression" dxfId="6430" priority="202">
      <formula>Z$9&gt;=20/24</formula>
    </cfRule>
    <cfRule type="expression" dxfId="6429" priority="203">
      <formula>AND(Z$9&gt;=14/24,Z$9&lt;20/24)</formula>
    </cfRule>
    <cfRule type="expression" dxfId="6428" priority="204">
      <formula>AND(Z$9&gt;=8/24,Z$9&lt;14/24)</formula>
    </cfRule>
    <cfRule type="expression" dxfId="6427" priority="205">
      <formula>Z$9&lt;8/24</formula>
    </cfRule>
  </conditionalFormatting>
  <conditionalFormatting sqref="S31:Y32 S35:AF35">
    <cfRule type="expression" dxfId="6426" priority="198">
      <formula>S$9&gt;=20/24</formula>
    </cfRule>
    <cfRule type="expression" dxfId="6425" priority="199">
      <formula>AND(S$9&gt;=14/24,S$9&lt;20/24)</formula>
    </cfRule>
    <cfRule type="expression" dxfId="6424" priority="200">
      <formula>AND(S$9&gt;=8/24,S$9&lt;14/24)</formula>
    </cfRule>
    <cfRule type="expression" dxfId="6423" priority="201">
      <formula>S$9&lt;8/24</formula>
    </cfRule>
  </conditionalFormatting>
  <conditionalFormatting sqref="S42:W43 T43:Y43 S45:AF48">
    <cfRule type="expression" dxfId="6422" priority="194">
      <formula>S$9&gt;=20/24</formula>
    </cfRule>
    <cfRule type="expression" dxfId="6421" priority="195">
      <formula>AND(S$9&gt;=14/24,S$9&lt;20/24)</formula>
    </cfRule>
    <cfRule type="expression" dxfId="6420" priority="196">
      <formula>AND(S$9&gt;=8/24,S$9&lt;14/24)</formula>
    </cfRule>
    <cfRule type="expression" dxfId="6419" priority="197">
      <formula>S$9&lt;8/24</formula>
    </cfRule>
  </conditionalFormatting>
  <conditionalFormatting sqref="S49:AF49">
    <cfRule type="expression" dxfId="6418" priority="190">
      <formula>S$9&gt;=20/24</formula>
    </cfRule>
    <cfRule type="expression" dxfId="6417" priority="191">
      <formula>AND(S$9&gt;=14/24,S$9&lt;20/24)</formula>
    </cfRule>
    <cfRule type="expression" dxfId="6416" priority="192">
      <formula>AND(S$9&gt;=8/24,S$9&lt;14/24)</formula>
    </cfRule>
    <cfRule type="expression" dxfId="6415" priority="193">
      <formula>S$9&lt;8/24</formula>
    </cfRule>
  </conditionalFormatting>
  <conditionalFormatting sqref="S50:AF50">
    <cfRule type="expression" dxfId="6414" priority="186">
      <formula>S$9&gt;=20/24</formula>
    </cfRule>
    <cfRule type="expression" dxfId="6413" priority="187">
      <formula>AND(S$9&gt;=14/24,S$9&lt;20/24)</formula>
    </cfRule>
    <cfRule type="expression" dxfId="6412" priority="188">
      <formula>AND(S$9&gt;=8/24,S$9&lt;14/24)</formula>
    </cfRule>
    <cfRule type="expression" dxfId="6411" priority="189">
      <formula>S$9&lt;8/24</formula>
    </cfRule>
  </conditionalFormatting>
  <conditionalFormatting sqref="X60:Z61 S60:T64 Y62:Z62 U62:X64 Z63:Z67 Y63:Y64 AA60:AF67">
    <cfRule type="expression" dxfId="6410" priority="182">
      <formula>S$9&gt;=20/24</formula>
    </cfRule>
    <cfRule type="expression" dxfId="6409" priority="183">
      <formula>AND(S$9&gt;=14/24,S$9&lt;20/24)</formula>
    </cfRule>
    <cfRule type="expression" dxfId="6408" priority="184">
      <formula>AND(S$9&gt;=8/24,S$9&lt;14/24)</formula>
    </cfRule>
    <cfRule type="expression" dxfId="6407" priority="185">
      <formula>S$9&lt;8/24</formula>
    </cfRule>
  </conditionalFormatting>
  <conditionalFormatting sqref="C62:L62">
    <cfRule type="expression" dxfId="6406" priority="178">
      <formula>C$9&gt;=20/24</formula>
    </cfRule>
    <cfRule type="expression" dxfId="6405" priority="179">
      <formula>AND(C$9&gt;=14/24,C$9&lt;20/24)</formula>
    </cfRule>
    <cfRule type="expression" dxfId="6404" priority="180">
      <formula>AND(C$9&gt;=8/24,C$9&lt;14/24)</formula>
    </cfRule>
    <cfRule type="expression" dxfId="6403" priority="181">
      <formula>C$9&lt;8/24</formula>
    </cfRule>
  </conditionalFormatting>
  <conditionalFormatting sqref="U94:AA97">
    <cfRule type="expression" dxfId="6402" priority="174">
      <formula>U$9&gt;=20/24</formula>
    </cfRule>
    <cfRule type="expression" dxfId="6401" priority="175">
      <formula>AND(U$9&gt;=14/24,U$9&lt;20/24)</formula>
    </cfRule>
    <cfRule type="expression" dxfId="6400" priority="176">
      <formula>AND(U$9&gt;=8/24,U$9&lt;14/24)</formula>
    </cfRule>
    <cfRule type="expression" dxfId="6399" priority="177">
      <formula>U$9&lt;8/24</formula>
    </cfRule>
  </conditionalFormatting>
  <conditionalFormatting sqref="AG51 E11:Q11 B11:D32 Q12:Q14 E12:P32 Q16:R32 R11:W14 X12:Y14 S18:Y32 X11:AF11 Z12:AF32 B34:AF56">
    <cfRule type="expression" dxfId="6398" priority="173">
      <formula>B11&gt;$AG11</formula>
    </cfRule>
  </conditionalFormatting>
  <conditionalFormatting sqref="A101:A157 A84:A97 A11:A14 A16:A32 A45:A72 A80:A82 A74:A78 A35:A43 A170:A200">
    <cfRule type="expression" dxfId="6397" priority="172">
      <formula>$AH11=0</formula>
    </cfRule>
  </conditionalFormatting>
  <conditionalFormatting sqref="U98:AA98">
    <cfRule type="expression" dxfId="6396" priority="168">
      <formula>U$9&gt;=20/24</formula>
    </cfRule>
    <cfRule type="expression" dxfId="6395" priority="169">
      <formula>AND(U$9&gt;=14/24,U$9&lt;20/24)</formula>
    </cfRule>
    <cfRule type="expression" dxfId="6394" priority="170">
      <formula>AND(U$9&gt;=8/24,U$9&lt;14/24)</formula>
    </cfRule>
    <cfRule type="expression" dxfId="6393" priority="171">
      <formula>U$9&lt;8/24</formula>
    </cfRule>
  </conditionalFormatting>
  <conditionalFormatting sqref="A98">
    <cfRule type="expression" dxfId="6392" priority="167">
      <formula>$AH98=0</formula>
    </cfRule>
  </conditionalFormatting>
  <conditionalFormatting sqref="M62:N67 O62:R66 S65:Y66">
    <cfRule type="expression" dxfId="6391" priority="155">
      <formula>M$9&gt;=20/24</formula>
    </cfRule>
    <cfRule type="expression" dxfId="6390" priority="156">
      <formula>AND(M$9&gt;=14/24,M$9&lt;20/24)</formula>
    </cfRule>
    <cfRule type="expression" dxfId="6389" priority="157">
      <formula>AND(M$9&gt;=8/24,M$9&lt;14/24)</formula>
    </cfRule>
    <cfRule type="expression" dxfId="6388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6387" priority="150">
      <formula>Z$9&gt;=20/24</formula>
    </cfRule>
    <cfRule type="expression" dxfId="6386" priority="151">
      <formula>AND(Z$9&gt;=14/24,Z$9&lt;20/24)</formula>
    </cfRule>
    <cfRule type="expression" dxfId="6385" priority="152">
      <formula>AND(Z$9&gt;=8/24,Z$9&lt;14/24)</formula>
    </cfRule>
    <cfRule type="expression" dxfId="6384" priority="153">
      <formula>Z$9&lt;8/24</formula>
    </cfRule>
  </conditionalFormatting>
  <conditionalFormatting sqref="S34:Y34">
    <cfRule type="expression" dxfId="6383" priority="142">
      <formula>S$9&gt;=20/24</formula>
    </cfRule>
    <cfRule type="expression" dxfId="6382" priority="143">
      <formula>AND(S$9&gt;=14/24,S$9&lt;20/24)</formula>
    </cfRule>
    <cfRule type="expression" dxfId="6381" priority="144">
      <formula>AND(S$9&gt;=8/24,S$9&lt;14/24)</formula>
    </cfRule>
    <cfRule type="expression" dxfId="6380" priority="145">
      <formula>S$9&lt;8/24</formula>
    </cfRule>
  </conditionalFormatting>
  <conditionalFormatting sqref="A34">
    <cfRule type="expression" dxfId="6379" priority="141">
      <formula>$AH34=0</formula>
    </cfRule>
  </conditionalFormatting>
  <conditionalFormatting sqref="A83">
    <cfRule type="expression" dxfId="6378" priority="140">
      <formula>$AH83=0</formula>
    </cfRule>
  </conditionalFormatting>
  <conditionalFormatting sqref="Z15:AF15">
    <cfRule type="expression" dxfId="6377" priority="136">
      <formula>Z$9&gt;=20/24</formula>
    </cfRule>
    <cfRule type="expression" dxfId="6376" priority="137">
      <formula>AND(Z$9&gt;=14/24,Z$9&lt;20/24)</formula>
    </cfRule>
    <cfRule type="expression" dxfId="6375" priority="138">
      <formula>AND(Z$9&gt;=8/24,Z$9&lt;14/24)</formula>
    </cfRule>
    <cfRule type="expression" dxfId="6374" priority="139">
      <formula>Z$9&lt;8/24</formula>
    </cfRule>
  </conditionalFormatting>
  <conditionalFormatting sqref="Q15:Y15">
    <cfRule type="expression" dxfId="6373" priority="132">
      <formula>Q$9&gt;=20/24</formula>
    </cfRule>
    <cfRule type="expression" dxfId="6372" priority="133">
      <formula>AND(Q$9&gt;=14/24,Q$9&lt;20/24)</formula>
    </cfRule>
    <cfRule type="expression" dxfId="6371" priority="134">
      <formula>AND(Q$9&gt;=8/24,Q$9&lt;14/24)</formula>
    </cfRule>
    <cfRule type="expression" dxfId="6370" priority="135">
      <formula>Q$9&lt;8/24</formula>
    </cfRule>
  </conditionalFormatting>
  <conditionalFormatting sqref="Q15:Y15">
    <cfRule type="expression" dxfId="6369" priority="131">
      <formula>Q15&gt;$AG15</formula>
    </cfRule>
  </conditionalFormatting>
  <conditionalFormatting sqref="A15">
    <cfRule type="expression" dxfId="6368" priority="130">
      <formula>$AH15=0</formula>
    </cfRule>
  </conditionalFormatting>
  <conditionalFormatting sqref="A164:A169">
    <cfRule type="expression" dxfId="6367" priority="129">
      <formula>$AH164=0</formula>
    </cfRule>
  </conditionalFormatting>
  <conditionalFormatting sqref="A158:A163">
    <cfRule type="expression" dxfId="6366" priority="128">
      <formula>$AH158=0</formula>
    </cfRule>
  </conditionalFormatting>
  <conditionalFormatting sqref="Z44:AF44">
    <cfRule type="expression" dxfId="6365" priority="124">
      <formula>Z$9&gt;=20/24</formula>
    </cfRule>
    <cfRule type="expression" dxfId="6364" priority="125">
      <formula>AND(Z$9&gt;=14/24,Z$9&lt;20/24)</formula>
    </cfRule>
    <cfRule type="expression" dxfId="6363" priority="126">
      <formula>AND(Z$9&gt;=8/24,Z$9&lt;14/24)</formula>
    </cfRule>
    <cfRule type="expression" dxfId="6362" priority="127">
      <formula>Z$9&lt;8/24</formula>
    </cfRule>
  </conditionalFormatting>
  <conditionalFormatting sqref="M44:W44">
    <cfRule type="expression" dxfId="6361" priority="120">
      <formula>M$9&gt;=20/24</formula>
    </cfRule>
    <cfRule type="expression" dxfId="6360" priority="121">
      <formula>AND(M$9&gt;=14/24,M$9&lt;20/24)</formula>
    </cfRule>
    <cfRule type="expression" dxfId="6359" priority="122">
      <formula>AND(M$9&gt;=8/24,M$9&lt;14/24)</formula>
    </cfRule>
    <cfRule type="expression" dxfId="6358" priority="123">
      <formula>M$9&lt;8/24</formula>
    </cfRule>
  </conditionalFormatting>
  <conditionalFormatting sqref="S44:Y44">
    <cfRule type="expression" dxfId="6357" priority="116">
      <formula>S$9&gt;=20/24</formula>
    </cfRule>
    <cfRule type="expression" dxfId="6356" priority="117">
      <formula>AND(S$9&gt;=14/24,S$9&lt;20/24)</formula>
    </cfRule>
    <cfRule type="expression" dxfId="6355" priority="118">
      <formula>AND(S$9&gt;=8/24,S$9&lt;14/24)</formula>
    </cfRule>
    <cfRule type="expression" dxfId="6354" priority="119">
      <formula>S$9&lt;8/24</formula>
    </cfRule>
  </conditionalFormatting>
  <conditionalFormatting sqref="A44">
    <cfRule type="expression" dxfId="6353" priority="115">
      <formula>$AH44=0</formula>
    </cfRule>
  </conditionalFormatting>
  <conditionalFormatting sqref="A79">
    <cfRule type="expression" dxfId="6352" priority="114">
      <formula>$AH79=0</formula>
    </cfRule>
  </conditionalFormatting>
  <conditionalFormatting sqref="A73">
    <cfRule type="expression" dxfId="6351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6350" priority="109">
      <formula>U$9&gt;=20/24</formula>
    </cfRule>
    <cfRule type="expression" dxfId="6349" priority="110">
      <formula>AND(U$9&gt;=14/24,U$9&lt;20/24)</formula>
    </cfRule>
    <cfRule type="expression" dxfId="6348" priority="111">
      <formula>AND(U$9&gt;=8/24,U$9&lt;14/24)</formula>
    </cfRule>
    <cfRule type="expression" dxfId="6347" priority="112">
      <formula>U$9&lt;8/24</formula>
    </cfRule>
  </conditionalFormatting>
  <conditionalFormatting sqref="U85:W91">
    <cfRule type="expression" dxfId="6346" priority="105">
      <formula>U$9&gt;=20/24</formula>
    </cfRule>
    <cfRule type="expression" dxfId="6345" priority="106">
      <formula>AND(U$9&gt;=14/24,U$9&lt;20/24)</formula>
    </cfRule>
    <cfRule type="expression" dxfId="6344" priority="107">
      <formula>AND(U$9&gt;=8/24,U$9&lt;14/24)</formula>
    </cfRule>
    <cfRule type="expression" dxfId="6343" priority="108">
      <formula>U$9&lt;8/24</formula>
    </cfRule>
  </conditionalFormatting>
  <conditionalFormatting sqref="C84:R91 S85:T91">
    <cfRule type="expression" dxfId="6342" priority="101">
      <formula>C$9&gt;=20/24</formula>
    </cfRule>
    <cfRule type="expression" dxfId="6341" priority="102">
      <formula>AND(C$9&gt;=14/24,C$9&lt;20/24)</formula>
    </cfRule>
    <cfRule type="expression" dxfId="6340" priority="103">
      <formula>AND(C$9&gt;=8/24,C$9&lt;14/24)</formula>
    </cfRule>
    <cfRule type="expression" dxfId="6339" priority="104">
      <formula>C$9&lt;8/24</formula>
    </cfRule>
  </conditionalFormatting>
  <conditionalFormatting sqref="S84:T84">
    <cfRule type="expression" dxfId="6338" priority="97">
      <formula>S$9&gt;=20/24</formula>
    </cfRule>
    <cfRule type="expression" dxfId="6337" priority="98">
      <formula>AND(S$9&gt;=14/24,S$9&lt;20/24)</formula>
    </cfRule>
    <cfRule type="expression" dxfId="6336" priority="99">
      <formula>AND(S$9&gt;=8/24,S$9&lt;14/24)</formula>
    </cfRule>
    <cfRule type="expression" dxfId="6335" priority="100">
      <formula>S$9&lt;8/24</formula>
    </cfRule>
  </conditionalFormatting>
  <conditionalFormatting sqref="C95:M97 C94:F94">
    <cfRule type="expression" dxfId="6334" priority="93">
      <formula>C$9&gt;=20/24</formula>
    </cfRule>
    <cfRule type="expression" dxfId="6333" priority="94">
      <formula>AND(C$9&gt;=14/24,C$9&lt;20/24)</formula>
    </cfRule>
    <cfRule type="expression" dxfId="6332" priority="95">
      <formula>AND(C$9&gt;=8/24,C$9&lt;14/24)</formula>
    </cfRule>
    <cfRule type="expression" dxfId="6331" priority="96">
      <formula>C$9&lt;8/24</formula>
    </cfRule>
  </conditionalFormatting>
  <conditionalFormatting sqref="N95:R97 O94:R94">
    <cfRule type="expression" dxfId="6330" priority="89">
      <formula>N$9&gt;=20/24</formula>
    </cfRule>
    <cfRule type="expression" dxfId="6329" priority="90">
      <formula>AND(N$9&gt;=14/24,N$9&lt;20/24)</formula>
    </cfRule>
    <cfRule type="expression" dxfId="6328" priority="91">
      <formula>AND(N$9&gt;=8/24,N$9&lt;14/24)</formula>
    </cfRule>
    <cfRule type="expression" dxfId="6327" priority="92">
      <formula>N$9&lt;8/24</formula>
    </cfRule>
  </conditionalFormatting>
  <conditionalFormatting sqref="S94:T97">
    <cfRule type="expression" dxfId="6326" priority="85">
      <formula>S$9&gt;=20/24</formula>
    </cfRule>
    <cfRule type="expression" dxfId="6325" priority="86">
      <formula>AND(S$9&gt;=14/24,S$9&lt;20/24)</formula>
    </cfRule>
    <cfRule type="expression" dxfId="6324" priority="87">
      <formula>AND(S$9&gt;=8/24,S$9&lt;14/24)</formula>
    </cfRule>
    <cfRule type="expression" dxfId="6323" priority="88">
      <formula>S$9&lt;8/24</formula>
    </cfRule>
  </conditionalFormatting>
  <conditionalFormatting sqref="C98:M98">
    <cfRule type="expression" dxfId="6322" priority="81">
      <formula>C$9&gt;=20/24</formula>
    </cfRule>
    <cfRule type="expression" dxfId="6321" priority="82">
      <formula>AND(C$9&gt;=14/24,C$9&lt;20/24)</formula>
    </cfRule>
    <cfRule type="expression" dxfId="6320" priority="83">
      <formula>AND(C$9&gt;=8/24,C$9&lt;14/24)</formula>
    </cfRule>
    <cfRule type="expression" dxfId="6319" priority="84">
      <formula>C$9&lt;8/24</formula>
    </cfRule>
  </conditionalFormatting>
  <conditionalFormatting sqref="N98:R98">
    <cfRule type="expression" dxfId="6318" priority="77">
      <formula>N$9&gt;=20/24</formula>
    </cfRule>
    <cfRule type="expression" dxfId="6317" priority="78">
      <formula>AND(N$9&gt;=14/24,N$9&lt;20/24)</formula>
    </cfRule>
    <cfRule type="expression" dxfId="6316" priority="79">
      <formula>AND(N$9&gt;=8/24,N$9&lt;14/24)</formula>
    </cfRule>
    <cfRule type="expression" dxfId="6315" priority="80">
      <formula>N$9&lt;8/24</formula>
    </cfRule>
  </conditionalFormatting>
  <conditionalFormatting sqref="S98:T98">
    <cfRule type="expression" dxfId="6314" priority="73">
      <formula>S$9&gt;=20/24</formula>
    </cfRule>
    <cfRule type="expression" dxfId="6313" priority="74">
      <formula>AND(S$9&gt;=14/24,S$9&lt;20/24)</formula>
    </cfRule>
    <cfRule type="expression" dxfId="6312" priority="75">
      <formula>AND(S$9&gt;=8/24,S$9&lt;14/24)</formula>
    </cfRule>
    <cfRule type="expression" dxfId="6311" priority="76">
      <formula>S$9&lt;8/24</formula>
    </cfRule>
  </conditionalFormatting>
  <conditionalFormatting sqref="M94:N94">
    <cfRule type="expression" dxfId="6310" priority="69">
      <formula>M$9&gt;=20/24</formula>
    </cfRule>
    <cfRule type="expression" dxfId="6309" priority="70">
      <formula>AND(M$9&gt;=14/24,M$9&lt;20/24)</formula>
    </cfRule>
    <cfRule type="expression" dxfId="6308" priority="71">
      <formula>AND(M$9&gt;=8/24,M$9&lt;14/24)</formula>
    </cfRule>
    <cfRule type="expression" dxfId="6307" priority="72">
      <formula>M$9&lt;8/24</formula>
    </cfRule>
  </conditionalFormatting>
  <conditionalFormatting sqref="G94:L94">
    <cfRule type="expression" dxfId="6306" priority="65">
      <formula>G$9&gt;=20/24</formula>
    </cfRule>
    <cfRule type="expression" dxfId="6305" priority="66">
      <formula>AND(G$9&gt;=14/24,G$9&lt;20/24)</formula>
    </cfRule>
    <cfRule type="expression" dxfId="6304" priority="67">
      <formula>AND(G$9&gt;=8/24,G$9&lt;14/24)</formula>
    </cfRule>
    <cfRule type="expression" dxfId="6303" priority="68">
      <formula>G$9&lt;8/24</formula>
    </cfRule>
  </conditionalFormatting>
  <conditionalFormatting sqref="U94:W94">
    <cfRule type="expression" dxfId="6302" priority="61">
      <formula>U$9&gt;=20/24</formula>
    </cfRule>
    <cfRule type="expression" dxfId="6301" priority="62">
      <formula>AND(U$9&gt;=14/24,U$9&lt;20/24)</formula>
    </cfRule>
    <cfRule type="expression" dxfId="6300" priority="63">
      <formula>AND(U$9&gt;=8/24,U$9&lt;14/24)</formula>
    </cfRule>
    <cfRule type="expression" dxfId="6299" priority="64">
      <formula>U$9&lt;8/24</formula>
    </cfRule>
  </conditionalFormatting>
  <conditionalFormatting sqref="N94:T94">
    <cfRule type="expression" dxfId="6298" priority="57">
      <formula>N$9&gt;=20/24</formula>
    </cfRule>
    <cfRule type="expression" dxfId="6297" priority="58">
      <formula>AND(N$9&gt;=14/24,N$9&lt;20/24)</formula>
    </cfRule>
    <cfRule type="expression" dxfId="6296" priority="59">
      <formula>AND(N$9&gt;=8/24,N$9&lt;14/24)</formula>
    </cfRule>
    <cfRule type="expression" dxfId="6295" priority="60">
      <formula>N$9&lt;8/24</formula>
    </cfRule>
  </conditionalFormatting>
  <conditionalFormatting sqref="U99:AA100">
    <cfRule type="expression" dxfId="6294" priority="53">
      <formula>U$9&gt;=20/24</formula>
    </cfRule>
    <cfRule type="expression" dxfId="6293" priority="54">
      <formula>AND(U$9&gt;=14/24,U$9&lt;20/24)</formula>
    </cfRule>
    <cfRule type="expression" dxfId="6292" priority="55">
      <formula>AND(U$9&gt;=8/24,U$9&lt;14/24)</formula>
    </cfRule>
    <cfRule type="expression" dxfId="6291" priority="56">
      <formula>U$9&lt;8/24</formula>
    </cfRule>
  </conditionalFormatting>
  <conditionalFormatting sqref="C99:M100">
    <cfRule type="expression" dxfId="6290" priority="49">
      <formula>C$9&gt;=20/24</formula>
    </cfRule>
    <cfRule type="expression" dxfId="6289" priority="50">
      <formula>AND(C$9&gt;=14/24,C$9&lt;20/24)</formula>
    </cfRule>
    <cfRule type="expression" dxfId="6288" priority="51">
      <formula>AND(C$9&gt;=8/24,C$9&lt;14/24)</formula>
    </cfRule>
    <cfRule type="expression" dxfId="6287" priority="52">
      <formula>C$9&lt;8/24</formula>
    </cfRule>
  </conditionalFormatting>
  <conditionalFormatting sqref="N99:R100">
    <cfRule type="expression" dxfId="6286" priority="45">
      <formula>N$9&gt;=20/24</formula>
    </cfRule>
    <cfRule type="expression" dxfId="6285" priority="46">
      <formula>AND(N$9&gt;=14/24,N$9&lt;20/24)</formula>
    </cfRule>
    <cfRule type="expression" dxfId="6284" priority="47">
      <formula>AND(N$9&gt;=8/24,N$9&lt;14/24)</formula>
    </cfRule>
    <cfRule type="expression" dxfId="6283" priority="48">
      <formula>N$9&lt;8/24</formula>
    </cfRule>
  </conditionalFormatting>
  <conditionalFormatting sqref="S99:T100">
    <cfRule type="expression" dxfId="6282" priority="41">
      <formula>S$9&gt;=20/24</formula>
    </cfRule>
    <cfRule type="expression" dxfId="6281" priority="42">
      <formula>AND(S$9&gt;=14/24,S$9&lt;20/24)</formula>
    </cfRule>
    <cfRule type="expression" dxfId="6280" priority="43">
      <formula>AND(S$9&gt;=8/24,S$9&lt;14/24)</formula>
    </cfRule>
    <cfRule type="expression" dxfId="6279" priority="44">
      <formula>S$9&lt;8/24</formula>
    </cfRule>
  </conditionalFormatting>
  <conditionalFormatting sqref="S16:Y16">
    <cfRule type="expression" dxfId="6278" priority="37">
      <formula>S$9&gt;=20/24</formula>
    </cfRule>
    <cfRule type="expression" dxfId="6277" priority="38">
      <formula>AND(S$9&gt;=14/24,S$9&lt;20/24)</formula>
    </cfRule>
    <cfRule type="expression" dxfId="6276" priority="39">
      <formula>AND(S$9&gt;=8/24,S$9&lt;14/24)</formula>
    </cfRule>
    <cfRule type="expression" dxfId="6275" priority="40">
      <formula>S$9&lt;8/24</formula>
    </cfRule>
  </conditionalFormatting>
  <conditionalFormatting sqref="S17:Y17">
    <cfRule type="expression" dxfId="6274" priority="33">
      <formula>S$9&gt;=20/24</formula>
    </cfRule>
    <cfRule type="expression" dxfId="6273" priority="34">
      <formula>AND(S$9&gt;=14/24,S$9&lt;20/24)</formula>
    </cfRule>
    <cfRule type="expression" dxfId="6272" priority="35">
      <formula>AND(S$9&gt;=8/24,S$9&lt;14/24)</formula>
    </cfRule>
    <cfRule type="expression" dxfId="6271" priority="36">
      <formula>S$9&lt;8/24</formula>
    </cfRule>
  </conditionalFormatting>
  <conditionalFormatting sqref="AB58:AE59">
    <cfRule type="expression" dxfId="6270" priority="25">
      <formula>AB$9&gt;=20/24</formula>
    </cfRule>
    <cfRule type="expression" dxfId="6269" priority="26">
      <formula>AND(AB$9&gt;=14/24,AB$9&lt;20/24)</formula>
    </cfRule>
    <cfRule type="expression" dxfId="6268" priority="27">
      <formula>AND(AB$9&gt;=8/24,AB$9&lt;14/24)</formula>
    </cfRule>
    <cfRule type="expression" dxfId="6267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266" priority="258">
      <formula>C$9&gt;=20/24</formula>
    </cfRule>
    <cfRule type="expression" dxfId="6265" priority="259">
      <formula>AND(C$9&gt;=14/24,C$9&lt;20/24)</formula>
    </cfRule>
    <cfRule type="expression" dxfId="6264" priority="260">
      <formula>AND(C$9&gt;=8/24,C$9&lt;14/24)</formula>
    </cfRule>
    <cfRule type="expression" dxfId="6263" priority="261">
      <formula>C$9&lt;8/24</formula>
    </cfRule>
  </conditionalFormatting>
  <conditionalFormatting sqref="A201">
    <cfRule type="expression" dxfId="6262" priority="262">
      <formula>$AH201=0</formula>
    </cfRule>
  </conditionalFormatting>
  <conditionalFormatting sqref="AG213">
    <cfRule type="expression" dxfId="6261" priority="263">
      <formula>B$9&gt;=20/24</formula>
    </cfRule>
    <cfRule type="expression" dxfId="6260" priority="264">
      <formula>AND(B$9&gt;=14/24,B$9&lt;20/24)</formula>
    </cfRule>
    <cfRule type="expression" dxfId="6259" priority="265">
      <formula>AND(B$9&gt;=8/24,B$9&lt;14/24)</formula>
    </cfRule>
    <cfRule type="expression" dxfId="6258" priority="266">
      <formula>B$9&lt;8/24</formula>
    </cfRule>
  </conditionalFormatting>
  <conditionalFormatting sqref="S8">
    <cfRule type="expression" dxfId="6257" priority="19">
      <formula>U$9&gt;=20/24</formula>
    </cfRule>
    <cfRule type="expression" dxfId="6256" priority="20">
      <formula>AND(U$9&gt;=14/24,U$9&lt;20/24)</formula>
    </cfRule>
    <cfRule type="expression" dxfId="6255" priority="21">
      <formula>AND(U$9&gt;=8/24,U$9&lt;14/24)</formula>
    </cfRule>
    <cfRule type="expression" dxfId="6254" priority="22">
      <formula>U$9&lt;8/24</formula>
    </cfRule>
  </conditionalFormatting>
  <conditionalFormatting sqref="AB8">
    <cfRule type="expression" dxfId="6253" priority="15">
      <formula>AD$9&gt;=20/24</formula>
    </cfRule>
    <cfRule type="expression" dxfId="6252" priority="16">
      <formula>AND(AD$9&gt;=14/24,AD$9&lt;20/24)</formula>
    </cfRule>
    <cfRule type="expression" dxfId="6251" priority="17">
      <formula>AND(AD$9&gt;=8/24,AD$9&lt;14/24)</formula>
    </cfRule>
    <cfRule type="expression" dxfId="6250" priority="18">
      <formula>AD$9&lt;8/24</formula>
    </cfRule>
  </conditionalFormatting>
  <conditionalFormatting sqref="AH213:AX213">
    <cfRule type="expression" dxfId="6249" priority="267">
      <formula>AG$9&gt;=20/24</formula>
    </cfRule>
    <cfRule type="expression" dxfId="6248" priority="268">
      <formula>AND(AG$9&gt;=14/24,AG$9&lt;20/24)</formula>
    </cfRule>
    <cfRule type="expression" dxfId="6247" priority="269">
      <formula>AND(AG$9&gt;=8/24,AG$9&lt;14/24)</formula>
    </cfRule>
    <cfRule type="expression" dxfId="6246" priority="270">
      <formula>AG$9&lt;8/24</formula>
    </cfRule>
  </conditionalFormatting>
  <conditionalFormatting sqref="T213">
    <cfRule type="expression" dxfId="6245" priority="271">
      <formula>AX$9&gt;=20/24</formula>
    </cfRule>
    <cfRule type="expression" dxfId="6244" priority="272">
      <formula>AND(AX$9&gt;=14/24,AX$9&lt;20/24)</formula>
    </cfRule>
    <cfRule type="expression" dxfId="6243" priority="273">
      <formula>AND(AX$9&gt;=8/24,AX$9&lt;14/24)</formula>
    </cfRule>
    <cfRule type="expression" dxfId="6242" priority="274">
      <formula>AX$9&lt;8/24</formula>
    </cfRule>
  </conditionalFormatting>
  <conditionalFormatting sqref="A99:A100">
    <cfRule type="expression" dxfId="6241" priority="14">
      <formula>$AH99=0</formula>
    </cfRule>
  </conditionalFormatting>
  <conditionalFormatting sqref="Z33:AF33">
    <cfRule type="expression" dxfId="6240" priority="6">
      <formula>Z$9&gt;=20/24</formula>
    </cfRule>
    <cfRule type="expression" dxfId="6239" priority="7">
      <formula>AND(Z$9&gt;=14/24,Z$9&lt;20/24)</formula>
    </cfRule>
    <cfRule type="expression" dxfId="6238" priority="8">
      <formula>AND(Z$9&gt;=8/24,Z$9&lt;14/24)</formula>
    </cfRule>
    <cfRule type="expression" dxfId="6237" priority="9">
      <formula>Z$9&lt;8/24</formula>
    </cfRule>
  </conditionalFormatting>
  <conditionalFormatting sqref="S33:Y33">
    <cfRule type="expression" dxfId="6236" priority="2">
      <formula>S$9&gt;=20/24</formula>
    </cfRule>
    <cfRule type="expression" dxfId="6235" priority="3">
      <formula>AND(S$9&gt;=14/24,S$9&lt;20/24)</formula>
    </cfRule>
    <cfRule type="expression" dxfId="6234" priority="4">
      <formula>AND(S$9&gt;=8/24,S$9&lt;14/24)</formula>
    </cfRule>
    <cfRule type="expression" dxfId="6233" priority="5">
      <formula>S$9&lt;8/24</formula>
    </cfRule>
  </conditionalFormatting>
  <conditionalFormatting sqref="B33:AF33">
    <cfRule type="expression" dxfId="6232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028AB2E7-EC2B-4F21-821D-F82CB7DA0AC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CJ472"/>
  <sheetViews>
    <sheetView zoomScale="90" zoomScaleNormal="90" workbookViewId="0">
      <pane xSplit="1" ySplit="10" topLeftCell="J11" activePane="bottomRight" state="frozen"/>
      <selection activeCell="AF88" sqref="AF88"/>
      <selection pane="topRight" activeCell="AF88" sqref="AF88"/>
      <selection pane="bottomLeft" activeCell="AF88" sqref="AF88"/>
      <selection pane="bottomRight" activeCell="L17" sqref="L1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6.42578125" bestFit="1" customWidth="1"/>
    <col min="15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2078/12/10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154.5</v>
      </c>
      <c r="C5" s="157">
        <f t="shared" si="0"/>
        <v>137.5</v>
      </c>
      <c r="D5" s="157">
        <f t="shared" si="0"/>
        <v>102.7</v>
      </c>
      <c r="E5" s="157">
        <f t="shared" si="0"/>
        <v>220.9</v>
      </c>
      <c r="F5" s="157">
        <f t="shared" si="0"/>
        <v>178.3</v>
      </c>
      <c r="G5" s="157">
        <f t="shared" si="0"/>
        <v>174</v>
      </c>
      <c r="H5" s="157">
        <f t="shared" si="0"/>
        <v>194.5</v>
      </c>
      <c r="I5" s="157">
        <f t="shared" si="0"/>
        <v>245.5</v>
      </c>
      <c r="J5" s="157">
        <f t="shared" si="0"/>
        <v>247.3</v>
      </c>
      <c r="K5" s="157">
        <f t="shared" si="0"/>
        <v>258.10000000000002</v>
      </c>
      <c r="L5" s="157">
        <f t="shared" si="0"/>
        <v>247.6</v>
      </c>
      <c r="M5" s="157">
        <f t="shared" si="0"/>
        <v>565.30000000000007</v>
      </c>
      <c r="N5" s="157">
        <f t="shared" si="0"/>
        <v>517.72</v>
      </c>
      <c r="O5" s="157">
        <f t="shared" si="0"/>
        <v>393.4</v>
      </c>
      <c r="P5" s="157">
        <f t="shared" si="0"/>
        <v>387.25</v>
      </c>
      <c r="Q5" s="157">
        <f t="shared" si="0"/>
        <v>419.30000000000007</v>
      </c>
      <c r="R5" s="157">
        <f t="shared" si="0"/>
        <v>391.5</v>
      </c>
      <c r="S5" s="157">
        <f t="shared" si="0"/>
        <v>398.5</v>
      </c>
      <c r="T5" s="157">
        <f t="shared" si="0"/>
        <v>420.5</v>
      </c>
      <c r="U5" s="157">
        <f t="shared" si="0"/>
        <v>413.5</v>
      </c>
      <c r="V5" s="157">
        <f t="shared" si="0"/>
        <v>426.6</v>
      </c>
      <c r="W5" s="157">
        <f t="shared" si="0"/>
        <v>0</v>
      </c>
      <c r="X5" s="157">
        <f t="shared" si="0"/>
        <v>0</v>
      </c>
      <c r="Y5" s="157">
        <f t="shared" si="0"/>
        <v>141</v>
      </c>
      <c r="Z5" s="157">
        <f t="shared" si="0"/>
        <v>141</v>
      </c>
      <c r="AA5" s="157">
        <f t="shared" si="0"/>
        <v>180.39999999999998</v>
      </c>
      <c r="AB5" s="157">
        <f t="shared" si="0"/>
        <v>180.5</v>
      </c>
      <c r="AC5" s="157">
        <f t="shared" si="0"/>
        <v>155.29999999999998</v>
      </c>
      <c r="AD5" s="157">
        <f t="shared" si="0"/>
        <v>111.5</v>
      </c>
      <c r="AE5" s="157">
        <f t="shared" si="0"/>
        <v>112.2</v>
      </c>
      <c r="AF5" s="157">
        <f>B68</f>
        <v>104.2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1367MW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Load=4</v>
      </c>
      <c r="B7" s="146">
        <f>B75</f>
        <v>1113.94</v>
      </c>
      <c r="C7" s="146">
        <f t="shared" ref="C7:AF7" si="1">C75</f>
        <v>1080.74</v>
      </c>
      <c r="D7" s="146">
        <f t="shared" si="1"/>
        <v>1071.74</v>
      </c>
      <c r="E7" s="146">
        <f t="shared" si="1"/>
        <v>1053.24</v>
      </c>
      <c r="F7" s="146">
        <f t="shared" si="1"/>
        <v>1040.94</v>
      </c>
      <c r="G7" s="146">
        <f t="shared" si="1"/>
        <v>1098.04</v>
      </c>
      <c r="H7" s="146">
        <f t="shared" si="1"/>
        <v>1120.3400000000001</v>
      </c>
      <c r="I7" s="146">
        <f t="shared" si="1"/>
        <v>1150.74</v>
      </c>
      <c r="J7" s="146">
        <f t="shared" si="1"/>
        <v>1249.6399999999999</v>
      </c>
      <c r="K7" s="146">
        <f t="shared" si="1"/>
        <v>1295.04</v>
      </c>
      <c r="L7" s="146">
        <f t="shared" si="1"/>
        <v>1351.2400000000002</v>
      </c>
      <c r="M7" s="146">
        <f t="shared" si="1"/>
        <v>1366.94</v>
      </c>
      <c r="N7" s="146">
        <f t="shared" si="1"/>
        <v>1212.44</v>
      </c>
      <c r="O7" s="146">
        <f t="shared" si="1"/>
        <v>1293.5600000000002</v>
      </c>
      <c r="P7" s="146">
        <f t="shared" si="1"/>
        <v>1305.6400000000001</v>
      </c>
      <c r="Q7" s="146">
        <f t="shared" si="1"/>
        <v>1324.49</v>
      </c>
      <c r="R7" s="146">
        <f t="shared" si="1"/>
        <v>1359.44</v>
      </c>
      <c r="S7" s="146">
        <f t="shared" si="1"/>
        <v>1368.2400000000002</v>
      </c>
      <c r="T7" s="146">
        <f t="shared" si="1"/>
        <v>1374.6399999999999</v>
      </c>
      <c r="U7" s="146">
        <f t="shared" si="1"/>
        <v>1404.14</v>
      </c>
      <c r="V7" s="146">
        <f t="shared" si="1"/>
        <v>1327.1399999999999</v>
      </c>
      <c r="W7" s="146">
        <f t="shared" si="1"/>
        <v>1328.44</v>
      </c>
      <c r="X7" s="146">
        <f t="shared" si="1"/>
        <v>3.54</v>
      </c>
      <c r="Y7" s="146">
        <f t="shared" si="1"/>
        <v>3.54</v>
      </c>
      <c r="Z7" s="146">
        <f t="shared" si="1"/>
        <v>1212.44</v>
      </c>
      <c r="AA7" s="146">
        <f t="shared" si="1"/>
        <v>1576.44</v>
      </c>
      <c r="AB7" s="146">
        <f t="shared" si="1"/>
        <v>1531.44</v>
      </c>
      <c r="AC7" s="146">
        <f t="shared" si="1"/>
        <v>1475.54</v>
      </c>
      <c r="AD7" s="146">
        <f t="shared" si="1"/>
        <v>1434.74</v>
      </c>
      <c r="AE7" s="146">
        <f t="shared" si="1"/>
        <v>1244.24</v>
      </c>
      <c r="AF7" s="146">
        <f t="shared" si="1"/>
        <v>1157.6400000000003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50</v>
      </c>
      <c r="C11" s="127">
        <v>12</v>
      </c>
      <c r="D11" s="127">
        <v>12</v>
      </c>
      <c r="E11" s="127">
        <v>20</v>
      </c>
      <c r="F11" s="127">
        <v>12</v>
      </c>
      <c r="G11" s="127">
        <v>30</v>
      </c>
      <c r="H11" s="127">
        <v>40</v>
      </c>
      <c r="I11" s="127">
        <v>40</v>
      </c>
      <c r="J11" s="127">
        <v>60</v>
      </c>
      <c r="K11" s="127">
        <v>90</v>
      </c>
      <c r="L11" s="127">
        <v>110</v>
      </c>
      <c r="M11" s="103">
        <v>130</v>
      </c>
      <c r="N11" s="103">
        <v>12</v>
      </c>
      <c r="O11" s="103">
        <v>80</v>
      </c>
      <c r="P11" s="103">
        <v>105</v>
      </c>
      <c r="Q11" s="103">
        <v>105</v>
      </c>
      <c r="R11" s="103">
        <v>110</v>
      </c>
      <c r="S11" s="103">
        <v>130</v>
      </c>
      <c r="T11" s="103">
        <v>120</v>
      </c>
      <c r="U11" s="103">
        <v>130</v>
      </c>
      <c r="V11" s="103">
        <v>60</v>
      </c>
      <c r="W11" s="103">
        <v>60</v>
      </c>
      <c r="X11" s="103" t="s">
        <v>219</v>
      </c>
      <c r="Y11" s="103" t="s">
        <v>219</v>
      </c>
      <c r="Z11" s="179">
        <v>330</v>
      </c>
      <c r="AA11" s="103">
        <v>270</v>
      </c>
      <c r="AB11" s="103">
        <v>255</v>
      </c>
      <c r="AC11" s="103">
        <v>220</v>
      </c>
      <c r="AD11" s="103">
        <v>220</v>
      </c>
      <c r="AE11" s="103">
        <v>180</v>
      </c>
      <c r="AF11" s="127">
        <v>130</v>
      </c>
      <c r="AG11" s="54">
        <v>456</v>
      </c>
      <c r="AH11" s="21">
        <f>MAX(B11:AF11)</f>
        <v>330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26.5</v>
      </c>
      <c r="C12" s="127">
        <v>26.5</v>
      </c>
      <c r="D12" s="127">
        <v>26.5</v>
      </c>
      <c r="E12" s="127">
        <v>26.5</v>
      </c>
      <c r="F12" s="127">
        <v>26.5</v>
      </c>
      <c r="G12" s="127">
        <v>26.5</v>
      </c>
      <c r="H12" s="127">
        <v>26.5</v>
      </c>
      <c r="I12" s="127">
        <v>26.5</v>
      </c>
      <c r="J12" s="127">
        <v>26.5</v>
      </c>
      <c r="K12" s="127">
        <v>26.5</v>
      </c>
      <c r="L12" s="127">
        <v>26.5</v>
      </c>
      <c r="M12" s="127">
        <v>26.5</v>
      </c>
      <c r="N12" s="127">
        <v>26.5</v>
      </c>
      <c r="O12" s="127">
        <v>26.5</v>
      </c>
      <c r="P12" s="127">
        <v>26.5</v>
      </c>
      <c r="Q12" s="127">
        <v>26.5</v>
      </c>
      <c r="R12" s="127">
        <v>26.5</v>
      </c>
      <c r="S12" s="127">
        <v>26.5</v>
      </c>
      <c r="T12" s="127">
        <v>26.5</v>
      </c>
      <c r="U12" s="127">
        <v>26.5</v>
      </c>
      <c r="V12" s="127">
        <v>26.5</v>
      </c>
      <c r="W12" s="127">
        <v>26.5</v>
      </c>
      <c r="X12" s="77" t="s">
        <v>220</v>
      </c>
      <c r="Y12" s="77" t="s">
        <v>220</v>
      </c>
      <c r="Z12" s="103">
        <v>26.5</v>
      </c>
      <c r="AA12" s="103">
        <v>26.5</v>
      </c>
      <c r="AB12" s="103">
        <v>27</v>
      </c>
      <c r="AC12" s="103">
        <v>27</v>
      </c>
      <c r="AD12" s="103">
        <v>27</v>
      </c>
      <c r="AE12" s="103">
        <v>27</v>
      </c>
      <c r="AF12" s="127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26.5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16.600000000000001</v>
      </c>
      <c r="C13" s="127">
        <v>16.600000000000001</v>
      </c>
      <c r="D13" s="127">
        <v>16.600000000000001</v>
      </c>
      <c r="E13" s="127">
        <v>16.600000000000001</v>
      </c>
      <c r="F13" s="127">
        <v>16.600000000000001</v>
      </c>
      <c r="G13" s="127">
        <v>16.600000000000001</v>
      </c>
      <c r="H13" s="127">
        <v>18.100000000000001</v>
      </c>
      <c r="I13" s="127">
        <v>18.100000000000001</v>
      </c>
      <c r="J13" s="127">
        <v>18.100000000000001</v>
      </c>
      <c r="K13" s="127">
        <v>18.100000000000001</v>
      </c>
      <c r="L13" s="127">
        <v>18.100000000000001</v>
      </c>
      <c r="M13" s="127">
        <v>18.7</v>
      </c>
      <c r="N13" s="127">
        <v>18.7</v>
      </c>
      <c r="O13" s="127">
        <v>18.7</v>
      </c>
      <c r="P13" s="127">
        <v>18.7</v>
      </c>
      <c r="Q13" s="127">
        <v>18.7</v>
      </c>
      <c r="R13" s="127">
        <v>17.3</v>
      </c>
      <c r="S13" s="127">
        <v>17.3</v>
      </c>
      <c r="T13" s="127">
        <v>17.3</v>
      </c>
      <c r="U13" s="127">
        <v>17.3</v>
      </c>
      <c r="V13" s="127">
        <v>17.3</v>
      </c>
      <c r="W13" s="127">
        <v>17.3</v>
      </c>
      <c r="X13" s="77" t="s">
        <v>219</v>
      </c>
      <c r="Y13" s="77" t="s">
        <v>219</v>
      </c>
      <c r="Z13" s="103">
        <v>16.600000000000001</v>
      </c>
      <c r="AA13" s="103">
        <v>16.600000000000001</v>
      </c>
      <c r="AB13" s="103">
        <v>17.3</v>
      </c>
      <c r="AC13" s="103">
        <v>17.3</v>
      </c>
      <c r="AD13" s="103">
        <v>17.3</v>
      </c>
      <c r="AE13" s="103">
        <v>19.100000000000001</v>
      </c>
      <c r="AF13" s="127">
        <v>19.600000000000001</v>
      </c>
      <c r="AG13" s="134">
        <v>52.4</v>
      </c>
      <c r="AH13" s="21">
        <f t="shared" si="2"/>
        <v>19.600000000000001</v>
      </c>
      <c r="AI13" s="20">
        <f t="shared" si="3"/>
        <v>16.600000000000001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25.1</v>
      </c>
      <c r="C14" s="127">
        <v>25.1</v>
      </c>
      <c r="D14" s="127">
        <v>25.1</v>
      </c>
      <c r="E14" s="127">
        <v>25.1</v>
      </c>
      <c r="F14" s="127">
        <v>25.1</v>
      </c>
      <c r="G14" s="127">
        <v>25.1</v>
      </c>
      <c r="H14" s="127">
        <v>25.5</v>
      </c>
      <c r="I14" s="127">
        <v>25.5</v>
      </c>
      <c r="J14" s="127">
        <v>25.5</v>
      </c>
      <c r="K14" s="127">
        <v>25.5</v>
      </c>
      <c r="L14" s="127">
        <v>25.5</v>
      </c>
      <c r="M14" s="103">
        <v>25.2</v>
      </c>
      <c r="N14" s="103">
        <v>25.2</v>
      </c>
      <c r="O14" s="103">
        <v>25.2</v>
      </c>
      <c r="P14" s="103">
        <v>25.2</v>
      </c>
      <c r="Q14" s="103">
        <v>25.2</v>
      </c>
      <c r="R14" s="103">
        <v>25.8</v>
      </c>
      <c r="S14" s="103">
        <v>25.8</v>
      </c>
      <c r="T14" s="103">
        <v>25.8</v>
      </c>
      <c r="U14" s="103">
        <v>25.8</v>
      </c>
      <c r="V14" s="103">
        <v>25.8</v>
      </c>
      <c r="W14" s="103">
        <v>25.8</v>
      </c>
      <c r="X14" s="67" t="s">
        <v>221</v>
      </c>
      <c r="Y14" s="67" t="s">
        <v>221</v>
      </c>
      <c r="Z14" s="103">
        <v>25.1</v>
      </c>
      <c r="AA14" s="103">
        <v>25.1</v>
      </c>
      <c r="AB14" s="103">
        <v>25.3</v>
      </c>
      <c r="AC14" s="103">
        <v>25.3</v>
      </c>
      <c r="AD14" s="103">
        <v>25.3</v>
      </c>
      <c r="AE14" s="103">
        <v>25.3</v>
      </c>
      <c r="AF14" s="127">
        <v>25.3</v>
      </c>
      <c r="AG14" s="134">
        <v>50</v>
      </c>
      <c r="AH14" s="21">
        <f t="shared" si="2"/>
        <v>25.8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22.8</v>
      </c>
      <c r="C15" s="123">
        <v>22.8</v>
      </c>
      <c r="D15" s="123">
        <v>22.8</v>
      </c>
      <c r="E15" s="123">
        <v>22.8</v>
      </c>
      <c r="F15" s="123">
        <v>22.8</v>
      </c>
      <c r="G15" s="123">
        <v>22.8</v>
      </c>
      <c r="H15" s="123">
        <v>22.9</v>
      </c>
      <c r="I15" s="123">
        <v>22.9</v>
      </c>
      <c r="J15" s="123">
        <v>22.9</v>
      </c>
      <c r="K15" s="123">
        <v>22.9</v>
      </c>
      <c r="L15" s="123">
        <v>22.9</v>
      </c>
      <c r="M15" s="103">
        <v>22.8</v>
      </c>
      <c r="N15" s="103">
        <v>22.8</v>
      </c>
      <c r="O15" s="103">
        <v>22.8</v>
      </c>
      <c r="P15" s="103">
        <v>22.8</v>
      </c>
      <c r="Q15" s="103">
        <v>22.8</v>
      </c>
      <c r="R15" s="103">
        <v>22.8</v>
      </c>
      <c r="S15" s="103">
        <v>22.8</v>
      </c>
      <c r="T15" s="103">
        <v>22.8</v>
      </c>
      <c r="U15" s="103">
        <v>22.8</v>
      </c>
      <c r="V15" s="103">
        <v>22.8</v>
      </c>
      <c r="W15" s="103">
        <v>22.8</v>
      </c>
      <c r="X15" s="67" t="s">
        <v>222</v>
      </c>
      <c r="Y15" s="67" t="s">
        <v>222</v>
      </c>
      <c r="Z15" s="103">
        <v>22.8</v>
      </c>
      <c r="AA15" s="103">
        <v>22.8</v>
      </c>
      <c r="AB15" s="103">
        <v>22.9</v>
      </c>
      <c r="AC15" s="103">
        <v>22.9</v>
      </c>
      <c r="AD15" s="103">
        <v>22.9</v>
      </c>
      <c r="AE15" s="103">
        <v>22.9</v>
      </c>
      <c r="AF15" s="123">
        <v>22.9</v>
      </c>
      <c r="AG15" s="108">
        <v>45</v>
      </c>
      <c r="AH15" s="21">
        <f t="shared" si="2"/>
        <v>22.9</v>
      </c>
      <c r="AI15" s="20">
        <f t="shared" si="3"/>
        <v>22.8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70" t="s">
        <v>223</v>
      </c>
      <c r="Y16" s="70" t="s">
        <v>223</v>
      </c>
      <c r="Z16" s="103">
        <v>0</v>
      </c>
      <c r="AA16" s="103">
        <v>0</v>
      </c>
      <c r="AB16" s="103">
        <v>20</v>
      </c>
      <c r="AC16" s="103">
        <v>20</v>
      </c>
      <c r="AD16" s="103">
        <v>20</v>
      </c>
      <c r="AE16" s="103">
        <v>20</v>
      </c>
      <c r="AF16" s="127">
        <v>20</v>
      </c>
      <c r="AG16" s="134">
        <v>45</v>
      </c>
      <c r="AH16" s="21">
        <f t="shared" si="2"/>
        <v>20</v>
      </c>
      <c r="AI16" s="20">
        <f t="shared" si="3"/>
        <v>0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67"/>
      <c r="Y17" s="67"/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27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 t="s">
        <v>224</v>
      </c>
      <c r="Y18" s="103" t="s">
        <v>224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27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11.4</v>
      </c>
      <c r="C19" s="127">
        <v>11.4</v>
      </c>
      <c r="D19" s="127">
        <v>11.4</v>
      </c>
      <c r="E19" s="127">
        <v>11.4</v>
      </c>
      <c r="F19" s="127">
        <v>11.4</v>
      </c>
      <c r="G19" s="127">
        <v>11.4</v>
      </c>
      <c r="H19" s="127">
        <v>11.4</v>
      </c>
      <c r="I19" s="127">
        <v>11.4</v>
      </c>
      <c r="J19" s="127">
        <v>11.4</v>
      </c>
      <c r="K19" s="127">
        <v>13.2</v>
      </c>
      <c r="L19" s="127">
        <v>13.2</v>
      </c>
      <c r="M19" s="103">
        <v>13.1</v>
      </c>
      <c r="N19" s="103">
        <v>13.1</v>
      </c>
      <c r="O19" s="103">
        <v>13.1</v>
      </c>
      <c r="P19" s="103">
        <v>13.1</v>
      </c>
      <c r="Q19" s="103">
        <v>13.1</v>
      </c>
      <c r="R19" s="103">
        <v>12.1</v>
      </c>
      <c r="S19" s="103">
        <v>12.1</v>
      </c>
      <c r="T19" s="103">
        <v>12.1</v>
      </c>
      <c r="U19" s="103">
        <v>12.1</v>
      </c>
      <c r="V19" s="103">
        <v>12.1</v>
      </c>
      <c r="W19" s="103">
        <v>12.1</v>
      </c>
      <c r="X19" s="103" t="s">
        <v>225</v>
      </c>
      <c r="Y19" s="103" t="s">
        <v>225</v>
      </c>
      <c r="Z19" s="103">
        <v>11.4</v>
      </c>
      <c r="AA19" s="103">
        <v>11.4</v>
      </c>
      <c r="AB19" s="103">
        <v>12.1</v>
      </c>
      <c r="AC19" s="103">
        <v>12.1</v>
      </c>
      <c r="AD19" s="103">
        <v>12.1</v>
      </c>
      <c r="AE19" s="103">
        <v>13.2</v>
      </c>
      <c r="AF19" s="127">
        <v>13.1</v>
      </c>
      <c r="AG19" s="134">
        <v>30</v>
      </c>
      <c r="AH19" s="21">
        <f t="shared" si="2"/>
        <v>13.2</v>
      </c>
      <c r="AI19" s="20">
        <f t="shared" si="3"/>
        <v>11.4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7.8</v>
      </c>
      <c r="C20" s="127">
        <v>7.8</v>
      </c>
      <c r="D20" s="127">
        <v>7.8</v>
      </c>
      <c r="E20" s="127">
        <v>7.8</v>
      </c>
      <c r="F20" s="127">
        <v>7.8</v>
      </c>
      <c r="G20" s="127">
        <v>7.8</v>
      </c>
      <c r="H20" s="127">
        <v>7.8</v>
      </c>
      <c r="I20" s="127">
        <v>7.8</v>
      </c>
      <c r="J20" s="127">
        <v>7.8</v>
      </c>
      <c r="K20" s="127">
        <v>7.8</v>
      </c>
      <c r="L20" s="127">
        <v>7.8</v>
      </c>
      <c r="M20" s="103">
        <v>7.8</v>
      </c>
      <c r="N20" s="103">
        <v>7.8</v>
      </c>
      <c r="O20" s="103">
        <v>7.8</v>
      </c>
      <c r="P20" s="103">
        <v>7.8</v>
      </c>
      <c r="Q20" s="103">
        <v>7.8</v>
      </c>
      <c r="R20" s="103">
        <v>7.8</v>
      </c>
      <c r="S20" s="103">
        <v>7.8</v>
      </c>
      <c r="T20" s="103">
        <v>7.8</v>
      </c>
      <c r="U20" s="103">
        <v>7.8</v>
      </c>
      <c r="V20" s="103">
        <v>7.8</v>
      </c>
      <c r="W20" s="103">
        <v>7.8</v>
      </c>
      <c r="X20" s="103" t="s">
        <v>219</v>
      </c>
      <c r="Y20" s="103" t="s">
        <v>219</v>
      </c>
      <c r="Z20" s="103">
        <v>7.8</v>
      </c>
      <c r="AA20" s="103">
        <v>7.8</v>
      </c>
      <c r="AB20" s="103">
        <v>7.8</v>
      </c>
      <c r="AC20" s="103">
        <v>7.8</v>
      </c>
      <c r="AD20" s="103">
        <v>7.8</v>
      </c>
      <c r="AE20" s="103">
        <v>7.8</v>
      </c>
      <c r="AF20" s="127">
        <v>8.1</v>
      </c>
      <c r="AG20" s="134">
        <v>27</v>
      </c>
      <c r="AH20" s="21">
        <f t="shared" si="2"/>
        <v>8.1</v>
      </c>
      <c r="AI20" s="20">
        <f t="shared" si="3"/>
        <v>7.8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 t="s">
        <v>221</v>
      </c>
      <c r="Y21" s="103" t="s">
        <v>221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27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16.5</v>
      </c>
      <c r="C22" s="127">
        <v>16.5</v>
      </c>
      <c r="D22" s="127">
        <v>16.5</v>
      </c>
      <c r="E22" s="127">
        <v>16.5</v>
      </c>
      <c r="F22" s="127">
        <v>16.5</v>
      </c>
      <c r="G22" s="127">
        <v>16.5</v>
      </c>
      <c r="H22" s="127">
        <v>16.5</v>
      </c>
      <c r="I22" s="127">
        <v>16.5</v>
      </c>
      <c r="J22" s="127">
        <v>16.5</v>
      </c>
      <c r="K22" s="127">
        <v>16.5</v>
      </c>
      <c r="L22" s="127">
        <v>16.5</v>
      </c>
      <c r="M22" s="103">
        <v>18.7</v>
      </c>
      <c r="N22" s="103">
        <v>18.7</v>
      </c>
      <c r="O22" s="103">
        <v>18.7</v>
      </c>
      <c r="P22" s="103">
        <v>18.7</v>
      </c>
      <c r="Q22" s="103">
        <v>18.7</v>
      </c>
      <c r="R22" s="103">
        <v>20.5</v>
      </c>
      <c r="S22" s="103">
        <v>20.5</v>
      </c>
      <c r="T22" s="103">
        <v>20.5</v>
      </c>
      <c r="U22" s="103">
        <v>20.5</v>
      </c>
      <c r="V22" s="103">
        <v>20.5</v>
      </c>
      <c r="W22" s="103">
        <v>20.5</v>
      </c>
      <c r="X22" s="103" t="s">
        <v>226</v>
      </c>
      <c r="Y22" s="103" t="s">
        <v>226</v>
      </c>
      <c r="Z22" s="103">
        <v>16.5</v>
      </c>
      <c r="AA22" s="103">
        <v>16.5</v>
      </c>
      <c r="AB22" s="103">
        <v>20.5</v>
      </c>
      <c r="AC22" s="103">
        <v>20.5</v>
      </c>
      <c r="AD22" s="103">
        <v>20.5</v>
      </c>
      <c r="AE22" s="103">
        <v>21.5</v>
      </c>
      <c r="AF22" s="127">
        <v>21.6</v>
      </c>
      <c r="AG22" s="134">
        <v>25</v>
      </c>
      <c r="AH22" s="21">
        <f t="shared" si="2"/>
        <v>21.6</v>
      </c>
      <c r="AI22" s="20">
        <f t="shared" si="3"/>
        <v>16.5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 t="s">
        <v>227</v>
      </c>
      <c r="Y23" s="103" t="s">
        <v>227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27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5.2</v>
      </c>
      <c r="C24" s="127">
        <v>5.2</v>
      </c>
      <c r="D24" s="127">
        <v>5.2</v>
      </c>
      <c r="E24" s="127">
        <v>8.6999999999999993</v>
      </c>
      <c r="F24" s="127">
        <v>8.6999999999999993</v>
      </c>
      <c r="G24" s="127">
        <v>8.6999999999999993</v>
      </c>
      <c r="H24" s="127">
        <v>8.1</v>
      </c>
      <c r="I24" s="127">
        <v>8.1</v>
      </c>
      <c r="J24" s="127">
        <v>8.1</v>
      </c>
      <c r="K24" s="127">
        <v>7.3</v>
      </c>
      <c r="L24" s="127">
        <v>7.3</v>
      </c>
      <c r="M24" s="103">
        <v>7.3</v>
      </c>
      <c r="N24" s="103">
        <v>7.3</v>
      </c>
      <c r="O24" s="103">
        <v>7.3</v>
      </c>
      <c r="P24" s="103">
        <v>7.3</v>
      </c>
      <c r="Q24" s="103">
        <v>7.3</v>
      </c>
      <c r="R24" s="103">
        <v>6.4</v>
      </c>
      <c r="S24" s="103">
        <v>6.4</v>
      </c>
      <c r="T24" s="103">
        <v>6.4</v>
      </c>
      <c r="U24" s="103">
        <v>6.4</v>
      </c>
      <c r="V24" s="103">
        <v>6.4</v>
      </c>
      <c r="W24" s="103">
        <v>6.4</v>
      </c>
      <c r="X24" s="103" t="s">
        <v>228</v>
      </c>
      <c r="Y24" s="103" t="s">
        <v>228</v>
      </c>
      <c r="Z24" s="103">
        <v>5.2</v>
      </c>
      <c r="AA24" s="103">
        <v>5.2</v>
      </c>
      <c r="AB24" s="103">
        <v>6.4</v>
      </c>
      <c r="AC24" s="103">
        <v>6.4</v>
      </c>
      <c r="AD24" s="103">
        <v>6.4</v>
      </c>
      <c r="AE24" s="103">
        <v>8.9</v>
      </c>
      <c r="AF24" s="127">
        <v>8.9</v>
      </c>
      <c r="AG24" s="134">
        <v>25</v>
      </c>
      <c r="AH24" s="21">
        <f t="shared" si="2"/>
        <v>8.9</v>
      </c>
      <c r="AI24" s="20">
        <f t="shared" si="3"/>
        <v>5.2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 t="s">
        <v>222</v>
      </c>
      <c r="Y25" s="103" t="s">
        <v>222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27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 t="s">
        <v>224</v>
      </c>
      <c r="Y26" s="103" t="s">
        <v>224</v>
      </c>
      <c r="Z26" s="103">
        <v>0</v>
      </c>
      <c r="AA26" s="103">
        <v>0</v>
      </c>
      <c r="AB26" s="103">
        <v>6.7</v>
      </c>
      <c r="AC26" s="103">
        <v>6.7</v>
      </c>
      <c r="AD26" s="103">
        <v>6.7</v>
      </c>
      <c r="AE26" s="103">
        <v>6.7</v>
      </c>
      <c r="AF26" s="127">
        <v>6.7</v>
      </c>
      <c r="AG26" s="134">
        <v>20</v>
      </c>
      <c r="AH26" s="21">
        <f t="shared" si="2"/>
        <v>6.7</v>
      </c>
      <c r="AI26" s="20">
        <f t="shared" si="3"/>
        <v>0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/>
      <c r="Y27" s="103"/>
      <c r="Z27" s="103">
        <v>2.5</v>
      </c>
      <c r="AA27" s="103">
        <v>2.5</v>
      </c>
      <c r="AB27" s="127">
        <v>2.5</v>
      </c>
      <c r="AC27" s="127">
        <v>2.5</v>
      </c>
      <c r="AD27" s="127">
        <v>2.5</v>
      </c>
      <c r="AE27" s="127">
        <v>2.5</v>
      </c>
      <c r="AF27" s="127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0</v>
      </c>
      <c r="C28" s="127">
        <v>0</v>
      </c>
      <c r="D28" s="127">
        <v>0</v>
      </c>
      <c r="E28" s="127">
        <v>0</v>
      </c>
      <c r="F28" s="127">
        <v>0</v>
      </c>
      <c r="G28" s="127">
        <v>0</v>
      </c>
      <c r="H28" s="127">
        <v>0</v>
      </c>
      <c r="I28" s="127">
        <v>0</v>
      </c>
      <c r="J28" s="127">
        <v>0</v>
      </c>
      <c r="K28" s="127">
        <v>0</v>
      </c>
      <c r="L28" s="127">
        <v>0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/>
      <c r="Y28" s="103"/>
      <c r="Z28" s="103">
        <v>0</v>
      </c>
      <c r="AA28" s="103">
        <v>0</v>
      </c>
      <c r="AB28" s="103">
        <v>5.6</v>
      </c>
      <c r="AC28" s="103">
        <v>5.6</v>
      </c>
      <c r="AD28" s="103">
        <v>5.6</v>
      </c>
      <c r="AE28" s="103">
        <v>5.6</v>
      </c>
      <c r="AF28" s="127">
        <v>5.6</v>
      </c>
      <c r="AG28" s="134">
        <v>22.2</v>
      </c>
      <c r="AH28" s="21">
        <f t="shared" si="2"/>
        <v>5.6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/>
      <c r="Y29" s="103"/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27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/>
      <c r="Y30" s="103"/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27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/>
      <c r="Y31" s="103"/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2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/>
      <c r="Y32" s="103"/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2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0</v>
      </c>
      <c r="V33" s="103">
        <v>0</v>
      </c>
      <c r="W33" s="103">
        <v>0</v>
      </c>
      <c r="X33" s="103"/>
      <c r="Y33" s="103"/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23">
        <v>0</v>
      </c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/>
      <c r="Y34" s="103"/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2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5</v>
      </c>
      <c r="C35" s="123">
        <v>5</v>
      </c>
      <c r="D35" s="123">
        <v>5</v>
      </c>
      <c r="E35" s="123">
        <v>5</v>
      </c>
      <c r="F35" s="123">
        <v>5</v>
      </c>
      <c r="G35" s="123">
        <v>5</v>
      </c>
      <c r="H35" s="123">
        <v>5</v>
      </c>
      <c r="I35" s="123">
        <v>5</v>
      </c>
      <c r="J35" s="123">
        <v>5</v>
      </c>
      <c r="K35" s="123">
        <v>5</v>
      </c>
      <c r="L35" s="123">
        <v>5</v>
      </c>
      <c r="M35" s="103">
        <v>5</v>
      </c>
      <c r="N35" s="103">
        <v>5</v>
      </c>
      <c r="O35" s="103">
        <v>5</v>
      </c>
      <c r="P35" s="103">
        <v>5</v>
      </c>
      <c r="Q35" s="103">
        <v>5</v>
      </c>
      <c r="R35" s="103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/>
      <c r="Y35" s="103"/>
      <c r="Z35" s="103">
        <v>5</v>
      </c>
      <c r="AA35" s="103">
        <v>5</v>
      </c>
      <c r="AB35" s="103">
        <v>0</v>
      </c>
      <c r="AC35" s="103">
        <v>0</v>
      </c>
      <c r="AD35" s="103">
        <v>0</v>
      </c>
      <c r="AE35" s="103">
        <v>0</v>
      </c>
      <c r="AF35" s="123">
        <v>0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/>
      <c r="Y36" s="123"/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57</v>
      </c>
      <c r="C37" s="123">
        <v>53.5</v>
      </c>
      <c r="D37" s="123">
        <v>54</v>
      </c>
      <c r="E37" s="123">
        <v>54.3</v>
      </c>
      <c r="F37" s="123">
        <f>33.8+17.8</f>
        <v>51.599999999999994</v>
      </c>
      <c r="G37" s="123">
        <f>34.1+18.8</f>
        <v>52.900000000000006</v>
      </c>
      <c r="H37" s="123">
        <f>35.5+20.9</f>
        <v>56.4</v>
      </c>
      <c r="I37" s="123">
        <f>33+19.2</f>
        <v>52.2</v>
      </c>
      <c r="J37" s="123">
        <f>31.3+18.4</f>
        <v>49.7</v>
      </c>
      <c r="K37" s="123">
        <f>33+18.8</f>
        <v>51.8</v>
      </c>
      <c r="L37" s="123">
        <f>31.9+18.5</f>
        <v>50.4</v>
      </c>
      <c r="M37" s="128">
        <f>18.4+31.6</f>
        <v>50</v>
      </c>
      <c r="N37" s="128">
        <f>17+30.8</f>
        <v>47.8</v>
      </c>
      <c r="O37" s="128">
        <f>14+28.2</f>
        <v>42.2</v>
      </c>
      <c r="P37" s="128">
        <f>22.1+35.9</f>
        <v>58</v>
      </c>
      <c r="Q37" s="128">
        <f>22.1+35.9</f>
        <v>58</v>
      </c>
      <c r="R37" s="128">
        <f>20.3+33</f>
        <v>53.3</v>
      </c>
      <c r="S37" s="128">
        <f>20.3+33</f>
        <v>53.3</v>
      </c>
      <c r="T37" s="128">
        <v>45</v>
      </c>
      <c r="U37" s="128">
        <v>40</v>
      </c>
      <c r="V37" s="128">
        <v>40</v>
      </c>
      <c r="W37" s="128">
        <v>40</v>
      </c>
      <c r="X37" s="128"/>
      <c r="Y37" s="128"/>
      <c r="Z37" s="128">
        <v>48.8</v>
      </c>
      <c r="AA37" s="128">
        <v>44.5</v>
      </c>
      <c r="AB37" s="128">
        <v>43.4</v>
      </c>
      <c r="AC37" s="128">
        <v>43.3</v>
      </c>
      <c r="AD37" s="128">
        <v>45.4</v>
      </c>
      <c r="AE37" s="128">
        <v>50.1</v>
      </c>
      <c r="AF37" s="123">
        <v>50.5</v>
      </c>
      <c r="AG37" s="106">
        <v>240</v>
      </c>
      <c r="AH37" s="21">
        <f t="shared" si="2"/>
        <v>58</v>
      </c>
      <c r="AI37" s="20">
        <f t="shared" si="3"/>
        <v>40</v>
      </c>
      <c r="AK37" s="42"/>
    </row>
    <row r="38" spans="1:88" ht="15.75" thickBot="1" x14ac:dyDescent="0.3">
      <c r="A38" s="100" t="s">
        <v>173</v>
      </c>
      <c r="B38" s="99">
        <f>SUM(B11:B36)</f>
        <v>427.2</v>
      </c>
      <c r="C38" s="99">
        <f t="shared" ref="C38:AF38" si="4">SUM(C11:C36)</f>
        <v>389.2</v>
      </c>
      <c r="D38" s="99">
        <f t="shared" si="4"/>
        <v>389.2</v>
      </c>
      <c r="E38" s="99">
        <f t="shared" si="4"/>
        <v>400.7</v>
      </c>
      <c r="F38" s="99">
        <f t="shared" si="4"/>
        <v>392.7</v>
      </c>
      <c r="G38" s="99">
        <f t="shared" si="4"/>
        <v>410.7</v>
      </c>
      <c r="H38" s="99">
        <f t="shared" si="4"/>
        <v>422.1</v>
      </c>
      <c r="I38" s="99">
        <f t="shared" si="4"/>
        <v>422.1</v>
      </c>
      <c r="J38" s="99">
        <f t="shared" si="4"/>
        <v>442.09999999999997</v>
      </c>
      <c r="K38" s="99">
        <f t="shared" si="4"/>
        <v>473.1</v>
      </c>
      <c r="L38" s="99">
        <f t="shared" si="4"/>
        <v>493.1</v>
      </c>
      <c r="M38" s="99">
        <f t="shared" si="4"/>
        <v>521</v>
      </c>
      <c r="N38" s="99">
        <f t="shared" si="4"/>
        <v>403</v>
      </c>
      <c r="O38" s="99">
        <f t="shared" si="4"/>
        <v>471.00000000000006</v>
      </c>
      <c r="P38" s="99">
        <f t="shared" si="4"/>
        <v>496.00000000000006</v>
      </c>
      <c r="Q38" s="99">
        <f t="shared" si="4"/>
        <v>496.00000000000006</v>
      </c>
      <c r="R38" s="99">
        <f t="shared" si="4"/>
        <v>500.10000000000008</v>
      </c>
      <c r="S38" s="99">
        <f t="shared" si="4"/>
        <v>520.10000000000014</v>
      </c>
      <c r="T38" s="99">
        <f t="shared" si="4"/>
        <v>510.1</v>
      </c>
      <c r="U38" s="99">
        <f t="shared" si="4"/>
        <v>520.10000000000014</v>
      </c>
      <c r="V38" s="99">
        <f t="shared" si="4"/>
        <v>450.1</v>
      </c>
      <c r="W38" s="99">
        <f t="shared" si="4"/>
        <v>450.1</v>
      </c>
      <c r="X38" s="99">
        <f t="shared" si="4"/>
        <v>0</v>
      </c>
      <c r="Y38" s="99">
        <f t="shared" si="4"/>
        <v>0</v>
      </c>
      <c r="Z38" s="99">
        <f t="shared" si="4"/>
        <v>686.50000000000011</v>
      </c>
      <c r="AA38" s="99">
        <f t="shared" si="4"/>
        <v>626.5</v>
      </c>
      <c r="AB38" s="99">
        <f t="shared" si="4"/>
        <v>646.20000000000005</v>
      </c>
      <c r="AC38" s="99">
        <f t="shared" si="4"/>
        <v>611.20000000000005</v>
      </c>
      <c r="AD38" s="99">
        <f t="shared" si="4"/>
        <v>611.20000000000005</v>
      </c>
      <c r="AE38" s="99">
        <f t="shared" si="4"/>
        <v>577.6</v>
      </c>
      <c r="AF38" s="99">
        <f t="shared" si="4"/>
        <v>528.40000000000009</v>
      </c>
      <c r="AG38" s="106">
        <f>SUM(AG11:AG37)</f>
        <v>1492.8299999999997</v>
      </c>
      <c r="AH38" s="21">
        <f t="shared" si="2"/>
        <v>686.50000000000011</v>
      </c>
      <c r="AI38" s="20">
        <f t="shared" si="3"/>
        <v>0</v>
      </c>
      <c r="AK38" s="42"/>
    </row>
    <row r="39" spans="1:88" x14ac:dyDescent="0.25">
      <c r="A39" s="109" t="s">
        <v>172</v>
      </c>
      <c r="B39" s="127">
        <v>82.9</v>
      </c>
      <c r="C39" s="123">
        <v>61.1</v>
      </c>
      <c r="D39" s="123">
        <v>61.1</v>
      </c>
      <c r="E39" s="123">
        <v>48.5</v>
      </c>
      <c r="F39" s="123">
        <v>0</v>
      </c>
      <c r="G39" s="123">
        <v>48.4</v>
      </c>
      <c r="H39" s="123">
        <v>71.099999999999994</v>
      </c>
      <c r="I39" s="123">
        <v>80</v>
      </c>
      <c r="J39" s="123">
        <v>80</v>
      </c>
      <c r="K39" s="123">
        <v>90.9</v>
      </c>
      <c r="L39" s="123">
        <v>97</v>
      </c>
      <c r="M39" s="103">
        <v>97.1</v>
      </c>
      <c r="N39" s="103">
        <v>60</v>
      </c>
      <c r="O39" s="103">
        <v>98.5</v>
      </c>
      <c r="P39" s="103">
        <v>97.1</v>
      </c>
      <c r="Q39" s="103">
        <v>97.1</v>
      </c>
      <c r="R39" s="103">
        <v>97.2</v>
      </c>
      <c r="S39" s="103">
        <v>145.80000000000001</v>
      </c>
      <c r="T39" s="103">
        <v>145.80000000000001</v>
      </c>
      <c r="U39" s="103">
        <v>145</v>
      </c>
      <c r="V39" s="103">
        <v>145</v>
      </c>
      <c r="W39" s="103">
        <v>145</v>
      </c>
      <c r="X39" s="103"/>
      <c r="Y39" s="103"/>
      <c r="Z39" s="103">
        <v>36</v>
      </c>
      <c r="AA39" s="103">
        <v>110</v>
      </c>
      <c r="AB39" s="103">
        <v>134.19999999999999</v>
      </c>
      <c r="AC39" s="103">
        <v>131.4</v>
      </c>
      <c r="AD39" s="103">
        <v>131.5</v>
      </c>
      <c r="AE39" s="103">
        <v>111.8</v>
      </c>
      <c r="AF39" s="127">
        <v>97.5</v>
      </c>
      <c r="AG39" s="108">
        <v>144</v>
      </c>
      <c r="AH39" s="21">
        <f t="shared" si="2"/>
        <v>145.80000000000001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34.799999999999997</v>
      </c>
      <c r="C40" s="123">
        <v>23.6</v>
      </c>
      <c r="D40" s="123">
        <v>23.6</v>
      </c>
      <c r="E40" s="123">
        <v>35</v>
      </c>
      <c r="F40" s="123">
        <v>22.3</v>
      </c>
      <c r="G40" s="123">
        <v>35</v>
      </c>
      <c r="H40" s="123">
        <v>34.799999999999997</v>
      </c>
      <c r="I40" s="123">
        <v>35</v>
      </c>
      <c r="J40" s="123">
        <v>34.799999999999997</v>
      </c>
      <c r="K40" s="123">
        <v>35.799999999999997</v>
      </c>
      <c r="L40" s="123">
        <v>50.6</v>
      </c>
      <c r="M40" s="73">
        <v>50.1</v>
      </c>
      <c r="N40" s="73">
        <v>23.5</v>
      </c>
      <c r="O40" s="73">
        <v>35.4</v>
      </c>
      <c r="P40" s="73">
        <v>46.3</v>
      </c>
      <c r="Q40" s="73">
        <v>71.900000000000006</v>
      </c>
      <c r="R40" s="73">
        <v>71.099999999999994</v>
      </c>
      <c r="S40" s="73">
        <v>60.6</v>
      </c>
      <c r="T40" s="73">
        <v>60.6</v>
      </c>
      <c r="U40" s="73">
        <v>46</v>
      </c>
      <c r="V40" s="73">
        <v>46</v>
      </c>
      <c r="W40" s="73">
        <v>46</v>
      </c>
      <c r="X40" s="73"/>
      <c r="Y40" s="73"/>
      <c r="Z40" s="73">
        <v>71</v>
      </c>
      <c r="AA40" s="73">
        <v>71</v>
      </c>
      <c r="AB40" s="73">
        <v>50.4</v>
      </c>
      <c r="AC40" s="73">
        <v>50.8</v>
      </c>
      <c r="AD40" s="73">
        <v>51.9</v>
      </c>
      <c r="AE40" s="73">
        <v>50.1</v>
      </c>
      <c r="AF40" s="123">
        <v>48.1</v>
      </c>
      <c r="AG40" s="106">
        <v>70</v>
      </c>
      <c r="AH40" s="21">
        <f t="shared" si="2"/>
        <v>71.900000000000006</v>
      </c>
      <c r="AI40" s="20">
        <f t="shared" si="3"/>
        <v>22.3</v>
      </c>
      <c r="AK40" s="42"/>
    </row>
    <row r="41" spans="1:88" x14ac:dyDescent="0.25">
      <c r="A41" s="107" t="s">
        <v>170</v>
      </c>
      <c r="B41" s="123">
        <v>45.2</v>
      </c>
      <c r="C41" s="123">
        <v>33.1</v>
      </c>
      <c r="D41" s="123">
        <v>41.1</v>
      </c>
      <c r="E41" s="123">
        <v>47.1</v>
      </c>
      <c r="F41" s="123">
        <v>34.4</v>
      </c>
      <c r="G41" s="123">
        <v>35</v>
      </c>
      <c r="H41" s="123">
        <v>46</v>
      </c>
      <c r="I41" s="123">
        <v>46</v>
      </c>
      <c r="J41" s="123">
        <v>46.1</v>
      </c>
      <c r="K41" s="123">
        <v>46.1</v>
      </c>
      <c r="L41" s="123">
        <v>46</v>
      </c>
      <c r="M41" s="73">
        <v>45.8</v>
      </c>
      <c r="N41" s="73">
        <v>33.299999999999997</v>
      </c>
      <c r="O41" s="73">
        <v>46.2</v>
      </c>
      <c r="P41" s="73">
        <v>46.9</v>
      </c>
      <c r="Q41" s="73">
        <v>46</v>
      </c>
      <c r="R41" s="73">
        <v>46.1</v>
      </c>
      <c r="S41" s="73">
        <v>34</v>
      </c>
      <c r="T41" s="73">
        <v>45</v>
      </c>
      <c r="U41" s="73">
        <v>45.5</v>
      </c>
      <c r="V41" s="73">
        <v>45.5</v>
      </c>
      <c r="W41" s="73">
        <v>45.5</v>
      </c>
      <c r="X41" s="73"/>
      <c r="Y41" s="73"/>
      <c r="Z41" s="73">
        <v>68.599999999999994</v>
      </c>
      <c r="AA41" s="73">
        <v>68.599999999999994</v>
      </c>
      <c r="AB41" s="73">
        <v>50.7</v>
      </c>
      <c r="AC41" s="73">
        <v>52.2</v>
      </c>
      <c r="AD41" s="73">
        <v>45.7</v>
      </c>
      <c r="AE41" s="73">
        <v>46.9</v>
      </c>
      <c r="AF41" s="123">
        <v>47.1</v>
      </c>
      <c r="AG41" s="106">
        <v>69</v>
      </c>
      <c r="AH41" s="21">
        <f t="shared" si="2"/>
        <v>68.599999999999994</v>
      </c>
      <c r="AI41" s="20">
        <f t="shared" si="3"/>
        <v>33.1</v>
      </c>
      <c r="AK41" s="42"/>
    </row>
    <row r="42" spans="1:88" x14ac:dyDescent="0.25">
      <c r="A42" s="107" t="s">
        <v>169</v>
      </c>
      <c r="B42" s="123">
        <v>60</v>
      </c>
      <c r="C42" s="123">
        <v>60</v>
      </c>
      <c r="D42" s="123">
        <v>60</v>
      </c>
      <c r="E42" s="123">
        <v>60</v>
      </c>
      <c r="F42" s="123">
        <v>60</v>
      </c>
      <c r="G42" s="123">
        <v>60</v>
      </c>
      <c r="H42" s="123">
        <v>60</v>
      </c>
      <c r="I42" s="123">
        <v>60</v>
      </c>
      <c r="J42" s="123">
        <v>60</v>
      </c>
      <c r="K42" s="123">
        <v>60</v>
      </c>
      <c r="L42" s="123">
        <v>60</v>
      </c>
      <c r="M42" s="73">
        <v>60</v>
      </c>
      <c r="N42" s="73">
        <v>60</v>
      </c>
      <c r="O42" s="73">
        <v>60</v>
      </c>
      <c r="P42" s="73">
        <v>60</v>
      </c>
      <c r="Q42" s="73">
        <v>60</v>
      </c>
      <c r="R42" s="73">
        <v>60</v>
      </c>
      <c r="S42" s="73">
        <v>60</v>
      </c>
      <c r="T42" s="73">
        <v>60</v>
      </c>
      <c r="U42" s="73">
        <v>59.5</v>
      </c>
      <c r="V42" s="73">
        <v>59.5</v>
      </c>
      <c r="W42" s="73">
        <v>59.5</v>
      </c>
      <c r="X42" s="73"/>
      <c r="Y42" s="73"/>
      <c r="Z42" s="73">
        <v>59.7</v>
      </c>
      <c r="AA42" s="73">
        <v>59.7</v>
      </c>
      <c r="AB42" s="73">
        <v>60.9</v>
      </c>
      <c r="AC42" s="73">
        <v>60.7</v>
      </c>
      <c r="AD42" s="73">
        <v>60.7</v>
      </c>
      <c r="AE42" s="73">
        <v>61.2</v>
      </c>
      <c r="AF42" s="123">
        <v>60.9</v>
      </c>
      <c r="AG42" s="106">
        <v>60</v>
      </c>
      <c r="AH42" s="21">
        <f t="shared" si="2"/>
        <v>61.2</v>
      </c>
      <c r="AI42" s="20">
        <f t="shared" si="3"/>
        <v>59.5</v>
      </c>
      <c r="AK42" s="42"/>
    </row>
    <row r="43" spans="1:88" x14ac:dyDescent="0.25">
      <c r="A43" s="107" t="s">
        <v>168</v>
      </c>
      <c r="B43" s="123">
        <v>10.4</v>
      </c>
      <c r="C43" s="123">
        <v>10</v>
      </c>
      <c r="D43" s="123">
        <v>10</v>
      </c>
      <c r="E43" s="123">
        <v>10</v>
      </c>
      <c r="F43" s="123">
        <v>10</v>
      </c>
      <c r="G43" s="123">
        <v>10</v>
      </c>
      <c r="H43" s="123">
        <v>15</v>
      </c>
      <c r="I43" s="123">
        <v>15</v>
      </c>
      <c r="J43" s="123">
        <v>15</v>
      </c>
      <c r="K43" s="123">
        <v>15</v>
      </c>
      <c r="L43" s="123">
        <v>20</v>
      </c>
      <c r="M43" s="103">
        <v>20</v>
      </c>
      <c r="N43" s="103">
        <v>9.6999999999999993</v>
      </c>
      <c r="O43" s="103">
        <v>13.5</v>
      </c>
      <c r="P43" s="103">
        <v>14.1</v>
      </c>
      <c r="Q43" s="103">
        <v>15</v>
      </c>
      <c r="R43" s="103">
        <v>15</v>
      </c>
      <c r="S43" s="103">
        <v>15</v>
      </c>
      <c r="T43" s="103">
        <v>15</v>
      </c>
      <c r="U43" s="103">
        <v>15</v>
      </c>
      <c r="V43" s="103">
        <v>15</v>
      </c>
      <c r="W43" s="103">
        <v>15</v>
      </c>
      <c r="X43" s="103"/>
      <c r="Y43" s="103"/>
      <c r="Z43" s="73">
        <v>28</v>
      </c>
      <c r="AA43" s="73">
        <v>28</v>
      </c>
      <c r="AB43" s="73">
        <v>27.6</v>
      </c>
      <c r="AC43" s="73">
        <v>27.4</v>
      </c>
      <c r="AD43" s="73">
        <v>27.4</v>
      </c>
      <c r="AE43" s="73">
        <v>15</v>
      </c>
      <c r="AF43" s="123">
        <v>15</v>
      </c>
      <c r="AG43" s="106">
        <v>30</v>
      </c>
      <c r="AH43" s="21">
        <f t="shared" si="2"/>
        <v>28</v>
      </c>
      <c r="AI43" s="20">
        <f t="shared" si="3"/>
        <v>9.6999999999999993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/>
      <c r="Y44" s="103"/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2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17.600000000000001</v>
      </c>
      <c r="C45" s="123">
        <v>17.600000000000001</v>
      </c>
      <c r="D45" s="123">
        <v>17.600000000000001</v>
      </c>
      <c r="E45" s="123">
        <v>17.600000000000001</v>
      </c>
      <c r="F45" s="123">
        <v>17.600000000000001</v>
      </c>
      <c r="G45" s="123">
        <v>17.600000000000001</v>
      </c>
      <c r="H45" s="123">
        <v>17.600000000000001</v>
      </c>
      <c r="I45" s="123">
        <v>17.600000000000001</v>
      </c>
      <c r="J45" s="123">
        <v>17.600000000000001</v>
      </c>
      <c r="K45" s="123">
        <v>17.600000000000001</v>
      </c>
      <c r="L45" s="123">
        <v>17.600000000000001</v>
      </c>
      <c r="M45" s="103">
        <v>17.399999999999999</v>
      </c>
      <c r="N45" s="103">
        <v>17.399999999999999</v>
      </c>
      <c r="O45" s="103">
        <v>17.399999999999999</v>
      </c>
      <c r="P45" s="103">
        <v>17.399999999999999</v>
      </c>
      <c r="Q45" s="103">
        <v>17.399999999999999</v>
      </c>
      <c r="R45" s="103">
        <v>17.399999999999999</v>
      </c>
      <c r="S45" s="103">
        <v>17.399999999999999</v>
      </c>
      <c r="T45" s="103">
        <v>17.399999999999999</v>
      </c>
      <c r="U45" s="103">
        <v>17.399999999999999</v>
      </c>
      <c r="V45" s="103">
        <v>17.399999999999999</v>
      </c>
      <c r="W45" s="103">
        <v>17.399999999999999</v>
      </c>
      <c r="X45" s="103"/>
      <c r="Y45" s="103"/>
      <c r="Z45" s="103">
        <v>17.5</v>
      </c>
      <c r="AA45" s="103">
        <v>17.5</v>
      </c>
      <c r="AB45" s="103">
        <v>17.399999999999999</v>
      </c>
      <c r="AC45" s="103">
        <v>17.399999999999999</v>
      </c>
      <c r="AD45" s="103">
        <v>17.399999999999999</v>
      </c>
      <c r="AE45" s="103">
        <v>16.7</v>
      </c>
      <c r="AF45" s="123">
        <v>15.1</v>
      </c>
      <c r="AG45" s="106">
        <v>24</v>
      </c>
      <c r="AH45" s="21">
        <f t="shared" si="2"/>
        <v>17.600000000000001</v>
      </c>
      <c r="AI45" s="20">
        <f t="shared" si="3"/>
        <v>15.1</v>
      </c>
      <c r="AK45" s="42"/>
    </row>
    <row r="46" spans="1:88" x14ac:dyDescent="0.25">
      <c r="A46" s="107" t="s">
        <v>165</v>
      </c>
      <c r="B46" s="123">
        <v>2.2999999999999998</v>
      </c>
      <c r="C46" s="123">
        <v>2.2999999999999998</v>
      </c>
      <c r="D46" s="123">
        <v>2.2999999999999998</v>
      </c>
      <c r="E46" s="123">
        <v>2.2999999999999998</v>
      </c>
      <c r="F46" s="123">
        <v>2.2999999999999998</v>
      </c>
      <c r="G46" s="123">
        <v>2.2999999999999998</v>
      </c>
      <c r="H46" s="123">
        <v>2.2999999999999998</v>
      </c>
      <c r="I46" s="123">
        <v>2.2999999999999998</v>
      </c>
      <c r="J46" s="123">
        <v>2.2999999999999998</v>
      </c>
      <c r="K46" s="123">
        <v>2.2999999999999998</v>
      </c>
      <c r="L46" s="123">
        <v>2.2999999999999998</v>
      </c>
      <c r="M46" s="123">
        <v>2.2999999999999998</v>
      </c>
      <c r="N46" s="103">
        <v>2.2999999999999998</v>
      </c>
      <c r="O46" s="103">
        <v>2.2999999999999998</v>
      </c>
      <c r="P46" s="103">
        <v>2.2999999999999998</v>
      </c>
      <c r="Q46" s="103">
        <v>2.2999999999999998</v>
      </c>
      <c r="R46" s="103">
        <v>2.2999999999999998</v>
      </c>
      <c r="S46" s="103">
        <v>2.2999999999999998</v>
      </c>
      <c r="T46" s="103">
        <v>2.2999999999999998</v>
      </c>
      <c r="U46" s="103">
        <v>2.2999999999999998</v>
      </c>
      <c r="V46" s="103">
        <v>2.2999999999999998</v>
      </c>
      <c r="W46" s="103">
        <v>2.2999999999999998</v>
      </c>
      <c r="X46" s="103"/>
      <c r="Y46" s="103"/>
      <c r="Z46" s="103">
        <v>2.2999999999999998</v>
      </c>
      <c r="AA46" s="103">
        <v>2.2999999999999998</v>
      </c>
      <c r="AB46" s="103">
        <v>2.2999999999999998</v>
      </c>
      <c r="AC46" s="103">
        <v>2.2999999999999998</v>
      </c>
      <c r="AD46" s="103">
        <v>2.2999999999999998</v>
      </c>
      <c r="AE46" s="103">
        <v>2.2999999999999998</v>
      </c>
      <c r="AF46" s="123">
        <v>2.2999999999999998</v>
      </c>
      <c r="AG46" s="106">
        <v>15</v>
      </c>
      <c r="AH46" s="21">
        <f t="shared" si="2"/>
        <v>2.2999999999999998</v>
      </c>
      <c r="AI46" s="20">
        <f t="shared" si="3"/>
        <v>2.2999999999999998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03"/>
      <c r="Y47" s="103"/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2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7.2</v>
      </c>
      <c r="C48" s="123">
        <v>7.2</v>
      </c>
      <c r="D48" s="123">
        <v>7.2</v>
      </c>
      <c r="E48" s="123">
        <v>7.2</v>
      </c>
      <c r="F48" s="123">
        <v>7.2</v>
      </c>
      <c r="G48" s="123">
        <v>7.2</v>
      </c>
      <c r="H48" s="123">
        <v>7.2</v>
      </c>
      <c r="I48" s="123">
        <v>7.2</v>
      </c>
      <c r="J48" s="123">
        <v>7.2</v>
      </c>
      <c r="K48" s="123">
        <v>7.2</v>
      </c>
      <c r="L48" s="123">
        <v>7.2</v>
      </c>
      <c r="M48" s="123">
        <v>7.2</v>
      </c>
      <c r="N48" s="123">
        <v>7.2</v>
      </c>
      <c r="O48" s="123">
        <v>7.2</v>
      </c>
      <c r="P48" s="123">
        <v>7.2</v>
      </c>
      <c r="Q48" s="123">
        <v>7.2</v>
      </c>
      <c r="R48" s="123">
        <v>7.2</v>
      </c>
      <c r="S48" s="123">
        <v>7.2</v>
      </c>
      <c r="T48" s="123">
        <v>7.2</v>
      </c>
      <c r="U48" s="123">
        <v>7.2</v>
      </c>
      <c r="V48" s="123">
        <v>7.2</v>
      </c>
      <c r="W48" s="123">
        <v>7.2</v>
      </c>
      <c r="X48" s="103"/>
      <c r="Y48" s="103"/>
      <c r="Z48" s="103">
        <v>6.1</v>
      </c>
      <c r="AA48" s="103">
        <v>6.1</v>
      </c>
      <c r="AB48" s="103">
        <v>7.2</v>
      </c>
      <c r="AC48" s="103">
        <v>7.2</v>
      </c>
      <c r="AD48" s="103">
        <v>7.2</v>
      </c>
      <c r="AE48" s="103">
        <v>7</v>
      </c>
      <c r="AF48" s="123">
        <v>7</v>
      </c>
      <c r="AG48" s="106">
        <v>14</v>
      </c>
      <c r="AH48" s="21">
        <f t="shared" si="2"/>
        <v>7.2</v>
      </c>
      <c r="AI48" s="20">
        <f t="shared" si="3"/>
        <v>6.1</v>
      </c>
      <c r="AK48" s="42"/>
    </row>
    <row r="49" spans="1:37" x14ac:dyDescent="0.25">
      <c r="A49" s="107" t="s">
        <v>162</v>
      </c>
      <c r="B49" s="123">
        <v>6.3</v>
      </c>
      <c r="C49" s="123">
        <v>6.3</v>
      </c>
      <c r="D49" s="123">
        <v>6.3</v>
      </c>
      <c r="E49" s="123">
        <v>6.3</v>
      </c>
      <c r="F49" s="123">
        <v>6.3</v>
      </c>
      <c r="G49" s="123">
        <v>6.3</v>
      </c>
      <c r="H49" s="123">
        <v>6.3</v>
      </c>
      <c r="I49" s="123">
        <v>6.3</v>
      </c>
      <c r="J49" s="123">
        <v>6.3</v>
      </c>
      <c r="K49" s="123">
        <v>6.3</v>
      </c>
      <c r="L49" s="123">
        <v>6.3</v>
      </c>
      <c r="M49" s="123">
        <v>6.3</v>
      </c>
      <c r="N49" s="123">
        <v>6.3</v>
      </c>
      <c r="O49" s="123">
        <v>6.3</v>
      </c>
      <c r="P49" s="123">
        <v>6.3</v>
      </c>
      <c r="Q49" s="123">
        <v>6.3</v>
      </c>
      <c r="R49" s="123">
        <v>6.3</v>
      </c>
      <c r="S49" s="123">
        <v>6.3</v>
      </c>
      <c r="T49" s="123">
        <v>6.3</v>
      </c>
      <c r="U49" s="123">
        <v>6.3</v>
      </c>
      <c r="V49" s="123">
        <v>6.3</v>
      </c>
      <c r="W49" s="123">
        <v>6.3</v>
      </c>
      <c r="X49" s="103"/>
      <c r="Y49" s="103"/>
      <c r="Z49" s="103">
        <v>5.8</v>
      </c>
      <c r="AA49" s="103">
        <v>5.8</v>
      </c>
      <c r="AB49" s="103">
        <v>6.3</v>
      </c>
      <c r="AC49" s="103">
        <v>6.3</v>
      </c>
      <c r="AD49" s="103">
        <v>6.3</v>
      </c>
      <c r="AE49" s="103">
        <v>6.3</v>
      </c>
      <c r="AF49" s="123">
        <v>6.3</v>
      </c>
      <c r="AG49" s="106">
        <v>10.050000000000001</v>
      </c>
      <c r="AH49" s="21">
        <f t="shared" si="2"/>
        <v>6.3</v>
      </c>
      <c r="AI49" s="20">
        <f t="shared" si="3"/>
        <v>5.8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03"/>
      <c r="Y50" s="103"/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2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284.74000000000007</v>
      </c>
      <c r="C52" s="99">
        <f t="shared" ref="C52:AF52" si="6">SUM(C39:C51)</f>
        <v>239.24</v>
      </c>
      <c r="D52" s="99">
        <f t="shared" si="6"/>
        <v>247.24</v>
      </c>
      <c r="E52" s="99">
        <f t="shared" si="6"/>
        <v>252.04</v>
      </c>
      <c r="F52" s="99">
        <f t="shared" si="6"/>
        <v>178.14000000000001</v>
      </c>
      <c r="G52" s="99">
        <f t="shared" si="6"/>
        <v>239.84</v>
      </c>
      <c r="H52" s="99">
        <f t="shared" si="6"/>
        <v>278.33999999999997</v>
      </c>
      <c r="I52" s="99">
        <f t="shared" si="6"/>
        <v>287.44</v>
      </c>
      <c r="J52" s="99">
        <f t="shared" si="6"/>
        <v>287.34000000000003</v>
      </c>
      <c r="K52" s="99">
        <f t="shared" si="6"/>
        <v>299.24000000000007</v>
      </c>
      <c r="L52" s="99">
        <f t="shared" si="6"/>
        <v>325.04000000000008</v>
      </c>
      <c r="M52" s="99">
        <f t="shared" si="6"/>
        <v>324.24</v>
      </c>
      <c r="N52" s="99">
        <f t="shared" si="6"/>
        <v>237.74</v>
      </c>
      <c r="O52" s="99">
        <f t="shared" si="6"/>
        <v>304.84000000000003</v>
      </c>
      <c r="P52" s="99">
        <f t="shared" si="6"/>
        <v>315.64</v>
      </c>
      <c r="Q52" s="99">
        <f t="shared" si="6"/>
        <v>341.24</v>
      </c>
      <c r="R52" s="99">
        <f t="shared" si="6"/>
        <v>340.64</v>
      </c>
      <c r="S52" s="99">
        <f t="shared" si="6"/>
        <v>366.64</v>
      </c>
      <c r="T52" s="99">
        <f t="shared" si="6"/>
        <v>377.64</v>
      </c>
      <c r="U52" s="99">
        <f t="shared" si="6"/>
        <v>362.24</v>
      </c>
      <c r="V52" s="99">
        <f t="shared" si="6"/>
        <v>362.24</v>
      </c>
      <c r="W52" s="99">
        <f t="shared" si="6"/>
        <v>362.24</v>
      </c>
      <c r="X52" s="99">
        <f t="shared" si="6"/>
        <v>3.54</v>
      </c>
      <c r="Y52" s="99">
        <f t="shared" si="6"/>
        <v>3.54</v>
      </c>
      <c r="Z52" s="99">
        <f t="shared" si="6"/>
        <v>313.04000000000008</v>
      </c>
      <c r="AA52" s="99">
        <f t="shared" si="6"/>
        <v>387.04000000000008</v>
      </c>
      <c r="AB52" s="99">
        <f t="shared" si="6"/>
        <v>375.04</v>
      </c>
      <c r="AC52" s="99">
        <f t="shared" si="6"/>
        <v>373.73999999999995</v>
      </c>
      <c r="AD52" s="99">
        <f t="shared" si="6"/>
        <v>368.44</v>
      </c>
      <c r="AE52" s="99">
        <f t="shared" si="6"/>
        <v>335.34000000000003</v>
      </c>
      <c r="AF52" s="99">
        <f t="shared" si="6"/>
        <v>317.34000000000009</v>
      </c>
      <c r="AG52" s="98">
        <f>SUM(AG39:AG51)</f>
        <v>489.91</v>
      </c>
      <c r="AH52" s="21">
        <f t="shared" si="2"/>
        <v>387.04000000000008</v>
      </c>
      <c r="AI52" s="20">
        <f t="shared" si="3"/>
        <v>3.54</v>
      </c>
      <c r="AK52" s="42"/>
    </row>
    <row r="53" spans="1:37" x14ac:dyDescent="0.25">
      <c r="A53" s="109" t="s">
        <v>159</v>
      </c>
      <c r="B53" s="103">
        <v>59.3</v>
      </c>
      <c r="C53" s="103">
        <v>59.3</v>
      </c>
      <c r="D53" s="103">
        <v>59.3</v>
      </c>
      <c r="E53" s="103">
        <v>59.3</v>
      </c>
      <c r="F53" s="123">
        <v>28.9</v>
      </c>
      <c r="G53" s="123">
        <v>45</v>
      </c>
      <c r="H53" s="123">
        <v>45</v>
      </c>
      <c r="I53" s="123">
        <v>44</v>
      </c>
      <c r="J53" s="123">
        <v>60</v>
      </c>
      <c r="K53" s="123">
        <v>60</v>
      </c>
      <c r="L53" s="123">
        <v>60</v>
      </c>
      <c r="M53" s="122">
        <v>59.8</v>
      </c>
      <c r="N53" s="122">
        <v>0</v>
      </c>
      <c r="O53" s="122">
        <v>0</v>
      </c>
      <c r="P53" s="122">
        <v>59.5</v>
      </c>
      <c r="Q53" s="103">
        <v>59.9</v>
      </c>
      <c r="R53" s="103">
        <v>59.8</v>
      </c>
      <c r="S53" s="103">
        <v>54.5</v>
      </c>
      <c r="T53" s="103">
        <v>54</v>
      </c>
      <c r="U53" s="103">
        <v>59.7</v>
      </c>
      <c r="V53" s="103">
        <v>59.7</v>
      </c>
      <c r="W53" s="103">
        <v>50</v>
      </c>
      <c r="X53" s="103"/>
      <c r="Y53" s="103"/>
      <c r="Z53" s="103">
        <v>50</v>
      </c>
      <c r="AA53" s="103">
        <v>50</v>
      </c>
      <c r="AB53" s="103">
        <v>29.1</v>
      </c>
      <c r="AC53" s="103">
        <v>29.5</v>
      </c>
      <c r="AD53" s="103">
        <v>29.1</v>
      </c>
      <c r="AE53" s="103">
        <v>29.1</v>
      </c>
      <c r="AF53" s="103">
        <v>29.1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28.2</v>
      </c>
      <c r="C54" s="73">
        <v>28.2</v>
      </c>
      <c r="D54" s="73">
        <v>28.2</v>
      </c>
      <c r="E54" s="73">
        <v>28.2</v>
      </c>
      <c r="F54" s="123">
        <v>14.9</v>
      </c>
      <c r="G54" s="123">
        <v>17.7</v>
      </c>
      <c r="H54" s="123">
        <v>19</v>
      </c>
      <c r="I54" s="123">
        <v>20.2</v>
      </c>
      <c r="J54" s="123">
        <v>29.1</v>
      </c>
      <c r="K54" s="123">
        <v>29.6</v>
      </c>
      <c r="L54" s="123">
        <v>29.3</v>
      </c>
      <c r="M54" s="122">
        <v>28.8</v>
      </c>
      <c r="N54" s="122">
        <v>4.7</v>
      </c>
      <c r="O54" s="122">
        <v>0</v>
      </c>
      <c r="P54" s="122">
        <v>30.1</v>
      </c>
      <c r="Q54" s="73">
        <v>29.4</v>
      </c>
      <c r="R54" s="73">
        <v>29</v>
      </c>
      <c r="S54" s="103">
        <v>26</v>
      </c>
      <c r="T54" s="103">
        <v>25</v>
      </c>
      <c r="U54" s="103">
        <v>30.5</v>
      </c>
      <c r="V54" s="103">
        <v>30.5</v>
      </c>
      <c r="W54" s="73">
        <v>29</v>
      </c>
      <c r="X54" s="73"/>
      <c r="Y54" s="73"/>
      <c r="Z54" s="73">
        <v>16</v>
      </c>
      <c r="AA54" s="73">
        <v>16</v>
      </c>
      <c r="AB54" s="73">
        <v>15.2</v>
      </c>
      <c r="AC54" s="73">
        <v>15.1</v>
      </c>
      <c r="AD54" s="73">
        <v>15.2</v>
      </c>
      <c r="AE54" s="73">
        <v>15.2</v>
      </c>
      <c r="AF54" s="73">
        <v>15.1</v>
      </c>
      <c r="AG54" s="106">
        <v>32</v>
      </c>
      <c r="AH54" s="21">
        <f t="shared" si="2"/>
        <v>30.5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10.3</v>
      </c>
      <c r="C55" s="118">
        <v>10.3</v>
      </c>
      <c r="D55" s="118">
        <v>10.3</v>
      </c>
      <c r="E55" s="118">
        <v>10.3</v>
      </c>
      <c r="F55" s="120">
        <v>5.4</v>
      </c>
      <c r="G55" s="120">
        <v>6.5</v>
      </c>
      <c r="H55" s="120">
        <v>6.9</v>
      </c>
      <c r="I55" s="120">
        <v>7.5</v>
      </c>
      <c r="J55" s="120">
        <v>10.6</v>
      </c>
      <c r="K55" s="120">
        <v>10.8</v>
      </c>
      <c r="L55" s="120">
        <v>10.7</v>
      </c>
      <c r="M55" s="119">
        <v>10.5</v>
      </c>
      <c r="N55" s="119">
        <v>1.7</v>
      </c>
      <c r="O55" s="119">
        <v>0</v>
      </c>
      <c r="P55" s="119">
        <v>11</v>
      </c>
      <c r="Q55" s="118">
        <v>10.7</v>
      </c>
      <c r="R55" s="118">
        <v>10.6</v>
      </c>
      <c r="S55" s="103">
        <v>9.5</v>
      </c>
      <c r="T55" s="103">
        <v>9.4</v>
      </c>
      <c r="U55" s="103">
        <v>11.1</v>
      </c>
      <c r="V55" s="103">
        <v>11.1</v>
      </c>
      <c r="W55" s="118">
        <v>10.5</v>
      </c>
      <c r="X55" s="118"/>
      <c r="Y55" s="118"/>
      <c r="Z55" s="118">
        <v>5.9</v>
      </c>
      <c r="AA55" s="118">
        <v>5.9</v>
      </c>
      <c r="AB55" s="118">
        <v>5.5</v>
      </c>
      <c r="AC55" s="118">
        <v>5.5</v>
      </c>
      <c r="AD55" s="118">
        <v>5.5</v>
      </c>
      <c r="AE55" s="118">
        <v>5.5</v>
      </c>
      <c r="AF55" s="118">
        <v>5.5</v>
      </c>
      <c r="AG55" s="117">
        <v>14</v>
      </c>
      <c r="AH55" s="21">
        <f t="shared" si="2"/>
        <v>11.1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97.8</v>
      </c>
      <c r="C56" s="99">
        <f>SUM(C53:C55)</f>
        <v>97.8</v>
      </c>
      <c r="D56" s="99">
        <f t="shared" ref="D56:AF56" si="7">SUM(D53:D55)</f>
        <v>97.8</v>
      </c>
      <c r="E56" s="99">
        <f t="shared" si="7"/>
        <v>97.8</v>
      </c>
      <c r="F56" s="99">
        <f t="shared" si="7"/>
        <v>49.199999999999996</v>
      </c>
      <c r="G56" s="99">
        <f t="shared" si="7"/>
        <v>69.2</v>
      </c>
      <c r="H56" s="99">
        <f t="shared" si="7"/>
        <v>70.900000000000006</v>
      </c>
      <c r="I56" s="99">
        <f t="shared" si="7"/>
        <v>71.7</v>
      </c>
      <c r="J56" s="99">
        <f t="shared" si="7"/>
        <v>99.699999999999989</v>
      </c>
      <c r="K56" s="99">
        <f t="shared" si="7"/>
        <v>100.39999999999999</v>
      </c>
      <c r="L56" s="99">
        <f t="shared" si="7"/>
        <v>100</v>
      </c>
      <c r="M56" s="99">
        <f t="shared" si="7"/>
        <v>99.1</v>
      </c>
      <c r="N56" s="99">
        <f t="shared" si="7"/>
        <v>6.4</v>
      </c>
      <c r="O56" s="99">
        <f t="shared" si="7"/>
        <v>0</v>
      </c>
      <c r="P56" s="99">
        <f t="shared" si="7"/>
        <v>100.6</v>
      </c>
      <c r="Q56" s="99">
        <f t="shared" si="7"/>
        <v>100</v>
      </c>
      <c r="R56" s="99">
        <f t="shared" si="7"/>
        <v>99.399999999999991</v>
      </c>
      <c r="S56" s="99">
        <f t="shared" si="7"/>
        <v>90</v>
      </c>
      <c r="T56" s="99">
        <f t="shared" si="7"/>
        <v>88.4</v>
      </c>
      <c r="U56" s="99">
        <f t="shared" si="7"/>
        <v>101.3</v>
      </c>
      <c r="V56" s="99">
        <f t="shared" si="7"/>
        <v>101.3</v>
      </c>
      <c r="W56" s="99">
        <f t="shared" si="7"/>
        <v>89.5</v>
      </c>
      <c r="X56" s="99">
        <f t="shared" si="7"/>
        <v>0</v>
      </c>
      <c r="Y56" s="99">
        <f t="shared" si="7"/>
        <v>0</v>
      </c>
      <c r="Z56" s="99">
        <f t="shared" si="7"/>
        <v>71.900000000000006</v>
      </c>
      <c r="AA56" s="99">
        <f t="shared" si="7"/>
        <v>71.900000000000006</v>
      </c>
      <c r="AB56" s="99">
        <f t="shared" si="7"/>
        <v>49.8</v>
      </c>
      <c r="AC56" s="99">
        <f t="shared" si="7"/>
        <v>50.1</v>
      </c>
      <c r="AD56" s="99">
        <f t="shared" si="7"/>
        <v>49.8</v>
      </c>
      <c r="AE56" s="99">
        <f t="shared" si="7"/>
        <v>49.8</v>
      </c>
      <c r="AF56" s="99">
        <f t="shared" si="7"/>
        <v>49.7</v>
      </c>
      <c r="AG56" s="98">
        <f>SUM(AG53:AG55)</f>
        <v>106</v>
      </c>
      <c r="AH56" s="21">
        <f t="shared" si="2"/>
        <v>101.3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40.700000000000003</v>
      </c>
      <c r="C57" s="103">
        <v>40</v>
      </c>
      <c r="D57" s="103">
        <v>39.1</v>
      </c>
      <c r="E57" s="103">
        <v>37.700000000000003</v>
      </c>
      <c r="F57" s="103">
        <v>50.4</v>
      </c>
      <c r="G57" s="103">
        <v>36.799999999999997</v>
      </c>
      <c r="H57" s="103">
        <v>32</v>
      </c>
      <c r="I57" s="103">
        <v>33</v>
      </c>
      <c r="J57" s="103">
        <v>37.200000000000003</v>
      </c>
      <c r="K57" s="103">
        <v>38.700000000000003</v>
      </c>
      <c r="L57" s="103">
        <v>33.9</v>
      </c>
      <c r="M57" s="103">
        <v>31</v>
      </c>
      <c r="N57" s="103">
        <v>66.099999999999994</v>
      </c>
      <c r="O57" s="103">
        <v>68.12</v>
      </c>
      <c r="P57" s="103">
        <v>39.200000000000003</v>
      </c>
      <c r="Q57" s="103">
        <v>34.450000000000003</v>
      </c>
      <c r="R57" s="103">
        <v>38.299999999999997</v>
      </c>
      <c r="S57" s="103">
        <v>37</v>
      </c>
      <c r="T57" s="103">
        <v>41</v>
      </c>
      <c r="U57" s="103">
        <v>47</v>
      </c>
      <c r="V57" s="103">
        <v>36</v>
      </c>
      <c r="W57" s="103">
        <v>50</v>
      </c>
      <c r="X57" s="103"/>
      <c r="Y57" s="103"/>
      <c r="Z57" s="103">
        <v>70</v>
      </c>
      <c r="AA57" s="103">
        <v>70</v>
      </c>
      <c r="AB57" s="103">
        <v>64.400000000000006</v>
      </c>
      <c r="AC57" s="103">
        <v>63.6</v>
      </c>
      <c r="AD57" s="103">
        <v>59.3</v>
      </c>
      <c r="AE57" s="103">
        <v>41.3</v>
      </c>
      <c r="AF57" s="103">
        <v>41</v>
      </c>
      <c r="AG57" s="108"/>
      <c r="AH57" s="21">
        <f t="shared" si="2"/>
        <v>70</v>
      </c>
      <c r="AI57" s="20">
        <f t="shared" si="3"/>
        <v>31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40</v>
      </c>
      <c r="H58" s="73">
        <v>40</v>
      </c>
      <c r="I58" s="73">
        <v>45</v>
      </c>
      <c r="J58" s="73">
        <v>69</v>
      </c>
      <c r="K58" s="73">
        <v>73</v>
      </c>
      <c r="L58" s="73">
        <v>85</v>
      </c>
      <c r="M58" s="103">
        <v>89</v>
      </c>
      <c r="N58" s="103">
        <v>166</v>
      </c>
      <c r="O58" s="103">
        <f>104.7+72</f>
        <v>176.7</v>
      </c>
      <c r="P58" s="103">
        <v>170</v>
      </c>
      <c r="Q58" s="103">
        <f>110+76</f>
        <v>186</v>
      </c>
      <c r="R58" s="103">
        <f>115+75</f>
        <v>190</v>
      </c>
      <c r="S58" s="103">
        <v>186</v>
      </c>
      <c r="T58" s="103">
        <f>56+108</f>
        <v>164</v>
      </c>
      <c r="U58" s="103">
        <v>162</v>
      </c>
      <c r="V58" s="103">
        <v>160</v>
      </c>
      <c r="W58" s="103">
        <v>160</v>
      </c>
      <c r="X58" s="116"/>
      <c r="Y58" s="116"/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190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38</v>
      </c>
      <c r="C59" s="73">
        <v>43</v>
      </c>
      <c r="D59" s="73">
        <v>30.9</v>
      </c>
      <c r="E59" s="73">
        <v>41.5</v>
      </c>
      <c r="F59" s="73">
        <v>147</v>
      </c>
      <c r="G59" s="73">
        <v>28</v>
      </c>
      <c r="H59" s="103">
        <v>29.3</v>
      </c>
      <c r="I59" s="103">
        <v>45</v>
      </c>
      <c r="J59" s="103">
        <v>68</v>
      </c>
      <c r="K59" s="103">
        <v>64.099999999999994</v>
      </c>
      <c r="L59" s="103">
        <v>67.3</v>
      </c>
      <c r="M59" s="73">
        <v>55</v>
      </c>
      <c r="N59" s="73">
        <v>214.9</v>
      </c>
      <c r="O59" s="73">
        <v>126.3</v>
      </c>
      <c r="P59" s="73">
        <v>30.6</v>
      </c>
      <c r="Q59" s="73">
        <v>17.8</v>
      </c>
      <c r="R59" s="73">
        <v>34.1</v>
      </c>
      <c r="S59" s="73">
        <v>25</v>
      </c>
      <c r="T59" s="73">
        <v>35</v>
      </c>
      <c r="U59" s="73">
        <v>56</v>
      </c>
      <c r="V59" s="73">
        <v>66</v>
      </c>
      <c r="W59" s="73">
        <v>62.6</v>
      </c>
      <c r="X59" s="115"/>
      <c r="Y59" s="115"/>
      <c r="Z59" s="115">
        <v>53</v>
      </c>
      <c r="AA59" s="115">
        <v>53</v>
      </c>
      <c r="AB59" s="73">
        <v>71.8</v>
      </c>
      <c r="AC59" s="73">
        <v>72.400000000000006</v>
      </c>
      <c r="AD59" s="73">
        <v>51.9</v>
      </c>
      <c r="AE59" s="73">
        <v>20.2</v>
      </c>
      <c r="AF59" s="73">
        <v>22.1</v>
      </c>
      <c r="AG59" s="113"/>
      <c r="AH59" s="21">
        <f t="shared" si="2"/>
        <v>214.9</v>
      </c>
      <c r="AI59" s="20">
        <f t="shared" si="3"/>
        <v>17.8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10</v>
      </c>
      <c r="H60" s="77">
        <v>10</v>
      </c>
      <c r="I60" s="77">
        <v>10</v>
      </c>
      <c r="J60" s="77">
        <v>10</v>
      </c>
      <c r="K60" s="77">
        <v>10</v>
      </c>
      <c r="L60" s="77">
        <v>10</v>
      </c>
      <c r="M60" s="73">
        <v>12</v>
      </c>
      <c r="N60" s="73">
        <v>51.1</v>
      </c>
      <c r="O60" s="73">
        <v>58</v>
      </c>
      <c r="P60" s="73">
        <v>57.6</v>
      </c>
      <c r="Q60" s="73">
        <v>57.6</v>
      </c>
      <c r="R60" s="73">
        <v>57.1</v>
      </c>
      <c r="S60" s="73">
        <v>56</v>
      </c>
      <c r="T60" s="73">
        <v>58</v>
      </c>
      <c r="U60" s="73">
        <v>53</v>
      </c>
      <c r="V60" s="73">
        <v>56</v>
      </c>
      <c r="W60" s="73">
        <v>55</v>
      </c>
      <c r="X60" s="73"/>
      <c r="Y60" s="73"/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7">
        <v>0</v>
      </c>
      <c r="AG60" s="113"/>
      <c r="AH60" s="21">
        <f t="shared" si="2"/>
        <v>58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77">
        <v>46</v>
      </c>
      <c r="D61" s="77">
        <v>44</v>
      </c>
      <c r="E61" s="77">
        <v>0</v>
      </c>
      <c r="F61" s="77">
        <v>0</v>
      </c>
      <c r="G61" s="77">
        <v>40</v>
      </c>
      <c r="H61" s="77">
        <v>39.200000000000003</v>
      </c>
      <c r="I61" s="77">
        <v>38</v>
      </c>
      <c r="J61" s="77">
        <v>37.799999999999997</v>
      </c>
      <c r="K61" s="77">
        <v>38</v>
      </c>
      <c r="L61" s="77">
        <v>38.4</v>
      </c>
      <c r="M61" s="103">
        <v>37.1</v>
      </c>
      <c r="N61" s="103">
        <v>49.7</v>
      </c>
      <c r="O61" s="103">
        <v>71.099999999999994</v>
      </c>
      <c r="P61" s="103">
        <v>72.5</v>
      </c>
      <c r="Q61" s="103">
        <v>67.900000000000006</v>
      </c>
      <c r="R61" s="103">
        <v>76.3</v>
      </c>
      <c r="S61" s="103">
        <v>64</v>
      </c>
      <c r="T61" s="103">
        <v>77</v>
      </c>
      <c r="U61" s="103">
        <v>79</v>
      </c>
      <c r="V61" s="103">
        <v>72</v>
      </c>
      <c r="W61" s="103">
        <v>75.5</v>
      </c>
      <c r="X61" s="103"/>
      <c r="Y61" s="103"/>
      <c r="Z61" s="103">
        <v>0</v>
      </c>
      <c r="AA61" s="103">
        <v>0</v>
      </c>
      <c r="AB61" s="103">
        <v>11.7</v>
      </c>
      <c r="AC61" s="103">
        <v>12</v>
      </c>
      <c r="AD61" s="103">
        <v>11.6</v>
      </c>
      <c r="AE61" s="103">
        <v>17.2</v>
      </c>
      <c r="AF61" s="103">
        <v>17.100000000000001</v>
      </c>
      <c r="AG61" s="113"/>
      <c r="AH61" s="21">
        <f t="shared" si="2"/>
        <v>79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73">
        <v>6</v>
      </c>
      <c r="E62" s="73">
        <v>6</v>
      </c>
      <c r="F62" s="73">
        <v>6</v>
      </c>
      <c r="G62" s="73">
        <v>6</v>
      </c>
      <c r="H62" s="73">
        <v>6</v>
      </c>
      <c r="I62" s="73">
        <v>6</v>
      </c>
      <c r="J62" s="73">
        <v>6</v>
      </c>
      <c r="K62" s="73">
        <v>6</v>
      </c>
      <c r="L62" s="73">
        <v>6</v>
      </c>
      <c r="M62" s="73">
        <v>6</v>
      </c>
      <c r="N62" s="67">
        <v>0</v>
      </c>
      <c r="O62" s="67">
        <v>0</v>
      </c>
      <c r="P62" s="67">
        <v>6</v>
      </c>
      <c r="Q62" s="67">
        <v>6</v>
      </c>
      <c r="R62" s="67">
        <v>6</v>
      </c>
      <c r="S62" s="67">
        <v>6</v>
      </c>
      <c r="T62" s="67">
        <v>6</v>
      </c>
      <c r="U62" s="67">
        <v>6</v>
      </c>
      <c r="V62" s="67">
        <v>6</v>
      </c>
      <c r="W62" s="67">
        <v>6</v>
      </c>
      <c r="X62" s="67"/>
      <c r="Y62" s="67"/>
      <c r="Z62" s="67">
        <v>9</v>
      </c>
      <c r="AA62" s="67">
        <v>9</v>
      </c>
      <c r="AB62" s="67">
        <v>6</v>
      </c>
      <c r="AC62" s="67">
        <v>6</v>
      </c>
      <c r="AD62" s="67">
        <v>6</v>
      </c>
      <c r="AE62" s="67">
        <v>6</v>
      </c>
      <c r="AF62" s="67">
        <v>6</v>
      </c>
      <c r="AG62" s="113"/>
      <c r="AH62" s="21">
        <f t="shared" si="2"/>
        <v>9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103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/>
      <c r="Y63" s="67"/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8.5</v>
      </c>
      <c r="C64" s="77">
        <v>8.5</v>
      </c>
      <c r="D64" s="77">
        <v>8.5</v>
      </c>
      <c r="E64" s="77">
        <v>8.5</v>
      </c>
      <c r="F64" s="77">
        <v>8.5</v>
      </c>
      <c r="G64" s="77">
        <v>8.5</v>
      </c>
      <c r="H64" s="77">
        <v>8.5</v>
      </c>
      <c r="I64" s="77">
        <v>8.5</v>
      </c>
      <c r="J64" s="77">
        <v>8.5</v>
      </c>
      <c r="K64" s="77">
        <v>8.5</v>
      </c>
      <c r="L64" s="77">
        <v>8.5</v>
      </c>
      <c r="M64" s="77">
        <v>8.5</v>
      </c>
      <c r="N64" s="77">
        <v>8.5</v>
      </c>
      <c r="O64" s="77">
        <v>8.5</v>
      </c>
      <c r="P64" s="77">
        <v>8.5</v>
      </c>
      <c r="Q64" s="77">
        <v>8.5</v>
      </c>
      <c r="R64" s="77">
        <v>8.5</v>
      </c>
      <c r="S64" s="77">
        <v>8.5</v>
      </c>
      <c r="T64" s="77">
        <v>8.5</v>
      </c>
      <c r="U64" s="77">
        <v>8.5</v>
      </c>
      <c r="V64" s="77">
        <v>8.5</v>
      </c>
      <c r="W64" s="77">
        <v>8.5</v>
      </c>
      <c r="X64" s="77"/>
      <c r="Y64" s="77"/>
      <c r="Z64" s="77">
        <v>0</v>
      </c>
      <c r="AA64" s="77">
        <v>0</v>
      </c>
      <c r="AB64" s="77">
        <v>8.5</v>
      </c>
      <c r="AC64" s="77">
        <v>8.5</v>
      </c>
      <c r="AD64" s="77">
        <v>8.5</v>
      </c>
      <c r="AE64" s="77">
        <v>8.5</v>
      </c>
      <c r="AF64" s="77">
        <v>8.5</v>
      </c>
      <c r="AG64" s="113"/>
      <c r="AH64" s="21">
        <f t="shared" si="2"/>
        <v>8.5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/>
      <c r="Y65" s="77"/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6</v>
      </c>
      <c r="C66" s="70">
        <v>6</v>
      </c>
      <c r="D66" s="70">
        <v>6</v>
      </c>
      <c r="E66" s="70">
        <v>6</v>
      </c>
      <c r="F66" s="77">
        <v>6</v>
      </c>
      <c r="G66" s="77">
        <v>6</v>
      </c>
      <c r="H66" s="77">
        <v>6</v>
      </c>
      <c r="I66" s="77">
        <v>6</v>
      </c>
      <c r="J66" s="77">
        <v>6</v>
      </c>
      <c r="K66" s="77">
        <v>6</v>
      </c>
      <c r="L66" s="77">
        <v>6</v>
      </c>
      <c r="M66" s="77">
        <v>6</v>
      </c>
      <c r="N66" s="70">
        <v>6</v>
      </c>
      <c r="O66" s="70">
        <v>6</v>
      </c>
      <c r="P66" s="70">
        <v>6</v>
      </c>
      <c r="Q66" s="70">
        <v>6</v>
      </c>
      <c r="R66" s="70">
        <v>6</v>
      </c>
      <c r="S66" s="70">
        <v>6</v>
      </c>
      <c r="T66" s="70">
        <v>6</v>
      </c>
      <c r="U66" s="70">
        <v>6</v>
      </c>
      <c r="V66" s="70">
        <v>6</v>
      </c>
      <c r="W66" s="70">
        <v>6</v>
      </c>
      <c r="X66" s="70"/>
      <c r="Y66" s="70"/>
      <c r="Z66" s="70">
        <v>6</v>
      </c>
      <c r="AA66" s="70">
        <v>6</v>
      </c>
      <c r="AB66" s="70">
        <v>15</v>
      </c>
      <c r="AC66" s="70">
        <v>15</v>
      </c>
      <c r="AD66" s="70">
        <v>15</v>
      </c>
      <c r="AE66" s="70">
        <v>15.3</v>
      </c>
      <c r="AF66" s="70">
        <v>14.5</v>
      </c>
      <c r="AG66" s="102"/>
      <c r="AH66" s="21">
        <f t="shared" si="2"/>
        <v>15.3</v>
      </c>
      <c r="AI66" s="20">
        <f t="shared" si="3"/>
        <v>6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/>
      <c r="Y67" s="70"/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104.2</v>
      </c>
      <c r="C68" s="99">
        <f>SUM(C57:C67)</f>
        <v>154.5</v>
      </c>
      <c r="D68" s="99">
        <f t="shared" ref="D68:AF68" si="8">SUM(D57:D67)</f>
        <v>137.5</v>
      </c>
      <c r="E68" s="99">
        <f t="shared" si="8"/>
        <v>102.7</v>
      </c>
      <c r="F68" s="99">
        <f t="shared" si="8"/>
        <v>220.9</v>
      </c>
      <c r="G68" s="99">
        <f t="shared" si="8"/>
        <v>178.3</v>
      </c>
      <c r="H68" s="99">
        <f t="shared" si="8"/>
        <v>174</v>
      </c>
      <c r="I68" s="99">
        <f t="shared" si="8"/>
        <v>194.5</v>
      </c>
      <c r="J68" s="99">
        <f t="shared" si="8"/>
        <v>245.5</v>
      </c>
      <c r="K68" s="99">
        <f t="shared" si="8"/>
        <v>247.3</v>
      </c>
      <c r="L68" s="99">
        <f t="shared" si="8"/>
        <v>258.10000000000002</v>
      </c>
      <c r="M68" s="99">
        <f t="shared" si="8"/>
        <v>247.6</v>
      </c>
      <c r="N68" s="99">
        <f t="shared" si="8"/>
        <v>565.30000000000007</v>
      </c>
      <c r="O68" s="99">
        <f t="shared" si="8"/>
        <v>517.72</v>
      </c>
      <c r="P68" s="99">
        <f t="shared" si="8"/>
        <v>393.4</v>
      </c>
      <c r="Q68" s="99">
        <f t="shared" si="8"/>
        <v>387.25</v>
      </c>
      <c r="R68" s="99">
        <f t="shared" si="8"/>
        <v>419.30000000000007</v>
      </c>
      <c r="S68" s="99">
        <f t="shared" si="8"/>
        <v>391.5</v>
      </c>
      <c r="T68" s="99">
        <f t="shared" si="8"/>
        <v>398.5</v>
      </c>
      <c r="U68" s="99">
        <f t="shared" si="8"/>
        <v>420.5</v>
      </c>
      <c r="V68" s="99">
        <f t="shared" si="8"/>
        <v>413.5</v>
      </c>
      <c r="W68" s="99">
        <f t="shared" si="8"/>
        <v>426.6</v>
      </c>
      <c r="X68" s="99">
        <f t="shared" si="8"/>
        <v>0</v>
      </c>
      <c r="Y68" s="99">
        <f t="shared" si="8"/>
        <v>0</v>
      </c>
      <c r="Z68" s="99">
        <f t="shared" si="8"/>
        <v>141</v>
      </c>
      <c r="AA68" s="99">
        <f t="shared" si="8"/>
        <v>141</v>
      </c>
      <c r="AB68" s="99">
        <f t="shared" si="8"/>
        <v>180.39999999999998</v>
      </c>
      <c r="AC68" s="99">
        <f t="shared" si="8"/>
        <v>180.5</v>
      </c>
      <c r="AD68" s="99">
        <f t="shared" si="8"/>
        <v>155.29999999999998</v>
      </c>
      <c r="AE68" s="99">
        <f t="shared" si="8"/>
        <v>111.5</v>
      </c>
      <c r="AF68" s="99">
        <f t="shared" si="8"/>
        <v>112.2</v>
      </c>
      <c r="AG68" s="98">
        <f>SUM(AG57:AG67)</f>
        <v>0</v>
      </c>
      <c r="AH68" s="21">
        <f t="shared" si="2"/>
        <v>565.30000000000007</v>
      </c>
      <c r="AI68" s="20">
        <f t="shared" si="3"/>
        <v>0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913.94</v>
      </c>
      <c r="C73" s="110">
        <f>C68+C56+C52+C38+C72</f>
        <v>880.74</v>
      </c>
      <c r="D73" s="110">
        <f t="shared" ref="D73:AG73" si="10">D68+D56+D52+D38+D72</f>
        <v>871.74</v>
      </c>
      <c r="E73" s="110">
        <f t="shared" si="10"/>
        <v>853.24</v>
      </c>
      <c r="F73" s="110">
        <f t="shared" si="10"/>
        <v>840.94</v>
      </c>
      <c r="G73" s="110">
        <f t="shared" si="10"/>
        <v>898.04</v>
      </c>
      <c r="H73" s="110">
        <f t="shared" si="10"/>
        <v>945.34</v>
      </c>
      <c r="I73" s="110">
        <f t="shared" si="10"/>
        <v>975.74</v>
      </c>
      <c r="J73" s="110">
        <f t="shared" si="10"/>
        <v>1074.6399999999999</v>
      </c>
      <c r="K73" s="110">
        <f t="shared" si="10"/>
        <v>1120.04</v>
      </c>
      <c r="L73" s="110">
        <f t="shared" si="10"/>
        <v>1176.2400000000002</v>
      </c>
      <c r="M73" s="110">
        <f t="shared" si="10"/>
        <v>1191.94</v>
      </c>
      <c r="N73" s="110">
        <f t="shared" si="10"/>
        <v>1212.44</v>
      </c>
      <c r="O73" s="110">
        <f t="shared" si="10"/>
        <v>1293.5600000000002</v>
      </c>
      <c r="P73" s="110">
        <f t="shared" si="10"/>
        <v>1305.6400000000001</v>
      </c>
      <c r="Q73" s="110">
        <f t="shared" si="10"/>
        <v>1324.49</v>
      </c>
      <c r="R73" s="110">
        <f t="shared" si="10"/>
        <v>1359.44</v>
      </c>
      <c r="S73" s="110">
        <f t="shared" si="10"/>
        <v>1368.2400000000002</v>
      </c>
      <c r="T73" s="110">
        <f t="shared" si="10"/>
        <v>1374.6399999999999</v>
      </c>
      <c r="U73" s="110">
        <f t="shared" si="10"/>
        <v>1404.14</v>
      </c>
      <c r="V73" s="110">
        <f t="shared" si="10"/>
        <v>1327.1399999999999</v>
      </c>
      <c r="W73" s="110">
        <f t="shared" si="10"/>
        <v>1328.44</v>
      </c>
      <c r="X73" s="110">
        <f t="shared" si="10"/>
        <v>3.54</v>
      </c>
      <c r="Y73" s="110">
        <f t="shared" si="10"/>
        <v>3.54</v>
      </c>
      <c r="Z73" s="110">
        <f t="shared" si="10"/>
        <v>1212.44</v>
      </c>
      <c r="AA73" s="110">
        <f t="shared" si="10"/>
        <v>1226.44</v>
      </c>
      <c r="AB73" s="110">
        <f t="shared" si="10"/>
        <v>1251.44</v>
      </c>
      <c r="AC73" s="110">
        <f t="shared" si="10"/>
        <v>1215.54</v>
      </c>
      <c r="AD73" s="110">
        <f t="shared" si="10"/>
        <v>1184.74</v>
      </c>
      <c r="AE73" s="110">
        <f t="shared" si="10"/>
        <v>1074.24</v>
      </c>
      <c r="AF73" s="110">
        <f t="shared" si="10"/>
        <v>1007.6400000000002</v>
      </c>
      <c r="AG73" s="110">
        <f t="shared" si="10"/>
        <v>2144.14</v>
      </c>
      <c r="AH73" s="21">
        <f t="shared" si="2"/>
        <v>1404.14</v>
      </c>
      <c r="AI73" s="20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200</v>
      </c>
      <c r="C74" s="111">
        <v>200</v>
      </c>
      <c r="D74" s="111">
        <v>200</v>
      </c>
      <c r="E74" s="111">
        <v>200</v>
      </c>
      <c r="F74" s="111">
        <v>200</v>
      </c>
      <c r="G74" s="111">
        <v>200</v>
      </c>
      <c r="H74" s="111">
        <v>175</v>
      </c>
      <c r="I74" s="111">
        <v>175</v>
      </c>
      <c r="J74" s="111">
        <v>175</v>
      </c>
      <c r="K74" s="111">
        <v>175</v>
      </c>
      <c r="L74" s="111">
        <v>175</v>
      </c>
      <c r="M74" s="111">
        <v>175</v>
      </c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>
        <v>350</v>
      </c>
      <c r="AB74" s="111">
        <v>280</v>
      </c>
      <c r="AC74" s="111">
        <v>260</v>
      </c>
      <c r="AD74" s="111">
        <v>250</v>
      </c>
      <c r="AE74" s="111">
        <v>170</v>
      </c>
      <c r="AF74" s="111">
        <v>150</v>
      </c>
      <c r="AG74" s="98"/>
      <c r="AH74" s="21">
        <f t="shared" si="2"/>
        <v>350</v>
      </c>
      <c r="AI74" s="20">
        <f t="shared" si="3"/>
        <v>150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1113.94</v>
      </c>
      <c r="C75" s="110">
        <f>C73+C74</f>
        <v>1080.74</v>
      </c>
      <c r="D75" s="110">
        <f t="shared" ref="D75:AF75" si="11">D72+D68+D56+D52+D38+D74</f>
        <v>1071.74</v>
      </c>
      <c r="E75" s="110">
        <f t="shared" si="11"/>
        <v>1053.24</v>
      </c>
      <c r="F75" s="110">
        <f t="shared" si="11"/>
        <v>1040.94</v>
      </c>
      <c r="G75" s="110">
        <f t="shared" si="11"/>
        <v>1098.04</v>
      </c>
      <c r="H75" s="110">
        <f t="shared" si="11"/>
        <v>1120.3400000000001</v>
      </c>
      <c r="I75" s="110">
        <f t="shared" si="11"/>
        <v>1150.74</v>
      </c>
      <c r="J75" s="110">
        <f t="shared" si="11"/>
        <v>1249.6399999999999</v>
      </c>
      <c r="K75" s="110">
        <f t="shared" si="11"/>
        <v>1295.04</v>
      </c>
      <c r="L75" s="110">
        <f t="shared" si="11"/>
        <v>1351.2400000000002</v>
      </c>
      <c r="M75" s="110">
        <f t="shared" si="11"/>
        <v>1366.94</v>
      </c>
      <c r="N75" s="110">
        <f t="shared" si="11"/>
        <v>1212.44</v>
      </c>
      <c r="O75" s="110">
        <f t="shared" si="11"/>
        <v>1293.5600000000002</v>
      </c>
      <c r="P75" s="110">
        <f t="shared" si="11"/>
        <v>1305.6400000000001</v>
      </c>
      <c r="Q75" s="110">
        <f t="shared" si="11"/>
        <v>1324.49</v>
      </c>
      <c r="R75" s="110">
        <f t="shared" si="11"/>
        <v>1359.44</v>
      </c>
      <c r="S75" s="110">
        <f t="shared" si="11"/>
        <v>1368.2400000000002</v>
      </c>
      <c r="T75" s="110">
        <f t="shared" si="11"/>
        <v>1374.6399999999999</v>
      </c>
      <c r="U75" s="110">
        <f t="shared" si="11"/>
        <v>1404.14</v>
      </c>
      <c r="V75" s="110">
        <f t="shared" si="11"/>
        <v>1327.1399999999999</v>
      </c>
      <c r="W75" s="110">
        <f t="shared" si="11"/>
        <v>1328.44</v>
      </c>
      <c r="X75" s="110">
        <f t="shared" si="11"/>
        <v>3.54</v>
      </c>
      <c r="Y75" s="110">
        <f t="shared" si="11"/>
        <v>3.54</v>
      </c>
      <c r="Z75" s="110">
        <f t="shared" si="11"/>
        <v>1212.44</v>
      </c>
      <c r="AA75" s="110">
        <f t="shared" si="11"/>
        <v>1576.44</v>
      </c>
      <c r="AB75" s="110">
        <f t="shared" si="11"/>
        <v>1531.44</v>
      </c>
      <c r="AC75" s="110">
        <f t="shared" si="11"/>
        <v>1475.54</v>
      </c>
      <c r="AD75" s="110">
        <f t="shared" si="11"/>
        <v>1434.74</v>
      </c>
      <c r="AE75" s="110">
        <f t="shared" si="11"/>
        <v>1244.24</v>
      </c>
      <c r="AF75" s="110">
        <f t="shared" si="11"/>
        <v>1157.6400000000003</v>
      </c>
      <c r="AG75" s="98">
        <f>AG72+AG68+AG56+AG52+AG38+AG74</f>
        <v>2144.14</v>
      </c>
      <c r="AH75" s="21">
        <f t="shared" si="2"/>
        <v>1576.44</v>
      </c>
      <c r="AI75" s="20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2227.88</v>
      </c>
      <c r="C83" s="99">
        <f t="shared" ref="C83:AG83" si="20">SUM(C70:C82)</f>
        <v>2161.48</v>
      </c>
      <c r="D83" s="99">
        <f t="shared" si="20"/>
        <v>2143.48</v>
      </c>
      <c r="E83" s="99">
        <f t="shared" si="20"/>
        <v>2106.48</v>
      </c>
      <c r="F83" s="99">
        <f t="shared" si="20"/>
        <v>2081.88</v>
      </c>
      <c r="G83" s="99">
        <f t="shared" si="20"/>
        <v>2196.08</v>
      </c>
      <c r="H83" s="99">
        <f t="shared" si="20"/>
        <v>2240.6800000000003</v>
      </c>
      <c r="I83" s="99">
        <f t="shared" si="20"/>
        <v>2301.48</v>
      </c>
      <c r="J83" s="99">
        <f t="shared" si="20"/>
        <v>2499.2799999999997</v>
      </c>
      <c r="K83" s="99">
        <f t="shared" si="20"/>
        <v>2590.08</v>
      </c>
      <c r="L83" s="99">
        <f t="shared" si="20"/>
        <v>2702.4800000000005</v>
      </c>
      <c r="M83" s="99">
        <f t="shared" si="20"/>
        <v>2733.88</v>
      </c>
      <c r="N83" s="99">
        <f t="shared" si="20"/>
        <v>2424.88</v>
      </c>
      <c r="O83" s="99">
        <f t="shared" si="20"/>
        <v>2587.1200000000003</v>
      </c>
      <c r="P83" s="99">
        <f t="shared" si="20"/>
        <v>2611.2800000000002</v>
      </c>
      <c r="Q83" s="99">
        <f t="shared" si="20"/>
        <v>2648.98</v>
      </c>
      <c r="R83" s="99">
        <f t="shared" si="20"/>
        <v>2718.88</v>
      </c>
      <c r="S83" s="99">
        <f t="shared" si="20"/>
        <v>2736.4800000000005</v>
      </c>
      <c r="T83" s="99">
        <f t="shared" si="20"/>
        <v>2749.2799999999997</v>
      </c>
      <c r="U83" s="99">
        <f t="shared" si="20"/>
        <v>2808.28</v>
      </c>
      <c r="V83" s="99">
        <f t="shared" si="20"/>
        <v>2654.2799999999997</v>
      </c>
      <c r="W83" s="99">
        <f t="shared" si="20"/>
        <v>2656.88</v>
      </c>
      <c r="X83" s="99">
        <f t="shared" si="20"/>
        <v>7.08</v>
      </c>
      <c r="Y83" s="99">
        <f t="shared" si="20"/>
        <v>7.08</v>
      </c>
      <c r="Z83" s="99">
        <f t="shared" si="20"/>
        <v>2424.88</v>
      </c>
      <c r="AA83" s="99">
        <f t="shared" si="20"/>
        <v>3152.88</v>
      </c>
      <c r="AB83" s="99">
        <f t="shared" si="20"/>
        <v>3062.88</v>
      </c>
      <c r="AC83" s="99">
        <f t="shared" si="20"/>
        <v>2951.08</v>
      </c>
      <c r="AD83" s="99">
        <f t="shared" si="20"/>
        <v>2869.48</v>
      </c>
      <c r="AE83" s="99">
        <f t="shared" si="20"/>
        <v>2488.48</v>
      </c>
      <c r="AF83" s="99">
        <f t="shared" si="20"/>
        <v>2315.2800000000007</v>
      </c>
      <c r="AG83" s="98">
        <f t="shared" si="20"/>
        <v>4360.08</v>
      </c>
      <c r="AH83" s="21">
        <f t="shared" si="13"/>
        <v>3152.88</v>
      </c>
      <c r="AI83" s="20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49.987000000000002</v>
      </c>
      <c r="C84" s="96">
        <v>49.905999999999999</v>
      </c>
      <c r="D84" s="96">
        <v>49.984000000000002</v>
      </c>
      <c r="E84" s="96">
        <v>49.936999999999998</v>
      </c>
      <c r="F84" s="96">
        <v>49.94</v>
      </c>
      <c r="G84" s="96">
        <v>49.941000000000003</v>
      </c>
      <c r="H84" s="96">
        <v>49.808999999999997</v>
      </c>
      <c r="I84" s="96">
        <v>49.875</v>
      </c>
      <c r="J84" s="96">
        <v>49.932000000000002</v>
      </c>
      <c r="K84" s="96">
        <v>50.030999999999999</v>
      </c>
      <c r="L84" s="96">
        <v>49.98</v>
      </c>
      <c r="M84" s="96">
        <v>50.05</v>
      </c>
      <c r="N84" s="96">
        <v>49.978999999999999</v>
      </c>
      <c r="O84" s="96">
        <v>50.034999999999997</v>
      </c>
      <c r="P84" s="96">
        <v>49.966999999999999</v>
      </c>
      <c r="Q84" s="96">
        <v>49.984000000000002</v>
      </c>
      <c r="R84" s="96">
        <v>49.98</v>
      </c>
      <c r="S84" s="96">
        <v>49.95</v>
      </c>
      <c r="T84" s="96">
        <v>49.74</v>
      </c>
      <c r="U84" s="96">
        <v>49.95</v>
      </c>
      <c r="V84" s="96">
        <v>49.97</v>
      </c>
      <c r="W84" s="96">
        <v>50.07</v>
      </c>
      <c r="X84" s="96"/>
      <c r="Y84" s="96"/>
      <c r="Z84" s="96">
        <v>49.85</v>
      </c>
      <c r="AA84" s="96">
        <v>49.85</v>
      </c>
      <c r="AB84" s="96">
        <v>49.960999999999999</v>
      </c>
      <c r="AC84" s="96">
        <v>49.856000000000002</v>
      </c>
      <c r="AD84" s="96">
        <v>49.813000000000002</v>
      </c>
      <c r="AE84" s="96">
        <v>49.851999999999997</v>
      </c>
      <c r="AF84" s="96">
        <v>49.91</v>
      </c>
      <c r="AG84" s="95"/>
      <c r="AH84" s="21">
        <f t="shared" si="13"/>
        <v>50.07</v>
      </c>
      <c r="AI84" s="20">
        <f t="shared" si="14"/>
        <v>49.74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130.69999999999999</v>
      </c>
      <c r="C85" s="73">
        <v>132.6</v>
      </c>
      <c r="D85" s="73">
        <v>133</v>
      </c>
      <c r="E85" s="73">
        <v>132.1</v>
      </c>
      <c r="F85" s="73">
        <v>132.30000000000001</v>
      </c>
      <c r="G85" s="73">
        <v>132.9</v>
      </c>
      <c r="H85" s="73">
        <v>132.1</v>
      </c>
      <c r="I85" s="73">
        <v>131.69999999999999</v>
      </c>
      <c r="J85" s="73">
        <v>130.69999999999999</v>
      </c>
      <c r="K85" s="73">
        <v>130.1</v>
      </c>
      <c r="L85" s="73">
        <v>129.4</v>
      </c>
      <c r="M85" s="73">
        <v>129</v>
      </c>
      <c r="N85" s="73">
        <v>124.8</v>
      </c>
      <c r="O85" s="73">
        <v>124.3</v>
      </c>
      <c r="P85" s="73">
        <v>126.5</v>
      </c>
      <c r="Q85" s="73">
        <v>126.6</v>
      </c>
      <c r="R85" s="73">
        <v>126.3</v>
      </c>
      <c r="S85" s="73">
        <v>126</v>
      </c>
      <c r="T85" s="73">
        <v>125</v>
      </c>
      <c r="U85" s="94">
        <v>126.6</v>
      </c>
      <c r="V85" s="94">
        <v>129</v>
      </c>
      <c r="W85" s="94">
        <v>130</v>
      </c>
      <c r="X85" s="94"/>
      <c r="Y85" s="94"/>
      <c r="Z85" s="94">
        <v>129</v>
      </c>
      <c r="AA85" s="94">
        <v>129</v>
      </c>
      <c r="AB85" s="73">
        <v>126.5</v>
      </c>
      <c r="AC85" s="73">
        <v>125.9</v>
      </c>
      <c r="AD85" s="73">
        <v>126.1</v>
      </c>
      <c r="AE85" s="73">
        <v>127.8</v>
      </c>
      <c r="AF85" s="73">
        <v>127.5</v>
      </c>
      <c r="AG85" s="89"/>
      <c r="AH85" s="21">
        <f t="shared" si="13"/>
        <v>133</v>
      </c>
      <c r="AI85" s="20">
        <f t="shared" si="14"/>
        <v>124.3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134.30000000000001</v>
      </c>
      <c r="C86" s="73">
        <v>135.5</v>
      </c>
      <c r="D86" s="73">
        <v>136</v>
      </c>
      <c r="E86" s="73">
        <v>135.5</v>
      </c>
      <c r="F86" s="73">
        <v>135.6</v>
      </c>
      <c r="G86" s="73">
        <v>135.80000000000001</v>
      </c>
      <c r="H86" s="73">
        <v>1347</v>
      </c>
      <c r="I86" s="73">
        <v>134.1</v>
      </c>
      <c r="J86" s="73">
        <v>132.4</v>
      </c>
      <c r="K86" s="73">
        <v>131.6</v>
      </c>
      <c r="L86" s="73">
        <v>130.9</v>
      </c>
      <c r="M86" s="73">
        <v>130.4</v>
      </c>
      <c r="N86" s="73">
        <v>127.8</v>
      </c>
      <c r="O86" s="73">
        <v>127.6</v>
      </c>
      <c r="P86" s="73">
        <v>129.4</v>
      </c>
      <c r="Q86" s="73">
        <v>129.4</v>
      </c>
      <c r="R86" s="73">
        <v>129.1</v>
      </c>
      <c r="S86" s="73">
        <v>129</v>
      </c>
      <c r="T86" s="73">
        <v>128</v>
      </c>
      <c r="U86" s="94">
        <v>129</v>
      </c>
      <c r="V86" s="94">
        <v>131</v>
      </c>
      <c r="W86" s="94">
        <v>132</v>
      </c>
      <c r="X86" s="94"/>
      <c r="Y86" s="94"/>
      <c r="Z86" s="94">
        <v>129</v>
      </c>
      <c r="AA86" s="94">
        <v>129</v>
      </c>
      <c r="AB86" s="73">
        <v>131.4</v>
      </c>
      <c r="AC86" s="73">
        <v>131.19999999999999</v>
      </c>
      <c r="AD86" s="73">
        <v>131.5</v>
      </c>
      <c r="AE86" s="73">
        <v>133.4</v>
      </c>
      <c r="AF86" s="73">
        <v>134.1</v>
      </c>
      <c r="AG86" s="89"/>
      <c r="AH86" s="21">
        <f t="shared" si="13"/>
        <v>1347</v>
      </c>
      <c r="AI86" s="20">
        <f t="shared" si="14"/>
        <v>127.6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131</v>
      </c>
      <c r="C87" s="73">
        <v>131.1</v>
      </c>
      <c r="D87" s="73">
        <v>131.69999999999999</v>
      </c>
      <c r="E87" s="73">
        <v>131.80000000000001</v>
      </c>
      <c r="F87" s="73">
        <v>132.5</v>
      </c>
      <c r="G87" s="73">
        <v>133.1</v>
      </c>
      <c r="H87" s="73">
        <v>132.1</v>
      </c>
      <c r="I87" s="73">
        <v>132.4</v>
      </c>
      <c r="J87" s="73">
        <v>130</v>
      </c>
      <c r="K87" s="73">
        <v>129.5</v>
      </c>
      <c r="L87" s="73">
        <v>128.5</v>
      </c>
      <c r="M87" s="73">
        <v>128.5</v>
      </c>
      <c r="N87" s="73">
        <v>127.9</v>
      </c>
      <c r="O87" s="73">
        <v>128.1</v>
      </c>
      <c r="P87" s="73">
        <v>126.3</v>
      </c>
      <c r="Q87" s="73">
        <v>125.5</v>
      </c>
      <c r="R87" s="73">
        <v>126.4</v>
      </c>
      <c r="S87" s="73">
        <v>127</v>
      </c>
      <c r="T87" s="73">
        <v>125</v>
      </c>
      <c r="U87" s="73">
        <v>126</v>
      </c>
      <c r="V87" s="73">
        <v>128</v>
      </c>
      <c r="W87" s="73">
        <v>128</v>
      </c>
      <c r="X87" s="94"/>
      <c r="Y87" s="94"/>
      <c r="Z87" s="94">
        <v>130</v>
      </c>
      <c r="AA87" s="94">
        <v>130</v>
      </c>
      <c r="AB87" s="73">
        <v>131.1</v>
      </c>
      <c r="AC87" s="73">
        <v>130.6</v>
      </c>
      <c r="AD87" s="73">
        <v>130.9</v>
      </c>
      <c r="AE87" s="73">
        <v>132</v>
      </c>
      <c r="AF87" s="73">
        <v>130.6</v>
      </c>
      <c r="AG87" s="89"/>
      <c r="AH87" s="21">
        <f t="shared" si="13"/>
        <v>133.1</v>
      </c>
      <c r="AI87" s="20">
        <f t="shared" si="14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133</v>
      </c>
      <c r="C88" s="73">
        <v>132.69999999999999</v>
      </c>
      <c r="D88" s="73">
        <v>133.1</v>
      </c>
      <c r="E88" s="73">
        <v>133.4</v>
      </c>
      <c r="F88" s="73">
        <v>134</v>
      </c>
      <c r="G88" s="73">
        <v>134.4</v>
      </c>
      <c r="H88" s="73">
        <v>133.19999999999999</v>
      </c>
      <c r="I88" s="73">
        <v>133</v>
      </c>
      <c r="J88" s="73">
        <v>130</v>
      </c>
      <c r="K88" s="73">
        <v>129.30000000000001</v>
      </c>
      <c r="L88" s="73">
        <v>129.5</v>
      </c>
      <c r="M88" s="73">
        <v>130.9</v>
      </c>
      <c r="N88" s="73">
        <v>131.6</v>
      </c>
      <c r="O88" s="73">
        <v>129.6</v>
      </c>
      <c r="P88" s="73">
        <v>127.4</v>
      </c>
      <c r="Q88" s="73">
        <v>127.7</v>
      </c>
      <c r="R88" s="73">
        <v>128.30000000000001</v>
      </c>
      <c r="S88" s="73">
        <v>129</v>
      </c>
      <c r="T88" s="73">
        <v>127</v>
      </c>
      <c r="U88" s="73">
        <v>128</v>
      </c>
      <c r="V88" s="73">
        <v>130</v>
      </c>
      <c r="W88" s="73">
        <v>130</v>
      </c>
      <c r="X88" s="94"/>
      <c r="Y88" s="94"/>
      <c r="Z88" s="94">
        <v>133</v>
      </c>
      <c r="AA88" s="94">
        <v>133</v>
      </c>
      <c r="AB88" s="73">
        <v>135</v>
      </c>
      <c r="AC88" s="73">
        <v>134.80000000000001</v>
      </c>
      <c r="AD88" s="73">
        <v>132.9</v>
      </c>
      <c r="AE88" s="73">
        <v>134.30000000000001</v>
      </c>
      <c r="AF88" s="73">
        <v>131.5</v>
      </c>
      <c r="AG88" s="89"/>
      <c r="AH88" s="21">
        <f t="shared" si="13"/>
        <v>135</v>
      </c>
      <c r="AI88" s="20">
        <f t="shared" si="14"/>
        <v>127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134.4</v>
      </c>
      <c r="C89" s="66">
        <v>133.80000000000001</v>
      </c>
      <c r="D89" s="66">
        <v>134.19999999999999</v>
      </c>
      <c r="E89" s="66">
        <v>134</v>
      </c>
      <c r="F89" s="66">
        <v>132.9</v>
      </c>
      <c r="G89" s="66">
        <v>136.9</v>
      </c>
      <c r="H89" s="66">
        <v>135.69999999999999</v>
      </c>
      <c r="I89" s="66">
        <v>133.69999999999999</v>
      </c>
      <c r="J89" s="66">
        <v>132.19999999999999</v>
      </c>
      <c r="K89" s="66">
        <v>134.19999999999999</v>
      </c>
      <c r="L89" s="66">
        <v>133.19999999999999</v>
      </c>
      <c r="M89" s="66">
        <v>132.80000000000001</v>
      </c>
      <c r="N89" s="66">
        <v>132.6</v>
      </c>
      <c r="O89" s="66">
        <v>135.30000000000001</v>
      </c>
      <c r="P89" s="66">
        <v>132.80000000000001</v>
      </c>
      <c r="Q89" s="66">
        <v>133.30000000000001</v>
      </c>
      <c r="R89" s="66">
        <v>131.30000000000001</v>
      </c>
      <c r="S89" s="66">
        <v>133</v>
      </c>
      <c r="T89" s="66">
        <v>131.69999999999999</v>
      </c>
      <c r="U89" s="66">
        <v>134</v>
      </c>
      <c r="V89" s="66">
        <v>134</v>
      </c>
      <c r="W89" s="66">
        <v>135</v>
      </c>
      <c r="X89" s="94"/>
      <c r="Y89" s="94"/>
      <c r="Z89" s="94">
        <v>132.6</v>
      </c>
      <c r="AA89" s="94">
        <v>132.6</v>
      </c>
      <c r="AB89" s="66">
        <v>131.30000000000001</v>
      </c>
      <c r="AC89" s="66">
        <v>131.4</v>
      </c>
      <c r="AD89" s="66">
        <v>132.80000000000001</v>
      </c>
      <c r="AE89" s="66">
        <v>132.9</v>
      </c>
      <c r="AF89" s="66">
        <v>132.6</v>
      </c>
      <c r="AG89" s="91"/>
      <c r="AH89" s="21">
        <f t="shared" si="13"/>
        <v>136.9</v>
      </c>
      <c r="AI89" s="20">
        <f t="shared" si="14"/>
        <v>131.30000000000001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134.9</v>
      </c>
      <c r="C90" s="73">
        <v>133.30000000000001</v>
      </c>
      <c r="D90" s="73">
        <v>134</v>
      </c>
      <c r="E90" s="73">
        <v>133.5</v>
      </c>
      <c r="F90" s="73">
        <v>132.6</v>
      </c>
      <c r="G90" s="73">
        <v>138</v>
      </c>
      <c r="H90" s="73">
        <v>136.1</v>
      </c>
      <c r="I90" s="73">
        <v>133.80000000000001</v>
      </c>
      <c r="J90" s="73">
        <v>131.1</v>
      </c>
      <c r="K90" s="73">
        <v>132.5</v>
      </c>
      <c r="L90" s="73">
        <v>130.80000000000001</v>
      </c>
      <c r="M90" s="73">
        <v>129.9</v>
      </c>
      <c r="N90" s="73">
        <v>129.9</v>
      </c>
      <c r="O90" s="73">
        <v>132.1</v>
      </c>
      <c r="P90" s="73">
        <v>129.19999999999999</v>
      </c>
      <c r="Q90" s="73">
        <v>129.4</v>
      </c>
      <c r="R90" s="73">
        <v>127.7</v>
      </c>
      <c r="S90" s="73">
        <v>128.5</v>
      </c>
      <c r="T90" s="73">
        <v>125</v>
      </c>
      <c r="U90" s="73">
        <v>129</v>
      </c>
      <c r="V90" s="73">
        <v>131.69999999999999</v>
      </c>
      <c r="W90" s="73">
        <v>133</v>
      </c>
      <c r="X90" s="94"/>
      <c r="Y90" s="94"/>
      <c r="Z90" s="94">
        <v>129</v>
      </c>
      <c r="AA90" s="94">
        <v>129</v>
      </c>
      <c r="AB90" s="73">
        <v>131.1</v>
      </c>
      <c r="AC90" s="73">
        <v>132.1</v>
      </c>
      <c r="AD90" s="73">
        <v>130.9</v>
      </c>
      <c r="AE90" s="73">
        <v>136.30000000000001</v>
      </c>
      <c r="AF90" s="73">
        <v>135.6</v>
      </c>
      <c r="AG90" s="89"/>
      <c r="AH90" s="21">
        <f t="shared" si="13"/>
        <v>138</v>
      </c>
      <c r="AI90" s="20">
        <f t="shared" si="14"/>
        <v>125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67.8</v>
      </c>
      <c r="C91" s="87">
        <v>68.400000000000006</v>
      </c>
      <c r="D91" s="87">
        <v>68.599999999999994</v>
      </c>
      <c r="E91" s="87">
        <v>68.400000000000006</v>
      </c>
      <c r="F91" s="87">
        <v>68</v>
      </c>
      <c r="G91" s="87">
        <v>68.400000000000006</v>
      </c>
      <c r="H91" s="87">
        <v>67.900000000000006</v>
      </c>
      <c r="I91" s="87">
        <v>67.5</v>
      </c>
      <c r="J91" s="87">
        <v>66.400000000000006</v>
      </c>
      <c r="K91" s="87">
        <v>65.900000000000006</v>
      </c>
      <c r="L91" s="87">
        <v>66</v>
      </c>
      <c r="M91" s="87">
        <v>65.900000000000006</v>
      </c>
      <c r="N91" s="87">
        <v>64.400000000000006</v>
      </c>
      <c r="O91" s="87">
        <v>64.8</v>
      </c>
      <c r="P91" s="87">
        <v>65.099999999999994</v>
      </c>
      <c r="Q91" s="87">
        <v>65.3</v>
      </c>
      <c r="R91" s="87">
        <v>65.2</v>
      </c>
      <c r="S91" s="87">
        <v>65</v>
      </c>
      <c r="T91" s="87">
        <v>64.8</v>
      </c>
      <c r="U91" s="87">
        <v>65.3</v>
      </c>
      <c r="V91" s="87">
        <v>65.900000000000006</v>
      </c>
      <c r="W91" s="87">
        <v>66.7</v>
      </c>
      <c r="X91" s="87"/>
      <c r="Y91" s="87"/>
      <c r="Z91" s="87">
        <v>64.8</v>
      </c>
      <c r="AA91" s="87">
        <v>64.8</v>
      </c>
      <c r="AB91" s="87">
        <v>66.2</v>
      </c>
      <c r="AC91" s="87">
        <v>66.2</v>
      </c>
      <c r="AD91" s="87">
        <v>66</v>
      </c>
      <c r="AE91" s="87">
        <v>67</v>
      </c>
      <c r="AF91" s="87">
        <v>67.400000000000006</v>
      </c>
      <c r="AG91" s="86"/>
      <c r="AH91" s="21">
        <f t="shared" si="13"/>
        <v>68.599999999999994</v>
      </c>
      <c r="AI91" s="20">
        <f t="shared" si="14"/>
        <v>64.400000000000006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163.34</v>
      </c>
      <c r="C93" s="82">
        <f t="shared" si="21"/>
        <v>160.04</v>
      </c>
      <c r="D93" s="82">
        <f t="shared" si="21"/>
        <v>156.44000000000003</v>
      </c>
      <c r="E93" s="82">
        <f t="shared" si="21"/>
        <v>153.94</v>
      </c>
      <c r="F93" s="82">
        <f t="shared" si="21"/>
        <v>158.04</v>
      </c>
      <c r="G93" s="80">
        <f t="shared" si="21"/>
        <v>174.73999999999998</v>
      </c>
      <c r="H93" s="80">
        <f t="shared" si="21"/>
        <v>206.04</v>
      </c>
      <c r="I93" s="80">
        <f t="shared" si="21"/>
        <v>231.33999999999997</v>
      </c>
      <c r="J93" s="80">
        <f t="shared" si="21"/>
        <v>279.94000000000005</v>
      </c>
      <c r="K93" s="80">
        <f t="shared" si="21"/>
        <v>306.94000000000005</v>
      </c>
      <c r="L93" s="80">
        <f t="shared" si="21"/>
        <v>326.04000000000002</v>
      </c>
      <c r="M93" s="80">
        <f t="shared" si="21"/>
        <v>325.04000000000008</v>
      </c>
      <c r="N93" s="80">
        <f t="shared" si="21"/>
        <v>326.04000000000008</v>
      </c>
      <c r="O93" s="80">
        <f t="shared" si="21"/>
        <v>320.1400000000001</v>
      </c>
      <c r="P93" s="80">
        <f t="shared" si="21"/>
        <v>302.94000000000005</v>
      </c>
      <c r="Q93" s="80">
        <f t="shared" si="21"/>
        <v>293.44000000000005</v>
      </c>
      <c r="R93" s="80">
        <f t="shared" si="21"/>
        <v>291.04000000000008</v>
      </c>
      <c r="S93" s="80">
        <f t="shared" si="21"/>
        <v>305.34000000000003</v>
      </c>
      <c r="T93" s="80">
        <f t="shared" si="21"/>
        <v>306.84000000000003</v>
      </c>
      <c r="U93" s="80">
        <f t="shared" si="21"/>
        <v>324.64000000000004</v>
      </c>
      <c r="V93" s="80">
        <f t="shared" si="21"/>
        <v>342.84000000000003</v>
      </c>
      <c r="W93" s="80">
        <f t="shared" si="21"/>
        <v>325.84000000000003</v>
      </c>
      <c r="X93" s="80">
        <f t="shared" si="21"/>
        <v>34.840000000000003</v>
      </c>
      <c r="Y93" s="80">
        <f t="shared" si="21"/>
        <v>34.840000000000003</v>
      </c>
      <c r="Z93" s="80">
        <f t="shared" si="21"/>
        <v>373.64000000000004</v>
      </c>
      <c r="AA93" s="80">
        <f t="shared" si="21"/>
        <v>373.64000000000004</v>
      </c>
      <c r="AB93" s="80">
        <f t="shared" si="21"/>
        <v>311.94</v>
      </c>
      <c r="AC93" s="80">
        <f t="shared" si="21"/>
        <v>300.94000000000005</v>
      </c>
      <c r="AD93" s="80">
        <f t="shared" si="21"/>
        <v>272.54000000000008</v>
      </c>
      <c r="AE93" s="80">
        <f t="shared" si="21"/>
        <v>206.64</v>
      </c>
      <c r="AF93" s="80">
        <f t="shared" si="21"/>
        <v>179.93999999999997</v>
      </c>
      <c r="AG93" s="79"/>
      <c r="AH93" s="21">
        <f>MAX(C93:AF93)</f>
        <v>373.64000000000004</v>
      </c>
      <c r="AI93" s="20">
        <f>MIN(C93:AF93)</f>
        <v>34.840000000000003</v>
      </c>
    </row>
    <row r="94" spans="1:88" x14ac:dyDescent="0.25">
      <c r="A94" s="48" t="s">
        <v>122</v>
      </c>
      <c r="B94" s="78">
        <v>29</v>
      </c>
      <c r="C94" s="77">
        <v>11.6</v>
      </c>
      <c r="D94" s="77">
        <v>13.3</v>
      </c>
      <c r="E94" s="77">
        <v>17.899999999999999</v>
      </c>
      <c r="F94" s="77">
        <v>-6.4</v>
      </c>
      <c r="G94" s="76">
        <v>13.8</v>
      </c>
      <c r="H94" s="76">
        <v>18.3</v>
      </c>
      <c r="I94" s="76">
        <v>16.100000000000001</v>
      </c>
      <c r="J94" s="76">
        <v>2.8</v>
      </c>
      <c r="K94" s="76">
        <v>5.4</v>
      </c>
      <c r="L94" s="76">
        <v>10.3</v>
      </c>
      <c r="M94" s="75">
        <v>8.1</v>
      </c>
      <c r="N94" s="75">
        <v>9.1</v>
      </c>
      <c r="O94" s="76">
        <v>32.9</v>
      </c>
      <c r="P94" s="76">
        <v>13.3</v>
      </c>
      <c r="Q94" s="76">
        <v>21.4</v>
      </c>
      <c r="R94" s="76">
        <v>16.8</v>
      </c>
      <c r="S94" s="76">
        <v>27</v>
      </c>
      <c r="T94" s="76">
        <v>32.5</v>
      </c>
      <c r="U94" s="75">
        <v>32.799999999999997</v>
      </c>
      <c r="V94" s="75">
        <v>50</v>
      </c>
      <c r="W94" s="75">
        <v>38</v>
      </c>
      <c r="X94" s="76"/>
      <c r="Y94" s="76"/>
      <c r="Z94" s="76">
        <v>53</v>
      </c>
      <c r="AA94" s="76">
        <v>53</v>
      </c>
      <c r="AB94" s="75">
        <v>35.6</v>
      </c>
      <c r="AC94" s="75">
        <v>40.6</v>
      </c>
      <c r="AD94" s="75">
        <v>24.8</v>
      </c>
      <c r="AE94" s="75">
        <v>2.2999999999999998</v>
      </c>
      <c r="AF94" s="75">
        <v>-3.3</v>
      </c>
      <c r="AG94" s="3">
        <v>75</v>
      </c>
      <c r="AH94" s="21">
        <f t="shared" ref="AH94:AH100" si="22">IF(ABS(MAX(C94:AF94))&gt;ABS(MIN(C94:AF94)),MAX(C94:AF94),MIN(C94:AF94))</f>
        <v>53</v>
      </c>
      <c r="AI94" s="64">
        <f t="shared" ref="AI94:AI100" si="23">INDEX($C$9:$AF$9,1,MATCH(AH94,C94:AF94,0))</f>
        <v>0.79166666666666663</v>
      </c>
    </row>
    <row r="95" spans="1:88" x14ac:dyDescent="0.25">
      <c r="A95" s="45" t="s">
        <v>121</v>
      </c>
      <c r="B95" s="74">
        <v>-53</v>
      </c>
      <c r="C95" s="67">
        <v>-43</v>
      </c>
      <c r="D95" s="67">
        <v>-46</v>
      </c>
      <c r="E95" s="67">
        <v>-56</v>
      </c>
      <c r="F95" s="67">
        <v>-50</v>
      </c>
      <c r="G95" s="67">
        <v>-40</v>
      </c>
      <c r="H95" s="67">
        <v>-27</v>
      </c>
      <c r="I95" s="67">
        <v>-15</v>
      </c>
      <c r="J95" s="67">
        <v>10</v>
      </c>
      <c r="K95" s="67">
        <v>20</v>
      </c>
      <c r="L95" s="67">
        <v>25</v>
      </c>
      <c r="M95" s="67">
        <f>15+8.5</f>
        <v>23.5</v>
      </c>
      <c r="N95" s="67">
        <f>15+8.5</f>
        <v>23.5</v>
      </c>
      <c r="O95" s="67">
        <v>3.4</v>
      </c>
      <c r="P95" s="67">
        <v>8.6</v>
      </c>
      <c r="Q95" s="67">
        <v>-1.5</v>
      </c>
      <c r="R95" s="67">
        <f>-5.3+3.1</f>
        <v>-2.1999999999999997</v>
      </c>
      <c r="S95" s="67">
        <v>1</v>
      </c>
      <c r="T95" s="67">
        <v>1</v>
      </c>
      <c r="U95" s="67">
        <v>10</v>
      </c>
      <c r="V95" s="67">
        <v>17</v>
      </c>
      <c r="W95" s="67">
        <v>-20</v>
      </c>
      <c r="X95" s="67"/>
      <c r="Y95" s="67"/>
      <c r="Z95" s="67">
        <v>0</v>
      </c>
      <c r="AA95" s="67">
        <v>0</v>
      </c>
      <c r="AB95" s="73">
        <v>0</v>
      </c>
      <c r="AC95" s="73">
        <v>0</v>
      </c>
      <c r="AD95" s="73">
        <v>0</v>
      </c>
      <c r="AE95" s="73">
        <v>0</v>
      </c>
      <c r="AF95" s="73">
        <v>0</v>
      </c>
      <c r="AG95" s="3">
        <v>240</v>
      </c>
      <c r="AH95" s="21">
        <f t="shared" si="22"/>
        <v>-56</v>
      </c>
      <c r="AI95" s="64">
        <f t="shared" si="23"/>
        <v>0.125</v>
      </c>
    </row>
    <row r="96" spans="1:88" x14ac:dyDescent="0.25">
      <c r="A96" s="45" t="s">
        <v>120</v>
      </c>
      <c r="B96" s="74">
        <v>24.5</v>
      </c>
      <c r="C96" s="67">
        <v>32</v>
      </c>
      <c r="D96" s="67">
        <v>31.8</v>
      </c>
      <c r="E96" s="67">
        <v>30.6</v>
      </c>
      <c r="F96" s="67">
        <v>16.7</v>
      </c>
      <c r="G96" s="67">
        <v>26.2</v>
      </c>
      <c r="H96" s="67">
        <v>29.5</v>
      </c>
      <c r="I96" s="67">
        <v>32.299999999999997</v>
      </c>
      <c r="J96" s="67">
        <v>44.2</v>
      </c>
      <c r="K96" s="67">
        <v>47.8</v>
      </c>
      <c r="L96" s="67">
        <v>49.7</v>
      </c>
      <c r="M96" s="67">
        <v>48.8</v>
      </c>
      <c r="N96" s="67">
        <v>48.8</v>
      </c>
      <c r="O96" s="67">
        <v>14.3</v>
      </c>
      <c r="P96" s="67">
        <v>40.799999999999997</v>
      </c>
      <c r="Q96" s="67">
        <v>41.1</v>
      </c>
      <c r="R96" s="67">
        <v>37</v>
      </c>
      <c r="S96" s="67">
        <v>40</v>
      </c>
      <c r="T96" s="67">
        <v>32</v>
      </c>
      <c r="U96" s="67">
        <v>40</v>
      </c>
      <c r="V96" s="67">
        <v>47</v>
      </c>
      <c r="W96" s="67">
        <v>37</v>
      </c>
      <c r="X96" s="67"/>
      <c r="Y96" s="67"/>
      <c r="Z96" s="67">
        <v>54</v>
      </c>
      <c r="AA96" s="67">
        <v>54</v>
      </c>
      <c r="AB96" s="73">
        <v>32.799999999999997</v>
      </c>
      <c r="AC96" s="73">
        <v>26.6</v>
      </c>
      <c r="AD96" s="73">
        <v>20.399999999999999</v>
      </c>
      <c r="AE96" s="73">
        <v>5.8</v>
      </c>
      <c r="AF96" s="73">
        <v>-2</v>
      </c>
      <c r="AG96" s="3">
        <v>60</v>
      </c>
      <c r="AH96" s="21">
        <f t="shared" si="22"/>
        <v>54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-18.7</v>
      </c>
      <c r="C97" s="70">
        <v>-22.1</v>
      </c>
      <c r="D97" s="70">
        <v>-24.2</v>
      </c>
      <c r="E97" s="70">
        <v>-20.100000000000001</v>
      </c>
      <c r="F97" s="70">
        <v>16.2</v>
      </c>
      <c r="G97" s="70">
        <v>-6.8</v>
      </c>
      <c r="H97" s="70">
        <v>3.6</v>
      </c>
      <c r="I97" s="70">
        <v>16.3</v>
      </c>
      <c r="J97" s="70">
        <v>41.3</v>
      </c>
      <c r="K97" s="70">
        <v>52.1</v>
      </c>
      <c r="L97" s="70">
        <v>59.4</v>
      </c>
      <c r="M97" s="70">
        <v>61.1</v>
      </c>
      <c r="N97" s="70">
        <v>61.1</v>
      </c>
      <c r="O97" s="70">
        <v>86</v>
      </c>
      <c r="P97" s="70">
        <v>56.7</v>
      </c>
      <c r="Q97" s="70">
        <v>48.9</v>
      </c>
      <c r="R97" s="70">
        <v>54.1</v>
      </c>
      <c r="S97" s="70">
        <v>52</v>
      </c>
      <c r="T97" s="70">
        <v>56</v>
      </c>
      <c r="U97" s="70">
        <v>57</v>
      </c>
      <c r="V97" s="70">
        <v>44</v>
      </c>
      <c r="W97" s="70">
        <v>86</v>
      </c>
      <c r="X97" s="70"/>
      <c r="Y97" s="70"/>
      <c r="Z97" s="70">
        <v>86</v>
      </c>
      <c r="AA97" s="70">
        <v>86</v>
      </c>
      <c r="AB97" s="69">
        <v>57.2</v>
      </c>
      <c r="AC97" s="69">
        <v>47.6</v>
      </c>
      <c r="AD97" s="69">
        <v>41.2</v>
      </c>
      <c r="AE97" s="69">
        <v>11.6</v>
      </c>
      <c r="AF97" s="69">
        <v>0.1</v>
      </c>
      <c r="AG97" s="72">
        <v>120</v>
      </c>
      <c r="AH97" s="21">
        <f t="shared" si="22"/>
        <v>86</v>
      </c>
      <c r="AI97" s="64">
        <f t="shared" si="23"/>
        <v>0.41666666666666702</v>
      </c>
    </row>
    <row r="98" spans="1:37" x14ac:dyDescent="0.25">
      <c r="A98" s="41" t="s">
        <v>118</v>
      </c>
      <c r="B98" s="71">
        <v>-6.3</v>
      </c>
      <c r="C98" s="70">
        <v>-13</v>
      </c>
      <c r="D98" s="70">
        <v>-15.2</v>
      </c>
      <c r="E98" s="70">
        <v>-4.4000000000000004</v>
      </c>
      <c r="F98" s="70">
        <v>28.4</v>
      </c>
      <c r="G98" s="70">
        <v>-2.1</v>
      </c>
      <c r="H98" s="70">
        <v>4.0999999999999996</v>
      </c>
      <c r="I98" s="70">
        <v>12.7</v>
      </c>
      <c r="J98" s="70">
        <v>27.9</v>
      </c>
      <c r="K98" s="70">
        <v>34.299999999999997</v>
      </c>
      <c r="L98" s="70">
        <v>39.5</v>
      </c>
      <c r="M98" s="70">
        <v>40.799999999999997</v>
      </c>
      <c r="N98" s="70">
        <v>40.799999999999997</v>
      </c>
      <c r="O98" s="70">
        <v>66.8</v>
      </c>
      <c r="P98" s="70">
        <v>47.1</v>
      </c>
      <c r="Q98" s="70">
        <v>41.7</v>
      </c>
      <c r="R98" s="70">
        <v>48.5</v>
      </c>
      <c r="S98" s="70">
        <v>46</v>
      </c>
      <c r="T98" s="70">
        <v>46</v>
      </c>
      <c r="U98" s="70">
        <v>45</v>
      </c>
      <c r="V98" s="70">
        <v>32</v>
      </c>
      <c r="W98" s="70">
        <v>3</v>
      </c>
      <c r="X98" s="70"/>
      <c r="Y98" s="70"/>
      <c r="Z98" s="70">
        <v>42</v>
      </c>
      <c r="AA98" s="70">
        <v>42</v>
      </c>
      <c r="AB98" s="69">
        <v>39.700000000000003</v>
      </c>
      <c r="AC98" s="69">
        <v>36.5</v>
      </c>
      <c r="AD98" s="69">
        <v>37.4</v>
      </c>
      <c r="AE98" s="69">
        <v>21.5</v>
      </c>
      <c r="AF98" s="69">
        <v>20.5</v>
      </c>
      <c r="AG98" s="72"/>
      <c r="AH98" s="21">
        <f t="shared" si="22"/>
        <v>66.8</v>
      </c>
      <c r="AI98" s="64">
        <f t="shared" si="23"/>
        <v>0.41666666666666702</v>
      </c>
    </row>
    <row r="99" spans="1:37" x14ac:dyDescent="0.25">
      <c r="A99" s="41" t="s">
        <v>117</v>
      </c>
      <c r="B99" s="71">
        <v>37.700000000000003</v>
      </c>
      <c r="C99" s="70">
        <v>49.8</v>
      </c>
      <c r="D99" s="70">
        <v>49.5</v>
      </c>
      <c r="E99" s="70">
        <v>52.3</v>
      </c>
      <c r="F99" s="70">
        <v>66.7</v>
      </c>
      <c r="G99" s="70">
        <v>46.3</v>
      </c>
      <c r="H99" s="70">
        <v>44.1</v>
      </c>
      <c r="I99" s="70">
        <v>46.4</v>
      </c>
      <c r="J99" s="70">
        <v>59.3</v>
      </c>
      <c r="K99" s="70">
        <v>55</v>
      </c>
      <c r="L99" s="70">
        <v>55</v>
      </c>
      <c r="M99" s="70">
        <v>58.7</v>
      </c>
      <c r="N99" s="70">
        <v>58.7</v>
      </c>
      <c r="O99" s="70">
        <v>25.3</v>
      </c>
      <c r="P99" s="70">
        <v>54.1</v>
      </c>
      <c r="Q99" s="70">
        <v>56.8</v>
      </c>
      <c r="R99" s="70">
        <v>57</v>
      </c>
      <c r="S99" s="70">
        <v>39</v>
      </c>
      <c r="T99" s="70">
        <v>34</v>
      </c>
      <c r="U99" s="70">
        <v>39</v>
      </c>
      <c r="V99" s="70">
        <v>51</v>
      </c>
      <c r="W99" s="70">
        <v>42</v>
      </c>
      <c r="X99" s="70"/>
      <c r="Y99" s="70"/>
      <c r="Z99" s="70">
        <v>40.6</v>
      </c>
      <c r="AA99" s="70">
        <v>40.6</v>
      </c>
      <c r="AB99" s="69">
        <v>38.1</v>
      </c>
      <c r="AC99" s="69">
        <v>36.700000000000003</v>
      </c>
      <c r="AD99" s="69">
        <v>42.9</v>
      </c>
      <c r="AE99" s="69">
        <v>62.5</v>
      </c>
      <c r="AF99" s="69">
        <v>67.3</v>
      </c>
      <c r="AG99" s="65"/>
      <c r="AH99" s="21">
        <f t="shared" si="22"/>
        <v>67.3</v>
      </c>
      <c r="AI99" s="64">
        <f t="shared" si="23"/>
        <v>0.95833333333333304</v>
      </c>
    </row>
    <row r="100" spans="1:37" ht="15.75" thickBot="1" x14ac:dyDescent="0.3">
      <c r="A100" s="68" t="s">
        <v>116</v>
      </c>
      <c r="B100" s="66">
        <v>55.4</v>
      </c>
      <c r="C100" s="67">
        <v>52.6</v>
      </c>
      <c r="D100" s="67">
        <v>50.3</v>
      </c>
      <c r="E100" s="67">
        <v>47.3</v>
      </c>
      <c r="F100" s="67">
        <v>48.2</v>
      </c>
      <c r="G100" s="67">
        <v>36.700000000000003</v>
      </c>
      <c r="H100" s="67">
        <v>37.9</v>
      </c>
      <c r="I100" s="67">
        <v>28</v>
      </c>
      <c r="J100" s="67">
        <v>28.7</v>
      </c>
      <c r="K100" s="67">
        <v>29.2</v>
      </c>
      <c r="L100" s="67">
        <v>32</v>
      </c>
      <c r="M100" s="67">
        <v>35</v>
      </c>
      <c r="N100" s="67">
        <v>35</v>
      </c>
      <c r="O100" s="67">
        <v>5.8</v>
      </c>
      <c r="P100" s="67">
        <v>5.8</v>
      </c>
      <c r="Q100" s="67">
        <v>6.3</v>
      </c>
      <c r="R100" s="67">
        <v>5.8</v>
      </c>
      <c r="S100" s="67">
        <v>8.6</v>
      </c>
      <c r="T100" s="67">
        <v>18</v>
      </c>
      <c r="U100" s="67">
        <v>20</v>
      </c>
      <c r="V100" s="67">
        <v>17</v>
      </c>
      <c r="W100" s="67">
        <v>17</v>
      </c>
      <c r="X100" s="67"/>
      <c r="Y100" s="67"/>
      <c r="Z100" s="67">
        <v>96</v>
      </c>
      <c r="AA100" s="67">
        <v>96</v>
      </c>
      <c r="AB100" s="66">
        <v>85.5</v>
      </c>
      <c r="AC100" s="66">
        <v>85.9</v>
      </c>
      <c r="AD100" s="66">
        <v>83.2</v>
      </c>
      <c r="AE100" s="66">
        <v>70.599999999999994</v>
      </c>
      <c r="AF100" s="66">
        <v>63.1</v>
      </c>
      <c r="AG100" s="65"/>
      <c r="AH100" s="21">
        <f t="shared" si="22"/>
        <v>96</v>
      </c>
      <c r="AI100" s="64">
        <f t="shared" si="23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1366.94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10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2078/12/10)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2078/12/10)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1113.94</v>
      </c>
      <c r="U214" s="9">
        <f t="shared" si="60"/>
        <v>1080.74</v>
      </c>
      <c r="V214" s="9">
        <f t="shared" si="60"/>
        <v>1071.74</v>
      </c>
      <c r="W214" s="9">
        <f t="shared" si="60"/>
        <v>1053.24</v>
      </c>
      <c r="X214" s="9">
        <f t="shared" si="60"/>
        <v>1040.94</v>
      </c>
      <c r="Y214" s="9">
        <f t="shared" si="60"/>
        <v>1098.04</v>
      </c>
      <c r="Z214" s="9">
        <f t="shared" si="60"/>
        <v>1120.3400000000001</v>
      </c>
      <c r="AA214" s="9">
        <f t="shared" si="60"/>
        <v>1150.74</v>
      </c>
      <c r="AB214" s="9">
        <f t="shared" si="60"/>
        <v>1249.6399999999999</v>
      </c>
      <c r="AC214" s="9">
        <f t="shared" si="60"/>
        <v>1295.04</v>
      </c>
      <c r="AD214" s="9">
        <f t="shared" si="60"/>
        <v>1351.2400000000002</v>
      </c>
      <c r="AE214" s="9">
        <f t="shared" si="60"/>
        <v>1366.94</v>
      </c>
      <c r="AF214" s="9">
        <f t="shared" si="60"/>
        <v>1212.44</v>
      </c>
      <c r="AG214" s="9">
        <f t="shared" si="60"/>
        <v>1293.5600000000002</v>
      </c>
      <c r="AH214" s="9">
        <f t="shared" si="60"/>
        <v>1305.6400000000001</v>
      </c>
      <c r="AI214" s="9">
        <f t="shared" si="60"/>
        <v>1324.49</v>
      </c>
      <c r="AJ214" s="9">
        <f t="shared" si="60"/>
        <v>1359.44</v>
      </c>
      <c r="AK214" s="9">
        <f t="shared" si="60"/>
        <v>1368.2400000000002</v>
      </c>
      <c r="AL214" s="9">
        <f t="shared" si="60"/>
        <v>1374.6399999999999</v>
      </c>
      <c r="AM214" s="9">
        <f t="shared" si="60"/>
        <v>1404.14</v>
      </c>
      <c r="AN214" s="9">
        <f t="shared" si="60"/>
        <v>1327.1399999999999</v>
      </c>
      <c r="AO214" s="9">
        <f t="shared" si="60"/>
        <v>1328.44</v>
      </c>
      <c r="AP214" s="9">
        <f t="shared" si="60"/>
        <v>3.54</v>
      </c>
      <c r="AQ214" s="9">
        <f t="shared" si="60"/>
        <v>3.54</v>
      </c>
      <c r="AR214" s="9">
        <f t="shared" si="60"/>
        <v>1212.44</v>
      </c>
      <c r="AS214" s="9">
        <f t="shared" si="60"/>
        <v>1576.44</v>
      </c>
      <c r="AT214" s="9">
        <f t="shared" si="60"/>
        <v>1531.44</v>
      </c>
      <c r="AU214" s="9">
        <f t="shared" si="60"/>
        <v>1475.54</v>
      </c>
      <c r="AV214" s="9">
        <f t="shared" si="60"/>
        <v>1434.74</v>
      </c>
      <c r="AW214" s="9">
        <f t="shared" si="60"/>
        <v>1244.24</v>
      </c>
      <c r="AX214" s="9">
        <f t="shared" si="60"/>
        <v>1157.6400000000003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C57:L59 N62:N67 C60:O60 P39:R39 M39:O42 C61:N61 O61:O67 P40:Q42 P60:P67 R40:T41 M58:P59 AB81:AF81 B81:R81 C56:AF56 B82:AF83 D194:AF200 B194:B200 C68:AF72 AB84:AF91 B84:B91 B9:AF10 B192:AF192 AF57:AF67 B53:B72 AG73 AB94:AF100 B94:B100 U213:AF213 C53:E55 C63:E67 C62 B73:AF80 B36:L36 R58:W59 Q58:Q67 R60:R67 R42:S42 N37:W37 T40:Y42 N45:W48 S62:W67 Z16:AA31 Z40:AE43 M53:AF55 X36:AF36 AB28:AE31 AB16:AE26 Z11:AE14 N11:Y11 X18:Y30 X85:AA91">
    <cfRule type="expression" dxfId="6230" priority="274">
      <formula>B$9&gt;=20/24</formula>
    </cfRule>
    <cfRule type="expression" dxfId="6229" priority="275">
      <formula>AND(B$9&gt;=14/24,B$9&lt;20/24)</formula>
    </cfRule>
    <cfRule type="expression" dxfId="6228" priority="276">
      <formula>AND(B$9&gt;=8/24,B$9&lt;14/24)</formula>
    </cfRule>
    <cfRule type="expression" dxfId="6227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6226" priority="269">
      <formula>M$9&gt;=20/24</formula>
    </cfRule>
    <cfRule type="expression" dxfId="6225" priority="270">
      <formula>AND(M$9&gt;=14/24,M$9&lt;20/24)</formula>
    </cfRule>
    <cfRule type="expression" dxfId="6224" priority="271">
      <formula>AND(M$9&gt;=8/24,M$9&lt;14/24)</formula>
    </cfRule>
    <cfRule type="expression" dxfId="6223" priority="272">
      <formula>M$9&lt;8/24</formula>
    </cfRule>
  </conditionalFormatting>
  <conditionalFormatting sqref="M43:T43">
    <cfRule type="expression" dxfId="6222" priority="265">
      <formula>M$9&gt;=20/24</formula>
    </cfRule>
    <cfRule type="expression" dxfId="6221" priority="266">
      <formula>AND(M$9&gt;=14/24,M$9&lt;20/24)</formula>
    </cfRule>
    <cfRule type="expression" dxfId="6220" priority="267">
      <formula>AND(M$9&gt;=8/24,M$9&lt;14/24)</formula>
    </cfRule>
    <cfRule type="expression" dxfId="6219" priority="268">
      <formula>M$9&lt;8/24</formula>
    </cfRule>
  </conditionalFormatting>
  <conditionalFormatting sqref="Z32:AE32">
    <cfRule type="expression" dxfId="6218" priority="261">
      <formula>Z$9&gt;=20/24</formula>
    </cfRule>
    <cfRule type="expression" dxfId="6217" priority="262">
      <formula>AND(Z$9&gt;=14/24,Z$9&lt;20/24)</formula>
    </cfRule>
    <cfRule type="expression" dxfId="6216" priority="263">
      <formula>AND(Z$9&gt;=8/24,Z$9&lt;14/24)</formula>
    </cfRule>
    <cfRule type="expression" dxfId="6215" priority="264">
      <formula>Z$9&lt;8/24</formula>
    </cfRule>
  </conditionalFormatting>
  <conditionalFormatting sqref="S39:AE39">
    <cfRule type="expression" dxfId="6214" priority="257">
      <formula>S$9&gt;=20/24</formula>
    </cfRule>
    <cfRule type="expression" dxfId="6213" priority="258">
      <formula>AND(S$9&gt;=14/24,S$9&lt;20/24)</formula>
    </cfRule>
    <cfRule type="expression" dxfId="6212" priority="259">
      <formula>AND(S$9&gt;=8/24,S$9&lt;14/24)</formula>
    </cfRule>
    <cfRule type="expression" dxfId="6211" priority="260">
      <formula>S$9&lt;8/24</formula>
    </cfRule>
  </conditionalFormatting>
  <conditionalFormatting sqref="S57:AE57">
    <cfRule type="expression" dxfId="6210" priority="253">
      <formula>S$9&gt;=20/24</formula>
    </cfRule>
    <cfRule type="expression" dxfId="6209" priority="254">
      <formula>AND(S$9&gt;=14/24,S$9&lt;20/24)</formula>
    </cfRule>
    <cfRule type="expression" dxfId="6208" priority="255">
      <formula>AND(S$9&gt;=8/24,S$9&lt;14/24)</formula>
    </cfRule>
    <cfRule type="expression" dxfId="6207" priority="256">
      <formula>S$9&lt;8/24</formula>
    </cfRule>
  </conditionalFormatting>
  <conditionalFormatting sqref="S81:AA81">
    <cfRule type="expression" dxfId="6206" priority="249">
      <formula>S$9&gt;=20/24</formula>
    </cfRule>
    <cfRule type="expression" dxfId="6205" priority="250">
      <formula>AND(S$9&gt;=14/24,S$9&lt;20/24)</formula>
    </cfRule>
    <cfRule type="expression" dxfId="6204" priority="251">
      <formula>AND(S$9&gt;=8/24,S$9&lt;14/24)</formula>
    </cfRule>
    <cfRule type="expression" dxfId="6203" priority="252">
      <formula>S$9&lt;8/24</formula>
    </cfRule>
  </conditionalFormatting>
  <conditionalFormatting sqref="U84:AA84">
    <cfRule type="expression" dxfId="6202" priority="245">
      <formula>U$9&gt;=20/24</formula>
    </cfRule>
    <cfRule type="expression" dxfId="6201" priority="246">
      <formula>AND(U$9&gt;=14/24,U$9&lt;20/24)</formula>
    </cfRule>
    <cfRule type="expression" dxfId="6200" priority="247">
      <formula>AND(U$9&gt;=8/24,U$9&lt;14/24)</formula>
    </cfRule>
    <cfRule type="expression" dxfId="6199" priority="248">
      <formula>U$9&lt;8/24</formula>
    </cfRule>
  </conditionalFormatting>
  <conditionalFormatting sqref="M49:W49">
    <cfRule type="expression" dxfId="6198" priority="237">
      <formula>M$9&gt;=20/24</formula>
    </cfRule>
    <cfRule type="expression" dxfId="6197" priority="238">
      <formula>AND(M$9&gt;=14/24,M$9&lt;20/24)</formula>
    </cfRule>
    <cfRule type="expression" dxfId="6196" priority="239">
      <formula>AND(M$9&gt;=8/24,M$9&lt;14/24)</formula>
    </cfRule>
    <cfRule type="expression" dxfId="6195" priority="240">
      <formula>M$9&lt;8/24</formula>
    </cfRule>
  </conditionalFormatting>
  <conditionalFormatting sqref="M50:W50">
    <cfRule type="expression" dxfId="6194" priority="233">
      <formula>M$9&gt;=20/24</formula>
    </cfRule>
    <cfRule type="expression" dxfId="6193" priority="234">
      <formula>AND(M$9&gt;=14/24,M$9&lt;20/24)</formula>
    </cfRule>
    <cfRule type="expression" dxfId="6192" priority="235">
      <formula>AND(M$9&gt;=8/24,M$9&lt;14/24)</formula>
    </cfRule>
    <cfRule type="expression" dxfId="6191" priority="236">
      <formula>M$9&lt;8/24</formula>
    </cfRule>
  </conditionalFormatting>
  <conditionalFormatting sqref="M45:W48">
    <cfRule type="expression" dxfId="6190" priority="229">
      <formula>M$9&gt;=20/24</formula>
    </cfRule>
    <cfRule type="expression" dxfId="6189" priority="230">
      <formula>AND(M$9&gt;=14/24,M$9&lt;20/24)</formula>
    </cfRule>
    <cfRule type="expression" dxfId="6188" priority="231">
      <formula>AND(M$9&gt;=8/24,M$9&lt;14/24)</formula>
    </cfRule>
    <cfRule type="expression" dxfId="6187" priority="232">
      <formula>M$9&lt;8/24</formula>
    </cfRule>
  </conditionalFormatting>
  <conditionalFormatting sqref="X37:AE37">
    <cfRule type="expression" dxfId="6186" priority="225">
      <formula>X$9&gt;=20/24</formula>
    </cfRule>
    <cfRule type="expression" dxfId="6185" priority="226">
      <formula>AND(X$9&gt;=14/24,X$9&lt;20/24)</formula>
    </cfRule>
    <cfRule type="expression" dxfId="6184" priority="227">
      <formula>AND(X$9&gt;=8/24,X$9&lt;14/24)</formula>
    </cfRule>
    <cfRule type="expression" dxfId="6183" priority="228">
      <formula>X$9&lt;8/24</formula>
    </cfRule>
  </conditionalFormatting>
  <conditionalFormatting sqref="X31:Y32 X35:AE35">
    <cfRule type="expression" dxfId="6182" priority="221">
      <formula>X$9&gt;=20/24</formula>
    </cfRule>
    <cfRule type="expression" dxfId="6181" priority="222">
      <formula>AND(X$9&gt;=14/24,X$9&lt;20/24)</formula>
    </cfRule>
    <cfRule type="expression" dxfId="6180" priority="223">
      <formula>AND(X$9&gt;=8/24,X$9&lt;14/24)</formula>
    </cfRule>
    <cfRule type="expression" dxfId="6179" priority="224">
      <formula>X$9&lt;8/24</formula>
    </cfRule>
  </conditionalFormatting>
  <conditionalFormatting sqref="S42:T43 U43:Y43 S45:AE48">
    <cfRule type="expression" dxfId="6178" priority="217">
      <formula>S$9&gt;=20/24</formula>
    </cfRule>
    <cfRule type="expression" dxfId="6177" priority="218">
      <formula>AND(S$9&gt;=14/24,S$9&lt;20/24)</formula>
    </cfRule>
    <cfRule type="expression" dxfId="6176" priority="219">
      <formula>AND(S$9&gt;=8/24,S$9&lt;14/24)</formula>
    </cfRule>
    <cfRule type="expression" dxfId="6175" priority="220">
      <formula>S$9&lt;8/24</formula>
    </cfRule>
  </conditionalFormatting>
  <conditionalFormatting sqref="S49:AE49">
    <cfRule type="expression" dxfId="6174" priority="213">
      <formula>S$9&gt;=20/24</formula>
    </cfRule>
    <cfRule type="expression" dxfId="6173" priority="214">
      <formula>AND(S$9&gt;=14/24,S$9&lt;20/24)</formula>
    </cfRule>
    <cfRule type="expression" dxfId="6172" priority="215">
      <formula>AND(S$9&gt;=8/24,S$9&lt;14/24)</formula>
    </cfRule>
    <cfRule type="expression" dxfId="6171" priority="216">
      <formula>S$9&lt;8/24</formula>
    </cfRule>
  </conditionalFormatting>
  <conditionalFormatting sqref="S50:AE50">
    <cfRule type="expression" dxfId="6170" priority="209">
      <formula>S$9&gt;=20/24</formula>
    </cfRule>
    <cfRule type="expression" dxfId="6169" priority="210">
      <formula>AND(S$9&gt;=14/24,S$9&lt;20/24)</formula>
    </cfRule>
    <cfRule type="expression" dxfId="6168" priority="211">
      <formula>AND(S$9&gt;=8/24,S$9&lt;14/24)</formula>
    </cfRule>
    <cfRule type="expression" dxfId="6167" priority="212">
      <formula>S$9&lt;8/24</formula>
    </cfRule>
  </conditionalFormatting>
  <conditionalFormatting sqref="S60:T61 X60:AE67">
    <cfRule type="expression" dxfId="6166" priority="205">
      <formula>S$9&gt;=20/24</formula>
    </cfRule>
    <cfRule type="expression" dxfId="6165" priority="206">
      <formula>AND(S$9&gt;=14/24,S$9&lt;20/24)</formula>
    </cfRule>
    <cfRule type="expression" dxfId="6164" priority="207">
      <formula>AND(S$9&gt;=8/24,S$9&lt;14/24)</formula>
    </cfRule>
    <cfRule type="expression" dxfId="6163" priority="208">
      <formula>S$9&lt;8/24</formula>
    </cfRule>
  </conditionalFormatting>
  <conditionalFormatting sqref="D62:L62">
    <cfRule type="expression" dxfId="6162" priority="201">
      <formula>D$9&gt;=20/24</formula>
    </cfRule>
    <cfRule type="expression" dxfId="6161" priority="202">
      <formula>AND(D$9&gt;=14/24,D$9&lt;20/24)</formula>
    </cfRule>
    <cfRule type="expression" dxfId="6160" priority="203">
      <formula>AND(D$9&gt;=8/24,D$9&lt;14/24)</formula>
    </cfRule>
    <cfRule type="expression" dxfId="6159" priority="204">
      <formula>D$9&lt;8/24</formula>
    </cfRule>
  </conditionalFormatting>
  <conditionalFormatting sqref="U94:AA97">
    <cfRule type="expression" dxfId="6158" priority="197">
      <formula>U$9&gt;=20/24</formula>
    </cfRule>
    <cfRule type="expression" dxfId="6157" priority="198">
      <formula>AND(U$9&gt;=14/24,U$9&lt;20/24)</formula>
    </cfRule>
    <cfRule type="expression" dxfId="6156" priority="199">
      <formula>AND(U$9&gt;=8/24,U$9&lt;14/24)</formula>
    </cfRule>
    <cfRule type="expression" dxfId="6155" priority="200">
      <formula>U$9&lt;8/24</formula>
    </cfRule>
  </conditionalFormatting>
  <conditionalFormatting sqref="AG51 E11:L11 B11:D32 E12:E23 F16:G23 E24:G32 X27:Z32 F12:L14 H16:L32 B34:L37 N37:AF37 AA12:AF32 B38:AF56 Z12:Z26 N11:AF11 X18:Y26 X34:AF36">
    <cfRule type="expression" dxfId="6154" priority="196">
      <formula>B11&gt;$AG11</formula>
    </cfRule>
  </conditionalFormatting>
  <conditionalFormatting sqref="A101:A157 A84:A97 A11:A14 A16:A32 A45:A72 A80:A82 A74:A78 A35:A43 A170:A200">
    <cfRule type="expression" dxfId="6153" priority="195">
      <formula>$AH11=0</formula>
    </cfRule>
  </conditionalFormatting>
  <conditionalFormatting sqref="U98:AA98">
    <cfRule type="expression" dxfId="6152" priority="191">
      <formula>U$9&gt;=20/24</formula>
    </cfRule>
    <cfRule type="expression" dxfId="6151" priority="192">
      <formula>AND(U$9&gt;=14/24,U$9&lt;20/24)</formula>
    </cfRule>
    <cfRule type="expression" dxfId="6150" priority="193">
      <formula>AND(U$9&gt;=8/24,U$9&lt;14/24)</formula>
    </cfRule>
    <cfRule type="expression" dxfId="6149" priority="194">
      <formula>U$9&lt;8/24</formula>
    </cfRule>
  </conditionalFormatting>
  <conditionalFormatting sqref="A98">
    <cfRule type="expression" dxfId="6148" priority="190">
      <formula>$AH98=0</formula>
    </cfRule>
  </conditionalFormatting>
  <conditionalFormatting sqref="F63:L67 M64:M67">
    <cfRule type="expression" dxfId="6147" priority="182">
      <formula>F$9&gt;=20/24</formula>
    </cfRule>
    <cfRule type="expression" dxfId="6146" priority="183">
      <formula>AND(F$9&gt;=14/24,F$9&lt;20/24)</formula>
    </cfRule>
    <cfRule type="expression" dxfId="6145" priority="184">
      <formula>AND(F$9&gt;=8/24,F$9&lt;14/24)</formula>
    </cfRule>
    <cfRule type="expression" dxfId="6144" priority="185">
      <formula>F$9&lt;8/24</formula>
    </cfRule>
  </conditionalFormatting>
  <conditionalFormatting sqref="M62:M63">
    <cfRule type="expression" dxfId="6143" priority="178">
      <formula>M$9&gt;=20/24</formula>
    </cfRule>
    <cfRule type="expression" dxfId="6142" priority="179">
      <formula>AND(M$9&gt;=14/24,M$9&lt;20/24)</formula>
    </cfRule>
    <cfRule type="expression" dxfId="6141" priority="180">
      <formula>AND(M$9&gt;=8/24,M$9&lt;14/24)</formula>
    </cfRule>
    <cfRule type="expression" dxfId="6140" priority="181">
      <formula>M$9&lt;8/24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6139" priority="173">
      <formula>Z$9&gt;=20/24</formula>
    </cfRule>
    <cfRule type="expression" dxfId="6138" priority="174">
      <formula>AND(Z$9&gt;=14/24,Z$9&lt;20/24)</formula>
    </cfRule>
    <cfRule type="expression" dxfId="6137" priority="175">
      <formula>AND(Z$9&gt;=8/24,Z$9&lt;14/24)</formula>
    </cfRule>
    <cfRule type="expression" dxfId="6136" priority="176">
      <formula>Z$9&lt;8/24</formula>
    </cfRule>
  </conditionalFormatting>
  <conditionalFormatting sqref="X34:Y34">
    <cfRule type="expression" dxfId="6135" priority="165">
      <formula>X$9&gt;=20/24</formula>
    </cfRule>
    <cfRule type="expression" dxfId="6134" priority="166">
      <formula>AND(X$9&gt;=14/24,X$9&lt;20/24)</formula>
    </cfRule>
    <cfRule type="expression" dxfId="6133" priority="167">
      <formula>AND(X$9&gt;=8/24,X$9&lt;14/24)</formula>
    </cfRule>
    <cfRule type="expression" dxfId="6132" priority="168">
      <formula>X$9&lt;8/24</formula>
    </cfRule>
  </conditionalFormatting>
  <conditionalFormatting sqref="A34">
    <cfRule type="expression" dxfId="6131" priority="164">
      <formula>$AH34=0</formula>
    </cfRule>
  </conditionalFormatting>
  <conditionalFormatting sqref="A83">
    <cfRule type="expression" dxfId="6130" priority="163">
      <formula>$AH83=0</formula>
    </cfRule>
  </conditionalFormatting>
  <conditionalFormatting sqref="Z15:AE15">
    <cfRule type="expression" dxfId="6129" priority="159">
      <formula>Z$9&gt;=20/24</formula>
    </cfRule>
    <cfRule type="expression" dxfId="6128" priority="160">
      <formula>AND(Z$9&gt;=14/24,Z$9&lt;20/24)</formula>
    </cfRule>
    <cfRule type="expression" dxfId="6127" priority="161">
      <formula>AND(Z$9&gt;=8/24,Z$9&lt;14/24)</formula>
    </cfRule>
    <cfRule type="expression" dxfId="6126" priority="162">
      <formula>Z$9&lt;8/24</formula>
    </cfRule>
  </conditionalFormatting>
  <conditionalFormatting sqref="F15:L15">
    <cfRule type="expression" dxfId="6125" priority="154">
      <formula>F15&gt;$AG15</formula>
    </cfRule>
  </conditionalFormatting>
  <conditionalFormatting sqref="A15">
    <cfRule type="expression" dxfId="6124" priority="153">
      <formula>$AH15=0</formula>
    </cfRule>
  </conditionalFormatting>
  <conditionalFormatting sqref="A164:A169">
    <cfRule type="expression" dxfId="6123" priority="152">
      <formula>$AH164=0</formula>
    </cfRule>
  </conditionalFormatting>
  <conditionalFormatting sqref="A158:A163">
    <cfRule type="expression" dxfId="6122" priority="151">
      <formula>$AH158=0</formula>
    </cfRule>
  </conditionalFormatting>
  <conditionalFormatting sqref="Z44:AE44">
    <cfRule type="expression" dxfId="6121" priority="147">
      <formula>Z$9&gt;=20/24</formula>
    </cfRule>
    <cfRule type="expression" dxfId="6120" priority="148">
      <formula>AND(Z$9&gt;=14/24,Z$9&lt;20/24)</formula>
    </cfRule>
    <cfRule type="expression" dxfId="6119" priority="149">
      <formula>AND(Z$9&gt;=8/24,Z$9&lt;14/24)</formula>
    </cfRule>
    <cfRule type="expression" dxfId="6118" priority="150">
      <formula>Z$9&lt;8/24</formula>
    </cfRule>
  </conditionalFormatting>
  <conditionalFormatting sqref="M44:T44">
    <cfRule type="expression" dxfId="6117" priority="143">
      <formula>M$9&gt;=20/24</formula>
    </cfRule>
    <cfRule type="expression" dxfId="6116" priority="144">
      <formula>AND(M$9&gt;=14/24,M$9&lt;20/24)</formula>
    </cfRule>
    <cfRule type="expression" dxfId="6115" priority="145">
      <formula>AND(M$9&gt;=8/24,M$9&lt;14/24)</formula>
    </cfRule>
    <cfRule type="expression" dxfId="6114" priority="146">
      <formula>M$9&lt;8/24</formula>
    </cfRule>
  </conditionalFormatting>
  <conditionalFormatting sqref="S44:Y44">
    <cfRule type="expression" dxfId="6113" priority="139">
      <formula>S$9&gt;=20/24</formula>
    </cfRule>
    <cfRule type="expression" dxfId="6112" priority="140">
      <formula>AND(S$9&gt;=14/24,S$9&lt;20/24)</formula>
    </cfRule>
    <cfRule type="expression" dxfId="6111" priority="141">
      <formula>AND(S$9&gt;=8/24,S$9&lt;14/24)</formula>
    </cfRule>
    <cfRule type="expression" dxfId="6110" priority="142">
      <formula>S$9&lt;8/24</formula>
    </cfRule>
  </conditionalFormatting>
  <conditionalFormatting sqref="A44">
    <cfRule type="expression" dxfId="6109" priority="138">
      <formula>$AH44=0</formula>
    </cfRule>
  </conditionalFormatting>
  <conditionalFormatting sqref="A79">
    <cfRule type="expression" dxfId="6108" priority="137">
      <formula>$AH79=0</formula>
    </cfRule>
  </conditionalFormatting>
  <conditionalFormatting sqref="A73">
    <cfRule type="expression" dxfId="6107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6106" priority="132">
      <formula>U$9&gt;=20/24</formula>
    </cfRule>
    <cfRule type="expression" dxfId="6105" priority="133">
      <formula>AND(U$9&gt;=14/24,U$9&lt;20/24)</formula>
    </cfRule>
    <cfRule type="expression" dxfId="6104" priority="134">
      <formula>AND(U$9&gt;=8/24,U$9&lt;14/24)</formula>
    </cfRule>
    <cfRule type="expression" dxfId="6103" priority="135">
      <formula>U$9&lt;8/24</formula>
    </cfRule>
  </conditionalFormatting>
  <conditionalFormatting sqref="U85:W91">
    <cfRule type="expression" dxfId="6102" priority="128">
      <formula>U$9&gt;=20/24</formula>
    </cfRule>
    <cfRule type="expression" dxfId="6101" priority="129">
      <formula>AND(U$9&gt;=14/24,U$9&lt;20/24)</formula>
    </cfRule>
    <cfRule type="expression" dxfId="6100" priority="130">
      <formula>AND(U$9&gt;=8/24,U$9&lt;14/24)</formula>
    </cfRule>
    <cfRule type="expression" dxfId="6099" priority="131">
      <formula>U$9&lt;8/24</formula>
    </cfRule>
  </conditionalFormatting>
  <conditionalFormatting sqref="C84:R91 S85:T91">
    <cfRule type="expression" dxfId="6098" priority="124">
      <formula>C$9&gt;=20/24</formula>
    </cfRule>
    <cfRule type="expression" dxfId="6097" priority="125">
      <formula>AND(C$9&gt;=14/24,C$9&lt;20/24)</formula>
    </cfRule>
    <cfRule type="expression" dxfId="6096" priority="126">
      <formula>AND(C$9&gt;=8/24,C$9&lt;14/24)</formula>
    </cfRule>
    <cfRule type="expression" dxfId="6095" priority="127">
      <formula>C$9&lt;8/24</formula>
    </cfRule>
  </conditionalFormatting>
  <conditionalFormatting sqref="S84:T84">
    <cfRule type="expression" dxfId="6094" priority="120">
      <formula>S$9&gt;=20/24</formula>
    </cfRule>
    <cfRule type="expression" dxfId="6093" priority="121">
      <formula>AND(S$9&gt;=14/24,S$9&lt;20/24)</formula>
    </cfRule>
    <cfRule type="expression" dxfId="6092" priority="122">
      <formula>AND(S$9&gt;=8/24,S$9&lt;14/24)</formula>
    </cfRule>
    <cfRule type="expression" dxfId="6091" priority="123">
      <formula>S$9&lt;8/24</formula>
    </cfRule>
  </conditionalFormatting>
  <conditionalFormatting sqref="C94:F94 C95:N97">
    <cfRule type="expression" dxfId="6090" priority="116">
      <formula>C$9&gt;=20/24</formula>
    </cfRule>
    <cfRule type="expression" dxfId="6089" priority="117">
      <formula>AND(C$9&gt;=14/24,C$9&lt;20/24)</formula>
    </cfRule>
    <cfRule type="expression" dxfId="6088" priority="118">
      <formula>AND(C$9&gt;=8/24,C$9&lt;14/24)</formula>
    </cfRule>
    <cfRule type="expression" dxfId="6087" priority="119">
      <formula>C$9&lt;8/24</formula>
    </cfRule>
  </conditionalFormatting>
  <conditionalFormatting sqref="O94:R97">
    <cfRule type="expression" dxfId="6086" priority="112">
      <formula>O$9&gt;=20/24</formula>
    </cfRule>
    <cfRule type="expression" dxfId="6085" priority="113">
      <formula>AND(O$9&gt;=14/24,O$9&lt;20/24)</formula>
    </cfRule>
    <cfRule type="expression" dxfId="6084" priority="114">
      <formula>AND(O$9&gt;=8/24,O$9&lt;14/24)</formula>
    </cfRule>
    <cfRule type="expression" dxfId="6083" priority="115">
      <formula>O$9&lt;8/24</formula>
    </cfRule>
  </conditionalFormatting>
  <conditionalFormatting sqref="S94:T97">
    <cfRule type="expression" dxfId="6082" priority="108">
      <formula>S$9&gt;=20/24</formula>
    </cfRule>
    <cfRule type="expression" dxfId="6081" priority="109">
      <formula>AND(S$9&gt;=14/24,S$9&lt;20/24)</formula>
    </cfRule>
    <cfRule type="expression" dxfId="6080" priority="110">
      <formula>AND(S$9&gt;=8/24,S$9&lt;14/24)</formula>
    </cfRule>
    <cfRule type="expression" dxfId="6079" priority="111">
      <formula>S$9&lt;8/24</formula>
    </cfRule>
  </conditionalFormatting>
  <conditionalFormatting sqref="C98:N98">
    <cfRule type="expression" dxfId="6078" priority="104">
      <formula>C$9&gt;=20/24</formula>
    </cfRule>
    <cfRule type="expression" dxfId="6077" priority="105">
      <formula>AND(C$9&gt;=14/24,C$9&lt;20/24)</formula>
    </cfRule>
    <cfRule type="expression" dxfId="6076" priority="106">
      <formula>AND(C$9&gt;=8/24,C$9&lt;14/24)</formula>
    </cfRule>
    <cfRule type="expression" dxfId="6075" priority="107">
      <formula>C$9&lt;8/24</formula>
    </cfRule>
  </conditionalFormatting>
  <conditionalFormatting sqref="O98:R98">
    <cfRule type="expression" dxfId="6074" priority="100">
      <formula>O$9&gt;=20/24</formula>
    </cfRule>
    <cfRule type="expression" dxfId="6073" priority="101">
      <formula>AND(O$9&gt;=14/24,O$9&lt;20/24)</formula>
    </cfRule>
    <cfRule type="expression" dxfId="6072" priority="102">
      <formula>AND(O$9&gt;=8/24,O$9&lt;14/24)</formula>
    </cfRule>
    <cfRule type="expression" dxfId="6071" priority="103">
      <formula>O$9&lt;8/24</formula>
    </cfRule>
  </conditionalFormatting>
  <conditionalFormatting sqref="S98:T98">
    <cfRule type="expression" dxfId="6070" priority="96">
      <formula>S$9&gt;=20/24</formula>
    </cfRule>
    <cfRule type="expression" dxfId="6069" priority="97">
      <formula>AND(S$9&gt;=14/24,S$9&lt;20/24)</formula>
    </cfRule>
    <cfRule type="expression" dxfId="6068" priority="98">
      <formula>AND(S$9&gt;=8/24,S$9&lt;14/24)</formula>
    </cfRule>
    <cfRule type="expression" dxfId="6067" priority="99">
      <formula>S$9&lt;8/24</formula>
    </cfRule>
  </conditionalFormatting>
  <conditionalFormatting sqref="M94:N94">
    <cfRule type="expression" dxfId="6066" priority="92">
      <formula>M$9&gt;=20/24</formula>
    </cfRule>
    <cfRule type="expression" dxfId="6065" priority="93">
      <formula>AND(M$9&gt;=14/24,M$9&lt;20/24)</formula>
    </cfRule>
    <cfRule type="expression" dxfId="6064" priority="94">
      <formula>AND(M$9&gt;=8/24,M$9&lt;14/24)</formula>
    </cfRule>
    <cfRule type="expression" dxfId="6063" priority="95">
      <formula>M$9&lt;8/24</formula>
    </cfRule>
  </conditionalFormatting>
  <conditionalFormatting sqref="G94:L94">
    <cfRule type="expression" dxfId="6062" priority="88">
      <formula>G$9&gt;=20/24</formula>
    </cfRule>
    <cfRule type="expression" dxfId="6061" priority="89">
      <formula>AND(G$9&gt;=14/24,G$9&lt;20/24)</formula>
    </cfRule>
    <cfRule type="expression" dxfId="6060" priority="90">
      <formula>AND(G$9&gt;=8/24,G$9&lt;14/24)</formula>
    </cfRule>
    <cfRule type="expression" dxfId="6059" priority="91">
      <formula>G$9&lt;8/24</formula>
    </cfRule>
  </conditionalFormatting>
  <conditionalFormatting sqref="U94:W94">
    <cfRule type="expression" dxfId="6058" priority="84">
      <formula>U$9&gt;=20/24</formula>
    </cfRule>
    <cfRule type="expression" dxfId="6057" priority="85">
      <formula>AND(U$9&gt;=14/24,U$9&lt;20/24)</formula>
    </cfRule>
    <cfRule type="expression" dxfId="6056" priority="86">
      <formula>AND(U$9&gt;=8/24,U$9&lt;14/24)</formula>
    </cfRule>
    <cfRule type="expression" dxfId="6055" priority="87">
      <formula>U$9&lt;8/24</formula>
    </cfRule>
  </conditionalFormatting>
  <conditionalFormatting sqref="O94:T94">
    <cfRule type="expression" dxfId="6054" priority="80">
      <formula>O$9&gt;=20/24</formula>
    </cfRule>
    <cfRule type="expression" dxfId="6053" priority="81">
      <formula>AND(O$9&gt;=14/24,O$9&lt;20/24)</formula>
    </cfRule>
    <cfRule type="expression" dxfId="6052" priority="82">
      <formula>AND(O$9&gt;=8/24,O$9&lt;14/24)</formula>
    </cfRule>
    <cfRule type="expression" dxfId="6051" priority="83">
      <formula>O$9&lt;8/24</formula>
    </cfRule>
  </conditionalFormatting>
  <conditionalFormatting sqref="U99:AA100">
    <cfRule type="expression" dxfId="6050" priority="76">
      <formula>U$9&gt;=20/24</formula>
    </cfRule>
    <cfRule type="expression" dxfId="6049" priority="77">
      <formula>AND(U$9&gt;=14/24,U$9&lt;20/24)</formula>
    </cfRule>
    <cfRule type="expression" dxfId="6048" priority="78">
      <formula>AND(U$9&gt;=8/24,U$9&lt;14/24)</formula>
    </cfRule>
    <cfRule type="expression" dxfId="6047" priority="79">
      <formula>U$9&lt;8/24</formula>
    </cfRule>
  </conditionalFormatting>
  <conditionalFormatting sqref="C99:N100">
    <cfRule type="expression" dxfId="6046" priority="72">
      <formula>C$9&gt;=20/24</formula>
    </cfRule>
    <cfRule type="expression" dxfId="6045" priority="73">
      <formula>AND(C$9&gt;=14/24,C$9&lt;20/24)</formula>
    </cfRule>
    <cfRule type="expression" dxfId="6044" priority="74">
      <formula>AND(C$9&gt;=8/24,C$9&lt;14/24)</formula>
    </cfRule>
    <cfRule type="expression" dxfId="6043" priority="75">
      <formula>C$9&lt;8/24</formula>
    </cfRule>
  </conditionalFormatting>
  <conditionalFormatting sqref="O99:R100">
    <cfRule type="expression" dxfId="6042" priority="68">
      <formula>O$9&gt;=20/24</formula>
    </cfRule>
    <cfRule type="expression" dxfId="6041" priority="69">
      <formula>AND(O$9&gt;=14/24,O$9&lt;20/24)</formula>
    </cfRule>
    <cfRule type="expression" dxfId="6040" priority="70">
      <formula>AND(O$9&gt;=8/24,O$9&lt;14/24)</formula>
    </cfRule>
    <cfRule type="expression" dxfId="6039" priority="71">
      <formula>O$9&lt;8/24</formula>
    </cfRule>
  </conditionalFormatting>
  <conditionalFormatting sqref="S99:T100">
    <cfRule type="expression" dxfId="6038" priority="64">
      <formula>S$9&gt;=20/24</formula>
    </cfRule>
    <cfRule type="expression" dxfId="6037" priority="65">
      <formula>AND(S$9&gt;=14/24,S$9&lt;20/24)</formula>
    </cfRule>
    <cfRule type="expression" dxfId="6036" priority="66">
      <formula>AND(S$9&gt;=8/24,S$9&lt;14/24)</formula>
    </cfRule>
    <cfRule type="expression" dxfId="6035" priority="67">
      <formula>S$9&lt;8/24</formula>
    </cfRule>
  </conditionalFormatting>
  <conditionalFormatting sqref="X12:Y16">
    <cfRule type="expression" dxfId="6034" priority="60">
      <formula>X$9&gt;=20/24</formula>
    </cfRule>
    <cfRule type="expression" dxfId="6033" priority="61">
      <formula>AND(X$9&gt;=14/24,X$9&lt;20/24)</formula>
    </cfRule>
    <cfRule type="expression" dxfId="6032" priority="62">
      <formula>AND(X$9&gt;=8/24,X$9&lt;14/24)</formula>
    </cfRule>
    <cfRule type="expression" dxfId="6031" priority="63">
      <formula>X$9&lt;8/24</formula>
    </cfRule>
  </conditionalFormatting>
  <conditionalFormatting sqref="X17:Y17">
    <cfRule type="expression" dxfId="6030" priority="56">
      <formula>X$9&gt;=20/24</formula>
    </cfRule>
    <cfRule type="expression" dxfId="6029" priority="57">
      <formula>AND(X$9&gt;=14/24,X$9&lt;20/24)</formula>
    </cfRule>
    <cfRule type="expression" dxfId="6028" priority="58">
      <formula>AND(X$9&gt;=8/24,X$9&lt;14/24)</formula>
    </cfRule>
    <cfRule type="expression" dxfId="6027" priority="59">
      <formula>X$9&lt;8/24</formula>
    </cfRule>
  </conditionalFormatting>
  <conditionalFormatting sqref="X12:Y13">
    <cfRule type="expression" dxfId="6026" priority="52">
      <formula>X$9&gt;=20/24</formula>
    </cfRule>
    <cfRule type="expression" dxfId="6025" priority="53">
      <formula>AND(X$9&gt;=14/24,X$9&lt;20/24)</formula>
    </cfRule>
    <cfRule type="expression" dxfId="6024" priority="54">
      <formula>AND(X$9&gt;=8/24,X$9&lt;14/24)</formula>
    </cfRule>
    <cfRule type="expression" dxfId="6023" priority="55">
      <formula>X$9&lt;8/24</formula>
    </cfRule>
  </conditionalFormatting>
  <conditionalFormatting sqref="AB58:AE59">
    <cfRule type="expression" dxfId="6022" priority="48">
      <formula>AB$9&gt;=20/24</formula>
    </cfRule>
    <cfRule type="expression" dxfId="6021" priority="49">
      <formula>AND(AB$9&gt;=14/24,AB$9&lt;20/24)</formula>
    </cfRule>
    <cfRule type="expression" dxfId="6020" priority="50">
      <formula>AND(AB$9&gt;=8/24,AB$9&lt;14/24)</formula>
    </cfRule>
    <cfRule type="expression" dxfId="6019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018" priority="281">
      <formula>C$9&gt;=20/24</formula>
    </cfRule>
    <cfRule type="expression" dxfId="6017" priority="282">
      <formula>AND(C$9&gt;=14/24,C$9&lt;20/24)</formula>
    </cfRule>
    <cfRule type="expression" dxfId="6016" priority="283">
      <formula>AND(C$9&gt;=8/24,C$9&lt;14/24)</formula>
    </cfRule>
    <cfRule type="expression" dxfId="6015" priority="284">
      <formula>C$9&lt;8/24</formula>
    </cfRule>
  </conditionalFormatting>
  <conditionalFormatting sqref="A201">
    <cfRule type="expression" dxfId="6014" priority="285">
      <formula>$AH201=0</formula>
    </cfRule>
  </conditionalFormatting>
  <conditionalFormatting sqref="AG213">
    <cfRule type="expression" dxfId="6013" priority="286">
      <formula>B$9&gt;=20/24</formula>
    </cfRule>
    <cfRule type="expression" dxfId="6012" priority="287">
      <formula>AND(B$9&gt;=14/24,B$9&lt;20/24)</formula>
    </cfRule>
    <cfRule type="expression" dxfId="6011" priority="288">
      <formula>AND(B$9&gt;=8/24,B$9&lt;14/24)</formula>
    </cfRule>
    <cfRule type="expression" dxfId="6010" priority="289">
      <formula>B$9&lt;8/24</formula>
    </cfRule>
  </conditionalFormatting>
  <conditionalFormatting sqref="S8">
    <cfRule type="expression" dxfId="6009" priority="42">
      <formula>U$9&gt;=20/24</formula>
    </cfRule>
    <cfRule type="expression" dxfId="6008" priority="43">
      <formula>AND(U$9&gt;=14/24,U$9&lt;20/24)</formula>
    </cfRule>
    <cfRule type="expression" dxfId="6007" priority="44">
      <formula>AND(U$9&gt;=8/24,U$9&lt;14/24)</formula>
    </cfRule>
    <cfRule type="expression" dxfId="6006" priority="45">
      <formula>U$9&lt;8/24</formula>
    </cfRule>
  </conditionalFormatting>
  <conditionalFormatting sqref="AB8">
    <cfRule type="expression" dxfId="6005" priority="38">
      <formula>AD$9&gt;=20/24</formula>
    </cfRule>
    <cfRule type="expression" dxfId="6004" priority="39">
      <formula>AND(AD$9&gt;=14/24,AD$9&lt;20/24)</formula>
    </cfRule>
    <cfRule type="expression" dxfId="6003" priority="40">
      <formula>AND(AD$9&gt;=8/24,AD$9&lt;14/24)</formula>
    </cfRule>
    <cfRule type="expression" dxfId="6002" priority="41">
      <formula>AD$9&lt;8/24</formula>
    </cfRule>
  </conditionalFormatting>
  <conditionalFormatting sqref="AH213:AX213">
    <cfRule type="expression" dxfId="6001" priority="290">
      <formula>AG$9&gt;=20/24</formula>
    </cfRule>
    <cfRule type="expression" dxfId="6000" priority="291">
      <formula>AND(AG$9&gt;=14/24,AG$9&lt;20/24)</formula>
    </cfRule>
    <cfRule type="expression" dxfId="5999" priority="292">
      <formula>AND(AG$9&gt;=8/24,AG$9&lt;14/24)</formula>
    </cfRule>
    <cfRule type="expression" dxfId="5998" priority="293">
      <formula>AG$9&lt;8/24</formula>
    </cfRule>
  </conditionalFormatting>
  <conditionalFormatting sqref="T213">
    <cfRule type="expression" dxfId="5997" priority="294">
      <formula>AX$9&gt;=20/24</formula>
    </cfRule>
    <cfRule type="expression" dxfId="5996" priority="295">
      <formula>AND(AX$9&gt;=14/24,AX$9&lt;20/24)</formula>
    </cfRule>
    <cfRule type="expression" dxfId="5995" priority="296">
      <formula>AND(AX$9&gt;=8/24,AX$9&lt;14/24)</formula>
    </cfRule>
    <cfRule type="expression" dxfId="5994" priority="297">
      <formula>AX$9&lt;8/24</formula>
    </cfRule>
  </conditionalFormatting>
  <conditionalFormatting sqref="A99:A100">
    <cfRule type="expression" dxfId="5993" priority="37">
      <formula>$AH99=0</formula>
    </cfRule>
  </conditionalFormatting>
  <conditionalFormatting sqref="Z33:AE33">
    <cfRule type="expression" dxfId="5992" priority="29">
      <formula>Z$9&gt;=20/24</formula>
    </cfRule>
    <cfRule type="expression" dxfId="5991" priority="30">
      <formula>AND(Z$9&gt;=14/24,Z$9&lt;20/24)</formula>
    </cfRule>
    <cfRule type="expression" dxfId="5990" priority="31">
      <formula>AND(Z$9&gt;=8/24,Z$9&lt;14/24)</formula>
    </cfRule>
    <cfRule type="expression" dxfId="5989" priority="32">
      <formula>Z$9&lt;8/24</formula>
    </cfRule>
  </conditionalFormatting>
  <conditionalFormatting sqref="X33:Y33">
    <cfRule type="expression" dxfId="5988" priority="25">
      <formula>X$9&gt;=20/24</formula>
    </cfRule>
    <cfRule type="expression" dxfId="5987" priority="26">
      <formula>AND(X$9&gt;=14/24,X$9&lt;20/24)</formula>
    </cfRule>
    <cfRule type="expression" dxfId="5986" priority="27">
      <formula>AND(X$9&gt;=8/24,X$9&lt;14/24)</formula>
    </cfRule>
    <cfRule type="expression" dxfId="5985" priority="28">
      <formula>X$9&lt;8/24</formula>
    </cfRule>
  </conditionalFormatting>
  <conditionalFormatting sqref="B33:L33 X33:AF33">
    <cfRule type="expression" dxfId="5984" priority="24">
      <formula>B33&gt;$AG33</formula>
    </cfRule>
  </conditionalFormatting>
  <conditionalFormatting sqref="M11:M14 M36:M37 N12:W14 M16:W32 N36:W36">
    <cfRule type="expression" dxfId="5983" priority="20">
      <formula>M$9&gt;=20/24</formula>
    </cfRule>
    <cfRule type="expression" dxfId="5982" priority="21">
      <formula>AND(M$9&gt;=14/24,M$9&lt;20/24)</formula>
    </cfRule>
    <cfRule type="expression" dxfId="5981" priority="22">
      <formula>AND(M$9&gt;=8/24,M$9&lt;14/24)</formula>
    </cfRule>
    <cfRule type="expression" dxfId="5980" priority="23">
      <formula>M$9&lt;8/24</formula>
    </cfRule>
  </conditionalFormatting>
  <conditionalFormatting sqref="M35:W35">
    <cfRule type="expression" dxfId="5979" priority="16">
      <formula>M$9&gt;=20/24</formula>
    </cfRule>
    <cfRule type="expression" dxfId="5978" priority="17">
      <formula>AND(M$9&gt;=14/24,M$9&lt;20/24)</formula>
    </cfRule>
    <cfRule type="expression" dxfId="5977" priority="18">
      <formula>AND(M$9&gt;=8/24,M$9&lt;14/24)</formula>
    </cfRule>
    <cfRule type="expression" dxfId="5976" priority="19">
      <formula>M$9&lt;8/24</formula>
    </cfRule>
  </conditionalFormatting>
  <conditionalFormatting sqref="M11:M14 M34:M37 M16:W32 N12:W14 N34:W36">
    <cfRule type="expression" dxfId="5975" priority="15">
      <formula>M11&gt;$AG11</formula>
    </cfRule>
  </conditionalFormatting>
  <conditionalFormatting sqref="M34:W34">
    <cfRule type="expression" dxfId="5974" priority="11">
      <formula>M$9&gt;=20/24</formula>
    </cfRule>
    <cfRule type="expression" dxfId="5973" priority="12">
      <formula>AND(M$9&gt;=14/24,M$9&lt;20/24)</formula>
    </cfRule>
    <cfRule type="expression" dxfId="5972" priority="13">
      <formula>AND(M$9&gt;=8/24,M$9&lt;14/24)</formula>
    </cfRule>
    <cfRule type="expression" dxfId="5971" priority="14">
      <formula>M$9&lt;8/24</formula>
    </cfRule>
  </conditionalFormatting>
  <conditionalFormatting sqref="M15:W15">
    <cfRule type="expression" dxfId="5970" priority="7">
      <formula>M$9&gt;=20/24</formula>
    </cfRule>
    <cfRule type="expression" dxfId="5969" priority="8">
      <formula>AND(M$9&gt;=14/24,M$9&lt;20/24)</formula>
    </cfRule>
    <cfRule type="expression" dxfId="5968" priority="9">
      <formula>AND(M$9&gt;=8/24,M$9&lt;14/24)</formula>
    </cfRule>
    <cfRule type="expression" dxfId="5967" priority="10">
      <formula>M$9&lt;8/24</formula>
    </cfRule>
  </conditionalFormatting>
  <conditionalFormatting sqref="M15:W15">
    <cfRule type="expression" dxfId="5966" priority="6">
      <formula>M15&gt;$AG15</formula>
    </cfRule>
  </conditionalFormatting>
  <conditionalFormatting sqref="M33:W33">
    <cfRule type="expression" dxfId="5965" priority="2">
      <formula>M$9&gt;=20/24</formula>
    </cfRule>
    <cfRule type="expression" dxfId="5964" priority="3">
      <formula>AND(M$9&gt;=14/24,M$9&lt;20/24)</formula>
    </cfRule>
    <cfRule type="expression" dxfId="5963" priority="4">
      <formula>AND(M$9&gt;=8/24,M$9&lt;14/24)</formula>
    </cfRule>
    <cfRule type="expression" dxfId="5962" priority="5">
      <formula>M$9&lt;8/24</formula>
    </cfRule>
  </conditionalFormatting>
  <conditionalFormatting sqref="M33:W33">
    <cfRule type="expression" dxfId="5961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886E44F3-6774-44CF-902F-B6F4BD4E025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CJ472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E74" sqref="E74"/>
    </sheetView>
  </sheetViews>
  <sheetFormatPr defaultRowHeight="15" x14ac:dyDescent="0.25"/>
  <cols>
    <col min="1" max="1" width="32.85546875" bestFit="1" customWidth="1"/>
    <col min="2" max="2" width="8.2851562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6" bestFit="1" customWidth="1"/>
    <col min="12" max="12" width="6.42578125" bestFit="1" customWidth="1"/>
    <col min="13" max="13" width="6" bestFit="1" customWidth="1"/>
    <col min="14" max="14" width="6.42578125" bestFit="1" customWidth="1"/>
    <col min="15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2078/12/11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313.2</v>
      </c>
      <c r="C5" s="157">
        <f t="shared" si="0"/>
        <v>362.69000000000005</v>
      </c>
      <c r="D5" s="157">
        <f t="shared" si="0"/>
        <v>406.70000000000005</v>
      </c>
      <c r="E5" s="157">
        <f t="shared" si="0"/>
        <v>485.29999999999995</v>
      </c>
      <c r="F5" s="157">
        <f t="shared" si="0"/>
        <v>501.2</v>
      </c>
      <c r="G5" s="157">
        <f t="shared" si="0"/>
        <v>495.3</v>
      </c>
      <c r="H5" s="157">
        <f t="shared" si="0"/>
        <v>500.2</v>
      </c>
      <c r="I5" s="157">
        <f t="shared" si="0"/>
        <v>279.5</v>
      </c>
      <c r="J5" s="157">
        <f t="shared" si="0"/>
        <v>259.3</v>
      </c>
      <c r="K5" s="157">
        <f t="shared" si="0"/>
        <v>274.89999999999998</v>
      </c>
      <c r="L5" s="157">
        <f t="shared" si="0"/>
        <v>381.4</v>
      </c>
      <c r="M5" s="157">
        <f t="shared" si="0"/>
        <v>443</v>
      </c>
      <c r="N5" s="157">
        <f t="shared" si="0"/>
        <v>646.70000000000005</v>
      </c>
      <c r="O5" s="157">
        <f t="shared" si="0"/>
        <v>630.20000000000005</v>
      </c>
      <c r="P5" s="157">
        <f t="shared" si="0"/>
        <v>631.29999999999995</v>
      </c>
      <c r="Q5" s="157">
        <f t="shared" si="0"/>
        <v>620.21</v>
      </c>
      <c r="R5" s="157">
        <f t="shared" si="0"/>
        <v>612.79999999999995</v>
      </c>
      <c r="S5" s="157">
        <f t="shared" si="0"/>
        <v>642.29999999999995</v>
      </c>
      <c r="T5" s="157">
        <f t="shared" si="0"/>
        <v>547.29999999999995</v>
      </c>
      <c r="U5" s="157">
        <f t="shared" si="0"/>
        <v>590.70000000000005</v>
      </c>
      <c r="V5" s="157">
        <f t="shared" si="0"/>
        <v>589.29999999999995</v>
      </c>
      <c r="W5" s="157">
        <f t="shared" si="0"/>
        <v>327.39999999999998</v>
      </c>
      <c r="X5" s="157">
        <f t="shared" si="0"/>
        <v>297.10000000000002</v>
      </c>
      <c r="Y5" s="157">
        <f t="shared" si="0"/>
        <v>194.54000000000002</v>
      </c>
      <c r="Z5" s="157">
        <f t="shared" si="0"/>
        <v>167.10000000000002</v>
      </c>
      <c r="AA5" s="157">
        <f t="shared" si="0"/>
        <v>177.8</v>
      </c>
      <c r="AB5" s="157">
        <f t="shared" si="0"/>
        <v>195</v>
      </c>
      <c r="AC5" s="157">
        <f t="shared" si="0"/>
        <v>195</v>
      </c>
      <c r="AD5" s="157">
        <f t="shared" si="0"/>
        <v>390.5</v>
      </c>
      <c r="AE5" s="157">
        <f t="shared" si="0"/>
        <v>462.5</v>
      </c>
      <c r="AF5" s="157">
        <f>B68</f>
        <v>116.7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1382MW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Load=1056</v>
      </c>
      <c r="B7" s="146">
        <f>B75</f>
        <v>1122.8400000000001</v>
      </c>
      <c r="C7" s="146">
        <f t="shared" ref="C7:AF7" si="1">C75</f>
        <v>1124.04</v>
      </c>
      <c r="D7" s="146">
        <f t="shared" si="1"/>
        <v>1105.8300000000002</v>
      </c>
      <c r="E7" s="146">
        <f t="shared" si="1"/>
        <v>1080.54</v>
      </c>
      <c r="F7" s="146">
        <f t="shared" si="1"/>
        <v>1056.1399999999999</v>
      </c>
      <c r="G7" s="146">
        <f t="shared" si="1"/>
        <v>1119.24</v>
      </c>
      <c r="H7" s="146">
        <f t="shared" si="1"/>
        <v>1173.8399999999999</v>
      </c>
      <c r="I7" s="146">
        <f t="shared" si="1"/>
        <v>1205.1399999999999</v>
      </c>
      <c r="J7" s="146">
        <f t="shared" si="1"/>
        <v>1338.94</v>
      </c>
      <c r="K7" s="146">
        <f t="shared" si="1"/>
        <v>1290.74</v>
      </c>
      <c r="L7" s="146">
        <f t="shared" si="1"/>
        <v>1382.3400000000001</v>
      </c>
      <c r="M7" s="146">
        <f t="shared" si="1"/>
        <v>1374.8400000000001</v>
      </c>
      <c r="N7" s="146">
        <f t="shared" si="1"/>
        <v>1339.04</v>
      </c>
      <c r="O7" s="146">
        <f t="shared" si="1"/>
        <v>1366.94</v>
      </c>
      <c r="P7" s="146">
        <f t="shared" si="1"/>
        <v>1380.94</v>
      </c>
      <c r="Q7" s="146">
        <f t="shared" si="1"/>
        <v>1357.04</v>
      </c>
      <c r="R7" s="146">
        <f t="shared" si="1"/>
        <v>1327.0500000000002</v>
      </c>
      <c r="S7" s="146">
        <f t="shared" si="1"/>
        <v>1360.34</v>
      </c>
      <c r="T7" s="146">
        <f t="shared" si="1"/>
        <v>1365.04</v>
      </c>
      <c r="U7" s="146">
        <f t="shared" si="1"/>
        <v>1280.04</v>
      </c>
      <c r="V7" s="146">
        <f t="shared" si="1"/>
        <v>1381.94</v>
      </c>
      <c r="W7" s="146">
        <f t="shared" si="1"/>
        <v>1352.04</v>
      </c>
      <c r="X7" s="146">
        <f t="shared" si="1"/>
        <v>1372.74</v>
      </c>
      <c r="Y7" s="146">
        <f t="shared" si="1"/>
        <v>1415.44</v>
      </c>
      <c r="Z7" s="146">
        <f t="shared" si="1"/>
        <v>1612.1800000000003</v>
      </c>
      <c r="AA7" s="146">
        <f t="shared" si="1"/>
        <v>1389.7400000000002</v>
      </c>
      <c r="AB7" s="146">
        <f t="shared" si="1"/>
        <v>1440.44</v>
      </c>
      <c r="AC7" s="146">
        <f t="shared" si="1"/>
        <v>1457.64</v>
      </c>
      <c r="AD7" s="146">
        <f t="shared" si="1"/>
        <v>1457.64</v>
      </c>
      <c r="AE7" s="146">
        <f t="shared" si="1"/>
        <v>1317.14</v>
      </c>
      <c r="AF7" s="146">
        <f t="shared" si="1"/>
        <v>1240.54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110</v>
      </c>
      <c r="C11" s="127">
        <v>30</v>
      </c>
      <c r="D11" s="127">
        <v>40</v>
      </c>
      <c r="E11" s="127">
        <v>12</v>
      </c>
      <c r="F11" s="127">
        <v>12</v>
      </c>
      <c r="G11" s="127">
        <v>32</v>
      </c>
      <c r="H11" s="127">
        <v>15</v>
      </c>
      <c r="I11" s="127">
        <v>35</v>
      </c>
      <c r="J11" s="127">
        <v>228</v>
      </c>
      <c r="K11" s="127">
        <v>200</v>
      </c>
      <c r="L11" s="127">
        <v>255</v>
      </c>
      <c r="M11" s="103">
        <v>180</v>
      </c>
      <c r="N11" s="103">
        <v>100</v>
      </c>
      <c r="O11" s="103">
        <v>20</v>
      </c>
      <c r="P11" s="103">
        <v>15</v>
      </c>
      <c r="Q11" s="103">
        <v>16.5</v>
      </c>
      <c r="R11" s="103">
        <v>16</v>
      </c>
      <c r="S11" s="103">
        <v>16</v>
      </c>
      <c r="T11" s="103">
        <v>12</v>
      </c>
      <c r="U11" s="103">
        <v>12</v>
      </c>
      <c r="V11" s="103">
        <v>40</v>
      </c>
      <c r="W11" s="103">
        <v>30</v>
      </c>
      <c r="X11" s="103">
        <v>152</v>
      </c>
      <c r="Y11" s="103">
        <v>228</v>
      </c>
      <c r="Z11" s="179">
        <v>380</v>
      </c>
      <c r="AA11" s="103">
        <v>320</v>
      </c>
      <c r="AB11" s="103">
        <v>360</v>
      </c>
      <c r="AC11" s="103">
        <v>360</v>
      </c>
      <c r="AD11" s="103">
        <v>360</v>
      </c>
      <c r="AE11" s="103">
        <v>120</v>
      </c>
      <c r="AF11" s="127">
        <v>12</v>
      </c>
      <c r="AG11" s="54">
        <v>456</v>
      </c>
      <c r="AH11" s="21">
        <f>MAX(B11:AF11)</f>
        <v>380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19.600000000000001</v>
      </c>
      <c r="C13" s="127">
        <v>19.600000000000001</v>
      </c>
      <c r="D13" s="127">
        <v>19.600000000000001</v>
      </c>
      <c r="E13" s="127">
        <v>19.600000000000001</v>
      </c>
      <c r="F13" s="127">
        <v>19.2</v>
      </c>
      <c r="G13" s="127">
        <v>18.2</v>
      </c>
      <c r="H13" s="127">
        <v>18.2</v>
      </c>
      <c r="I13" s="127">
        <v>18.5</v>
      </c>
      <c r="J13" s="127">
        <v>18.5</v>
      </c>
      <c r="K13" s="127">
        <v>20</v>
      </c>
      <c r="L13" s="127">
        <v>18.7</v>
      </c>
      <c r="M13" s="127">
        <v>18.7</v>
      </c>
      <c r="N13" s="127">
        <v>18.7</v>
      </c>
      <c r="O13" s="127">
        <v>18.7</v>
      </c>
      <c r="P13" s="127">
        <v>18.7</v>
      </c>
      <c r="Q13" s="127">
        <v>16.3</v>
      </c>
      <c r="R13" s="127">
        <v>16.3</v>
      </c>
      <c r="S13" s="127">
        <v>16.3</v>
      </c>
      <c r="T13" s="127">
        <v>16.3</v>
      </c>
      <c r="U13" s="127">
        <v>16.3</v>
      </c>
      <c r="V13" s="127">
        <v>16.3</v>
      </c>
      <c r="W13" s="127">
        <v>16.3</v>
      </c>
      <c r="X13" s="127">
        <v>16.3</v>
      </c>
      <c r="Y13" s="127">
        <v>16.3</v>
      </c>
      <c r="Z13" s="103">
        <v>16.3</v>
      </c>
      <c r="AA13" s="103">
        <v>16.3</v>
      </c>
      <c r="AB13" s="103">
        <v>16.3</v>
      </c>
      <c r="AC13" s="103">
        <v>16.3</v>
      </c>
      <c r="AD13" s="103">
        <v>16.3</v>
      </c>
      <c r="AE13" s="103">
        <v>16.3</v>
      </c>
      <c r="AF13" s="103">
        <v>16.3</v>
      </c>
      <c r="AG13" s="134">
        <v>52.4</v>
      </c>
      <c r="AH13" s="21">
        <f t="shared" si="2"/>
        <v>20</v>
      </c>
      <c r="AI13" s="20">
        <f t="shared" si="3"/>
        <v>16.3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25.3</v>
      </c>
      <c r="C14" s="127">
        <v>25.2</v>
      </c>
      <c r="D14" s="127">
        <v>25.4</v>
      </c>
      <c r="E14" s="127">
        <v>25.4</v>
      </c>
      <c r="F14" s="127">
        <v>25.6</v>
      </c>
      <c r="G14" s="127">
        <v>25.5</v>
      </c>
      <c r="H14" s="127">
        <v>25.5</v>
      </c>
      <c r="I14" s="127">
        <v>25.2</v>
      </c>
      <c r="J14" s="127">
        <v>25.1</v>
      </c>
      <c r="K14" s="127">
        <v>25.4</v>
      </c>
      <c r="L14" s="127">
        <v>25.6</v>
      </c>
      <c r="M14" s="103">
        <v>25.6</v>
      </c>
      <c r="N14" s="103">
        <v>25.6</v>
      </c>
      <c r="O14" s="103">
        <v>25.6</v>
      </c>
      <c r="P14" s="103">
        <v>25.6</v>
      </c>
      <c r="Q14" s="103">
        <v>25.6</v>
      </c>
      <c r="R14" s="103">
        <v>25.6</v>
      </c>
      <c r="S14" s="103">
        <v>25.6</v>
      </c>
      <c r="T14" s="103">
        <v>25.6</v>
      </c>
      <c r="U14" s="103">
        <v>25.6</v>
      </c>
      <c r="V14" s="103">
        <v>25.6</v>
      </c>
      <c r="W14" s="103">
        <v>25.6</v>
      </c>
      <c r="X14" s="103">
        <v>25.6</v>
      </c>
      <c r="Y14" s="103">
        <v>25.6</v>
      </c>
      <c r="Z14" s="103">
        <v>25.6</v>
      </c>
      <c r="AA14" s="103">
        <v>25.6</v>
      </c>
      <c r="AB14" s="103">
        <v>25.6</v>
      </c>
      <c r="AC14" s="103">
        <v>25.6</v>
      </c>
      <c r="AD14" s="103">
        <v>25.6</v>
      </c>
      <c r="AE14" s="103">
        <v>25.6</v>
      </c>
      <c r="AF14" s="103">
        <v>25.6</v>
      </c>
      <c r="AG14" s="134">
        <v>50</v>
      </c>
      <c r="AH14" s="21">
        <f t="shared" si="2"/>
        <v>25.6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22.9</v>
      </c>
      <c r="C15" s="123">
        <v>22.9</v>
      </c>
      <c r="D15" s="123">
        <v>22.9</v>
      </c>
      <c r="E15" s="123">
        <v>22.9</v>
      </c>
      <c r="F15" s="123">
        <v>22.9</v>
      </c>
      <c r="G15" s="123">
        <v>22.9</v>
      </c>
      <c r="H15" s="123">
        <v>22.9</v>
      </c>
      <c r="I15" s="123">
        <v>22.8</v>
      </c>
      <c r="J15" s="123">
        <v>22.8</v>
      </c>
      <c r="K15" s="123">
        <v>22.8</v>
      </c>
      <c r="L15" s="123">
        <v>22.8</v>
      </c>
      <c r="M15" s="103">
        <v>22.8</v>
      </c>
      <c r="N15" s="103">
        <v>22.8</v>
      </c>
      <c r="O15" s="103">
        <v>22.8</v>
      </c>
      <c r="P15" s="103">
        <v>22.8</v>
      </c>
      <c r="Q15" s="103">
        <v>22.8</v>
      </c>
      <c r="R15" s="103">
        <v>22.8</v>
      </c>
      <c r="S15" s="103">
        <v>22.8</v>
      </c>
      <c r="T15" s="103">
        <v>22.8</v>
      </c>
      <c r="U15" s="103">
        <v>22.8</v>
      </c>
      <c r="V15" s="103">
        <v>22.8</v>
      </c>
      <c r="W15" s="103">
        <v>22.8</v>
      </c>
      <c r="X15" s="103">
        <v>22.8</v>
      </c>
      <c r="Y15" s="103">
        <v>22.8</v>
      </c>
      <c r="Z15" s="103">
        <v>22.8</v>
      </c>
      <c r="AA15" s="103">
        <v>22.8</v>
      </c>
      <c r="AB15" s="103">
        <v>22.8</v>
      </c>
      <c r="AC15" s="103">
        <v>22.8</v>
      </c>
      <c r="AD15" s="103">
        <v>22.8</v>
      </c>
      <c r="AE15" s="103">
        <v>22.8</v>
      </c>
      <c r="AF15" s="103">
        <v>22.8</v>
      </c>
      <c r="AG15" s="108">
        <v>45</v>
      </c>
      <c r="AH15" s="21">
        <f t="shared" si="2"/>
        <v>22.9</v>
      </c>
      <c r="AI15" s="20">
        <f t="shared" si="3"/>
        <v>22.8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20</v>
      </c>
      <c r="C16" s="127">
        <v>20</v>
      </c>
      <c r="D16" s="127">
        <v>16</v>
      </c>
      <c r="E16" s="127">
        <v>16</v>
      </c>
      <c r="F16" s="127">
        <v>16</v>
      </c>
      <c r="G16" s="127">
        <v>18</v>
      </c>
      <c r="H16" s="127">
        <v>18</v>
      </c>
      <c r="I16" s="127">
        <v>18</v>
      </c>
      <c r="J16" s="127">
        <v>18</v>
      </c>
      <c r="K16" s="127">
        <v>18</v>
      </c>
      <c r="L16" s="127">
        <v>18</v>
      </c>
      <c r="M16" s="103">
        <v>18</v>
      </c>
      <c r="N16" s="103">
        <v>18</v>
      </c>
      <c r="O16" s="103">
        <v>18</v>
      </c>
      <c r="P16" s="103">
        <v>18</v>
      </c>
      <c r="Q16" s="103">
        <v>18</v>
      </c>
      <c r="R16" s="103">
        <v>18</v>
      </c>
      <c r="S16" s="103">
        <v>18</v>
      </c>
      <c r="T16" s="103">
        <v>18</v>
      </c>
      <c r="U16" s="103">
        <v>18</v>
      </c>
      <c r="V16" s="103">
        <v>18</v>
      </c>
      <c r="W16" s="103">
        <v>18</v>
      </c>
      <c r="X16" s="103">
        <v>18</v>
      </c>
      <c r="Y16" s="103">
        <v>18</v>
      </c>
      <c r="Z16" s="103">
        <v>18</v>
      </c>
      <c r="AA16" s="103">
        <v>18</v>
      </c>
      <c r="AB16" s="103">
        <v>18</v>
      </c>
      <c r="AC16" s="103">
        <v>18</v>
      </c>
      <c r="AD16" s="103">
        <v>18</v>
      </c>
      <c r="AE16" s="103">
        <v>18</v>
      </c>
      <c r="AF16" s="103">
        <v>18</v>
      </c>
      <c r="AG16" s="134">
        <v>45</v>
      </c>
      <c r="AH16" s="21">
        <f t="shared" si="2"/>
        <v>20</v>
      </c>
      <c r="AI16" s="20">
        <f t="shared" si="3"/>
        <v>16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13.1</v>
      </c>
      <c r="C19" s="127">
        <v>13.2</v>
      </c>
      <c r="D19" s="127">
        <v>13.1</v>
      </c>
      <c r="E19" s="127">
        <v>13.1</v>
      </c>
      <c r="F19" s="127">
        <v>0</v>
      </c>
      <c r="G19" s="127">
        <v>13.2</v>
      </c>
      <c r="H19" s="127">
        <v>13.2</v>
      </c>
      <c r="I19" s="127">
        <v>13.2</v>
      </c>
      <c r="J19" s="127">
        <v>13.2</v>
      </c>
      <c r="K19" s="127">
        <v>13.2</v>
      </c>
      <c r="L19" s="127">
        <v>13.1</v>
      </c>
      <c r="M19" s="103">
        <v>13.1</v>
      </c>
      <c r="N19" s="103">
        <v>13.1</v>
      </c>
      <c r="O19" s="103">
        <v>13.1</v>
      </c>
      <c r="P19" s="103">
        <v>13.1</v>
      </c>
      <c r="Q19" s="103">
        <v>13.1</v>
      </c>
      <c r="R19" s="103">
        <v>13.1</v>
      </c>
      <c r="S19" s="103">
        <v>13.1</v>
      </c>
      <c r="T19" s="103">
        <v>13.1</v>
      </c>
      <c r="U19" s="103">
        <v>13.1</v>
      </c>
      <c r="V19" s="103">
        <v>13.1</v>
      </c>
      <c r="W19" s="103">
        <v>13.1</v>
      </c>
      <c r="X19" s="103">
        <v>13.1</v>
      </c>
      <c r="Y19" s="103">
        <v>13.1</v>
      </c>
      <c r="Z19" s="103">
        <v>13.1</v>
      </c>
      <c r="AA19" s="103">
        <v>13.1</v>
      </c>
      <c r="AB19" s="103">
        <v>13.1</v>
      </c>
      <c r="AC19" s="103">
        <v>13.1</v>
      </c>
      <c r="AD19" s="103">
        <v>13.1</v>
      </c>
      <c r="AE19" s="103">
        <v>13.1</v>
      </c>
      <c r="AF19" s="103">
        <v>13.1</v>
      </c>
      <c r="AG19" s="134">
        <v>30</v>
      </c>
      <c r="AH19" s="21">
        <f t="shared" si="2"/>
        <v>13.2</v>
      </c>
      <c r="AI19" s="20">
        <f t="shared" si="3"/>
        <v>0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8.1</v>
      </c>
      <c r="C20" s="127">
        <v>8.1999999999999993</v>
      </c>
      <c r="D20" s="127">
        <v>8.6</v>
      </c>
      <c r="E20" s="127">
        <v>8.6</v>
      </c>
      <c r="F20" s="127">
        <v>8.5</v>
      </c>
      <c r="G20" s="127">
        <v>8.5</v>
      </c>
      <c r="H20" s="127">
        <v>7.8</v>
      </c>
      <c r="I20" s="127">
        <v>7.8</v>
      </c>
      <c r="J20" s="127">
        <v>7.8</v>
      </c>
      <c r="K20" s="127">
        <v>7.6</v>
      </c>
      <c r="L20" s="127">
        <v>7.2</v>
      </c>
      <c r="M20" s="103">
        <v>7.2</v>
      </c>
      <c r="N20" s="103">
        <v>7.2</v>
      </c>
      <c r="O20" s="103">
        <v>7.2</v>
      </c>
      <c r="P20" s="103">
        <v>7.2</v>
      </c>
      <c r="Q20" s="103">
        <v>7.2</v>
      </c>
      <c r="R20" s="103">
        <v>7.2</v>
      </c>
      <c r="S20" s="103">
        <v>7.2</v>
      </c>
      <c r="T20" s="103">
        <v>7.2</v>
      </c>
      <c r="U20" s="103">
        <v>7.2</v>
      </c>
      <c r="V20" s="103">
        <v>7.2</v>
      </c>
      <c r="W20" s="103">
        <v>7.2</v>
      </c>
      <c r="X20" s="103">
        <v>7.2</v>
      </c>
      <c r="Y20" s="103">
        <v>7.2</v>
      </c>
      <c r="Z20" s="103">
        <v>7.2</v>
      </c>
      <c r="AA20" s="103">
        <v>7.2</v>
      </c>
      <c r="AB20" s="103">
        <v>7.2</v>
      </c>
      <c r="AC20" s="103">
        <v>7.2</v>
      </c>
      <c r="AD20" s="103">
        <v>7.2</v>
      </c>
      <c r="AE20" s="103">
        <v>7.2</v>
      </c>
      <c r="AF20" s="103">
        <v>7.2</v>
      </c>
      <c r="AG20" s="134">
        <v>27</v>
      </c>
      <c r="AH20" s="21">
        <f t="shared" si="2"/>
        <v>8.6</v>
      </c>
      <c r="AI20" s="20">
        <f t="shared" si="3"/>
        <v>7.2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21.7</v>
      </c>
      <c r="C22" s="127">
        <v>19.3</v>
      </c>
      <c r="D22" s="127">
        <v>19.2</v>
      </c>
      <c r="E22" s="127">
        <v>19.2</v>
      </c>
      <c r="F22" s="127">
        <v>21.1</v>
      </c>
      <c r="G22" s="127">
        <v>21</v>
      </c>
      <c r="H22" s="127">
        <v>20.9</v>
      </c>
      <c r="I22" s="127">
        <v>20.7</v>
      </c>
      <c r="J22" s="127">
        <v>20.7</v>
      </c>
      <c r="K22" s="127">
        <v>18.7</v>
      </c>
      <c r="L22" s="127">
        <v>18.100000000000001</v>
      </c>
      <c r="M22" s="103">
        <v>18.100000000000001</v>
      </c>
      <c r="N22" s="103">
        <v>18.100000000000001</v>
      </c>
      <c r="O22" s="103">
        <v>18.100000000000001</v>
      </c>
      <c r="P22" s="103">
        <v>18.100000000000001</v>
      </c>
      <c r="Q22" s="103">
        <v>18.100000000000001</v>
      </c>
      <c r="R22" s="103">
        <v>18.100000000000001</v>
      </c>
      <c r="S22" s="103">
        <v>15.4</v>
      </c>
      <c r="T22" s="103">
        <v>15.4</v>
      </c>
      <c r="U22" s="103">
        <v>15.4</v>
      </c>
      <c r="V22" s="103">
        <v>15.4</v>
      </c>
      <c r="W22" s="103">
        <v>15.4</v>
      </c>
      <c r="X22" s="103">
        <v>15.4</v>
      </c>
      <c r="Y22" s="103">
        <v>15.4</v>
      </c>
      <c r="Z22" s="103">
        <v>17.7</v>
      </c>
      <c r="AA22" s="103">
        <v>17.7</v>
      </c>
      <c r="AB22" s="103">
        <v>17.7</v>
      </c>
      <c r="AC22" s="103">
        <v>17.7</v>
      </c>
      <c r="AD22" s="103">
        <v>17.7</v>
      </c>
      <c r="AE22" s="103">
        <v>17.7</v>
      </c>
      <c r="AF22" s="103">
        <v>17.7</v>
      </c>
      <c r="AG22" s="134">
        <v>25</v>
      </c>
      <c r="AH22" s="21">
        <f t="shared" si="2"/>
        <v>21.7</v>
      </c>
      <c r="AI22" s="20">
        <f t="shared" si="3"/>
        <v>15.4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8.9</v>
      </c>
      <c r="C24" s="127">
        <v>9.5</v>
      </c>
      <c r="D24" s="127">
        <v>9.5</v>
      </c>
      <c r="E24" s="127">
        <v>9.5</v>
      </c>
      <c r="F24" s="127">
        <v>10</v>
      </c>
      <c r="G24" s="127">
        <v>8.6</v>
      </c>
      <c r="H24" s="127">
        <v>8.3000000000000007</v>
      </c>
      <c r="I24" s="127">
        <v>8.1999999999999993</v>
      </c>
      <c r="J24" s="127">
        <v>8.1999999999999993</v>
      </c>
      <c r="K24" s="127">
        <v>8.1999999999999993</v>
      </c>
      <c r="L24" s="127">
        <v>8.1999999999999993</v>
      </c>
      <c r="M24" s="103">
        <v>8.1999999999999993</v>
      </c>
      <c r="N24" s="103">
        <v>8.1999999999999993</v>
      </c>
      <c r="O24" s="103">
        <v>8.1999999999999993</v>
      </c>
      <c r="P24" s="103">
        <v>8.1999999999999993</v>
      </c>
      <c r="Q24" s="103">
        <v>8.1999999999999993</v>
      </c>
      <c r="R24" s="103">
        <v>8.1999999999999993</v>
      </c>
      <c r="S24" s="103">
        <v>8.1999999999999993</v>
      </c>
      <c r="T24" s="103">
        <v>8.1999999999999993</v>
      </c>
      <c r="U24" s="103">
        <v>8.1999999999999993</v>
      </c>
      <c r="V24" s="103">
        <v>8.1999999999999993</v>
      </c>
      <c r="W24" s="103">
        <v>8.1999999999999993</v>
      </c>
      <c r="X24" s="103">
        <v>8.1999999999999993</v>
      </c>
      <c r="Y24" s="103">
        <v>8.1999999999999993</v>
      </c>
      <c r="Z24" s="103">
        <v>8.1999999999999993</v>
      </c>
      <c r="AA24" s="103">
        <v>8.1999999999999993</v>
      </c>
      <c r="AB24" s="103">
        <v>8.1999999999999993</v>
      </c>
      <c r="AC24" s="103">
        <v>8.1999999999999993</v>
      </c>
      <c r="AD24" s="103">
        <v>8.1999999999999993</v>
      </c>
      <c r="AE24" s="103">
        <v>8.1999999999999993</v>
      </c>
      <c r="AF24" s="103">
        <v>8.1999999999999993</v>
      </c>
      <c r="AG24" s="134">
        <v>25</v>
      </c>
      <c r="AH24" s="21">
        <f t="shared" si="2"/>
        <v>10</v>
      </c>
      <c r="AI24" s="20">
        <f t="shared" si="3"/>
        <v>8.1999999999999993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50.7</v>
      </c>
      <c r="C37" s="123">
        <v>54.3</v>
      </c>
      <c r="D37" s="123">
        <v>59.4</v>
      </c>
      <c r="E37" s="123">
        <v>60.1</v>
      </c>
      <c r="F37" s="123">
        <v>66.3</v>
      </c>
      <c r="G37" s="123">
        <v>64.400000000000006</v>
      </c>
      <c r="H37" s="123">
        <v>56.3</v>
      </c>
      <c r="I37" s="123">
        <v>55.2</v>
      </c>
      <c r="J37" s="123">
        <v>61</v>
      </c>
      <c r="K37" s="123">
        <v>68</v>
      </c>
      <c r="L37" s="123">
        <v>71</v>
      </c>
      <c r="M37" s="128">
        <f>31.1+39.8</f>
        <v>70.900000000000006</v>
      </c>
      <c r="N37" s="128">
        <f>28.5+37.4</f>
        <v>65.900000000000006</v>
      </c>
      <c r="O37" s="128">
        <f>20+31.5</f>
        <v>51.5</v>
      </c>
      <c r="P37" s="128">
        <f>22.8+33.9</f>
        <v>56.7</v>
      </c>
      <c r="Q37" s="128">
        <f>33.5+23</f>
        <v>56.5</v>
      </c>
      <c r="R37" s="128">
        <f>23.7+33.7</f>
        <v>57.400000000000006</v>
      </c>
      <c r="S37" s="128">
        <v>53.2</v>
      </c>
      <c r="T37" s="128">
        <v>46.5</v>
      </c>
      <c r="U37" s="128">
        <v>45.1</v>
      </c>
      <c r="V37" s="128">
        <v>38.6</v>
      </c>
      <c r="W37" s="128">
        <f>17.4+24.5</f>
        <v>41.9</v>
      </c>
      <c r="X37" s="128">
        <v>45</v>
      </c>
      <c r="Y37" s="128">
        <v>44.5</v>
      </c>
      <c r="Z37" s="128">
        <v>45</v>
      </c>
      <c r="AA37" s="128">
        <v>45</v>
      </c>
      <c r="AB37" s="128">
        <v>47</v>
      </c>
      <c r="AC37" s="128">
        <v>47</v>
      </c>
      <c r="AD37" s="128">
        <v>47</v>
      </c>
      <c r="AE37" s="128">
        <v>47</v>
      </c>
      <c r="AF37" s="128">
        <v>47</v>
      </c>
      <c r="AG37" s="106">
        <v>240</v>
      </c>
      <c r="AH37" s="21">
        <f t="shared" si="2"/>
        <v>71</v>
      </c>
      <c r="AI37" s="20">
        <f t="shared" si="3"/>
        <v>38.6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508.5</v>
      </c>
      <c r="C38" s="99">
        <f t="shared" ref="C38:AF38" si="5">SUM(C11:C36)</f>
        <v>426.79999999999995</v>
      </c>
      <c r="D38" s="99">
        <f t="shared" si="5"/>
        <v>433.2</v>
      </c>
      <c r="E38" s="99">
        <f t="shared" si="5"/>
        <v>405.19999999999993</v>
      </c>
      <c r="F38" s="99">
        <f t="shared" si="5"/>
        <v>394.2</v>
      </c>
      <c r="G38" s="99">
        <f t="shared" si="5"/>
        <v>426.79999999999995</v>
      </c>
      <c r="H38" s="99">
        <f t="shared" si="5"/>
        <v>408.7</v>
      </c>
      <c r="I38" s="99">
        <f t="shared" si="5"/>
        <v>428.29999999999995</v>
      </c>
      <c r="J38" s="99">
        <f t="shared" si="5"/>
        <v>621.20000000000005</v>
      </c>
      <c r="K38" s="99">
        <f t="shared" si="5"/>
        <v>592.79999999999995</v>
      </c>
      <c r="L38" s="99">
        <f t="shared" si="5"/>
        <v>645.60000000000014</v>
      </c>
      <c r="M38" s="99">
        <f t="shared" si="5"/>
        <v>573.1</v>
      </c>
      <c r="N38" s="99">
        <f t="shared" si="5"/>
        <v>493.1</v>
      </c>
      <c r="O38" s="99">
        <f t="shared" si="5"/>
        <v>413.09999999999997</v>
      </c>
      <c r="P38" s="99">
        <f t="shared" si="5"/>
        <v>408.09999999999997</v>
      </c>
      <c r="Q38" s="99">
        <f t="shared" si="5"/>
        <v>407.19999999999993</v>
      </c>
      <c r="R38" s="99">
        <f t="shared" si="5"/>
        <v>406.69999999999993</v>
      </c>
      <c r="S38" s="99">
        <f t="shared" si="5"/>
        <v>403.99999999999994</v>
      </c>
      <c r="T38" s="99">
        <f t="shared" si="5"/>
        <v>399.99999999999994</v>
      </c>
      <c r="U38" s="99">
        <f t="shared" si="5"/>
        <v>399.99999999999994</v>
      </c>
      <c r="V38" s="99">
        <f t="shared" si="5"/>
        <v>427.99999999999994</v>
      </c>
      <c r="W38" s="99">
        <f t="shared" si="5"/>
        <v>417.99999999999994</v>
      </c>
      <c r="X38" s="99">
        <f t="shared" si="5"/>
        <v>540</v>
      </c>
      <c r="Y38" s="99">
        <f t="shared" si="5"/>
        <v>616</v>
      </c>
      <c r="Z38" s="99">
        <f t="shared" si="5"/>
        <v>770.3000000000003</v>
      </c>
      <c r="AA38" s="99">
        <f t="shared" si="5"/>
        <v>710.30000000000018</v>
      </c>
      <c r="AB38" s="99">
        <f t="shared" si="5"/>
        <v>750.30000000000018</v>
      </c>
      <c r="AC38" s="99">
        <f t="shared" si="5"/>
        <v>750.30000000000018</v>
      </c>
      <c r="AD38" s="99">
        <f t="shared" si="5"/>
        <v>750.30000000000018</v>
      </c>
      <c r="AE38" s="99">
        <f t="shared" si="5"/>
        <v>510.3</v>
      </c>
      <c r="AF38" s="99">
        <f t="shared" si="5"/>
        <v>402.29999999999995</v>
      </c>
      <c r="AG38" s="106">
        <f>SUM(AG11:AG37)</f>
        <v>1492.8299999999997</v>
      </c>
      <c r="AH38" s="21">
        <f t="shared" si="2"/>
        <v>770.3000000000003</v>
      </c>
      <c r="AI38" s="20">
        <f t="shared" si="3"/>
        <v>394.2</v>
      </c>
      <c r="AK38" s="42"/>
    </row>
    <row r="39" spans="1:88" x14ac:dyDescent="0.25">
      <c r="A39" s="109" t="s">
        <v>172</v>
      </c>
      <c r="B39" s="127">
        <v>81.3</v>
      </c>
      <c r="C39" s="123">
        <v>62.7</v>
      </c>
      <c r="D39" s="123">
        <v>71.900000000000006</v>
      </c>
      <c r="E39" s="123">
        <v>0</v>
      </c>
      <c r="F39" s="123">
        <v>0</v>
      </c>
      <c r="G39" s="123">
        <v>0</v>
      </c>
      <c r="H39" s="123">
        <v>49.5</v>
      </c>
      <c r="I39" s="123">
        <v>45</v>
      </c>
      <c r="J39" s="123">
        <v>110.7</v>
      </c>
      <c r="K39" s="123">
        <v>121.8</v>
      </c>
      <c r="L39" s="123">
        <v>145.9</v>
      </c>
      <c r="M39" s="103">
        <v>112</v>
      </c>
      <c r="N39" s="103">
        <v>111.5</v>
      </c>
      <c r="O39" s="103">
        <v>86.3</v>
      </c>
      <c r="P39" s="103">
        <v>96.3</v>
      </c>
      <c r="Q39" s="103">
        <v>91</v>
      </c>
      <c r="R39" s="103">
        <v>80.900000000000006</v>
      </c>
      <c r="S39" s="103">
        <v>91.7</v>
      </c>
      <c r="T39" s="103">
        <v>91.7</v>
      </c>
      <c r="U39" s="103">
        <v>91.7</v>
      </c>
      <c r="V39" s="103">
        <v>111.3</v>
      </c>
      <c r="W39" s="103">
        <v>103</v>
      </c>
      <c r="X39" s="103">
        <v>145.5</v>
      </c>
      <c r="Y39" s="103">
        <v>145.5</v>
      </c>
      <c r="Z39" s="103">
        <v>145.5</v>
      </c>
      <c r="AA39" s="103">
        <v>145.5</v>
      </c>
      <c r="AB39" s="103">
        <v>145.5</v>
      </c>
      <c r="AC39" s="103">
        <v>145.5</v>
      </c>
      <c r="AD39" s="103">
        <v>145.5</v>
      </c>
      <c r="AE39" s="103">
        <v>100</v>
      </c>
      <c r="AF39" s="127">
        <v>81</v>
      </c>
      <c r="AG39" s="108">
        <v>144</v>
      </c>
      <c r="AH39" s="21">
        <f t="shared" si="2"/>
        <v>145.9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47.3</v>
      </c>
      <c r="C40" s="123">
        <v>23.6</v>
      </c>
      <c r="D40" s="123">
        <v>22.8</v>
      </c>
      <c r="E40" s="123">
        <v>0</v>
      </c>
      <c r="F40" s="123">
        <v>20.3</v>
      </c>
      <c r="G40" s="123">
        <v>34.700000000000003</v>
      </c>
      <c r="H40" s="123">
        <v>47.4</v>
      </c>
      <c r="I40" s="123">
        <v>43.8</v>
      </c>
      <c r="J40" s="123">
        <v>62.3</v>
      </c>
      <c r="K40" s="123">
        <v>47.6</v>
      </c>
      <c r="L40" s="123">
        <v>45.7</v>
      </c>
      <c r="M40" s="73">
        <v>43.5</v>
      </c>
      <c r="N40" s="73">
        <v>44.7</v>
      </c>
      <c r="O40" s="73">
        <v>22.4</v>
      </c>
      <c r="P40" s="73">
        <v>34.700000000000003</v>
      </c>
      <c r="Q40" s="73">
        <v>34.799999999999997</v>
      </c>
      <c r="R40" s="73">
        <v>34.799999999999997</v>
      </c>
      <c r="S40" s="73">
        <v>52</v>
      </c>
      <c r="T40" s="73">
        <v>32.9</v>
      </c>
      <c r="U40" s="73">
        <v>32.9</v>
      </c>
      <c r="V40" s="73">
        <v>46</v>
      </c>
      <c r="W40" s="73">
        <v>42.7</v>
      </c>
      <c r="X40" s="73">
        <v>70.2</v>
      </c>
      <c r="Y40" s="73">
        <v>70.2</v>
      </c>
      <c r="Z40" s="73">
        <v>70.2</v>
      </c>
      <c r="AA40" s="73">
        <v>70.2</v>
      </c>
      <c r="AB40" s="73">
        <v>70.2</v>
      </c>
      <c r="AC40" s="73">
        <v>70.2</v>
      </c>
      <c r="AD40" s="73">
        <v>70.2</v>
      </c>
      <c r="AE40" s="73">
        <v>50</v>
      </c>
      <c r="AF40" s="123">
        <v>35</v>
      </c>
      <c r="AG40" s="106">
        <v>70</v>
      </c>
      <c r="AH40" s="21">
        <f t="shared" si="2"/>
        <v>70.2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47</v>
      </c>
      <c r="C41" s="123">
        <v>47.5</v>
      </c>
      <c r="D41" s="123">
        <v>47.5</v>
      </c>
      <c r="E41" s="123">
        <v>0</v>
      </c>
      <c r="F41" s="123">
        <v>47.4</v>
      </c>
      <c r="G41" s="123">
        <v>48.4</v>
      </c>
      <c r="H41" s="123">
        <v>48.2</v>
      </c>
      <c r="I41" s="123">
        <v>48.3</v>
      </c>
      <c r="J41" s="123">
        <v>48.3</v>
      </c>
      <c r="K41" s="123">
        <v>48.3</v>
      </c>
      <c r="L41" s="123">
        <v>48.1</v>
      </c>
      <c r="M41" s="73">
        <v>47.6</v>
      </c>
      <c r="N41" s="73">
        <v>48</v>
      </c>
      <c r="O41" s="73">
        <v>48</v>
      </c>
      <c r="P41" s="73">
        <v>48.1</v>
      </c>
      <c r="Q41" s="73">
        <v>48.2</v>
      </c>
      <c r="R41" s="73">
        <v>47.9</v>
      </c>
      <c r="S41" s="73">
        <v>64</v>
      </c>
      <c r="T41" s="73">
        <v>57.9</v>
      </c>
      <c r="U41" s="73">
        <v>67.900000000000006</v>
      </c>
      <c r="V41" s="73">
        <v>68.099999999999994</v>
      </c>
      <c r="W41" s="73">
        <v>49.2</v>
      </c>
      <c r="X41" s="73">
        <v>67.599999999999994</v>
      </c>
      <c r="Y41" s="73">
        <v>67.599999999999994</v>
      </c>
      <c r="Z41" s="73">
        <v>67.599999999999994</v>
      </c>
      <c r="AA41" s="73">
        <v>67.599999999999994</v>
      </c>
      <c r="AB41" s="73">
        <v>67.599999999999994</v>
      </c>
      <c r="AC41" s="73">
        <v>67.599999999999994</v>
      </c>
      <c r="AD41" s="73">
        <v>67.599999999999994</v>
      </c>
      <c r="AE41" s="73">
        <v>51.5</v>
      </c>
      <c r="AF41" s="123">
        <v>49</v>
      </c>
      <c r="AG41" s="106">
        <v>69</v>
      </c>
      <c r="AH41" s="21">
        <f t="shared" si="2"/>
        <v>68.099999999999994</v>
      </c>
      <c r="AI41" s="20">
        <f t="shared" si="3"/>
        <v>0</v>
      </c>
      <c r="AK41" s="42"/>
    </row>
    <row r="42" spans="1:88" x14ac:dyDescent="0.25">
      <c r="A42" s="107" t="s">
        <v>169</v>
      </c>
      <c r="B42" s="123">
        <v>60.7</v>
      </c>
      <c r="C42" s="123">
        <v>60.9</v>
      </c>
      <c r="D42" s="123">
        <v>60.9</v>
      </c>
      <c r="E42" s="123">
        <v>0</v>
      </c>
      <c r="F42" s="123">
        <v>60.7</v>
      </c>
      <c r="G42" s="123">
        <v>60.7</v>
      </c>
      <c r="H42" s="123">
        <v>59.7</v>
      </c>
      <c r="I42" s="123">
        <v>58.7</v>
      </c>
      <c r="J42" s="123">
        <v>58.5</v>
      </c>
      <c r="K42" s="123">
        <v>58.7</v>
      </c>
      <c r="L42" s="123">
        <v>58.7</v>
      </c>
      <c r="M42" s="73">
        <v>58.7</v>
      </c>
      <c r="N42" s="73">
        <v>58.7</v>
      </c>
      <c r="O42" s="73">
        <v>58.7</v>
      </c>
      <c r="P42" s="73">
        <v>58.5</v>
      </c>
      <c r="Q42" s="73">
        <v>58.5</v>
      </c>
      <c r="R42" s="73">
        <v>54.4</v>
      </c>
      <c r="S42" s="73">
        <v>55.2</v>
      </c>
      <c r="T42" s="73">
        <v>58.5</v>
      </c>
      <c r="U42" s="73">
        <v>58.5</v>
      </c>
      <c r="V42" s="73">
        <v>57.4</v>
      </c>
      <c r="W42" s="73">
        <v>56.4</v>
      </c>
      <c r="X42" s="73">
        <v>52.9</v>
      </c>
      <c r="Y42" s="73">
        <v>52.9</v>
      </c>
      <c r="Z42" s="73">
        <v>52.9</v>
      </c>
      <c r="AA42" s="73">
        <v>52.9</v>
      </c>
      <c r="AB42" s="73">
        <v>52.9</v>
      </c>
      <c r="AC42" s="73">
        <v>52.9</v>
      </c>
      <c r="AD42" s="73">
        <v>52.9</v>
      </c>
      <c r="AE42" s="73">
        <v>53.4</v>
      </c>
      <c r="AF42" s="123">
        <v>53.4</v>
      </c>
      <c r="AG42" s="106">
        <v>60</v>
      </c>
      <c r="AH42" s="21">
        <f t="shared" si="2"/>
        <v>60.9</v>
      </c>
      <c r="AI42" s="20">
        <f t="shared" si="3"/>
        <v>0</v>
      </c>
      <c r="AK42" s="42"/>
    </row>
    <row r="43" spans="1:88" x14ac:dyDescent="0.25">
      <c r="A43" s="107" t="s">
        <v>168</v>
      </c>
      <c r="B43" s="123">
        <v>13</v>
      </c>
      <c r="C43" s="123">
        <v>10</v>
      </c>
      <c r="D43" s="123">
        <v>10</v>
      </c>
      <c r="E43" s="123">
        <v>10</v>
      </c>
      <c r="F43" s="123">
        <v>0</v>
      </c>
      <c r="G43" s="123">
        <v>0</v>
      </c>
      <c r="H43" s="123">
        <v>0</v>
      </c>
      <c r="I43" s="123">
        <v>0</v>
      </c>
      <c r="J43" s="123">
        <v>15</v>
      </c>
      <c r="K43" s="123">
        <v>15</v>
      </c>
      <c r="L43" s="123">
        <v>15</v>
      </c>
      <c r="M43" s="103">
        <v>10</v>
      </c>
      <c r="N43" s="103">
        <v>10</v>
      </c>
      <c r="O43" s="103">
        <v>10.3</v>
      </c>
      <c r="P43" s="103">
        <v>15.2</v>
      </c>
      <c r="Q43" s="103">
        <v>14.9</v>
      </c>
      <c r="R43" s="103">
        <v>15</v>
      </c>
      <c r="S43" s="103">
        <v>13.5</v>
      </c>
      <c r="T43" s="103">
        <v>14.6</v>
      </c>
      <c r="U43" s="103">
        <v>14.6</v>
      </c>
      <c r="V43" s="103">
        <v>13.3</v>
      </c>
      <c r="W43" s="103">
        <v>13.3</v>
      </c>
      <c r="X43" s="103">
        <v>20</v>
      </c>
      <c r="Y43" s="103">
        <v>20</v>
      </c>
      <c r="Z43" s="73">
        <v>30</v>
      </c>
      <c r="AA43" s="73">
        <v>30</v>
      </c>
      <c r="AB43" s="73">
        <v>30</v>
      </c>
      <c r="AC43" s="73">
        <v>30</v>
      </c>
      <c r="AD43" s="73">
        <v>30</v>
      </c>
      <c r="AE43" s="73">
        <v>13</v>
      </c>
      <c r="AF43" s="73">
        <v>10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15.1</v>
      </c>
      <c r="C45" s="123">
        <v>15.1</v>
      </c>
      <c r="D45" s="123">
        <v>15.1</v>
      </c>
      <c r="E45" s="123">
        <v>15</v>
      </c>
      <c r="F45" s="123">
        <v>14.6</v>
      </c>
      <c r="G45" s="123">
        <v>13.8</v>
      </c>
      <c r="H45" s="123">
        <v>13.8</v>
      </c>
      <c r="I45" s="123">
        <v>15</v>
      </c>
      <c r="J45" s="123">
        <v>15</v>
      </c>
      <c r="K45" s="123">
        <v>15</v>
      </c>
      <c r="L45" s="123">
        <v>15</v>
      </c>
      <c r="M45" s="103">
        <v>15</v>
      </c>
      <c r="N45" s="103">
        <v>15</v>
      </c>
      <c r="O45" s="103">
        <v>15</v>
      </c>
      <c r="P45" s="103">
        <v>15</v>
      </c>
      <c r="Q45" s="103">
        <v>15</v>
      </c>
      <c r="R45" s="103">
        <v>15</v>
      </c>
      <c r="S45" s="103">
        <v>15</v>
      </c>
      <c r="T45" s="103">
        <v>15</v>
      </c>
      <c r="U45" s="103">
        <v>15</v>
      </c>
      <c r="V45" s="103">
        <v>15</v>
      </c>
      <c r="W45" s="103">
        <v>15</v>
      </c>
      <c r="X45" s="103">
        <v>15</v>
      </c>
      <c r="Y45" s="103">
        <v>15</v>
      </c>
      <c r="Z45" s="103">
        <v>15</v>
      </c>
      <c r="AA45" s="103">
        <v>15</v>
      </c>
      <c r="AB45" s="103">
        <v>15</v>
      </c>
      <c r="AC45" s="103">
        <v>15</v>
      </c>
      <c r="AD45" s="103">
        <v>15</v>
      </c>
      <c r="AE45" s="103">
        <v>15</v>
      </c>
      <c r="AF45" s="103">
        <v>15</v>
      </c>
      <c r="AG45" s="106">
        <v>24</v>
      </c>
      <c r="AH45" s="21">
        <f t="shared" si="2"/>
        <v>15.1</v>
      </c>
      <c r="AI45" s="20">
        <f t="shared" si="3"/>
        <v>13.8</v>
      </c>
      <c r="AK45" s="42"/>
    </row>
    <row r="46" spans="1:88" x14ac:dyDescent="0.25">
      <c r="A46" s="107" t="s">
        <v>165</v>
      </c>
      <c r="B46" s="123">
        <v>2.2999999999999998</v>
      </c>
      <c r="C46" s="123">
        <v>2.2999999999999998</v>
      </c>
      <c r="D46" s="123">
        <v>2.2999999999999998</v>
      </c>
      <c r="E46" s="123">
        <v>2.2999999999999998</v>
      </c>
      <c r="F46" s="123">
        <v>2.2999999999999998</v>
      </c>
      <c r="G46" s="123">
        <v>2.2999999999999998</v>
      </c>
      <c r="H46" s="123">
        <v>2.2999999999999998</v>
      </c>
      <c r="I46" s="123">
        <v>2.2999999999999998</v>
      </c>
      <c r="J46" s="123">
        <v>2.2999999999999998</v>
      </c>
      <c r="K46" s="123">
        <v>2.2999999999999998</v>
      </c>
      <c r="L46" s="123">
        <v>2.2999999999999998</v>
      </c>
      <c r="M46" s="103">
        <v>2.2999999999999998</v>
      </c>
      <c r="N46" s="103">
        <v>2.2999999999999998</v>
      </c>
      <c r="O46" s="103">
        <v>2.2999999999999998</v>
      </c>
      <c r="P46" s="103">
        <v>2.2999999999999998</v>
      </c>
      <c r="Q46" s="103">
        <v>2.2999999999999998</v>
      </c>
      <c r="R46" s="103">
        <v>2.2999999999999998</v>
      </c>
      <c r="S46" s="103">
        <v>2.2999999999999998</v>
      </c>
      <c r="T46" s="103">
        <v>2.2999999999999998</v>
      </c>
      <c r="U46" s="103">
        <v>2.2999999999999998</v>
      </c>
      <c r="V46" s="103">
        <v>2.2999999999999998</v>
      </c>
      <c r="W46" s="103">
        <v>2.2999999999999998</v>
      </c>
      <c r="X46" s="103">
        <v>2.2999999999999998</v>
      </c>
      <c r="Y46" s="103">
        <v>2.2999999999999998</v>
      </c>
      <c r="Z46" s="103">
        <v>2.2999999999999998</v>
      </c>
      <c r="AA46" s="103">
        <v>2.2999999999999998</v>
      </c>
      <c r="AB46" s="103">
        <v>2.2999999999999998</v>
      </c>
      <c r="AC46" s="103">
        <v>2.2999999999999998</v>
      </c>
      <c r="AD46" s="103">
        <v>2.2999999999999998</v>
      </c>
      <c r="AE46" s="103">
        <v>2.2999999999999998</v>
      </c>
      <c r="AF46" s="103">
        <v>2.2999999999999998</v>
      </c>
      <c r="AG46" s="106">
        <v>15</v>
      </c>
      <c r="AH46" s="21">
        <f t="shared" si="2"/>
        <v>2.2999999999999998</v>
      </c>
      <c r="AI46" s="20">
        <f t="shared" si="3"/>
        <v>2.2999999999999998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</v>
      </c>
      <c r="C48" s="123">
        <v>7</v>
      </c>
      <c r="D48" s="123">
        <v>7</v>
      </c>
      <c r="E48" s="123">
        <v>7</v>
      </c>
      <c r="F48" s="123">
        <v>7</v>
      </c>
      <c r="G48" s="123">
        <v>7</v>
      </c>
      <c r="H48" s="123">
        <v>7</v>
      </c>
      <c r="I48" s="123">
        <v>7</v>
      </c>
      <c r="J48" s="123">
        <v>7</v>
      </c>
      <c r="K48" s="123">
        <v>7</v>
      </c>
      <c r="L48" s="123">
        <v>7</v>
      </c>
      <c r="M48" s="123">
        <v>7</v>
      </c>
      <c r="N48" s="123">
        <v>7</v>
      </c>
      <c r="O48" s="123">
        <v>7</v>
      </c>
      <c r="P48" s="123">
        <v>7</v>
      </c>
      <c r="Q48" s="123">
        <v>7</v>
      </c>
      <c r="R48" s="123">
        <v>7</v>
      </c>
      <c r="S48" s="123">
        <v>7</v>
      </c>
      <c r="T48" s="123">
        <v>7</v>
      </c>
      <c r="U48" s="123">
        <v>7</v>
      </c>
      <c r="V48" s="123">
        <v>7</v>
      </c>
      <c r="W48" s="123">
        <v>7</v>
      </c>
      <c r="X48" s="123">
        <v>7</v>
      </c>
      <c r="Y48" s="123">
        <v>7</v>
      </c>
      <c r="Z48" s="103">
        <v>7</v>
      </c>
      <c r="AA48" s="103">
        <v>7</v>
      </c>
      <c r="AB48" s="103">
        <v>7</v>
      </c>
      <c r="AC48" s="103">
        <v>7</v>
      </c>
      <c r="AD48" s="103">
        <v>7</v>
      </c>
      <c r="AE48" s="103">
        <v>7</v>
      </c>
      <c r="AF48" s="103">
        <v>7</v>
      </c>
      <c r="AG48" s="106">
        <v>14</v>
      </c>
      <c r="AH48" s="21">
        <f t="shared" si="2"/>
        <v>7</v>
      </c>
      <c r="AI48" s="20">
        <f t="shared" si="3"/>
        <v>7</v>
      </c>
      <c r="AK48" s="42"/>
    </row>
    <row r="49" spans="1:37" x14ac:dyDescent="0.25">
      <c r="A49" s="107" t="s">
        <v>162</v>
      </c>
      <c r="B49" s="123">
        <v>6.3</v>
      </c>
      <c r="C49" s="123">
        <v>6.3</v>
      </c>
      <c r="D49" s="123">
        <v>6.3</v>
      </c>
      <c r="E49" s="123">
        <v>6.3</v>
      </c>
      <c r="F49" s="123">
        <v>6.3</v>
      </c>
      <c r="G49" s="123">
        <v>6.3</v>
      </c>
      <c r="H49" s="123">
        <v>6.3</v>
      </c>
      <c r="I49" s="123">
        <v>6.3</v>
      </c>
      <c r="J49" s="123">
        <v>6.3</v>
      </c>
      <c r="K49" s="123">
        <v>6.3</v>
      </c>
      <c r="L49" s="123">
        <v>6.3</v>
      </c>
      <c r="M49" s="123">
        <v>6.3</v>
      </c>
      <c r="N49" s="123">
        <v>6.3</v>
      </c>
      <c r="O49" s="123">
        <v>6.3</v>
      </c>
      <c r="P49" s="123">
        <v>6.3</v>
      </c>
      <c r="Q49" s="123">
        <v>6.3</v>
      </c>
      <c r="R49" s="123">
        <v>6.3</v>
      </c>
      <c r="S49" s="123">
        <v>6.3</v>
      </c>
      <c r="T49" s="123">
        <v>6.3</v>
      </c>
      <c r="U49" s="123">
        <v>6.3</v>
      </c>
      <c r="V49" s="123">
        <v>6.3</v>
      </c>
      <c r="W49" s="123">
        <v>6.3</v>
      </c>
      <c r="X49" s="123">
        <v>6.3</v>
      </c>
      <c r="Y49" s="123">
        <v>6.3</v>
      </c>
      <c r="Z49" s="103">
        <v>6.3</v>
      </c>
      <c r="AA49" s="103">
        <v>6.3</v>
      </c>
      <c r="AB49" s="103">
        <v>6.3</v>
      </c>
      <c r="AC49" s="103">
        <v>6.3</v>
      </c>
      <c r="AD49" s="103">
        <v>6.3</v>
      </c>
      <c r="AE49" s="103">
        <v>6.3</v>
      </c>
      <c r="AF49" s="103">
        <v>6.3</v>
      </c>
      <c r="AG49" s="106">
        <v>10.050000000000001</v>
      </c>
      <c r="AH49" s="21">
        <f t="shared" si="2"/>
        <v>6.3</v>
      </c>
      <c r="AI49" s="20">
        <f t="shared" si="3"/>
        <v>6.3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298.04000000000008</v>
      </c>
      <c r="C52" s="99">
        <f t="shared" ref="C52:AF52" si="9">SUM(C39:C51)</f>
        <v>253.44000000000003</v>
      </c>
      <c r="D52" s="99">
        <f t="shared" si="9"/>
        <v>261.84000000000003</v>
      </c>
      <c r="E52" s="99">
        <f t="shared" si="9"/>
        <v>58.639999999999993</v>
      </c>
      <c r="F52" s="99">
        <f t="shared" si="9"/>
        <v>176.64000000000001</v>
      </c>
      <c r="G52" s="99">
        <f t="shared" si="9"/>
        <v>191.24000000000004</v>
      </c>
      <c r="H52" s="99">
        <f t="shared" si="9"/>
        <v>252.24000000000004</v>
      </c>
      <c r="I52" s="99">
        <f t="shared" si="9"/>
        <v>244.44000000000003</v>
      </c>
      <c r="J52" s="99">
        <f t="shared" si="9"/>
        <v>343.44000000000005</v>
      </c>
      <c r="K52" s="99">
        <f t="shared" si="9"/>
        <v>340.04</v>
      </c>
      <c r="L52" s="99">
        <f t="shared" si="9"/>
        <v>362.04000000000008</v>
      </c>
      <c r="M52" s="99">
        <f t="shared" si="9"/>
        <v>320.44000000000005</v>
      </c>
      <c r="N52" s="99">
        <f t="shared" si="9"/>
        <v>321.54000000000002</v>
      </c>
      <c r="O52" s="99">
        <f t="shared" si="9"/>
        <v>274.34000000000003</v>
      </c>
      <c r="P52" s="99">
        <f t="shared" si="9"/>
        <v>301.44</v>
      </c>
      <c r="Q52" s="99">
        <f t="shared" si="9"/>
        <v>296.04000000000002</v>
      </c>
      <c r="R52" s="99">
        <f t="shared" si="9"/>
        <v>281.64000000000004</v>
      </c>
      <c r="S52" s="99">
        <f t="shared" si="9"/>
        <v>325.04000000000002</v>
      </c>
      <c r="T52" s="99">
        <f t="shared" si="9"/>
        <v>304.24000000000007</v>
      </c>
      <c r="U52" s="99">
        <f t="shared" si="9"/>
        <v>314.24000000000007</v>
      </c>
      <c r="V52" s="99">
        <f t="shared" si="9"/>
        <v>344.74000000000007</v>
      </c>
      <c r="W52" s="99">
        <f t="shared" si="9"/>
        <v>313.24</v>
      </c>
      <c r="X52" s="99">
        <f t="shared" si="9"/>
        <v>404.84</v>
      </c>
      <c r="Y52" s="99">
        <f t="shared" si="9"/>
        <v>404.84</v>
      </c>
      <c r="Z52" s="99">
        <f t="shared" si="9"/>
        <v>414.84</v>
      </c>
      <c r="AA52" s="99">
        <f t="shared" si="9"/>
        <v>414.84</v>
      </c>
      <c r="AB52" s="99">
        <f t="shared" si="9"/>
        <v>414.84</v>
      </c>
      <c r="AC52" s="99">
        <f t="shared" si="9"/>
        <v>414.84</v>
      </c>
      <c r="AD52" s="99">
        <f t="shared" si="9"/>
        <v>414.84</v>
      </c>
      <c r="AE52" s="99">
        <f t="shared" si="9"/>
        <v>316.54000000000002</v>
      </c>
      <c r="AF52" s="99">
        <f t="shared" si="9"/>
        <v>277.04000000000008</v>
      </c>
      <c r="AG52" s="98">
        <f>SUM(AG39:AG51)</f>
        <v>489.91</v>
      </c>
      <c r="AH52" s="21">
        <f t="shared" si="2"/>
        <v>414.84</v>
      </c>
      <c r="AI52" s="20">
        <f t="shared" si="3"/>
        <v>58.639999999999993</v>
      </c>
      <c r="AK52" s="42"/>
    </row>
    <row r="53" spans="1:37" x14ac:dyDescent="0.25">
      <c r="A53" s="109" t="s">
        <v>159</v>
      </c>
      <c r="B53" s="103">
        <v>29</v>
      </c>
      <c r="C53" s="103">
        <v>29.6</v>
      </c>
      <c r="D53" s="103">
        <v>29.5</v>
      </c>
      <c r="E53" s="103">
        <v>30</v>
      </c>
      <c r="F53" s="123">
        <v>0</v>
      </c>
      <c r="G53" s="123">
        <v>0</v>
      </c>
      <c r="H53" s="123">
        <v>11.1</v>
      </c>
      <c r="I53" s="123">
        <v>20.2</v>
      </c>
      <c r="J53" s="123">
        <v>58.4</v>
      </c>
      <c r="K53" s="123">
        <v>60</v>
      </c>
      <c r="L53" s="123">
        <v>59.8</v>
      </c>
      <c r="M53" s="122">
        <v>60</v>
      </c>
      <c r="N53" s="122">
        <v>50</v>
      </c>
      <c r="O53" s="122">
        <v>20</v>
      </c>
      <c r="P53" s="122">
        <v>20.100000000000001</v>
      </c>
      <c r="Q53" s="103">
        <v>13.9</v>
      </c>
      <c r="R53" s="103">
        <v>10.4</v>
      </c>
      <c r="S53" s="103">
        <v>10.4</v>
      </c>
      <c r="T53" s="103">
        <v>10.4</v>
      </c>
      <c r="U53" s="103">
        <v>10.4</v>
      </c>
      <c r="V53" s="103">
        <v>10.4</v>
      </c>
      <c r="W53" s="103">
        <v>20</v>
      </c>
      <c r="X53" s="103">
        <v>59.3</v>
      </c>
      <c r="Y53" s="103">
        <v>58.5</v>
      </c>
      <c r="Z53" s="103">
        <v>58.5</v>
      </c>
      <c r="AA53" s="103">
        <v>58.5</v>
      </c>
      <c r="AB53" s="103">
        <v>58.5</v>
      </c>
      <c r="AC53" s="103">
        <v>58.5</v>
      </c>
      <c r="AD53" s="103">
        <v>58.5</v>
      </c>
      <c r="AE53" s="103">
        <v>59.8</v>
      </c>
      <c r="AF53" s="103">
        <v>59.8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15.1</v>
      </c>
      <c r="C54" s="73">
        <v>15.4</v>
      </c>
      <c r="D54" s="73">
        <v>13.6</v>
      </c>
      <c r="E54" s="73">
        <v>0</v>
      </c>
      <c r="F54" s="123">
        <v>0</v>
      </c>
      <c r="G54" s="123">
        <v>0</v>
      </c>
      <c r="H54" s="123">
        <v>4.8</v>
      </c>
      <c r="I54" s="123">
        <v>8.8000000000000007</v>
      </c>
      <c r="J54" s="123">
        <v>26.7</v>
      </c>
      <c r="K54" s="123">
        <v>28.3</v>
      </c>
      <c r="L54" s="123">
        <v>29.3</v>
      </c>
      <c r="M54" s="122">
        <v>29.2</v>
      </c>
      <c r="N54" s="122">
        <v>23</v>
      </c>
      <c r="O54" s="122">
        <v>9.4</v>
      </c>
      <c r="P54" s="122">
        <v>15.5</v>
      </c>
      <c r="Q54" s="73">
        <v>6.3</v>
      </c>
      <c r="R54" s="73">
        <v>5.9</v>
      </c>
      <c r="S54" s="73">
        <v>5.9</v>
      </c>
      <c r="T54" s="73">
        <v>5.9</v>
      </c>
      <c r="U54" s="73">
        <v>5.9</v>
      </c>
      <c r="V54" s="73">
        <v>5.9</v>
      </c>
      <c r="W54" s="73">
        <v>9.3000000000000007</v>
      </c>
      <c r="X54" s="73">
        <v>30.2</v>
      </c>
      <c r="Y54" s="73">
        <v>28.6</v>
      </c>
      <c r="Z54" s="73">
        <v>28.6</v>
      </c>
      <c r="AA54" s="73">
        <v>28.6</v>
      </c>
      <c r="AB54" s="73">
        <v>28.6</v>
      </c>
      <c r="AC54" s="73">
        <v>28.6</v>
      </c>
      <c r="AD54" s="73">
        <v>28.6</v>
      </c>
      <c r="AE54" s="73">
        <v>29.3</v>
      </c>
      <c r="AF54" s="73">
        <v>28.5</v>
      </c>
      <c r="AG54" s="106">
        <v>32</v>
      </c>
      <c r="AH54" s="21">
        <f t="shared" si="2"/>
        <v>30.2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5.5</v>
      </c>
      <c r="C55" s="118">
        <v>5.6</v>
      </c>
      <c r="D55" s="118">
        <v>5</v>
      </c>
      <c r="E55" s="118">
        <v>0</v>
      </c>
      <c r="F55" s="120">
        <v>0</v>
      </c>
      <c r="G55" s="120">
        <v>0</v>
      </c>
      <c r="H55" s="120">
        <v>1.7</v>
      </c>
      <c r="I55" s="120">
        <v>3.2</v>
      </c>
      <c r="J55" s="120">
        <v>9.6999999999999993</v>
      </c>
      <c r="K55" s="120">
        <v>10.3</v>
      </c>
      <c r="L55" s="120">
        <v>10.7</v>
      </c>
      <c r="M55" s="119">
        <v>10.7</v>
      </c>
      <c r="N55" s="119">
        <v>8.4</v>
      </c>
      <c r="O55" s="119">
        <v>3.4</v>
      </c>
      <c r="P55" s="119">
        <v>5.6</v>
      </c>
      <c r="Q55" s="118">
        <v>2.2999999999999998</v>
      </c>
      <c r="R55" s="118">
        <v>2.2000000000000002</v>
      </c>
      <c r="S55" s="118">
        <v>2.2000000000000002</v>
      </c>
      <c r="T55" s="118">
        <v>2.2000000000000002</v>
      </c>
      <c r="U55" s="118">
        <v>2.2000000000000002</v>
      </c>
      <c r="V55" s="118">
        <v>2.2000000000000002</v>
      </c>
      <c r="W55" s="118">
        <v>2.2000000000000002</v>
      </c>
      <c r="X55" s="118">
        <v>11</v>
      </c>
      <c r="Y55" s="118">
        <v>10.4</v>
      </c>
      <c r="Z55" s="118">
        <v>10.4</v>
      </c>
      <c r="AA55" s="118">
        <v>10.4</v>
      </c>
      <c r="AB55" s="118">
        <v>10.4</v>
      </c>
      <c r="AC55" s="118">
        <v>10.4</v>
      </c>
      <c r="AD55" s="118">
        <v>10.4</v>
      </c>
      <c r="AE55" s="118">
        <v>10.7</v>
      </c>
      <c r="AF55" s="118">
        <v>10.4</v>
      </c>
      <c r="AG55" s="117">
        <v>14</v>
      </c>
      <c r="AH55" s="21">
        <f t="shared" si="2"/>
        <v>11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49.6</v>
      </c>
      <c r="C56" s="99">
        <f>SUM(C53:C55)</f>
        <v>50.6</v>
      </c>
      <c r="D56" s="99">
        <f t="shared" ref="D56:AF56" si="11">SUM(D53:D55)</f>
        <v>48.1</v>
      </c>
      <c r="E56" s="99">
        <f t="shared" si="11"/>
        <v>30</v>
      </c>
      <c r="F56" s="99">
        <f t="shared" si="11"/>
        <v>0</v>
      </c>
      <c r="G56" s="99">
        <f t="shared" si="11"/>
        <v>0</v>
      </c>
      <c r="H56" s="99">
        <f t="shared" si="11"/>
        <v>17.599999999999998</v>
      </c>
      <c r="I56" s="99">
        <f t="shared" si="11"/>
        <v>32.200000000000003</v>
      </c>
      <c r="J56" s="99">
        <f t="shared" si="11"/>
        <v>94.8</v>
      </c>
      <c r="K56" s="99">
        <f t="shared" si="11"/>
        <v>98.6</v>
      </c>
      <c r="L56" s="99">
        <f t="shared" si="11"/>
        <v>99.8</v>
      </c>
      <c r="M56" s="99">
        <f t="shared" si="11"/>
        <v>99.9</v>
      </c>
      <c r="N56" s="99">
        <f t="shared" si="11"/>
        <v>81.400000000000006</v>
      </c>
      <c r="O56" s="99">
        <f t="shared" si="11"/>
        <v>32.799999999999997</v>
      </c>
      <c r="P56" s="99">
        <f t="shared" si="11"/>
        <v>41.2</v>
      </c>
      <c r="Q56" s="99">
        <f t="shared" si="11"/>
        <v>22.5</v>
      </c>
      <c r="R56" s="99">
        <f t="shared" si="11"/>
        <v>18.5</v>
      </c>
      <c r="S56" s="99">
        <f t="shared" si="11"/>
        <v>18.5</v>
      </c>
      <c r="T56" s="99">
        <f t="shared" si="11"/>
        <v>18.5</v>
      </c>
      <c r="U56" s="99">
        <f t="shared" si="11"/>
        <v>18.5</v>
      </c>
      <c r="V56" s="99">
        <f t="shared" si="11"/>
        <v>18.5</v>
      </c>
      <c r="W56" s="99">
        <f t="shared" si="11"/>
        <v>31.5</v>
      </c>
      <c r="X56" s="99">
        <f t="shared" si="11"/>
        <v>100.5</v>
      </c>
      <c r="Y56" s="99">
        <f t="shared" si="11"/>
        <v>97.5</v>
      </c>
      <c r="Z56" s="99">
        <f t="shared" si="11"/>
        <v>97.5</v>
      </c>
      <c r="AA56" s="99">
        <f t="shared" si="11"/>
        <v>97.5</v>
      </c>
      <c r="AB56" s="99">
        <f t="shared" si="11"/>
        <v>97.5</v>
      </c>
      <c r="AC56" s="99">
        <f t="shared" si="11"/>
        <v>97.5</v>
      </c>
      <c r="AD56" s="99">
        <f t="shared" si="11"/>
        <v>97.5</v>
      </c>
      <c r="AE56" s="99">
        <f t="shared" si="11"/>
        <v>99.8</v>
      </c>
      <c r="AF56" s="99">
        <f t="shared" si="11"/>
        <v>98.7</v>
      </c>
      <c r="AG56" s="98">
        <f>SUM(AG53:AG55)</f>
        <v>106</v>
      </c>
      <c r="AH56" s="21">
        <f t="shared" si="2"/>
        <v>100.5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42</v>
      </c>
      <c r="C57" s="103">
        <v>61</v>
      </c>
      <c r="D57" s="103">
        <v>62.29</v>
      </c>
      <c r="E57" s="103">
        <v>68.099999999999994</v>
      </c>
      <c r="F57" s="103">
        <v>68.099999999999994</v>
      </c>
      <c r="G57" s="103">
        <v>70.3</v>
      </c>
      <c r="H57" s="103">
        <v>71.5</v>
      </c>
      <c r="I57" s="103">
        <v>71.5</v>
      </c>
      <c r="J57" s="103">
        <v>58</v>
      </c>
      <c r="K57" s="103">
        <v>60.5</v>
      </c>
      <c r="L57" s="103">
        <v>55.6</v>
      </c>
      <c r="M57" s="103">
        <v>65.5</v>
      </c>
      <c r="N57" s="103">
        <v>69.7</v>
      </c>
      <c r="O57" s="103">
        <v>70.5</v>
      </c>
      <c r="P57" s="103">
        <v>74.400000000000006</v>
      </c>
      <c r="Q57" s="103">
        <v>72.5</v>
      </c>
      <c r="R57" s="103">
        <v>73.31</v>
      </c>
      <c r="S57" s="103">
        <v>65.400000000000006</v>
      </c>
      <c r="T57" s="103">
        <v>69.7</v>
      </c>
      <c r="U57" s="103">
        <v>71.8</v>
      </c>
      <c r="V57" s="103">
        <v>76.400000000000006</v>
      </c>
      <c r="W57" s="103">
        <v>69</v>
      </c>
      <c r="X57" s="103">
        <v>69.5</v>
      </c>
      <c r="Y57" s="103">
        <v>73.5</v>
      </c>
      <c r="Z57" s="103">
        <v>77.040000000000006</v>
      </c>
      <c r="AA57" s="103">
        <v>69.400000000000006</v>
      </c>
      <c r="AB57" s="103">
        <v>74.5</v>
      </c>
      <c r="AC57" s="103">
        <v>74.5</v>
      </c>
      <c r="AD57" s="103">
        <v>74.5</v>
      </c>
      <c r="AE57" s="103">
        <v>70</v>
      </c>
      <c r="AF57" s="103">
        <v>70</v>
      </c>
      <c r="AG57" s="108"/>
      <c r="AH57" s="21">
        <f t="shared" si="2"/>
        <v>77.040000000000006</v>
      </c>
      <c r="AI57" s="20">
        <f t="shared" si="3"/>
        <v>42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103">
        <v>64.599999999999994</v>
      </c>
      <c r="N58" s="103">
        <v>150</v>
      </c>
      <c r="O58" s="103">
        <v>180</v>
      </c>
      <c r="P58" s="103">
        <f>58+119.7</f>
        <v>177.7</v>
      </c>
      <c r="Q58" s="103">
        <f>116+58</f>
        <v>174</v>
      </c>
      <c r="R58" s="103">
        <f>115+54</f>
        <v>169</v>
      </c>
      <c r="S58" s="103">
        <f>111+60</f>
        <v>171</v>
      </c>
      <c r="T58" s="103">
        <f>112.6+72</f>
        <v>184.6</v>
      </c>
      <c r="U58" s="103">
        <f>105.5+70</f>
        <v>175.5</v>
      </c>
      <c r="V58" s="103">
        <f>103.4+73</f>
        <v>176.4</v>
      </c>
      <c r="W58" s="103">
        <f>94.8+60</f>
        <v>154.80000000000001</v>
      </c>
      <c r="X58" s="116">
        <v>0</v>
      </c>
      <c r="Y58" s="116">
        <v>0</v>
      </c>
      <c r="Z58" s="116">
        <v>0</v>
      </c>
      <c r="AA58" s="116">
        <v>0</v>
      </c>
      <c r="AB58" s="116">
        <v>0</v>
      </c>
      <c r="AC58" s="116">
        <v>0</v>
      </c>
      <c r="AD58" s="116">
        <v>0</v>
      </c>
      <c r="AE58" s="73">
        <v>0</v>
      </c>
      <c r="AF58" s="73">
        <v>0</v>
      </c>
      <c r="AG58" s="106"/>
      <c r="AH58" s="21">
        <f t="shared" si="2"/>
        <v>184.6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23</v>
      </c>
      <c r="C59" s="73">
        <v>195</v>
      </c>
      <c r="D59" s="73">
        <v>241.8</v>
      </c>
      <c r="E59" s="73">
        <v>280</v>
      </c>
      <c r="F59" s="73">
        <v>339.7</v>
      </c>
      <c r="G59" s="73">
        <v>353.9</v>
      </c>
      <c r="H59" s="103">
        <v>345.6</v>
      </c>
      <c r="I59" s="103">
        <v>350</v>
      </c>
      <c r="J59" s="103">
        <v>64</v>
      </c>
      <c r="K59" s="103">
        <v>51.5</v>
      </c>
      <c r="L59" s="103">
        <v>55</v>
      </c>
      <c r="M59" s="73">
        <v>80.599999999999994</v>
      </c>
      <c r="N59" s="73">
        <v>57.8</v>
      </c>
      <c r="O59" s="73">
        <v>235.6</v>
      </c>
      <c r="P59" s="73">
        <v>214.9</v>
      </c>
      <c r="Q59" s="73">
        <v>218</v>
      </c>
      <c r="R59" s="73">
        <v>222.4</v>
      </c>
      <c r="S59" s="73">
        <v>210.4</v>
      </c>
      <c r="T59" s="73">
        <v>222.5</v>
      </c>
      <c r="U59" s="73">
        <v>133</v>
      </c>
      <c r="V59" s="73">
        <v>180.4</v>
      </c>
      <c r="W59" s="73">
        <v>215</v>
      </c>
      <c r="X59" s="115">
        <v>227.4</v>
      </c>
      <c r="Y59" s="115">
        <v>193.1</v>
      </c>
      <c r="Z59" s="115">
        <v>87</v>
      </c>
      <c r="AA59" s="115">
        <v>67.2</v>
      </c>
      <c r="AB59" s="115">
        <v>72.8</v>
      </c>
      <c r="AC59" s="115">
        <v>90</v>
      </c>
      <c r="AD59" s="115">
        <v>90</v>
      </c>
      <c r="AE59" s="73">
        <v>290</v>
      </c>
      <c r="AF59" s="73">
        <v>362</v>
      </c>
      <c r="AG59" s="113"/>
      <c r="AH59" s="21">
        <f t="shared" si="2"/>
        <v>362</v>
      </c>
      <c r="AI59" s="20">
        <f t="shared" si="3"/>
        <v>23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47</v>
      </c>
      <c r="G60" s="77">
        <v>46.5</v>
      </c>
      <c r="H60" s="77">
        <v>47.7</v>
      </c>
      <c r="I60" s="77">
        <v>48.2</v>
      </c>
      <c r="J60" s="77">
        <v>46</v>
      </c>
      <c r="K60" s="77">
        <v>50.3</v>
      </c>
      <c r="L60" s="77">
        <v>50.8</v>
      </c>
      <c r="M60" s="73">
        <v>54</v>
      </c>
      <c r="N60" s="73">
        <v>54.8</v>
      </c>
      <c r="O60" s="73">
        <v>55</v>
      </c>
      <c r="P60" s="73">
        <v>48.7</v>
      </c>
      <c r="Q60" s="73">
        <v>57.3</v>
      </c>
      <c r="R60" s="73">
        <v>53</v>
      </c>
      <c r="S60" s="73">
        <v>56.2</v>
      </c>
      <c r="T60" s="73">
        <v>55</v>
      </c>
      <c r="U60" s="73">
        <v>55</v>
      </c>
      <c r="V60" s="73">
        <v>51</v>
      </c>
      <c r="W60" s="73">
        <v>51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7">
        <v>0</v>
      </c>
      <c r="AG60" s="113"/>
      <c r="AH60" s="21">
        <f t="shared" si="2"/>
        <v>57.3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19.7</v>
      </c>
      <c r="C61" s="77">
        <v>26.7</v>
      </c>
      <c r="D61" s="77">
        <v>28.1</v>
      </c>
      <c r="E61" s="77">
        <v>28.1</v>
      </c>
      <c r="F61" s="77">
        <v>0</v>
      </c>
      <c r="G61" s="77">
        <v>0</v>
      </c>
      <c r="H61" s="77">
        <v>0</v>
      </c>
      <c r="I61" s="77">
        <v>0</v>
      </c>
      <c r="J61" s="77">
        <v>81</v>
      </c>
      <c r="K61" s="77">
        <v>66.5</v>
      </c>
      <c r="L61" s="77">
        <v>83</v>
      </c>
      <c r="M61" s="103">
        <v>86.2</v>
      </c>
      <c r="N61" s="103">
        <v>80.2</v>
      </c>
      <c r="O61" s="103">
        <v>75.099999999999994</v>
      </c>
      <c r="P61" s="103">
        <v>84</v>
      </c>
      <c r="Q61" s="103">
        <v>79</v>
      </c>
      <c r="R61" s="103">
        <v>72</v>
      </c>
      <c r="S61" s="103">
        <v>79.3</v>
      </c>
      <c r="T61" s="103">
        <v>80</v>
      </c>
      <c r="U61" s="103">
        <v>81.5</v>
      </c>
      <c r="V61" s="103">
        <v>76</v>
      </c>
      <c r="W61" s="103">
        <v>69</v>
      </c>
      <c r="X61" s="103">
        <v>0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86.2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6</v>
      </c>
      <c r="C62" s="67">
        <v>6</v>
      </c>
      <c r="D62" s="73">
        <v>6</v>
      </c>
      <c r="E62" s="73">
        <v>6</v>
      </c>
      <c r="F62" s="73">
        <v>6</v>
      </c>
      <c r="G62" s="73">
        <v>6</v>
      </c>
      <c r="H62" s="73">
        <v>6</v>
      </c>
      <c r="I62" s="73">
        <v>6</v>
      </c>
      <c r="J62" s="73">
        <v>6</v>
      </c>
      <c r="K62" s="73">
        <v>6</v>
      </c>
      <c r="L62" s="73">
        <v>6</v>
      </c>
      <c r="M62" s="73">
        <v>6</v>
      </c>
      <c r="N62" s="67">
        <v>6</v>
      </c>
      <c r="O62" s="67">
        <v>6</v>
      </c>
      <c r="P62" s="67">
        <v>6</v>
      </c>
      <c r="Q62" s="67">
        <v>6</v>
      </c>
      <c r="R62" s="67">
        <v>6</v>
      </c>
      <c r="S62" s="67">
        <v>6</v>
      </c>
      <c r="T62" s="67">
        <v>6</v>
      </c>
      <c r="U62" s="67">
        <v>6</v>
      </c>
      <c r="V62" s="67">
        <v>6</v>
      </c>
      <c r="W62" s="67">
        <v>6</v>
      </c>
      <c r="X62" s="67">
        <v>6</v>
      </c>
      <c r="Y62" s="67">
        <v>6</v>
      </c>
      <c r="Z62" s="67">
        <v>6</v>
      </c>
      <c r="AA62" s="67">
        <v>6</v>
      </c>
      <c r="AB62" s="67">
        <v>6</v>
      </c>
      <c r="AC62" s="67">
        <v>6</v>
      </c>
      <c r="AD62" s="67">
        <v>6</v>
      </c>
      <c r="AE62" s="67">
        <v>6</v>
      </c>
      <c r="AF62" s="67">
        <v>6</v>
      </c>
      <c r="AG62" s="113"/>
      <c r="AH62" s="21">
        <f t="shared" si="2"/>
        <v>6</v>
      </c>
      <c r="AI62" s="20">
        <f t="shared" si="3"/>
        <v>6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103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8.5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8.5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14.5</v>
      </c>
      <c r="C66" s="70">
        <v>13.5</v>
      </c>
      <c r="D66" s="70">
        <v>13.5</v>
      </c>
      <c r="E66" s="77">
        <v>13.5</v>
      </c>
      <c r="F66" s="77">
        <v>13.5</v>
      </c>
      <c r="G66" s="77">
        <v>13.5</v>
      </c>
      <c r="H66" s="77">
        <v>13.5</v>
      </c>
      <c r="I66" s="77">
        <v>13.5</v>
      </c>
      <c r="J66" s="77">
        <v>13.5</v>
      </c>
      <c r="K66" s="77">
        <v>13.5</v>
      </c>
      <c r="L66" s="77">
        <v>13.5</v>
      </c>
      <c r="M66" s="77">
        <v>13.5</v>
      </c>
      <c r="N66" s="70">
        <v>13.5</v>
      </c>
      <c r="O66" s="70">
        <v>13.5</v>
      </c>
      <c r="P66" s="70">
        <v>13.5</v>
      </c>
      <c r="Q66" s="70">
        <v>13.5</v>
      </c>
      <c r="R66" s="70">
        <v>13.5</v>
      </c>
      <c r="S66" s="70">
        <v>13.5</v>
      </c>
      <c r="T66" s="70">
        <v>13.5</v>
      </c>
      <c r="U66" s="70">
        <v>13.5</v>
      </c>
      <c r="V66" s="70">
        <v>13.5</v>
      </c>
      <c r="W66" s="70">
        <v>13.5</v>
      </c>
      <c r="X66" s="70">
        <v>13.5</v>
      </c>
      <c r="Y66" s="70">
        <v>13.5</v>
      </c>
      <c r="Z66" s="70">
        <v>13.5</v>
      </c>
      <c r="AA66" s="70">
        <v>13.5</v>
      </c>
      <c r="AB66" s="70">
        <v>13.5</v>
      </c>
      <c r="AC66" s="70">
        <v>13.5</v>
      </c>
      <c r="AD66" s="70">
        <v>13.5</v>
      </c>
      <c r="AE66" s="70">
        <v>13.5</v>
      </c>
      <c r="AF66" s="70">
        <v>13.5</v>
      </c>
      <c r="AG66" s="102"/>
      <c r="AH66" s="21">
        <f t="shared" si="2"/>
        <v>14.5</v>
      </c>
      <c r="AI66" s="20">
        <f t="shared" si="3"/>
        <v>13.5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116.7</v>
      </c>
      <c r="C68" s="99">
        <f>SUM(C57:C67)</f>
        <v>313.2</v>
      </c>
      <c r="D68" s="99">
        <f t="shared" ref="D68:AF68" si="13">SUM(D57:D67)</f>
        <v>362.69000000000005</v>
      </c>
      <c r="E68" s="99">
        <f t="shared" si="13"/>
        <v>406.70000000000005</v>
      </c>
      <c r="F68" s="99">
        <f t="shared" si="13"/>
        <v>485.29999999999995</v>
      </c>
      <c r="G68" s="99">
        <f t="shared" si="13"/>
        <v>501.2</v>
      </c>
      <c r="H68" s="99">
        <f t="shared" si="13"/>
        <v>495.3</v>
      </c>
      <c r="I68" s="99">
        <f t="shared" si="13"/>
        <v>500.2</v>
      </c>
      <c r="J68" s="99">
        <f t="shared" si="13"/>
        <v>279.5</v>
      </c>
      <c r="K68" s="99">
        <f t="shared" si="13"/>
        <v>259.3</v>
      </c>
      <c r="L68" s="99">
        <f t="shared" si="13"/>
        <v>274.89999999999998</v>
      </c>
      <c r="M68" s="99">
        <f t="shared" si="13"/>
        <v>381.4</v>
      </c>
      <c r="N68" s="99">
        <f t="shared" si="13"/>
        <v>443</v>
      </c>
      <c r="O68" s="99">
        <f t="shared" si="13"/>
        <v>646.70000000000005</v>
      </c>
      <c r="P68" s="99">
        <f t="shared" si="13"/>
        <v>630.20000000000005</v>
      </c>
      <c r="Q68" s="99">
        <f t="shared" si="13"/>
        <v>631.29999999999995</v>
      </c>
      <c r="R68" s="99">
        <f t="shared" si="13"/>
        <v>620.21</v>
      </c>
      <c r="S68" s="99">
        <f t="shared" si="13"/>
        <v>612.79999999999995</v>
      </c>
      <c r="T68" s="99">
        <f t="shared" si="13"/>
        <v>642.29999999999995</v>
      </c>
      <c r="U68" s="99">
        <f t="shared" si="13"/>
        <v>547.29999999999995</v>
      </c>
      <c r="V68" s="99">
        <f t="shared" si="13"/>
        <v>590.70000000000005</v>
      </c>
      <c r="W68" s="99">
        <f t="shared" si="13"/>
        <v>589.29999999999995</v>
      </c>
      <c r="X68" s="99">
        <f t="shared" si="13"/>
        <v>327.39999999999998</v>
      </c>
      <c r="Y68" s="99">
        <f t="shared" si="13"/>
        <v>297.10000000000002</v>
      </c>
      <c r="Z68" s="99">
        <f t="shared" si="13"/>
        <v>194.54000000000002</v>
      </c>
      <c r="AA68" s="99">
        <f t="shared" si="13"/>
        <v>167.10000000000002</v>
      </c>
      <c r="AB68" s="99">
        <f t="shared" si="13"/>
        <v>177.8</v>
      </c>
      <c r="AC68" s="99">
        <f t="shared" si="13"/>
        <v>195</v>
      </c>
      <c r="AD68" s="99">
        <f t="shared" si="13"/>
        <v>195</v>
      </c>
      <c r="AE68" s="99">
        <f t="shared" si="13"/>
        <v>390.5</v>
      </c>
      <c r="AF68" s="99">
        <f t="shared" si="13"/>
        <v>462.5</v>
      </c>
      <c r="AG68" s="98">
        <f>SUM(AG57:AG67)</f>
        <v>0</v>
      </c>
      <c r="AH68" s="21">
        <f t="shared" si="2"/>
        <v>646.70000000000005</v>
      </c>
      <c r="AI68" s="20">
        <f t="shared" si="3"/>
        <v>116.7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f t="shared" si="15"/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972.84000000000015</v>
      </c>
      <c r="C73" s="110">
        <f>C68+C56+C52+C38+C72</f>
        <v>1044.04</v>
      </c>
      <c r="D73" s="110">
        <f t="shared" ref="D73:AG73" si="17">D68+D56+D52+D38+D72</f>
        <v>1105.8300000000002</v>
      </c>
      <c r="E73" s="110">
        <f t="shared" si="17"/>
        <v>900.54</v>
      </c>
      <c r="F73" s="110">
        <f t="shared" si="17"/>
        <v>1056.1399999999999</v>
      </c>
      <c r="G73" s="110">
        <f t="shared" si="17"/>
        <v>1119.24</v>
      </c>
      <c r="H73" s="110">
        <f t="shared" si="17"/>
        <v>1173.8399999999999</v>
      </c>
      <c r="I73" s="110">
        <f t="shared" si="17"/>
        <v>1205.1399999999999</v>
      </c>
      <c r="J73" s="110">
        <f t="shared" si="17"/>
        <v>1338.94</v>
      </c>
      <c r="K73" s="110">
        <f t="shared" si="17"/>
        <v>1290.74</v>
      </c>
      <c r="L73" s="110">
        <f t="shared" si="17"/>
        <v>1382.3400000000001</v>
      </c>
      <c r="M73" s="110">
        <f t="shared" si="17"/>
        <v>1374.8400000000001</v>
      </c>
      <c r="N73" s="110">
        <f t="shared" si="17"/>
        <v>1339.04</v>
      </c>
      <c r="O73" s="110">
        <f t="shared" si="17"/>
        <v>1366.94</v>
      </c>
      <c r="P73" s="110">
        <f t="shared" si="17"/>
        <v>1380.94</v>
      </c>
      <c r="Q73" s="110">
        <f t="shared" si="17"/>
        <v>1357.04</v>
      </c>
      <c r="R73" s="110">
        <f t="shared" si="17"/>
        <v>1327.0500000000002</v>
      </c>
      <c r="S73" s="110">
        <f t="shared" si="17"/>
        <v>1360.34</v>
      </c>
      <c r="T73" s="110">
        <f t="shared" si="17"/>
        <v>1365.04</v>
      </c>
      <c r="U73" s="110">
        <f t="shared" si="17"/>
        <v>1280.04</v>
      </c>
      <c r="V73" s="110">
        <f t="shared" si="17"/>
        <v>1381.94</v>
      </c>
      <c r="W73" s="110">
        <f t="shared" si="17"/>
        <v>1352.04</v>
      </c>
      <c r="X73" s="110">
        <f t="shared" si="17"/>
        <v>1372.74</v>
      </c>
      <c r="Y73" s="110">
        <f t="shared" si="17"/>
        <v>1415.44</v>
      </c>
      <c r="Z73" s="110">
        <f t="shared" si="17"/>
        <v>1477.1800000000003</v>
      </c>
      <c r="AA73" s="110">
        <f t="shared" si="17"/>
        <v>1389.7400000000002</v>
      </c>
      <c r="AB73" s="110">
        <f t="shared" si="17"/>
        <v>1440.44</v>
      </c>
      <c r="AC73" s="110">
        <f t="shared" si="17"/>
        <v>1457.64</v>
      </c>
      <c r="AD73" s="110">
        <f t="shared" si="17"/>
        <v>1457.64</v>
      </c>
      <c r="AE73" s="110">
        <f t="shared" si="17"/>
        <v>1317.14</v>
      </c>
      <c r="AF73" s="110">
        <f t="shared" si="17"/>
        <v>1240.54</v>
      </c>
      <c r="AG73" s="110">
        <f t="shared" si="17"/>
        <v>2144.14</v>
      </c>
      <c r="AH73" s="21">
        <f t="shared" si="2"/>
        <v>1477.1800000000003</v>
      </c>
      <c r="AI73" s="20">
        <f t="shared" si="3"/>
        <v>900.54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150</v>
      </c>
      <c r="C74" s="111">
        <v>80</v>
      </c>
      <c r="D74" s="111"/>
      <c r="E74" s="111">
        <v>180</v>
      </c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>
        <v>135</v>
      </c>
      <c r="AA74" s="111"/>
      <c r="AB74" s="111"/>
      <c r="AC74" s="111"/>
      <c r="AD74" s="111"/>
      <c r="AE74" s="111"/>
      <c r="AF74" s="111"/>
      <c r="AG74" s="98"/>
      <c r="AH74" s="21">
        <f t="shared" si="2"/>
        <v>180</v>
      </c>
      <c r="AI74" s="20">
        <f t="shared" si="3"/>
        <v>80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1122.8400000000001</v>
      </c>
      <c r="C75" s="110">
        <f>C73+C74</f>
        <v>1124.04</v>
      </c>
      <c r="D75" s="110">
        <f t="shared" ref="D75:AF75" si="19">D72+D68+D56+D52+D38+D74</f>
        <v>1105.8300000000002</v>
      </c>
      <c r="E75" s="110">
        <f t="shared" si="19"/>
        <v>1080.54</v>
      </c>
      <c r="F75" s="110">
        <f t="shared" si="19"/>
        <v>1056.1399999999999</v>
      </c>
      <c r="G75" s="110">
        <f t="shared" si="19"/>
        <v>1119.24</v>
      </c>
      <c r="H75" s="110">
        <f t="shared" si="19"/>
        <v>1173.8399999999999</v>
      </c>
      <c r="I75" s="110">
        <f t="shared" si="19"/>
        <v>1205.1399999999999</v>
      </c>
      <c r="J75" s="110">
        <f t="shared" si="19"/>
        <v>1338.94</v>
      </c>
      <c r="K75" s="110">
        <f t="shared" si="19"/>
        <v>1290.74</v>
      </c>
      <c r="L75" s="110">
        <f t="shared" si="19"/>
        <v>1382.3400000000001</v>
      </c>
      <c r="M75" s="110">
        <f t="shared" si="19"/>
        <v>1374.8400000000001</v>
      </c>
      <c r="N75" s="110">
        <f t="shared" si="19"/>
        <v>1339.04</v>
      </c>
      <c r="O75" s="110">
        <f t="shared" si="19"/>
        <v>1366.94</v>
      </c>
      <c r="P75" s="110">
        <f t="shared" si="19"/>
        <v>1380.94</v>
      </c>
      <c r="Q75" s="110">
        <f t="shared" si="19"/>
        <v>1357.04</v>
      </c>
      <c r="R75" s="110">
        <f t="shared" si="19"/>
        <v>1327.0500000000002</v>
      </c>
      <c r="S75" s="110">
        <f t="shared" si="19"/>
        <v>1360.34</v>
      </c>
      <c r="T75" s="110">
        <f t="shared" si="19"/>
        <v>1365.04</v>
      </c>
      <c r="U75" s="110">
        <f t="shared" si="19"/>
        <v>1280.04</v>
      </c>
      <c r="V75" s="110">
        <f t="shared" si="19"/>
        <v>1381.94</v>
      </c>
      <c r="W75" s="110">
        <f t="shared" si="19"/>
        <v>1352.04</v>
      </c>
      <c r="X75" s="110">
        <f t="shared" si="19"/>
        <v>1372.74</v>
      </c>
      <c r="Y75" s="110">
        <f t="shared" si="19"/>
        <v>1415.44</v>
      </c>
      <c r="Z75" s="110">
        <f t="shared" si="19"/>
        <v>1612.1800000000003</v>
      </c>
      <c r="AA75" s="110">
        <f t="shared" si="19"/>
        <v>1389.7400000000002</v>
      </c>
      <c r="AB75" s="110">
        <f t="shared" si="19"/>
        <v>1440.44</v>
      </c>
      <c r="AC75" s="110">
        <f t="shared" si="19"/>
        <v>1457.64</v>
      </c>
      <c r="AD75" s="110">
        <f t="shared" si="19"/>
        <v>1457.64</v>
      </c>
      <c r="AE75" s="110">
        <f t="shared" si="19"/>
        <v>1317.14</v>
      </c>
      <c r="AF75" s="110">
        <f t="shared" si="19"/>
        <v>1240.54</v>
      </c>
      <c r="AG75" s="98">
        <f>AG72+AG68+AG56+AG52+AG38+AG74</f>
        <v>2144.14</v>
      </c>
      <c r="AH75" s="21">
        <f t="shared" si="2"/>
        <v>1612.1800000000003</v>
      </c>
      <c r="AI75" s="20">
        <f t="shared" si="3"/>
        <v>1056.1399999999999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>
        <f t="shared" si="21"/>
        <v>0</v>
      </c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f t="shared" si="25"/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f t="shared" si="27"/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f t="shared" si="29"/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f t="shared" si="31"/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f t="shared" si="33"/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2245.6800000000003</v>
      </c>
      <c r="C83" s="99">
        <f t="shared" ref="C83:AG83" si="35">SUM(C70:C82)</f>
        <v>2248.08</v>
      </c>
      <c r="D83" s="99">
        <f t="shared" si="35"/>
        <v>2211.6600000000003</v>
      </c>
      <c r="E83" s="99">
        <f t="shared" si="35"/>
        <v>2161.08</v>
      </c>
      <c r="F83" s="99">
        <f t="shared" si="35"/>
        <v>2112.2799999999997</v>
      </c>
      <c r="G83" s="99">
        <f t="shared" si="35"/>
        <v>2238.48</v>
      </c>
      <c r="H83" s="99">
        <f t="shared" si="35"/>
        <v>2347.6799999999998</v>
      </c>
      <c r="I83" s="99">
        <f t="shared" si="35"/>
        <v>2410.2799999999997</v>
      </c>
      <c r="J83" s="99">
        <f t="shared" si="35"/>
        <v>2677.88</v>
      </c>
      <c r="K83" s="99">
        <f t="shared" si="35"/>
        <v>2581.48</v>
      </c>
      <c r="L83" s="99">
        <f t="shared" si="35"/>
        <v>2764.6800000000003</v>
      </c>
      <c r="M83" s="99">
        <f t="shared" si="35"/>
        <v>2749.6800000000003</v>
      </c>
      <c r="N83" s="99">
        <f t="shared" si="35"/>
        <v>2678.08</v>
      </c>
      <c r="O83" s="99">
        <f t="shared" si="35"/>
        <v>2733.88</v>
      </c>
      <c r="P83" s="99">
        <f t="shared" si="35"/>
        <v>2761.88</v>
      </c>
      <c r="Q83" s="99">
        <f t="shared" si="35"/>
        <v>2714.08</v>
      </c>
      <c r="R83" s="99">
        <f t="shared" si="35"/>
        <v>2654.1000000000004</v>
      </c>
      <c r="S83" s="99">
        <f t="shared" si="35"/>
        <v>2720.68</v>
      </c>
      <c r="T83" s="99">
        <f t="shared" si="35"/>
        <v>2730.08</v>
      </c>
      <c r="U83" s="99">
        <f t="shared" si="35"/>
        <v>2560.08</v>
      </c>
      <c r="V83" s="99">
        <f t="shared" si="35"/>
        <v>2763.88</v>
      </c>
      <c r="W83" s="99">
        <f t="shared" si="35"/>
        <v>2704.08</v>
      </c>
      <c r="X83" s="99">
        <f t="shared" si="35"/>
        <v>2745.48</v>
      </c>
      <c r="Y83" s="99">
        <f t="shared" si="35"/>
        <v>2830.88</v>
      </c>
      <c r="Z83" s="99">
        <f t="shared" si="35"/>
        <v>3224.3600000000006</v>
      </c>
      <c r="AA83" s="99">
        <f t="shared" si="35"/>
        <v>2779.4800000000005</v>
      </c>
      <c r="AB83" s="99">
        <f t="shared" si="35"/>
        <v>2880.88</v>
      </c>
      <c r="AC83" s="99">
        <f t="shared" si="35"/>
        <v>2915.28</v>
      </c>
      <c r="AD83" s="99">
        <f t="shared" si="35"/>
        <v>2915.28</v>
      </c>
      <c r="AE83" s="99">
        <f t="shared" si="35"/>
        <v>2634.28</v>
      </c>
      <c r="AF83" s="99">
        <f t="shared" si="35"/>
        <v>2481.08</v>
      </c>
      <c r="AG83" s="98">
        <f t="shared" si="35"/>
        <v>4360.08</v>
      </c>
      <c r="AH83" s="21">
        <f t="shared" si="22"/>
        <v>3224.3600000000006</v>
      </c>
      <c r="AI83" s="20">
        <f t="shared" si="23"/>
        <v>2112.2799999999997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49.970999999999997</v>
      </c>
      <c r="C84" s="96">
        <v>49.887999999999998</v>
      </c>
      <c r="D84" s="96">
        <v>49.941000000000003</v>
      </c>
      <c r="E84" s="96"/>
      <c r="F84" s="96">
        <v>49.9</v>
      </c>
      <c r="G84" s="96">
        <v>49.927999999999997</v>
      </c>
      <c r="H84" s="96">
        <v>49.718000000000004</v>
      </c>
      <c r="I84" s="96">
        <v>50.11</v>
      </c>
      <c r="J84" s="96">
        <v>49.731000000000002</v>
      </c>
      <c r="K84" s="96">
        <v>49.743000000000002</v>
      </c>
      <c r="L84" s="96">
        <v>50.006</v>
      </c>
      <c r="M84" s="96">
        <v>49.965000000000003</v>
      </c>
      <c r="N84" s="96">
        <v>50.000999999999998</v>
      </c>
      <c r="O84" s="96">
        <v>50.033999999999999</v>
      </c>
      <c r="P84" s="96">
        <v>49.834000000000003</v>
      </c>
      <c r="Q84" s="96">
        <v>49.951999999999998</v>
      </c>
      <c r="R84" s="96">
        <v>49.932000000000002</v>
      </c>
      <c r="S84" s="96">
        <v>49.841999999999999</v>
      </c>
      <c r="T84" s="96">
        <v>49.899000000000001</v>
      </c>
      <c r="U84" s="96">
        <v>49.841999999999999</v>
      </c>
      <c r="V84" s="96">
        <v>49.945999999999998</v>
      </c>
      <c r="W84" s="96">
        <v>50.002000000000002</v>
      </c>
      <c r="X84" s="96">
        <v>50.01</v>
      </c>
      <c r="Y84" s="96">
        <v>49.96</v>
      </c>
      <c r="Z84" s="96">
        <v>50.005000000000003</v>
      </c>
      <c r="AA84" s="96">
        <v>49.853000000000002</v>
      </c>
      <c r="AB84" s="96">
        <v>50.014000000000003</v>
      </c>
      <c r="AC84" s="96">
        <v>50.03</v>
      </c>
      <c r="AD84" s="96">
        <v>50.02</v>
      </c>
      <c r="AE84" s="96">
        <v>50.1</v>
      </c>
      <c r="AF84" s="96">
        <v>49.98</v>
      </c>
      <c r="AG84" s="95"/>
      <c r="AH84" s="21">
        <f t="shared" si="22"/>
        <v>50.11</v>
      </c>
      <c r="AI84" s="20">
        <f t="shared" si="23"/>
        <v>49.718000000000004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127.9</v>
      </c>
      <c r="C85" s="73">
        <v>126.3</v>
      </c>
      <c r="D85" s="73">
        <v>124</v>
      </c>
      <c r="E85" s="73"/>
      <c r="F85" s="73">
        <v>120.7</v>
      </c>
      <c r="G85" s="73">
        <v>120.1</v>
      </c>
      <c r="H85" s="73">
        <v>121</v>
      </c>
      <c r="I85" s="73">
        <v>122.4</v>
      </c>
      <c r="J85" s="73">
        <v>128.1</v>
      </c>
      <c r="K85" s="73">
        <v>127.3</v>
      </c>
      <c r="L85" s="73">
        <v>126.9</v>
      </c>
      <c r="M85" s="73">
        <v>127</v>
      </c>
      <c r="N85" s="73">
        <v>126.3</v>
      </c>
      <c r="O85" s="73">
        <v>121.6</v>
      </c>
      <c r="P85" s="73">
        <v>123.1</v>
      </c>
      <c r="Q85" s="73">
        <v>121.6</v>
      </c>
      <c r="R85" s="73">
        <v>121.5</v>
      </c>
      <c r="S85" s="73">
        <v>120.6</v>
      </c>
      <c r="T85" s="73">
        <v>121.7</v>
      </c>
      <c r="U85" s="94">
        <v>120.3</v>
      </c>
      <c r="V85" s="94">
        <v>122.4</v>
      </c>
      <c r="W85" s="94">
        <v>125.2</v>
      </c>
      <c r="X85" s="94">
        <v>126.1</v>
      </c>
      <c r="Y85" s="94">
        <v>125.9</v>
      </c>
      <c r="Z85" s="94">
        <v>125.7</v>
      </c>
      <c r="AA85" s="94">
        <v>126.3</v>
      </c>
      <c r="AB85" s="73">
        <v>126.2</v>
      </c>
      <c r="AC85" s="73">
        <v>126.2</v>
      </c>
      <c r="AD85" s="73">
        <v>126.2</v>
      </c>
      <c r="AE85" s="73">
        <v>127</v>
      </c>
      <c r="AF85" s="73">
        <v>127</v>
      </c>
      <c r="AG85" s="89"/>
      <c r="AH85" s="21">
        <f t="shared" si="22"/>
        <v>128.1</v>
      </c>
      <c r="AI85" s="20">
        <f t="shared" si="23"/>
        <v>120.1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134.80000000000001</v>
      </c>
      <c r="C86" s="73">
        <v>134.1</v>
      </c>
      <c r="D86" s="73">
        <v>133.80000000000001</v>
      </c>
      <c r="E86" s="73"/>
      <c r="F86" s="73">
        <v>132.9</v>
      </c>
      <c r="G86" s="73">
        <v>132.1</v>
      </c>
      <c r="H86" s="73">
        <v>132.6</v>
      </c>
      <c r="I86" s="73">
        <v>131.80000000000001</v>
      </c>
      <c r="J86" s="73">
        <v>130.69999999999999</v>
      </c>
      <c r="K86" s="73">
        <v>130.5</v>
      </c>
      <c r="L86" s="73">
        <v>129.30000000000001</v>
      </c>
      <c r="M86" s="73">
        <v>129</v>
      </c>
      <c r="N86" s="73">
        <v>129.5</v>
      </c>
      <c r="O86" s="73">
        <v>127.6</v>
      </c>
      <c r="P86" s="73">
        <v>129.4</v>
      </c>
      <c r="Q86" s="73">
        <v>129.69999999999999</v>
      </c>
      <c r="R86" s="73">
        <v>129.69999999999999</v>
      </c>
      <c r="S86" s="73">
        <v>128.5</v>
      </c>
      <c r="T86" s="73">
        <v>129</v>
      </c>
      <c r="U86" s="94">
        <v>128</v>
      </c>
      <c r="V86" s="94">
        <v>128.69999999999999</v>
      </c>
      <c r="W86" s="94">
        <v>128.5</v>
      </c>
      <c r="X86" s="94">
        <v>129.5</v>
      </c>
      <c r="Y86" s="94">
        <v>128.80000000000001</v>
      </c>
      <c r="Z86" s="94">
        <v>128.6</v>
      </c>
      <c r="AA86" s="94">
        <v>129</v>
      </c>
      <c r="AB86" s="73">
        <v>129.80000000000001</v>
      </c>
      <c r="AC86" s="73">
        <v>129.80000000000001</v>
      </c>
      <c r="AD86" s="73">
        <v>129.80000000000001</v>
      </c>
      <c r="AE86" s="73">
        <v>131.69999999999999</v>
      </c>
      <c r="AF86" s="73">
        <v>131.6</v>
      </c>
      <c r="AG86" s="89"/>
      <c r="AH86" s="21">
        <f t="shared" si="22"/>
        <v>134.80000000000001</v>
      </c>
      <c r="AI86" s="20">
        <f t="shared" si="23"/>
        <v>127.6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129.80000000000001</v>
      </c>
      <c r="C87" s="73">
        <v>130.19999999999999</v>
      </c>
      <c r="D87" s="73">
        <v>128.69999999999999</v>
      </c>
      <c r="E87" s="73"/>
      <c r="F87" s="73">
        <v>129.5</v>
      </c>
      <c r="G87" s="73">
        <v>128.4</v>
      </c>
      <c r="H87" s="73">
        <v>127.6</v>
      </c>
      <c r="I87" s="73">
        <v>128.30000000000001</v>
      </c>
      <c r="J87" s="73">
        <v>125.4</v>
      </c>
      <c r="K87" s="73">
        <v>125.7</v>
      </c>
      <c r="L87" s="73">
        <v>128.19999999999999</v>
      </c>
      <c r="M87" s="73">
        <v>133.30000000000001</v>
      </c>
      <c r="N87" s="73">
        <v>127.4</v>
      </c>
      <c r="O87" s="73">
        <v>126.8</v>
      </c>
      <c r="P87" s="73">
        <v>124.8</v>
      </c>
      <c r="Q87" s="73">
        <v>127.8</v>
      </c>
      <c r="R87" s="73">
        <v>126.8</v>
      </c>
      <c r="S87" s="73">
        <v>125.9</v>
      </c>
      <c r="T87" s="73">
        <v>125.3</v>
      </c>
      <c r="U87" s="73">
        <v>127.6</v>
      </c>
      <c r="V87" s="73">
        <v>128.5</v>
      </c>
      <c r="W87" s="73">
        <v>129</v>
      </c>
      <c r="X87" s="94">
        <v>123.3</v>
      </c>
      <c r="Y87" s="94">
        <v>127.3</v>
      </c>
      <c r="Z87" s="94">
        <v>128.19999999999999</v>
      </c>
      <c r="AA87" s="94">
        <v>128.1</v>
      </c>
      <c r="AB87" s="73">
        <v>125.6</v>
      </c>
      <c r="AC87" s="73">
        <v>125.6</v>
      </c>
      <c r="AD87" s="73">
        <v>125.6</v>
      </c>
      <c r="AE87" s="73">
        <v>127</v>
      </c>
      <c r="AF87" s="73">
        <v>129</v>
      </c>
      <c r="AG87" s="89"/>
      <c r="AH87" s="21">
        <f t="shared" si="22"/>
        <v>133.30000000000001</v>
      </c>
      <c r="AI87" s="20">
        <f t="shared" si="23"/>
        <v>123.3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131.19999999999999</v>
      </c>
      <c r="C88" s="73">
        <v>132.19999999999999</v>
      </c>
      <c r="D88" s="73">
        <v>131</v>
      </c>
      <c r="E88" s="73"/>
      <c r="F88" s="73">
        <v>132</v>
      </c>
      <c r="G88" s="73">
        <v>131.1</v>
      </c>
      <c r="H88" s="73">
        <v>129.5</v>
      </c>
      <c r="I88" s="73">
        <v>133.30000000000001</v>
      </c>
      <c r="J88" s="73">
        <v>130</v>
      </c>
      <c r="K88" s="73">
        <v>129.80000000000001</v>
      </c>
      <c r="L88" s="73">
        <v>130.6</v>
      </c>
      <c r="M88" s="73">
        <v>131.6</v>
      </c>
      <c r="N88" s="73">
        <v>129.19999999999999</v>
      </c>
      <c r="O88" s="73">
        <v>127.7</v>
      </c>
      <c r="P88" s="73">
        <v>124.9</v>
      </c>
      <c r="Q88" s="73">
        <v>128.5</v>
      </c>
      <c r="R88" s="73">
        <v>129.19999999999999</v>
      </c>
      <c r="S88" s="73">
        <v>127.2</v>
      </c>
      <c r="T88" s="73">
        <v>125.2</v>
      </c>
      <c r="U88" s="73">
        <v>126.3</v>
      </c>
      <c r="V88" s="73">
        <v>128.30000000000001</v>
      </c>
      <c r="W88" s="73">
        <v>128.4</v>
      </c>
      <c r="X88" s="94">
        <v>124.6</v>
      </c>
      <c r="Y88" s="94">
        <v>127.6</v>
      </c>
      <c r="Z88" s="94">
        <v>128.9</v>
      </c>
      <c r="AA88" s="94">
        <v>129.6</v>
      </c>
      <c r="AB88" s="73">
        <v>128.30000000000001</v>
      </c>
      <c r="AC88" s="73">
        <v>128.30000000000001</v>
      </c>
      <c r="AD88" s="73">
        <v>128.30000000000001</v>
      </c>
      <c r="AE88" s="73">
        <v>131</v>
      </c>
      <c r="AF88" s="73">
        <v>132.80000000000001</v>
      </c>
      <c r="AG88" s="89"/>
      <c r="AH88" s="21">
        <f t="shared" si="22"/>
        <v>133.30000000000001</v>
      </c>
      <c r="AI88" s="20">
        <f t="shared" si="23"/>
        <v>124.6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132</v>
      </c>
      <c r="C89" s="66">
        <v>131.19999999999999</v>
      </c>
      <c r="D89" s="66">
        <v>131.4</v>
      </c>
      <c r="E89" s="66"/>
      <c r="F89" s="66">
        <v>128.19999999999999</v>
      </c>
      <c r="G89" s="66">
        <v>125.1</v>
      </c>
      <c r="H89" s="66">
        <v>133.5</v>
      </c>
      <c r="I89" s="66">
        <v>136.69999999999999</v>
      </c>
      <c r="J89" s="66">
        <v>135.19999999999999</v>
      </c>
      <c r="K89" s="66">
        <v>134.30000000000001</v>
      </c>
      <c r="L89" s="66">
        <v>132.1</v>
      </c>
      <c r="M89" s="66">
        <v>131.9</v>
      </c>
      <c r="N89" s="66">
        <v>133.5</v>
      </c>
      <c r="O89" s="66">
        <v>133</v>
      </c>
      <c r="P89" s="66">
        <v>136.19999999999999</v>
      </c>
      <c r="Q89" s="66">
        <v>133.4</v>
      </c>
      <c r="R89" s="66">
        <v>132.9</v>
      </c>
      <c r="S89" s="66">
        <v>132.1</v>
      </c>
      <c r="T89" s="66">
        <v>133.5</v>
      </c>
      <c r="U89" s="66">
        <v>132</v>
      </c>
      <c r="V89" s="66">
        <v>135.19999999999999</v>
      </c>
      <c r="W89" s="66">
        <v>134.80000000000001</v>
      </c>
      <c r="X89" s="94">
        <v>131.69999999999999</v>
      </c>
      <c r="Y89" s="94">
        <v>137.4</v>
      </c>
      <c r="Z89" s="94">
        <v>135.30000000000001</v>
      </c>
      <c r="AA89" s="94">
        <v>132.19999999999999</v>
      </c>
      <c r="AB89" s="66">
        <v>134.30000000000001</v>
      </c>
      <c r="AC89" s="66">
        <v>134.30000000000001</v>
      </c>
      <c r="AD89" s="66">
        <v>134.30000000000001</v>
      </c>
      <c r="AE89" s="66">
        <v>135</v>
      </c>
      <c r="AF89" s="66">
        <v>131.4</v>
      </c>
      <c r="AG89" s="91"/>
      <c r="AH89" s="21">
        <f t="shared" si="22"/>
        <v>137.4</v>
      </c>
      <c r="AI89" s="20">
        <f t="shared" si="23"/>
        <v>125.1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136.69999999999999</v>
      </c>
      <c r="C90" s="73">
        <v>133.1</v>
      </c>
      <c r="D90" s="73">
        <v>134.9</v>
      </c>
      <c r="E90" s="73"/>
      <c r="F90" s="73">
        <v>135.5</v>
      </c>
      <c r="G90" s="73">
        <v>136.19999999999999</v>
      </c>
      <c r="H90" s="73">
        <v>1355</v>
      </c>
      <c r="I90" s="73">
        <v>135.1</v>
      </c>
      <c r="J90" s="73">
        <v>132.5</v>
      </c>
      <c r="K90" s="73">
        <v>130.6</v>
      </c>
      <c r="L90" s="73">
        <v>130.80000000000001</v>
      </c>
      <c r="M90" s="73">
        <v>134.19999999999999</v>
      </c>
      <c r="N90" s="73">
        <v>128.30000000000001</v>
      </c>
      <c r="O90" s="73">
        <v>127.7</v>
      </c>
      <c r="P90" s="73">
        <v>132.6</v>
      </c>
      <c r="Q90" s="73">
        <v>133.5</v>
      </c>
      <c r="R90" s="73">
        <v>129.5</v>
      </c>
      <c r="S90" s="73">
        <v>133.19999999999999</v>
      </c>
      <c r="T90" s="73">
        <v>130.6</v>
      </c>
      <c r="U90" s="73">
        <v>131.6</v>
      </c>
      <c r="V90" s="73">
        <v>129.19999999999999</v>
      </c>
      <c r="W90" s="73">
        <v>136.5</v>
      </c>
      <c r="X90" s="94">
        <v>136.19999999999999</v>
      </c>
      <c r="Y90" s="94">
        <v>129.19999999999999</v>
      </c>
      <c r="Z90" s="94">
        <v>130.69999999999999</v>
      </c>
      <c r="AA90" s="94">
        <v>138.19999999999999</v>
      </c>
      <c r="AB90" s="73">
        <v>135.1</v>
      </c>
      <c r="AC90" s="73">
        <v>135.1</v>
      </c>
      <c r="AD90" s="73">
        <v>135.1</v>
      </c>
      <c r="AE90" s="73">
        <v>133.6</v>
      </c>
      <c r="AF90" s="73">
        <v>132.80000000000001</v>
      </c>
      <c r="AG90" s="89"/>
      <c r="AH90" s="21">
        <f t="shared" si="22"/>
        <v>1355</v>
      </c>
      <c r="AI90" s="20">
        <f t="shared" si="23"/>
        <v>127.7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67.8</v>
      </c>
      <c r="C91" s="87">
        <v>67.400000000000006</v>
      </c>
      <c r="D91" s="87">
        <v>67.2</v>
      </c>
      <c r="E91" s="87"/>
      <c r="F91" s="87">
        <v>66.599999999999994</v>
      </c>
      <c r="G91" s="87">
        <v>66.2</v>
      </c>
      <c r="H91" s="87">
        <v>66.400000000000006</v>
      </c>
      <c r="I91" s="87">
        <v>66.2</v>
      </c>
      <c r="J91" s="87">
        <v>65.5</v>
      </c>
      <c r="K91" s="87">
        <v>65.5</v>
      </c>
      <c r="L91" s="87">
        <v>65.2</v>
      </c>
      <c r="M91" s="87">
        <v>65</v>
      </c>
      <c r="N91" s="87">
        <v>65.2</v>
      </c>
      <c r="O91" s="87">
        <v>64.099999999999994</v>
      </c>
      <c r="P91" s="87">
        <v>65.2</v>
      </c>
      <c r="Q91" s="87">
        <v>64.900000000000006</v>
      </c>
      <c r="R91" s="87">
        <v>65</v>
      </c>
      <c r="S91" s="87">
        <v>64.3</v>
      </c>
      <c r="T91" s="87">
        <v>64.599999999999994</v>
      </c>
      <c r="U91" s="87">
        <v>64.099999999999994</v>
      </c>
      <c r="V91" s="87">
        <v>64.5</v>
      </c>
      <c r="W91" s="87">
        <v>65</v>
      </c>
      <c r="X91" s="87">
        <v>65.400000000000006</v>
      </c>
      <c r="Y91" s="87">
        <v>65.099999999999994</v>
      </c>
      <c r="Z91" s="87">
        <v>64.8</v>
      </c>
      <c r="AA91" s="87">
        <v>65.2</v>
      </c>
      <c r="AB91" s="87">
        <v>65.599999999999994</v>
      </c>
      <c r="AC91" s="87">
        <v>65.599999999999994</v>
      </c>
      <c r="AD91" s="87">
        <v>65.599999999999994</v>
      </c>
      <c r="AE91" s="87">
        <v>66.5</v>
      </c>
      <c r="AF91" s="87">
        <v>66.400000000000006</v>
      </c>
      <c r="AG91" s="86"/>
      <c r="AH91" s="21">
        <f t="shared" si="22"/>
        <v>67.8</v>
      </c>
      <c r="AI91" s="20">
        <f t="shared" si="23"/>
        <v>64.099999999999994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6">SUM(B15,B18,B21:B22,B42,B44:B45,B47,B49,B94:B97,B103,B109,B115,B124,B126,B138,B145,B148:B149,B156,B158,B160,B164:B166,B168:B170,B175,B181:B182,B184:B186,B194,B199)</f>
        <v>158.83999999999997</v>
      </c>
      <c r="C93" s="82">
        <f t="shared" ref="C93:AF93" si="37">SUM(C15,C18,C21:C22,C42,C44:C45,C47,C49,C94:C97,C103,C109,C115,C124,C126,C138,C145,C148:C149,C156,C158,C160,C164:C166,C168:C170,C175,C181:C182,C184:C186,C194,C199)</f>
        <v>158.23999999999998</v>
      </c>
      <c r="D93" s="82">
        <f t="shared" si="37"/>
        <v>157.83999999999997</v>
      </c>
      <c r="E93" s="82">
        <f t="shared" si="37"/>
        <v>121.74</v>
      </c>
      <c r="F93" s="82">
        <f t="shared" si="37"/>
        <v>246.83999999999997</v>
      </c>
      <c r="G93" s="80">
        <f t="shared" si="37"/>
        <v>188.14</v>
      </c>
      <c r="H93" s="80">
        <f t="shared" si="37"/>
        <v>211.83999999999997</v>
      </c>
      <c r="I93" s="80">
        <f t="shared" si="37"/>
        <v>265.54000000000002</v>
      </c>
      <c r="J93" s="80">
        <f t="shared" si="37"/>
        <v>299.54000000000002</v>
      </c>
      <c r="K93" s="80">
        <f t="shared" si="37"/>
        <v>314.94000000000005</v>
      </c>
      <c r="L93" s="80">
        <f t="shared" si="37"/>
        <v>329.44000000000005</v>
      </c>
      <c r="M93" s="80">
        <f t="shared" si="37"/>
        <v>328.44000000000005</v>
      </c>
      <c r="N93" s="80">
        <f t="shared" si="37"/>
        <v>306.74000000000007</v>
      </c>
      <c r="O93" s="80">
        <f t="shared" si="37"/>
        <v>302.94000000000005</v>
      </c>
      <c r="P93" s="80">
        <f t="shared" si="37"/>
        <v>289.34000000000003</v>
      </c>
      <c r="Q93" s="80">
        <f t="shared" si="37"/>
        <v>264.34000000000003</v>
      </c>
      <c r="R93" s="80">
        <f t="shared" si="37"/>
        <v>254.34000000000003</v>
      </c>
      <c r="S93" s="80">
        <f t="shared" si="37"/>
        <v>276.24000000000007</v>
      </c>
      <c r="T93" s="80">
        <f t="shared" si="37"/>
        <v>281.14</v>
      </c>
      <c r="U93" s="80">
        <f t="shared" si="37"/>
        <v>291.04000000000002</v>
      </c>
      <c r="V93" s="80">
        <f t="shared" si="37"/>
        <v>295.14000000000004</v>
      </c>
      <c r="W93" s="80">
        <f t="shared" si="37"/>
        <v>301.54000000000008</v>
      </c>
      <c r="X93" s="80">
        <f t="shared" si="37"/>
        <v>327.74</v>
      </c>
      <c r="Y93" s="80">
        <f t="shared" si="37"/>
        <v>353.14000000000004</v>
      </c>
      <c r="Z93" s="80">
        <f t="shared" si="37"/>
        <v>385.64000000000004</v>
      </c>
      <c r="AA93" s="80">
        <f t="shared" si="37"/>
        <v>368.14</v>
      </c>
      <c r="AB93" s="80">
        <f t="shared" si="37"/>
        <v>338.34000000000003</v>
      </c>
      <c r="AC93" s="80">
        <f t="shared" si="37"/>
        <v>305.04000000000008</v>
      </c>
      <c r="AD93" s="80">
        <f t="shared" si="37"/>
        <v>266.04000000000002</v>
      </c>
      <c r="AE93" s="80">
        <f t="shared" si="37"/>
        <v>219.54</v>
      </c>
      <c r="AF93" s="80">
        <f t="shared" si="37"/>
        <v>197.54</v>
      </c>
      <c r="AG93" s="79"/>
      <c r="AH93" s="21">
        <f>MAX(C93:AF93)</f>
        <v>385.64000000000004</v>
      </c>
      <c r="AI93" s="20">
        <f>MIN(C93:AF93)</f>
        <v>121.74</v>
      </c>
    </row>
    <row r="94" spans="1:88" x14ac:dyDescent="0.25">
      <c r="A94" s="48" t="s">
        <v>122</v>
      </c>
      <c r="B94" s="75">
        <v>-6.9</v>
      </c>
      <c r="C94" s="77">
        <v>-25.3</v>
      </c>
      <c r="D94" s="77">
        <v>-31.6</v>
      </c>
      <c r="E94" s="77"/>
      <c r="F94" s="77">
        <v>47.2</v>
      </c>
      <c r="G94" s="76">
        <v>-34.700000000000003</v>
      </c>
      <c r="H94" s="76">
        <v>-10.3</v>
      </c>
      <c r="I94" s="76">
        <v>5.7</v>
      </c>
      <c r="J94" s="76">
        <v>24.7</v>
      </c>
      <c r="K94" s="76">
        <v>27.6</v>
      </c>
      <c r="L94" s="76">
        <v>31.4</v>
      </c>
      <c r="M94" s="75">
        <v>22.4</v>
      </c>
      <c r="N94" s="75">
        <v>24.8</v>
      </c>
      <c r="O94" s="76">
        <v>8.6</v>
      </c>
      <c r="P94" s="76">
        <v>17.600000000000001</v>
      </c>
      <c r="Q94" s="76">
        <v>6</v>
      </c>
      <c r="R94" s="76">
        <v>11.9</v>
      </c>
      <c r="S94" s="76">
        <v>25.9</v>
      </c>
      <c r="T94" s="76">
        <v>18.5</v>
      </c>
      <c r="U94" s="75">
        <v>23.1</v>
      </c>
      <c r="V94" s="75">
        <v>33</v>
      </c>
      <c r="W94" s="75">
        <v>22.3</v>
      </c>
      <c r="X94" s="76">
        <v>33.5</v>
      </c>
      <c r="Y94" s="76">
        <v>51</v>
      </c>
      <c r="Z94" s="76">
        <v>41.8</v>
      </c>
      <c r="AA94" s="76">
        <v>46.1</v>
      </c>
      <c r="AB94" s="75">
        <v>38.1</v>
      </c>
      <c r="AC94" s="75">
        <v>30</v>
      </c>
      <c r="AD94" s="75">
        <v>12</v>
      </c>
      <c r="AE94" s="75">
        <v>7</v>
      </c>
      <c r="AF94" s="75">
        <v>0</v>
      </c>
      <c r="AG94" s="3">
        <v>75</v>
      </c>
      <c r="AH94" s="21">
        <f t="shared" ref="AH94:AH100" si="38">IF(ABS(MAX(C94:AF94))&gt;ABS(MIN(C94:AF94)),MAX(C94:AF94),MIN(C94:AF94))</f>
        <v>51</v>
      </c>
      <c r="AI94" s="64">
        <f t="shared" ref="AI94:AI100" si="39">INDEX($C$9:$AF$9,1,MATCH(AH94,C94:AF94,0))</f>
        <v>0.77083333333333337</v>
      </c>
    </row>
    <row r="95" spans="1:88" x14ac:dyDescent="0.25">
      <c r="A95" s="45" t="s">
        <v>121</v>
      </c>
      <c r="B95" s="73">
        <v>0</v>
      </c>
      <c r="C95" s="67">
        <v>0</v>
      </c>
      <c r="D95" s="67">
        <v>0</v>
      </c>
      <c r="E95" s="67"/>
      <c r="F95" s="67">
        <v>0</v>
      </c>
      <c r="G95" s="67">
        <v>0</v>
      </c>
      <c r="H95" s="67">
        <v>0</v>
      </c>
      <c r="I95" s="67">
        <v>0</v>
      </c>
      <c r="J95" s="67">
        <v>0</v>
      </c>
      <c r="K95" s="67">
        <v>0</v>
      </c>
      <c r="L95" s="67">
        <v>0</v>
      </c>
      <c r="M95" s="67">
        <v>0</v>
      </c>
      <c r="N95" s="67">
        <v>0</v>
      </c>
      <c r="O95" s="67">
        <v>0</v>
      </c>
      <c r="P95" s="67">
        <v>0</v>
      </c>
      <c r="Q95" s="67">
        <v>0</v>
      </c>
      <c r="R95" s="67">
        <v>0</v>
      </c>
      <c r="S95" s="67">
        <v>0</v>
      </c>
      <c r="T95" s="67">
        <v>0</v>
      </c>
      <c r="U95" s="67">
        <v>0</v>
      </c>
      <c r="V95" s="67">
        <v>0</v>
      </c>
      <c r="W95" s="67">
        <v>0</v>
      </c>
      <c r="X95" s="67">
        <v>1.3</v>
      </c>
      <c r="Y95" s="67">
        <v>0</v>
      </c>
      <c r="Z95" s="67">
        <v>22.4</v>
      </c>
      <c r="AA95" s="67">
        <v>11.1</v>
      </c>
      <c r="AB95" s="73">
        <v>6.2</v>
      </c>
      <c r="AC95" s="73">
        <v>-10</v>
      </c>
      <c r="AD95" s="73">
        <v>-20</v>
      </c>
      <c r="AE95" s="73">
        <v>-34</v>
      </c>
      <c r="AF95" s="73">
        <v>-39</v>
      </c>
      <c r="AG95" s="3">
        <v>240</v>
      </c>
      <c r="AH95" s="21">
        <f t="shared" si="38"/>
        <v>-39</v>
      </c>
      <c r="AI95" s="64">
        <f t="shared" si="39"/>
        <v>0.95833333333333304</v>
      </c>
    </row>
    <row r="96" spans="1:88" x14ac:dyDescent="0.25">
      <c r="A96" s="45" t="s">
        <v>120</v>
      </c>
      <c r="B96" s="73">
        <v>-7.3</v>
      </c>
      <c r="C96" s="67">
        <v>-11.2</v>
      </c>
      <c r="D96" s="67">
        <v>-18.899999999999999</v>
      </c>
      <c r="E96" s="67"/>
      <c r="F96" s="67">
        <v>-36.299999999999997</v>
      </c>
      <c r="G96" s="67">
        <v>-27.3</v>
      </c>
      <c r="H96" s="67">
        <v>-17.5</v>
      </c>
      <c r="I96" s="67">
        <v>20.3</v>
      </c>
      <c r="J96" s="67">
        <v>38.299999999999997</v>
      </c>
      <c r="K96" s="67">
        <v>42.5</v>
      </c>
      <c r="L96" s="67">
        <v>43.6</v>
      </c>
      <c r="M96" s="67">
        <v>48</v>
      </c>
      <c r="N96" s="67">
        <v>37.9</v>
      </c>
      <c r="O96" s="67">
        <v>18</v>
      </c>
      <c r="P96" s="67">
        <v>18.399999999999999</v>
      </c>
      <c r="Q96" s="67">
        <v>-1</v>
      </c>
      <c r="R96" s="67">
        <v>-5.7</v>
      </c>
      <c r="S96" s="67">
        <v>2.1</v>
      </c>
      <c r="T96" s="67">
        <v>4.5999999999999996</v>
      </c>
      <c r="U96" s="67">
        <v>6.8</v>
      </c>
      <c r="V96" s="67">
        <v>9.5</v>
      </c>
      <c r="W96" s="67">
        <v>21.9</v>
      </c>
      <c r="X96" s="67">
        <v>46.8</v>
      </c>
      <c r="Y96" s="67">
        <v>49.4</v>
      </c>
      <c r="Z96" s="67">
        <v>56.4</v>
      </c>
      <c r="AA96" s="67">
        <v>51.8</v>
      </c>
      <c r="AB96" s="73">
        <v>47.7</v>
      </c>
      <c r="AC96" s="73">
        <v>40</v>
      </c>
      <c r="AD96" s="73">
        <v>30</v>
      </c>
      <c r="AE96" s="73">
        <v>18</v>
      </c>
      <c r="AF96" s="73">
        <v>16</v>
      </c>
      <c r="AG96" s="3">
        <v>60</v>
      </c>
      <c r="AH96" s="21">
        <f t="shared" si="38"/>
        <v>56.4</v>
      </c>
      <c r="AI96" s="64">
        <f t="shared" si="39"/>
        <v>0.79166666666666663</v>
      </c>
    </row>
    <row r="97" spans="1:37" x14ac:dyDescent="0.25">
      <c r="A97" s="41" t="s">
        <v>119</v>
      </c>
      <c r="B97" s="69">
        <v>-12</v>
      </c>
      <c r="C97" s="70">
        <v>11.9</v>
      </c>
      <c r="D97" s="70">
        <v>25.6</v>
      </c>
      <c r="E97" s="70"/>
      <c r="F97" s="70">
        <v>52</v>
      </c>
      <c r="G97" s="70">
        <v>67.099999999999994</v>
      </c>
      <c r="H97" s="70">
        <v>57.7</v>
      </c>
      <c r="I97" s="70">
        <v>57.7</v>
      </c>
      <c r="J97" s="70">
        <v>54.9</v>
      </c>
      <c r="K97" s="70">
        <v>65</v>
      </c>
      <c r="L97" s="70">
        <v>75.2</v>
      </c>
      <c r="M97" s="70">
        <v>78.8</v>
      </c>
      <c r="N97" s="70">
        <v>64.8</v>
      </c>
      <c r="O97" s="70">
        <v>97.1</v>
      </c>
      <c r="P97" s="70">
        <v>74.3</v>
      </c>
      <c r="Q97" s="70">
        <v>80.3</v>
      </c>
      <c r="R97" s="70">
        <v>73.2</v>
      </c>
      <c r="S97" s="70">
        <v>75.2</v>
      </c>
      <c r="T97" s="70">
        <v>81.7</v>
      </c>
      <c r="U97" s="70">
        <v>84.8</v>
      </c>
      <c r="V97" s="70">
        <v>77.400000000000006</v>
      </c>
      <c r="W97" s="70">
        <v>83.1</v>
      </c>
      <c r="X97" s="70">
        <v>75.400000000000006</v>
      </c>
      <c r="Y97" s="70">
        <v>82</v>
      </c>
      <c r="Z97" s="70">
        <v>92</v>
      </c>
      <c r="AA97" s="70">
        <v>86.1</v>
      </c>
      <c r="AB97" s="69">
        <v>73.3</v>
      </c>
      <c r="AC97" s="69">
        <v>72</v>
      </c>
      <c r="AD97" s="69">
        <v>71</v>
      </c>
      <c r="AE97" s="69">
        <v>55</v>
      </c>
      <c r="AF97" s="69">
        <v>47</v>
      </c>
      <c r="AG97" s="72">
        <v>120</v>
      </c>
      <c r="AH97" s="21">
        <f t="shared" si="38"/>
        <v>97.1</v>
      </c>
      <c r="AI97" s="64">
        <f t="shared" si="39"/>
        <v>0.41666666666666702</v>
      </c>
    </row>
    <row r="98" spans="1:37" x14ac:dyDescent="0.25">
      <c r="A98" s="41" t="s">
        <v>118</v>
      </c>
      <c r="B98" s="69">
        <v>15.3</v>
      </c>
      <c r="C98" s="70">
        <v>47.6</v>
      </c>
      <c r="D98" s="70">
        <v>61.9</v>
      </c>
      <c r="E98" s="70"/>
      <c r="F98" s="70">
        <v>94.1</v>
      </c>
      <c r="G98" s="70">
        <v>100.4</v>
      </c>
      <c r="H98" s="70">
        <v>57.4</v>
      </c>
      <c r="I98" s="70">
        <v>57.4</v>
      </c>
      <c r="J98" s="70">
        <v>54.9</v>
      </c>
      <c r="K98" s="70">
        <v>37.200000000000003</v>
      </c>
      <c r="L98" s="70">
        <v>41.7</v>
      </c>
      <c r="M98" s="70">
        <v>51.1</v>
      </c>
      <c r="N98" s="70">
        <v>51.2</v>
      </c>
      <c r="O98" s="70">
        <v>87.4</v>
      </c>
      <c r="P98" s="70">
        <v>71.900000000000006</v>
      </c>
      <c r="Q98" s="70">
        <v>85.9</v>
      </c>
      <c r="R98" s="70">
        <v>80.5</v>
      </c>
      <c r="S98" s="70">
        <v>76.900000000000006</v>
      </c>
      <c r="T98" s="70">
        <v>82.9</v>
      </c>
      <c r="U98" s="70">
        <v>84.4</v>
      </c>
      <c r="V98" s="70">
        <v>74.400000000000006</v>
      </c>
      <c r="W98" s="70">
        <v>74.2</v>
      </c>
      <c r="X98" s="70">
        <v>63.4</v>
      </c>
      <c r="Y98" s="70">
        <v>58</v>
      </c>
      <c r="Z98" s="70">
        <v>80</v>
      </c>
      <c r="AA98" s="70">
        <v>51.6</v>
      </c>
      <c r="AB98" s="69">
        <v>66.099999999999994</v>
      </c>
      <c r="AC98" s="69">
        <v>70</v>
      </c>
      <c r="AD98" s="69">
        <v>77</v>
      </c>
      <c r="AE98" s="69">
        <v>64</v>
      </c>
      <c r="AF98" s="69">
        <v>64</v>
      </c>
      <c r="AG98" s="72"/>
      <c r="AH98" s="21">
        <f t="shared" si="38"/>
        <v>100.4</v>
      </c>
      <c r="AI98" s="64">
        <f t="shared" si="39"/>
        <v>0.20833333333333301</v>
      </c>
    </row>
    <row r="99" spans="1:37" x14ac:dyDescent="0.25">
      <c r="A99" s="41" t="s">
        <v>117</v>
      </c>
      <c r="B99" s="69">
        <v>72.099999999999994</v>
      </c>
      <c r="C99" s="70">
        <v>73.5</v>
      </c>
      <c r="D99" s="70">
        <v>78.2</v>
      </c>
      <c r="E99" s="70"/>
      <c r="F99" s="70">
        <v>71.099999999999994</v>
      </c>
      <c r="G99" s="70">
        <v>66.099999999999994</v>
      </c>
      <c r="H99" s="70">
        <v>63.7</v>
      </c>
      <c r="I99" s="70">
        <v>50.2</v>
      </c>
      <c r="J99" s="70">
        <v>41.3</v>
      </c>
      <c r="K99" s="70">
        <v>36.4</v>
      </c>
      <c r="L99" s="70">
        <v>33</v>
      </c>
      <c r="M99" s="70">
        <v>44.3</v>
      </c>
      <c r="N99" s="70">
        <v>37.6</v>
      </c>
      <c r="O99" s="70">
        <v>55.9</v>
      </c>
      <c r="P99" s="70">
        <v>43.9</v>
      </c>
      <c r="Q99" s="70">
        <v>50.1</v>
      </c>
      <c r="R99" s="70">
        <v>44.3</v>
      </c>
      <c r="S99" s="70">
        <v>42.5</v>
      </c>
      <c r="T99" s="70">
        <v>42.5</v>
      </c>
      <c r="U99" s="70">
        <v>42.7</v>
      </c>
      <c r="V99" s="70">
        <v>38.799999999999997</v>
      </c>
      <c r="W99" s="70">
        <v>39.5</v>
      </c>
      <c r="X99" s="70">
        <v>53.7</v>
      </c>
      <c r="Y99" s="70">
        <v>23.4</v>
      </c>
      <c r="Z99" s="70">
        <v>38.5</v>
      </c>
      <c r="AA99" s="70">
        <v>34.1</v>
      </c>
      <c r="AB99" s="69">
        <v>50</v>
      </c>
      <c r="AC99" s="69">
        <v>60</v>
      </c>
      <c r="AD99" s="69">
        <v>65</v>
      </c>
      <c r="AE99" s="69">
        <v>66</v>
      </c>
      <c r="AF99" s="69">
        <v>102</v>
      </c>
      <c r="AG99" s="65"/>
      <c r="AH99" s="21">
        <f t="shared" si="38"/>
        <v>102</v>
      </c>
      <c r="AI99" s="64">
        <f t="shared" si="39"/>
        <v>0.95833333333333304</v>
      </c>
    </row>
    <row r="100" spans="1:37" ht="15.75" thickBot="1" x14ac:dyDescent="0.3">
      <c r="A100" s="68" t="s">
        <v>116</v>
      </c>
      <c r="B100" s="66">
        <v>58.7</v>
      </c>
      <c r="C100" s="67">
        <v>66.900000000000006</v>
      </c>
      <c r="D100" s="67">
        <v>70</v>
      </c>
      <c r="E100" s="67"/>
      <c r="F100" s="67">
        <v>62.7</v>
      </c>
      <c r="G100" s="67">
        <v>69.400000000000006</v>
      </c>
      <c r="H100" s="67">
        <v>74</v>
      </c>
      <c r="I100" s="67">
        <v>79.3</v>
      </c>
      <c r="J100" s="67">
        <v>81.900000000000006</v>
      </c>
      <c r="K100" s="67">
        <v>84.5</v>
      </c>
      <c r="L100" s="67">
        <v>90.2</v>
      </c>
      <c r="M100" s="67">
        <v>54.4</v>
      </c>
      <c r="N100" s="67">
        <v>9.9</v>
      </c>
      <c r="O100" s="67">
        <v>8.6999999999999993</v>
      </c>
      <c r="P100" s="67">
        <v>9.9</v>
      </c>
      <c r="Q100" s="67">
        <v>10.9</v>
      </c>
      <c r="R100" s="67">
        <v>9.1999999999999993</v>
      </c>
      <c r="S100" s="67">
        <v>10.5</v>
      </c>
      <c r="T100" s="67">
        <v>9.6999999999999993</v>
      </c>
      <c r="U100" s="67">
        <v>10</v>
      </c>
      <c r="V100" s="67">
        <v>10.8</v>
      </c>
      <c r="W100" s="67">
        <v>19.2</v>
      </c>
      <c r="X100" s="67">
        <v>100.2</v>
      </c>
      <c r="Y100" s="67">
        <v>111</v>
      </c>
      <c r="Z100" s="67">
        <v>108</v>
      </c>
      <c r="AA100" s="67">
        <v>98</v>
      </c>
      <c r="AB100" s="66">
        <v>110</v>
      </c>
      <c r="AC100" s="66">
        <v>110</v>
      </c>
      <c r="AD100" s="66">
        <v>111</v>
      </c>
      <c r="AE100" s="66">
        <v>110</v>
      </c>
      <c r="AF100" s="66">
        <v>103</v>
      </c>
      <c r="AG100" s="65"/>
      <c r="AH100" s="21">
        <f t="shared" si="38"/>
        <v>111</v>
      </c>
      <c r="AI100" s="64">
        <f t="shared" si="39"/>
        <v>0.77083333333333337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0">AF102</f>
        <v>9.9</v>
      </c>
      <c r="C102" s="54">
        <v>9.9</v>
      </c>
      <c r="D102" s="58">
        <f t="shared" ref="D102:S107" si="41">C102</f>
        <v>9.9</v>
      </c>
      <c r="E102" s="58">
        <f t="shared" si="41"/>
        <v>9.9</v>
      </c>
      <c r="F102" s="58">
        <f t="shared" si="41"/>
        <v>9.9</v>
      </c>
      <c r="G102" s="58">
        <f t="shared" si="41"/>
        <v>9.9</v>
      </c>
      <c r="H102" s="58">
        <f t="shared" si="41"/>
        <v>9.9</v>
      </c>
      <c r="I102" s="58">
        <f t="shared" si="41"/>
        <v>9.9</v>
      </c>
      <c r="J102" s="58">
        <f t="shared" si="41"/>
        <v>9.9</v>
      </c>
      <c r="K102" s="58">
        <f t="shared" si="41"/>
        <v>9.9</v>
      </c>
      <c r="L102" s="58">
        <f t="shared" si="41"/>
        <v>9.9</v>
      </c>
      <c r="M102" s="58">
        <f t="shared" si="41"/>
        <v>9.9</v>
      </c>
      <c r="N102" s="58">
        <f t="shared" si="41"/>
        <v>9.9</v>
      </c>
      <c r="O102" s="58">
        <f t="shared" si="41"/>
        <v>9.9</v>
      </c>
      <c r="P102" s="58">
        <f t="shared" si="41"/>
        <v>9.9</v>
      </c>
      <c r="Q102" s="58">
        <f t="shared" si="41"/>
        <v>9.9</v>
      </c>
      <c r="R102" s="58">
        <f t="shared" si="41"/>
        <v>9.9</v>
      </c>
      <c r="S102" s="58">
        <f t="shared" si="41"/>
        <v>9.9</v>
      </c>
      <c r="T102" s="58">
        <f t="shared" ref="T102:AF107" si="42">S102</f>
        <v>9.9</v>
      </c>
      <c r="U102" s="58">
        <f t="shared" si="42"/>
        <v>9.9</v>
      </c>
      <c r="V102" s="58">
        <f t="shared" si="42"/>
        <v>9.9</v>
      </c>
      <c r="W102" s="58">
        <f t="shared" si="42"/>
        <v>9.9</v>
      </c>
      <c r="X102" s="58">
        <f t="shared" si="42"/>
        <v>9.9</v>
      </c>
      <c r="Y102" s="58">
        <f t="shared" si="42"/>
        <v>9.9</v>
      </c>
      <c r="Z102" s="58">
        <f t="shared" si="42"/>
        <v>9.9</v>
      </c>
      <c r="AA102" s="58">
        <f t="shared" si="42"/>
        <v>9.9</v>
      </c>
      <c r="AB102" s="58">
        <f t="shared" si="42"/>
        <v>9.9</v>
      </c>
      <c r="AC102" s="58">
        <f t="shared" si="42"/>
        <v>9.9</v>
      </c>
      <c r="AD102" s="58">
        <f t="shared" si="42"/>
        <v>9.9</v>
      </c>
      <c r="AE102" s="58">
        <f t="shared" si="42"/>
        <v>9.9</v>
      </c>
      <c r="AF102" s="58">
        <f t="shared" si="42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0"/>
        <v>9.6</v>
      </c>
      <c r="C103" s="55">
        <v>9.6</v>
      </c>
      <c r="D103" s="44">
        <f t="shared" si="41"/>
        <v>9.6</v>
      </c>
      <c r="E103" s="44">
        <f t="shared" si="41"/>
        <v>9.6</v>
      </c>
      <c r="F103" s="44">
        <f t="shared" si="41"/>
        <v>9.6</v>
      </c>
      <c r="G103" s="44">
        <f t="shared" si="41"/>
        <v>9.6</v>
      </c>
      <c r="H103" s="44">
        <f t="shared" si="41"/>
        <v>9.6</v>
      </c>
      <c r="I103" s="44">
        <f t="shared" si="41"/>
        <v>9.6</v>
      </c>
      <c r="J103" s="44">
        <f t="shared" si="41"/>
        <v>9.6</v>
      </c>
      <c r="K103" s="44">
        <f t="shared" si="41"/>
        <v>9.6</v>
      </c>
      <c r="L103" s="44">
        <f t="shared" si="41"/>
        <v>9.6</v>
      </c>
      <c r="M103" s="44">
        <f t="shared" si="41"/>
        <v>9.6</v>
      </c>
      <c r="N103" s="44">
        <f t="shared" si="41"/>
        <v>9.6</v>
      </c>
      <c r="O103" s="44">
        <f t="shared" si="41"/>
        <v>9.6</v>
      </c>
      <c r="P103" s="44">
        <f t="shared" si="41"/>
        <v>9.6</v>
      </c>
      <c r="Q103" s="44">
        <f t="shared" si="41"/>
        <v>9.6</v>
      </c>
      <c r="R103" s="44">
        <f t="shared" si="41"/>
        <v>9.6</v>
      </c>
      <c r="S103" s="44">
        <f t="shared" si="41"/>
        <v>9.6</v>
      </c>
      <c r="T103" s="44">
        <f t="shared" si="42"/>
        <v>9.6</v>
      </c>
      <c r="U103" s="44">
        <f t="shared" si="42"/>
        <v>9.6</v>
      </c>
      <c r="V103" s="44">
        <f t="shared" si="42"/>
        <v>9.6</v>
      </c>
      <c r="W103" s="44">
        <f t="shared" si="42"/>
        <v>9.6</v>
      </c>
      <c r="X103" s="44">
        <f t="shared" si="42"/>
        <v>9.6</v>
      </c>
      <c r="Y103" s="44">
        <f t="shared" si="42"/>
        <v>9.6</v>
      </c>
      <c r="Z103" s="44">
        <f t="shared" si="42"/>
        <v>9.6</v>
      </c>
      <c r="AA103" s="44">
        <f t="shared" si="42"/>
        <v>9.6</v>
      </c>
      <c r="AB103" s="44">
        <f t="shared" si="42"/>
        <v>9.6</v>
      </c>
      <c r="AC103" s="44">
        <f t="shared" si="42"/>
        <v>9.6</v>
      </c>
      <c r="AD103" s="44">
        <f t="shared" si="42"/>
        <v>9.6</v>
      </c>
      <c r="AE103" s="44">
        <f t="shared" si="42"/>
        <v>9.6</v>
      </c>
      <c r="AF103" s="44">
        <f t="shared" si="42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0"/>
        <v>9.98</v>
      </c>
      <c r="C104" s="55">
        <v>9.98</v>
      </c>
      <c r="D104" s="44">
        <f t="shared" si="41"/>
        <v>9.98</v>
      </c>
      <c r="E104" s="44">
        <f t="shared" si="41"/>
        <v>9.98</v>
      </c>
      <c r="F104" s="44">
        <f t="shared" si="41"/>
        <v>9.98</v>
      </c>
      <c r="G104" s="44">
        <f t="shared" si="41"/>
        <v>9.98</v>
      </c>
      <c r="H104" s="44">
        <f t="shared" si="41"/>
        <v>9.98</v>
      </c>
      <c r="I104" s="44">
        <f t="shared" si="41"/>
        <v>9.98</v>
      </c>
      <c r="J104" s="44">
        <f t="shared" si="41"/>
        <v>9.98</v>
      </c>
      <c r="K104" s="44">
        <f t="shared" si="41"/>
        <v>9.98</v>
      </c>
      <c r="L104" s="44">
        <f t="shared" si="41"/>
        <v>9.98</v>
      </c>
      <c r="M104" s="44">
        <f t="shared" si="41"/>
        <v>9.98</v>
      </c>
      <c r="N104" s="44">
        <f t="shared" si="41"/>
        <v>9.98</v>
      </c>
      <c r="O104" s="44">
        <f t="shared" si="41"/>
        <v>9.98</v>
      </c>
      <c r="P104" s="44">
        <f t="shared" si="41"/>
        <v>9.98</v>
      </c>
      <c r="Q104" s="44">
        <f t="shared" si="41"/>
        <v>9.98</v>
      </c>
      <c r="R104" s="44">
        <f t="shared" si="41"/>
        <v>9.98</v>
      </c>
      <c r="S104" s="44">
        <f t="shared" si="41"/>
        <v>9.98</v>
      </c>
      <c r="T104" s="44">
        <f t="shared" si="42"/>
        <v>9.98</v>
      </c>
      <c r="U104" s="44">
        <f t="shared" si="42"/>
        <v>9.98</v>
      </c>
      <c r="V104" s="44">
        <f t="shared" si="42"/>
        <v>9.98</v>
      </c>
      <c r="W104" s="44">
        <f t="shared" si="42"/>
        <v>9.98</v>
      </c>
      <c r="X104" s="44">
        <f t="shared" si="42"/>
        <v>9.98</v>
      </c>
      <c r="Y104" s="44">
        <f t="shared" si="42"/>
        <v>9.98</v>
      </c>
      <c r="Z104" s="44">
        <f t="shared" si="42"/>
        <v>9.98</v>
      </c>
      <c r="AA104" s="44">
        <f t="shared" si="42"/>
        <v>9.98</v>
      </c>
      <c r="AB104" s="44">
        <f t="shared" si="42"/>
        <v>9.98</v>
      </c>
      <c r="AC104" s="44">
        <f t="shared" si="42"/>
        <v>9.98</v>
      </c>
      <c r="AD104" s="44">
        <f t="shared" si="42"/>
        <v>9.98</v>
      </c>
      <c r="AE104" s="44">
        <f t="shared" si="42"/>
        <v>9.98</v>
      </c>
      <c r="AF104" s="44">
        <f t="shared" si="42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0"/>
        <v>9.1</v>
      </c>
      <c r="C105" s="55">
        <v>9.1</v>
      </c>
      <c r="D105" s="44">
        <f t="shared" si="41"/>
        <v>9.1</v>
      </c>
      <c r="E105" s="44">
        <f t="shared" si="41"/>
        <v>9.1</v>
      </c>
      <c r="F105" s="44">
        <f t="shared" si="41"/>
        <v>9.1</v>
      </c>
      <c r="G105" s="44">
        <f t="shared" si="41"/>
        <v>9.1</v>
      </c>
      <c r="H105" s="44">
        <f t="shared" si="41"/>
        <v>9.1</v>
      </c>
      <c r="I105" s="44">
        <f t="shared" si="41"/>
        <v>9.1</v>
      </c>
      <c r="J105" s="44">
        <f t="shared" si="41"/>
        <v>9.1</v>
      </c>
      <c r="K105" s="44">
        <f t="shared" si="41"/>
        <v>9.1</v>
      </c>
      <c r="L105" s="44">
        <f t="shared" si="41"/>
        <v>9.1</v>
      </c>
      <c r="M105" s="44">
        <f t="shared" si="41"/>
        <v>9.1</v>
      </c>
      <c r="N105" s="44">
        <f t="shared" si="41"/>
        <v>9.1</v>
      </c>
      <c r="O105" s="44">
        <f t="shared" si="41"/>
        <v>9.1</v>
      </c>
      <c r="P105" s="44">
        <f t="shared" si="41"/>
        <v>9.1</v>
      </c>
      <c r="Q105" s="44">
        <f t="shared" si="41"/>
        <v>9.1</v>
      </c>
      <c r="R105" s="44">
        <f t="shared" si="41"/>
        <v>9.1</v>
      </c>
      <c r="S105" s="44">
        <f t="shared" si="41"/>
        <v>9.1</v>
      </c>
      <c r="T105" s="44">
        <f t="shared" si="42"/>
        <v>9.1</v>
      </c>
      <c r="U105" s="44">
        <f t="shared" si="42"/>
        <v>9.1</v>
      </c>
      <c r="V105" s="44">
        <f t="shared" si="42"/>
        <v>9.1</v>
      </c>
      <c r="W105" s="44">
        <f t="shared" si="42"/>
        <v>9.1</v>
      </c>
      <c r="X105" s="44">
        <f t="shared" si="42"/>
        <v>9.1</v>
      </c>
      <c r="Y105" s="44">
        <f t="shared" si="42"/>
        <v>9.1</v>
      </c>
      <c r="Z105" s="44">
        <f t="shared" si="42"/>
        <v>9.1</v>
      </c>
      <c r="AA105" s="44">
        <f t="shared" si="42"/>
        <v>9.1</v>
      </c>
      <c r="AB105" s="44">
        <f t="shared" si="42"/>
        <v>9.1</v>
      </c>
      <c r="AC105" s="44">
        <f t="shared" si="42"/>
        <v>9.1</v>
      </c>
      <c r="AD105" s="44">
        <f t="shared" si="42"/>
        <v>9.1</v>
      </c>
      <c r="AE105" s="44">
        <f t="shared" si="42"/>
        <v>9.1</v>
      </c>
      <c r="AF105" s="44">
        <f t="shared" si="42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0"/>
        <v>9.18</v>
      </c>
      <c r="C106" s="55">
        <v>9.18</v>
      </c>
      <c r="D106" s="44">
        <f t="shared" si="41"/>
        <v>9.18</v>
      </c>
      <c r="E106" s="44">
        <f t="shared" si="41"/>
        <v>9.18</v>
      </c>
      <c r="F106" s="44">
        <f t="shared" si="41"/>
        <v>9.18</v>
      </c>
      <c r="G106" s="44">
        <f t="shared" si="41"/>
        <v>9.18</v>
      </c>
      <c r="H106" s="44">
        <f t="shared" si="41"/>
        <v>9.18</v>
      </c>
      <c r="I106" s="44">
        <f t="shared" si="41"/>
        <v>9.18</v>
      </c>
      <c r="J106" s="44">
        <f t="shared" si="41"/>
        <v>9.18</v>
      </c>
      <c r="K106" s="44">
        <f t="shared" si="41"/>
        <v>9.18</v>
      </c>
      <c r="L106" s="44">
        <f t="shared" si="41"/>
        <v>9.18</v>
      </c>
      <c r="M106" s="44">
        <f t="shared" si="41"/>
        <v>9.18</v>
      </c>
      <c r="N106" s="44">
        <f t="shared" si="41"/>
        <v>9.18</v>
      </c>
      <c r="O106" s="44">
        <f t="shared" si="41"/>
        <v>9.18</v>
      </c>
      <c r="P106" s="44">
        <f t="shared" si="41"/>
        <v>9.18</v>
      </c>
      <c r="Q106" s="44">
        <f t="shared" si="41"/>
        <v>9.18</v>
      </c>
      <c r="R106" s="44">
        <f t="shared" si="41"/>
        <v>9.18</v>
      </c>
      <c r="S106" s="44">
        <f t="shared" si="41"/>
        <v>9.18</v>
      </c>
      <c r="T106" s="44">
        <f t="shared" si="42"/>
        <v>9.18</v>
      </c>
      <c r="U106" s="44">
        <f t="shared" si="42"/>
        <v>9.18</v>
      </c>
      <c r="V106" s="44">
        <f t="shared" si="42"/>
        <v>9.18</v>
      </c>
      <c r="W106" s="44">
        <f t="shared" si="42"/>
        <v>9.18</v>
      </c>
      <c r="X106" s="44">
        <f t="shared" si="42"/>
        <v>9.18</v>
      </c>
      <c r="Y106" s="44">
        <f t="shared" si="42"/>
        <v>9.18</v>
      </c>
      <c r="Z106" s="44">
        <f t="shared" si="42"/>
        <v>9.18</v>
      </c>
      <c r="AA106" s="44">
        <f t="shared" si="42"/>
        <v>9.18</v>
      </c>
      <c r="AB106" s="44">
        <f t="shared" si="42"/>
        <v>9.18</v>
      </c>
      <c r="AC106" s="44">
        <f t="shared" si="42"/>
        <v>9.18</v>
      </c>
      <c r="AD106" s="44">
        <f t="shared" si="42"/>
        <v>9.18</v>
      </c>
      <c r="AE106" s="44">
        <f t="shared" si="42"/>
        <v>9.18</v>
      </c>
      <c r="AF106" s="44">
        <f t="shared" si="42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0"/>
        <v>7</v>
      </c>
      <c r="C107" s="55">
        <v>7</v>
      </c>
      <c r="D107" s="44">
        <f t="shared" si="41"/>
        <v>7</v>
      </c>
      <c r="E107" s="44">
        <f t="shared" si="41"/>
        <v>7</v>
      </c>
      <c r="F107" s="44">
        <f t="shared" si="41"/>
        <v>7</v>
      </c>
      <c r="G107" s="44">
        <f t="shared" si="41"/>
        <v>7</v>
      </c>
      <c r="H107" s="44">
        <f t="shared" si="41"/>
        <v>7</v>
      </c>
      <c r="I107" s="44">
        <f t="shared" si="41"/>
        <v>7</v>
      </c>
      <c r="J107" s="44">
        <f t="shared" si="41"/>
        <v>7</v>
      </c>
      <c r="K107" s="44">
        <f t="shared" si="41"/>
        <v>7</v>
      </c>
      <c r="L107" s="44">
        <f t="shared" si="41"/>
        <v>7</v>
      </c>
      <c r="M107" s="44">
        <f t="shared" si="41"/>
        <v>7</v>
      </c>
      <c r="N107" s="44">
        <f t="shared" si="41"/>
        <v>7</v>
      </c>
      <c r="O107" s="44">
        <f t="shared" si="41"/>
        <v>7</v>
      </c>
      <c r="P107" s="44">
        <f t="shared" si="41"/>
        <v>7</v>
      </c>
      <c r="Q107" s="44">
        <f t="shared" si="41"/>
        <v>7</v>
      </c>
      <c r="R107" s="44">
        <f t="shared" si="41"/>
        <v>7</v>
      </c>
      <c r="S107" s="44">
        <f t="shared" si="41"/>
        <v>7</v>
      </c>
      <c r="T107" s="44">
        <f t="shared" si="42"/>
        <v>7</v>
      </c>
      <c r="U107" s="44">
        <f t="shared" si="42"/>
        <v>7</v>
      </c>
      <c r="V107" s="44">
        <f t="shared" si="42"/>
        <v>7</v>
      </c>
      <c r="W107" s="44">
        <f t="shared" si="42"/>
        <v>7</v>
      </c>
      <c r="X107" s="44">
        <f t="shared" si="42"/>
        <v>7</v>
      </c>
      <c r="Y107" s="44">
        <f t="shared" si="42"/>
        <v>7</v>
      </c>
      <c r="Z107" s="44">
        <f t="shared" si="42"/>
        <v>7</v>
      </c>
      <c r="AA107" s="44">
        <f t="shared" si="42"/>
        <v>7</v>
      </c>
      <c r="AB107" s="44">
        <f t="shared" si="42"/>
        <v>7</v>
      </c>
      <c r="AC107" s="44">
        <f t="shared" si="42"/>
        <v>7</v>
      </c>
      <c r="AD107" s="44">
        <f t="shared" si="42"/>
        <v>7</v>
      </c>
      <c r="AE107" s="44">
        <f t="shared" si="42"/>
        <v>7</v>
      </c>
      <c r="AF107" s="44">
        <f t="shared" si="42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3">C109</f>
        <v>2.25</v>
      </c>
      <c r="E109" s="44">
        <f t="shared" si="43"/>
        <v>2.25</v>
      </c>
      <c r="F109" s="44">
        <f t="shared" si="43"/>
        <v>2.25</v>
      </c>
      <c r="G109" s="44">
        <f t="shared" si="43"/>
        <v>2.25</v>
      </c>
      <c r="H109" s="44">
        <f t="shared" si="43"/>
        <v>2.25</v>
      </c>
      <c r="I109" s="44">
        <f t="shared" si="43"/>
        <v>2.25</v>
      </c>
      <c r="J109" s="44">
        <f t="shared" si="43"/>
        <v>2.25</v>
      </c>
      <c r="K109" s="44">
        <f t="shared" si="43"/>
        <v>2.25</v>
      </c>
      <c r="L109" s="44">
        <f t="shared" si="43"/>
        <v>2.25</v>
      </c>
      <c r="M109" s="44">
        <f t="shared" si="43"/>
        <v>2.25</v>
      </c>
      <c r="N109" s="44">
        <f t="shared" si="43"/>
        <v>2.25</v>
      </c>
      <c r="O109" s="44">
        <f t="shared" si="43"/>
        <v>2.25</v>
      </c>
      <c r="P109" s="44">
        <f t="shared" si="43"/>
        <v>2.25</v>
      </c>
      <c r="Q109" s="44">
        <f t="shared" si="43"/>
        <v>2.25</v>
      </c>
      <c r="R109" s="44">
        <f t="shared" si="43"/>
        <v>2.25</v>
      </c>
      <c r="S109" s="44">
        <f t="shared" si="43"/>
        <v>2.25</v>
      </c>
      <c r="T109" s="44">
        <f t="shared" ref="T109:AF110" si="44">S109</f>
        <v>2.25</v>
      </c>
      <c r="U109" s="44">
        <f t="shared" si="44"/>
        <v>2.25</v>
      </c>
      <c r="V109" s="44">
        <f t="shared" si="44"/>
        <v>2.25</v>
      </c>
      <c r="W109" s="44">
        <f t="shared" si="44"/>
        <v>2.25</v>
      </c>
      <c r="X109" s="44">
        <f t="shared" si="44"/>
        <v>2.25</v>
      </c>
      <c r="Y109" s="44">
        <f t="shared" si="44"/>
        <v>2.25</v>
      </c>
      <c r="Z109" s="44">
        <f t="shared" si="44"/>
        <v>2.25</v>
      </c>
      <c r="AA109" s="44">
        <f t="shared" si="44"/>
        <v>2.25</v>
      </c>
      <c r="AB109" s="44">
        <f t="shared" si="44"/>
        <v>2.25</v>
      </c>
      <c r="AC109" s="44">
        <f t="shared" si="44"/>
        <v>2.25</v>
      </c>
      <c r="AD109" s="44">
        <f t="shared" si="44"/>
        <v>2.25</v>
      </c>
      <c r="AE109" s="44">
        <f t="shared" si="44"/>
        <v>2.25</v>
      </c>
      <c r="AF109" s="44">
        <f t="shared" si="44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3"/>
        <v>1.64</v>
      </c>
      <c r="E110" s="44">
        <f t="shared" si="43"/>
        <v>1.64</v>
      </c>
      <c r="F110" s="44">
        <f t="shared" si="43"/>
        <v>1.64</v>
      </c>
      <c r="G110" s="44">
        <f t="shared" si="43"/>
        <v>1.64</v>
      </c>
      <c r="H110" s="44">
        <f t="shared" si="43"/>
        <v>1.64</v>
      </c>
      <c r="I110" s="44">
        <f t="shared" si="43"/>
        <v>1.64</v>
      </c>
      <c r="J110" s="44">
        <f t="shared" si="43"/>
        <v>1.64</v>
      </c>
      <c r="K110" s="44">
        <f t="shared" si="43"/>
        <v>1.64</v>
      </c>
      <c r="L110" s="44">
        <f t="shared" si="43"/>
        <v>1.64</v>
      </c>
      <c r="M110" s="44">
        <f t="shared" si="43"/>
        <v>1.64</v>
      </c>
      <c r="N110" s="44">
        <f t="shared" si="43"/>
        <v>1.64</v>
      </c>
      <c r="O110" s="44">
        <f t="shared" si="43"/>
        <v>1.64</v>
      </c>
      <c r="P110" s="44">
        <f t="shared" si="43"/>
        <v>1.64</v>
      </c>
      <c r="Q110" s="44">
        <f t="shared" si="43"/>
        <v>1.64</v>
      </c>
      <c r="R110" s="44">
        <f t="shared" si="43"/>
        <v>1.64</v>
      </c>
      <c r="S110" s="44">
        <f t="shared" si="43"/>
        <v>1.64</v>
      </c>
      <c r="T110" s="44">
        <f t="shared" si="44"/>
        <v>1.64</v>
      </c>
      <c r="U110" s="44">
        <f t="shared" si="44"/>
        <v>1.64</v>
      </c>
      <c r="V110" s="44">
        <f t="shared" si="44"/>
        <v>1.64</v>
      </c>
      <c r="W110" s="44">
        <f t="shared" si="44"/>
        <v>1.64</v>
      </c>
      <c r="X110" s="44">
        <f t="shared" si="44"/>
        <v>1.64</v>
      </c>
      <c r="Y110" s="44">
        <f t="shared" si="44"/>
        <v>1.64</v>
      </c>
      <c r="Z110" s="44">
        <f t="shared" si="44"/>
        <v>1.64</v>
      </c>
      <c r="AA110" s="44">
        <f t="shared" si="44"/>
        <v>1.64</v>
      </c>
      <c r="AB110" s="44">
        <f t="shared" si="44"/>
        <v>1.64</v>
      </c>
      <c r="AC110" s="44">
        <f t="shared" si="44"/>
        <v>1.64</v>
      </c>
      <c r="AD110" s="44">
        <f t="shared" si="44"/>
        <v>1.64</v>
      </c>
      <c r="AE110" s="44">
        <f t="shared" si="44"/>
        <v>1.64</v>
      </c>
      <c r="AF110" s="44">
        <f t="shared" si="44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5">AF112</f>
        <v>1.62</v>
      </c>
      <c r="C112" s="55">
        <v>1.62</v>
      </c>
      <c r="D112" s="44">
        <f t="shared" ref="D112:S119" si="46">C112</f>
        <v>1.62</v>
      </c>
      <c r="E112" s="44">
        <f t="shared" si="46"/>
        <v>1.62</v>
      </c>
      <c r="F112" s="44">
        <f t="shared" si="46"/>
        <v>1.62</v>
      </c>
      <c r="G112" s="44">
        <f t="shared" si="46"/>
        <v>1.62</v>
      </c>
      <c r="H112" s="44">
        <f t="shared" si="46"/>
        <v>1.62</v>
      </c>
      <c r="I112" s="44">
        <f t="shared" si="46"/>
        <v>1.62</v>
      </c>
      <c r="J112" s="44">
        <f t="shared" si="46"/>
        <v>1.62</v>
      </c>
      <c r="K112" s="44">
        <f t="shared" si="46"/>
        <v>1.62</v>
      </c>
      <c r="L112" s="44">
        <f t="shared" si="46"/>
        <v>1.62</v>
      </c>
      <c r="M112" s="44">
        <f t="shared" si="46"/>
        <v>1.62</v>
      </c>
      <c r="N112" s="44">
        <f t="shared" si="46"/>
        <v>1.62</v>
      </c>
      <c r="O112" s="44">
        <f t="shared" si="46"/>
        <v>1.62</v>
      </c>
      <c r="P112" s="44">
        <f t="shared" si="46"/>
        <v>1.62</v>
      </c>
      <c r="Q112" s="44">
        <f t="shared" si="46"/>
        <v>1.62</v>
      </c>
      <c r="R112" s="44">
        <f t="shared" si="46"/>
        <v>1.62</v>
      </c>
      <c r="S112" s="44">
        <f t="shared" si="46"/>
        <v>1.62</v>
      </c>
      <c r="T112" s="44">
        <f t="shared" ref="T112:AF127" si="47">S112</f>
        <v>1.62</v>
      </c>
      <c r="U112" s="44">
        <f t="shared" si="47"/>
        <v>1.62</v>
      </c>
      <c r="V112" s="44">
        <f t="shared" si="47"/>
        <v>1.62</v>
      </c>
      <c r="W112" s="44">
        <f t="shared" si="47"/>
        <v>1.62</v>
      </c>
      <c r="X112" s="44">
        <f t="shared" si="47"/>
        <v>1.62</v>
      </c>
      <c r="Y112" s="44">
        <f t="shared" si="47"/>
        <v>1.62</v>
      </c>
      <c r="Z112" s="44">
        <f t="shared" si="47"/>
        <v>1.62</v>
      </c>
      <c r="AA112" s="44">
        <f t="shared" si="47"/>
        <v>1.62</v>
      </c>
      <c r="AB112" s="44">
        <f t="shared" si="47"/>
        <v>1.62</v>
      </c>
      <c r="AC112" s="44">
        <f t="shared" si="47"/>
        <v>1.62</v>
      </c>
      <c r="AD112" s="44">
        <f t="shared" si="47"/>
        <v>1.62</v>
      </c>
      <c r="AE112" s="44">
        <f t="shared" si="47"/>
        <v>1.62</v>
      </c>
      <c r="AF112" s="44">
        <f t="shared" si="47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5"/>
        <v>8.36</v>
      </c>
      <c r="C113" s="55">
        <v>8.36</v>
      </c>
      <c r="D113" s="44">
        <f t="shared" si="46"/>
        <v>8.36</v>
      </c>
      <c r="E113" s="44">
        <f t="shared" si="46"/>
        <v>8.36</v>
      </c>
      <c r="F113" s="44">
        <f t="shared" si="46"/>
        <v>8.36</v>
      </c>
      <c r="G113" s="44">
        <f t="shared" si="46"/>
        <v>8.36</v>
      </c>
      <c r="H113" s="44">
        <f t="shared" si="46"/>
        <v>8.36</v>
      </c>
      <c r="I113" s="44">
        <f t="shared" si="46"/>
        <v>8.36</v>
      </c>
      <c r="J113" s="44">
        <f t="shared" si="46"/>
        <v>8.36</v>
      </c>
      <c r="K113" s="44">
        <f t="shared" si="46"/>
        <v>8.36</v>
      </c>
      <c r="L113" s="44">
        <f t="shared" si="46"/>
        <v>8.36</v>
      </c>
      <c r="M113" s="44">
        <f t="shared" si="46"/>
        <v>8.36</v>
      </c>
      <c r="N113" s="44">
        <f t="shared" si="46"/>
        <v>8.36</v>
      </c>
      <c r="O113" s="44">
        <f t="shared" si="46"/>
        <v>8.36</v>
      </c>
      <c r="P113" s="44">
        <f t="shared" si="46"/>
        <v>8.36</v>
      </c>
      <c r="Q113" s="44">
        <f t="shared" si="46"/>
        <v>8.36</v>
      </c>
      <c r="R113" s="44">
        <f t="shared" si="46"/>
        <v>8.36</v>
      </c>
      <c r="S113" s="44">
        <f t="shared" si="46"/>
        <v>8.36</v>
      </c>
      <c r="T113" s="44">
        <f t="shared" si="47"/>
        <v>8.36</v>
      </c>
      <c r="U113" s="44">
        <f t="shared" si="47"/>
        <v>8.36</v>
      </c>
      <c r="V113" s="44">
        <f t="shared" si="47"/>
        <v>8.36</v>
      </c>
      <c r="W113" s="44">
        <f t="shared" si="47"/>
        <v>8.36</v>
      </c>
      <c r="X113" s="44">
        <f t="shared" si="47"/>
        <v>8.36</v>
      </c>
      <c r="Y113" s="44">
        <f t="shared" si="47"/>
        <v>8.36</v>
      </c>
      <c r="Z113" s="44">
        <f t="shared" si="47"/>
        <v>8.36</v>
      </c>
      <c r="AA113" s="44">
        <f t="shared" si="47"/>
        <v>8.36</v>
      </c>
      <c r="AB113" s="44">
        <f t="shared" si="47"/>
        <v>8.36</v>
      </c>
      <c r="AC113" s="44">
        <f t="shared" si="47"/>
        <v>8.36</v>
      </c>
      <c r="AD113" s="44">
        <f t="shared" si="47"/>
        <v>8.36</v>
      </c>
      <c r="AE113" s="44">
        <f t="shared" si="47"/>
        <v>8.36</v>
      </c>
      <c r="AF113" s="44">
        <f t="shared" si="47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5"/>
        <v>5.4</v>
      </c>
      <c r="C114" s="55">
        <v>8</v>
      </c>
      <c r="D114" s="44">
        <f t="shared" si="46"/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si="46"/>
        <v>5.4</v>
      </c>
      <c r="L114" s="44">
        <f t="shared" si="46"/>
        <v>5.4</v>
      </c>
      <c r="M114" s="44">
        <f t="shared" si="46"/>
        <v>5.4</v>
      </c>
      <c r="N114" s="44">
        <f t="shared" si="46"/>
        <v>5.4</v>
      </c>
      <c r="O114" s="44">
        <f t="shared" si="46"/>
        <v>5.4</v>
      </c>
      <c r="P114" s="44">
        <f t="shared" si="46"/>
        <v>5.4</v>
      </c>
      <c r="Q114" s="44">
        <f t="shared" si="46"/>
        <v>5.4</v>
      </c>
      <c r="R114" s="44">
        <f t="shared" si="46"/>
        <v>5.4</v>
      </c>
      <c r="S114" s="44">
        <f t="shared" si="46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5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si="46"/>
        <v>6.57</v>
      </c>
      <c r="K115" s="44">
        <f t="shared" si="46"/>
        <v>6.57</v>
      </c>
      <c r="L115" s="44">
        <f t="shared" si="46"/>
        <v>6.57</v>
      </c>
      <c r="M115" s="44">
        <f t="shared" si="46"/>
        <v>6.57</v>
      </c>
      <c r="N115" s="44">
        <f t="shared" si="46"/>
        <v>6.57</v>
      </c>
      <c r="O115" s="44">
        <f t="shared" si="46"/>
        <v>6.57</v>
      </c>
      <c r="P115" s="44">
        <f t="shared" si="46"/>
        <v>6.57</v>
      </c>
      <c r="Q115" s="44">
        <f t="shared" si="46"/>
        <v>6.57</v>
      </c>
      <c r="R115" s="44">
        <f t="shared" si="46"/>
        <v>6.57</v>
      </c>
      <c r="S115" s="44">
        <f t="shared" si="46"/>
        <v>6.57</v>
      </c>
      <c r="T115" s="44">
        <f t="shared" si="47"/>
        <v>6.57</v>
      </c>
      <c r="U115" s="44">
        <f t="shared" si="47"/>
        <v>6.57</v>
      </c>
      <c r="V115" s="44">
        <f t="shared" si="47"/>
        <v>6.57</v>
      </c>
      <c r="W115" s="44">
        <f t="shared" si="47"/>
        <v>6.57</v>
      </c>
      <c r="X115" s="44">
        <f t="shared" si="47"/>
        <v>6.57</v>
      </c>
      <c r="Y115" s="44">
        <f t="shared" si="47"/>
        <v>6.57</v>
      </c>
      <c r="Z115" s="44">
        <f t="shared" si="47"/>
        <v>6.57</v>
      </c>
      <c r="AA115" s="44">
        <f t="shared" si="47"/>
        <v>6.57</v>
      </c>
      <c r="AB115" s="44">
        <f t="shared" si="47"/>
        <v>6.57</v>
      </c>
      <c r="AC115" s="44">
        <f t="shared" si="47"/>
        <v>6.57</v>
      </c>
      <c r="AD115" s="44">
        <f t="shared" si="47"/>
        <v>6.57</v>
      </c>
      <c r="AE115" s="44">
        <f t="shared" si="47"/>
        <v>6.57</v>
      </c>
      <c r="AF115" s="44">
        <f t="shared" si="47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5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6"/>
        <v>3.43</v>
      </c>
      <c r="K116" s="44">
        <f t="shared" si="46"/>
        <v>3.43</v>
      </c>
      <c r="L116" s="44">
        <f t="shared" si="46"/>
        <v>3.43</v>
      </c>
      <c r="M116" s="44">
        <f t="shared" si="46"/>
        <v>3.43</v>
      </c>
      <c r="N116" s="44">
        <f t="shared" si="46"/>
        <v>3.43</v>
      </c>
      <c r="O116" s="44">
        <f t="shared" si="46"/>
        <v>3.43</v>
      </c>
      <c r="P116" s="44">
        <f t="shared" si="46"/>
        <v>3.43</v>
      </c>
      <c r="Q116" s="44">
        <f t="shared" si="46"/>
        <v>3.43</v>
      </c>
      <c r="R116" s="44">
        <f t="shared" si="46"/>
        <v>3.43</v>
      </c>
      <c r="S116" s="44">
        <f t="shared" si="46"/>
        <v>3.43</v>
      </c>
      <c r="T116" s="44">
        <f t="shared" si="47"/>
        <v>3.43</v>
      </c>
      <c r="U116" s="44">
        <f t="shared" si="47"/>
        <v>3.43</v>
      </c>
      <c r="V116" s="44">
        <f t="shared" si="47"/>
        <v>3.43</v>
      </c>
      <c r="W116" s="44">
        <f t="shared" si="47"/>
        <v>3.43</v>
      </c>
      <c r="X116" s="44">
        <f t="shared" si="47"/>
        <v>3.43</v>
      </c>
      <c r="Y116" s="44">
        <f t="shared" si="47"/>
        <v>3.43</v>
      </c>
      <c r="Z116" s="44">
        <f t="shared" si="47"/>
        <v>3.43</v>
      </c>
      <c r="AA116" s="44">
        <f t="shared" si="47"/>
        <v>3.43</v>
      </c>
      <c r="AB116" s="44">
        <f t="shared" si="47"/>
        <v>3.43</v>
      </c>
      <c r="AC116" s="44">
        <f t="shared" si="47"/>
        <v>3.43</v>
      </c>
      <c r="AD116" s="44">
        <f t="shared" si="47"/>
        <v>3.43</v>
      </c>
      <c r="AE116" s="44">
        <f t="shared" si="47"/>
        <v>3.43</v>
      </c>
      <c r="AF116" s="44">
        <f t="shared" si="47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5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6"/>
        <v>2.96</v>
      </c>
      <c r="K117" s="44">
        <f t="shared" si="46"/>
        <v>2.96</v>
      </c>
      <c r="L117" s="44">
        <f t="shared" si="46"/>
        <v>2.96</v>
      </c>
      <c r="M117" s="44">
        <f t="shared" si="46"/>
        <v>2.96</v>
      </c>
      <c r="N117" s="44">
        <f t="shared" si="46"/>
        <v>2.96</v>
      </c>
      <c r="O117" s="44">
        <f t="shared" si="46"/>
        <v>2.96</v>
      </c>
      <c r="P117" s="44">
        <f t="shared" si="46"/>
        <v>2.96</v>
      </c>
      <c r="Q117" s="44">
        <f t="shared" si="46"/>
        <v>2.96</v>
      </c>
      <c r="R117" s="44">
        <f t="shared" si="46"/>
        <v>2.96</v>
      </c>
      <c r="S117" s="44">
        <f t="shared" si="46"/>
        <v>2.96</v>
      </c>
      <c r="T117" s="44">
        <f t="shared" si="47"/>
        <v>2.96</v>
      </c>
      <c r="U117" s="44">
        <f t="shared" si="47"/>
        <v>2.96</v>
      </c>
      <c r="V117" s="44">
        <f t="shared" si="47"/>
        <v>2.96</v>
      </c>
      <c r="W117" s="44">
        <f t="shared" si="47"/>
        <v>2.96</v>
      </c>
      <c r="X117" s="44">
        <f t="shared" si="47"/>
        <v>2.96</v>
      </c>
      <c r="Y117" s="44">
        <f t="shared" si="47"/>
        <v>2.96</v>
      </c>
      <c r="Z117" s="44">
        <f t="shared" si="47"/>
        <v>2.96</v>
      </c>
      <c r="AA117" s="44">
        <f t="shared" si="47"/>
        <v>2.96</v>
      </c>
      <c r="AB117" s="44">
        <f t="shared" si="47"/>
        <v>2.96</v>
      </c>
      <c r="AC117" s="44">
        <f t="shared" si="47"/>
        <v>2.96</v>
      </c>
      <c r="AD117" s="44">
        <f t="shared" si="47"/>
        <v>2.96</v>
      </c>
      <c r="AE117" s="44">
        <f t="shared" si="47"/>
        <v>2.96</v>
      </c>
      <c r="AF117" s="44">
        <f t="shared" si="47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5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6"/>
        <v>8</v>
      </c>
      <c r="K118" s="44">
        <f t="shared" si="46"/>
        <v>8</v>
      </c>
      <c r="L118" s="44">
        <f t="shared" si="46"/>
        <v>8</v>
      </c>
      <c r="M118" s="44">
        <f t="shared" si="46"/>
        <v>8</v>
      </c>
      <c r="N118" s="44">
        <f t="shared" si="46"/>
        <v>8</v>
      </c>
      <c r="O118" s="44">
        <f t="shared" si="46"/>
        <v>8</v>
      </c>
      <c r="P118" s="44">
        <f t="shared" si="46"/>
        <v>8</v>
      </c>
      <c r="Q118" s="44">
        <f t="shared" si="46"/>
        <v>8</v>
      </c>
      <c r="R118" s="44">
        <f t="shared" si="46"/>
        <v>8</v>
      </c>
      <c r="S118" s="44">
        <f t="shared" si="46"/>
        <v>8</v>
      </c>
      <c r="T118" s="44">
        <f t="shared" si="47"/>
        <v>8</v>
      </c>
      <c r="U118" s="44">
        <f t="shared" si="47"/>
        <v>8</v>
      </c>
      <c r="V118" s="44">
        <f t="shared" si="47"/>
        <v>8</v>
      </c>
      <c r="W118" s="44">
        <f t="shared" si="47"/>
        <v>8</v>
      </c>
      <c r="X118" s="44">
        <f t="shared" si="47"/>
        <v>8</v>
      </c>
      <c r="Y118" s="44">
        <f t="shared" si="47"/>
        <v>8</v>
      </c>
      <c r="Z118" s="44">
        <f t="shared" si="47"/>
        <v>8</v>
      </c>
      <c r="AA118" s="44">
        <f t="shared" si="47"/>
        <v>8</v>
      </c>
      <c r="AB118" s="44">
        <f t="shared" si="47"/>
        <v>8</v>
      </c>
      <c r="AC118" s="44">
        <f t="shared" si="47"/>
        <v>8</v>
      </c>
      <c r="AD118" s="44">
        <f t="shared" si="47"/>
        <v>8</v>
      </c>
      <c r="AE118" s="44">
        <f t="shared" si="47"/>
        <v>8</v>
      </c>
      <c r="AF118" s="44">
        <f t="shared" si="47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5"/>
        <v>7</v>
      </c>
      <c r="C119" s="55">
        <v>7</v>
      </c>
      <c r="D119" s="44">
        <f>C119</f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6"/>
        <v>7</v>
      </c>
      <c r="K119" s="44">
        <f t="shared" si="46"/>
        <v>7</v>
      </c>
      <c r="L119" s="44">
        <f t="shared" si="46"/>
        <v>7</v>
      </c>
      <c r="M119" s="44">
        <f t="shared" si="46"/>
        <v>7</v>
      </c>
      <c r="N119" s="44">
        <f t="shared" si="46"/>
        <v>7</v>
      </c>
      <c r="O119" s="44">
        <f t="shared" si="46"/>
        <v>7</v>
      </c>
      <c r="P119" s="44">
        <f t="shared" si="46"/>
        <v>7</v>
      </c>
      <c r="Q119" s="44">
        <f t="shared" si="46"/>
        <v>7</v>
      </c>
      <c r="R119" s="44">
        <f t="shared" si="46"/>
        <v>7</v>
      </c>
      <c r="S119" s="44">
        <f t="shared" si="46"/>
        <v>7</v>
      </c>
      <c r="T119" s="44">
        <f t="shared" si="47"/>
        <v>7</v>
      </c>
      <c r="U119" s="44">
        <f t="shared" si="47"/>
        <v>7</v>
      </c>
      <c r="V119" s="44">
        <f t="shared" si="47"/>
        <v>7</v>
      </c>
      <c r="W119" s="44">
        <f t="shared" si="47"/>
        <v>7</v>
      </c>
      <c r="X119" s="44">
        <f t="shared" si="47"/>
        <v>7</v>
      </c>
      <c r="Y119" s="44">
        <f t="shared" si="47"/>
        <v>7</v>
      </c>
      <c r="Z119" s="44">
        <f t="shared" si="47"/>
        <v>7</v>
      </c>
      <c r="AA119" s="44">
        <f t="shared" si="47"/>
        <v>7</v>
      </c>
      <c r="AB119" s="44">
        <f t="shared" si="47"/>
        <v>7</v>
      </c>
      <c r="AC119" s="44">
        <f t="shared" si="47"/>
        <v>7</v>
      </c>
      <c r="AD119" s="44">
        <f t="shared" si="47"/>
        <v>7</v>
      </c>
      <c r="AE119" s="44">
        <f t="shared" si="47"/>
        <v>7</v>
      </c>
      <c r="AF119" s="44">
        <f t="shared" si="47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5"/>
        <v>3.47</v>
      </c>
      <c r="C120" s="55">
        <v>3.47</v>
      </c>
      <c r="D120" s="44">
        <f t="shared" ref="D120:S129" si="48">C120</f>
        <v>3.47</v>
      </c>
      <c r="E120" s="44">
        <f t="shared" si="48"/>
        <v>3.47</v>
      </c>
      <c r="F120" s="44">
        <f t="shared" si="48"/>
        <v>3.47</v>
      </c>
      <c r="G120" s="44">
        <f t="shared" si="48"/>
        <v>3.47</v>
      </c>
      <c r="H120" s="44">
        <f t="shared" si="48"/>
        <v>3.47</v>
      </c>
      <c r="I120" s="44">
        <f t="shared" si="48"/>
        <v>3.47</v>
      </c>
      <c r="J120" s="44">
        <f t="shared" si="48"/>
        <v>3.47</v>
      </c>
      <c r="K120" s="44">
        <f t="shared" si="48"/>
        <v>3.47</v>
      </c>
      <c r="L120" s="44">
        <f t="shared" si="48"/>
        <v>3.47</v>
      </c>
      <c r="M120" s="44">
        <f t="shared" si="48"/>
        <v>3.47</v>
      </c>
      <c r="N120" s="44">
        <f t="shared" si="48"/>
        <v>3.47</v>
      </c>
      <c r="O120" s="44">
        <f t="shared" si="48"/>
        <v>3.47</v>
      </c>
      <c r="P120" s="44">
        <f t="shared" si="48"/>
        <v>3.47</v>
      </c>
      <c r="Q120" s="44">
        <f t="shared" si="48"/>
        <v>3.47</v>
      </c>
      <c r="R120" s="44">
        <f t="shared" si="48"/>
        <v>3.47</v>
      </c>
      <c r="S120" s="44">
        <f t="shared" si="48"/>
        <v>3.47</v>
      </c>
      <c r="T120" s="44">
        <f t="shared" si="47"/>
        <v>3.47</v>
      </c>
      <c r="U120" s="44">
        <f t="shared" si="47"/>
        <v>3.47</v>
      </c>
      <c r="V120" s="44">
        <f t="shared" si="47"/>
        <v>3.47</v>
      </c>
      <c r="W120" s="44">
        <f t="shared" si="47"/>
        <v>3.47</v>
      </c>
      <c r="X120" s="44">
        <f t="shared" si="47"/>
        <v>3.47</v>
      </c>
      <c r="Y120" s="44">
        <f t="shared" si="47"/>
        <v>3.47</v>
      </c>
      <c r="Z120" s="44">
        <f t="shared" si="47"/>
        <v>3.47</v>
      </c>
      <c r="AA120" s="44">
        <f t="shared" si="47"/>
        <v>3.47</v>
      </c>
      <c r="AB120" s="44">
        <f t="shared" si="47"/>
        <v>3.47</v>
      </c>
      <c r="AC120" s="44">
        <f t="shared" si="47"/>
        <v>3.47</v>
      </c>
      <c r="AD120" s="44">
        <f t="shared" si="47"/>
        <v>3.47</v>
      </c>
      <c r="AE120" s="44">
        <f t="shared" si="47"/>
        <v>3.47</v>
      </c>
      <c r="AF120" s="44">
        <f t="shared" si="47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5"/>
        <v>2.1</v>
      </c>
      <c r="C121" s="55">
        <v>2.1</v>
      </c>
      <c r="D121" s="44">
        <f t="shared" si="48"/>
        <v>2.1</v>
      </c>
      <c r="E121" s="44">
        <f t="shared" si="48"/>
        <v>2.1</v>
      </c>
      <c r="F121" s="44">
        <f t="shared" si="48"/>
        <v>2.1</v>
      </c>
      <c r="G121" s="44">
        <f t="shared" si="48"/>
        <v>2.1</v>
      </c>
      <c r="H121" s="44">
        <f t="shared" si="48"/>
        <v>2.1</v>
      </c>
      <c r="I121" s="44">
        <f t="shared" si="48"/>
        <v>2.1</v>
      </c>
      <c r="J121" s="44">
        <f t="shared" si="48"/>
        <v>2.1</v>
      </c>
      <c r="K121" s="44">
        <f t="shared" si="48"/>
        <v>2.1</v>
      </c>
      <c r="L121" s="44">
        <f t="shared" si="48"/>
        <v>2.1</v>
      </c>
      <c r="M121" s="44">
        <f t="shared" si="48"/>
        <v>2.1</v>
      </c>
      <c r="N121" s="44">
        <f t="shared" si="48"/>
        <v>2.1</v>
      </c>
      <c r="O121" s="44">
        <f t="shared" si="48"/>
        <v>2.1</v>
      </c>
      <c r="P121" s="44">
        <f t="shared" si="48"/>
        <v>2.1</v>
      </c>
      <c r="Q121" s="44">
        <f t="shared" si="48"/>
        <v>2.1</v>
      </c>
      <c r="R121" s="44">
        <f t="shared" si="48"/>
        <v>2.1</v>
      </c>
      <c r="S121" s="44">
        <f t="shared" si="48"/>
        <v>2.1</v>
      </c>
      <c r="T121" s="44">
        <f t="shared" si="47"/>
        <v>2.1</v>
      </c>
      <c r="U121" s="44">
        <f t="shared" si="47"/>
        <v>2.1</v>
      </c>
      <c r="V121" s="44">
        <f t="shared" si="47"/>
        <v>2.1</v>
      </c>
      <c r="W121" s="44">
        <f t="shared" si="47"/>
        <v>2.1</v>
      </c>
      <c r="X121" s="44">
        <f t="shared" si="47"/>
        <v>2.1</v>
      </c>
      <c r="Y121" s="44">
        <f t="shared" si="47"/>
        <v>2.1</v>
      </c>
      <c r="Z121" s="44">
        <f t="shared" si="47"/>
        <v>2.1</v>
      </c>
      <c r="AA121" s="44">
        <f t="shared" si="47"/>
        <v>2.1</v>
      </c>
      <c r="AB121" s="44">
        <f t="shared" si="47"/>
        <v>2.1</v>
      </c>
      <c r="AC121" s="44">
        <f t="shared" si="47"/>
        <v>2.1</v>
      </c>
      <c r="AD121" s="44">
        <f t="shared" si="47"/>
        <v>2.1</v>
      </c>
      <c r="AE121" s="44">
        <f t="shared" si="47"/>
        <v>2.1</v>
      </c>
      <c r="AF121" s="44">
        <f t="shared" si="47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5"/>
        <v>9.3000000000000007</v>
      </c>
      <c r="C122" s="55">
        <v>9.3000000000000007</v>
      </c>
      <c r="D122" s="44">
        <f t="shared" si="48"/>
        <v>9.3000000000000007</v>
      </c>
      <c r="E122" s="44">
        <f t="shared" si="48"/>
        <v>9.3000000000000007</v>
      </c>
      <c r="F122" s="44">
        <f t="shared" si="48"/>
        <v>9.3000000000000007</v>
      </c>
      <c r="G122" s="44">
        <f t="shared" si="48"/>
        <v>9.3000000000000007</v>
      </c>
      <c r="H122" s="44">
        <f t="shared" si="48"/>
        <v>9.3000000000000007</v>
      </c>
      <c r="I122" s="44">
        <f t="shared" si="48"/>
        <v>9.3000000000000007</v>
      </c>
      <c r="J122" s="44">
        <f t="shared" si="48"/>
        <v>9.3000000000000007</v>
      </c>
      <c r="K122" s="44">
        <f t="shared" si="48"/>
        <v>9.3000000000000007</v>
      </c>
      <c r="L122" s="44">
        <f t="shared" si="48"/>
        <v>9.3000000000000007</v>
      </c>
      <c r="M122" s="44">
        <f t="shared" si="48"/>
        <v>9.3000000000000007</v>
      </c>
      <c r="N122" s="44">
        <f t="shared" si="48"/>
        <v>9.3000000000000007</v>
      </c>
      <c r="O122" s="44">
        <f t="shared" si="48"/>
        <v>9.3000000000000007</v>
      </c>
      <c r="P122" s="44">
        <f t="shared" si="48"/>
        <v>9.3000000000000007</v>
      </c>
      <c r="Q122" s="44">
        <f t="shared" si="48"/>
        <v>9.3000000000000007</v>
      </c>
      <c r="R122" s="44">
        <f t="shared" si="48"/>
        <v>9.3000000000000007</v>
      </c>
      <c r="S122" s="44">
        <f t="shared" si="48"/>
        <v>9.3000000000000007</v>
      </c>
      <c r="T122" s="44">
        <f t="shared" si="47"/>
        <v>9.3000000000000007</v>
      </c>
      <c r="U122" s="44">
        <f t="shared" si="47"/>
        <v>9.3000000000000007</v>
      </c>
      <c r="V122" s="44">
        <f t="shared" si="47"/>
        <v>9.3000000000000007</v>
      </c>
      <c r="W122" s="44">
        <f t="shared" si="47"/>
        <v>9.3000000000000007</v>
      </c>
      <c r="X122" s="44">
        <f t="shared" si="47"/>
        <v>9.3000000000000007</v>
      </c>
      <c r="Y122" s="44">
        <f t="shared" si="47"/>
        <v>9.3000000000000007</v>
      </c>
      <c r="Z122" s="44">
        <f t="shared" si="47"/>
        <v>9.3000000000000007</v>
      </c>
      <c r="AA122" s="44">
        <f t="shared" si="47"/>
        <v>9.3000000000000007</v>
      </c>
      <c r="AB122" s="44">
        <f t="shared" si="47"/>
        <v>9.3000000000000007</v>
      </c>
      <c r="AC122" s="44">
        <f t="shared" si="47"/>
        <v>9.3000000000000007</v>
      </c>
      <c r="AD122" s="44">
        <f t="shared" si="47"/>
        <v>9.3000000000000007</v>
      </c>
      <c r="AE122" s="44">
        <f t="shared" si="47"/>
        <v>9.3000000000000007</v>
      </c>
      <c r="AF122" s="44">
        <f t="shared" si="47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5"/>
        <v>0</v>
      </c>
      <c r="C123" s="55">
        <v>0</v>
      </c>
      <c r="D123" s="44">
        <f t="shared" si="48"/>
        <v>0</v>
      </c>
      <c r="E123" s="44">
        <f t="shared" si="48"/>
        <v>0</v>
      </c>
      <c r="F123" s="44">
        <f t="shared" si="48"/>
        <v>0</v>
      </c>
      <c r="G123" s="44">
        <f t="shared" si="48"/>
        <v>0</v>
      </c>
      <c r="H123" s="44">
        <f t="shared" si="48"/>
        <v>0</v>
      </c>
      <c r="I123" s="44">
        <f t="shared" si="48"/>
        <v>0</v>
      </c>
      <c r="J123" s="44">
        <f t="shared" si="48"/>
        <v>0</v>
      </c>
      <c r="K123" s="44">
        <f t="shared" si="48"/>
        <v>0</v>
      </c>
      <c r="L123" s="44">
        <f t="shared" si="48"/>
        <v>0</v>
      </c>
      <c r="M123" s="44">
        <f t="shared" si="48"/>
        <v>0</v>
      </c>
      <c r="N123" s="44">
        <f t="shared" si="48"/>
        <v>0</v>
      </c>
      <c r="O123" s="44">
        <f t="shared" si="48"/>
        <v>0</v>
      </c>
      <c r="P123" s="44">
        <f t="shared" si="48"/>
        <v>0</v>
      </c>
      <c r="Q123" s="44">
        <f t="shared" si="48"/>
        <v>0</v>
      </c>
      <c r="R123" s="44">
        <f t="shared" si="48"/>
        <v>0</v>
      </c>
      <c r="S123" s="44">
        <f t="shared" si="48"/>
        <v>0</v>
      </c>
      <c r="T123" s="44">
        <f t="shared" si="47"/>
        <v>0</v>
      </c>
      <c r="U123" s="44">
        <f t="shared" si="47"/>
        <v>0</v>
      </c>
      <c r="V123" s="44">
        <f t="shared" si="47"/>
        <v>0</v>
      </c>
      <c r="W123" s="44">
        <f t="shared" si="47"/>
        <v>0</v>
      </c>
      <c r="X123" s="44">
        <f t="shared" si="47"/>
        <v>0</v>
      </c>
      <c r="Y123" s="44">
        <f t="shared" si="47"/>
        <v>0</v>
      </c>
      <c r="Z123" s="44">
        <f t="shared" si="47"/>
        <v>0</v>
      </c>
      <c r="AA123" s="44">
        <f t="shared" si="47"/>
        <v>0</v>
      </c>
      <c r="AB123" s="44">
        <f t="shared" si="47"/>
        <v>0</v>
      </c>
      <c r="AC123" s="44">
        <f t="shared" si="47"/>
        <v>0</v>
      </c>
      <c r="AD123" s="44">
        <f t="shared" si="47"/>
        <v>0</v>
      </c>
      <c r="AE123" s="44">
        <f t="shared" si="47"/>
        <v>0</v>
      </c>
      <c r="AF123" s="44">
        <f t="shared" si="4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5"/>
        <v>0</v>
      </c>
      <c r="C124" s="55">
        <v>0</v>
      </c>
      <c r="D124" s="44">
        <f t="shared" si="48"/>
        <v>0</v>
      </c>
      <c r="E124" s="44">
        <f t="shared" si="48"/>
        <v>0</v>
      </c>
      <c r="F124" s="44">
        <f t="shared" si="48"/>
        <v>0</v>
      </c>
      <c r="G124" s="44">
        <f t="shared" si="48"/>
        <v>0</v>
      </c>
      <c r="H124" s="44">
        <f t="shared" si="48"/>
        <v>0</v>
      </c>
      <c r="I124" s="44">
        <f t="shared" si="48"/>
        <v>0</v>
      </c>
      <c r="J124" s="44">
        <f t="shared" si="48"/>
        <v>0</v>
      </c>
      <c r="K124" s="44">
        <f t="shared" si="48"/>
        <v>0</v>
      </c>
      <c r="L124" s="44">
        <f t="shared" si="48"/>
        <v>0</v>
      </c>
      <c r="M124" s="44">
        <f t="shared" si="48"/>
        <v>0</v>
      </c>
      <c r="N124" s="44">
        <f t="shared" si="48"/>
        <v>0</v>
      </c>
      <c r="O124" s="44">
        <f t="shared" si="48"/>
        <v>0</v>
      </c>
      <c r="P124" s="44">
        <f t="shared" si="48"/>
        <v>0</v>
      </c>
      <c r="Q124" s="44">
        <f t="shared" si="48"/>
        <v>0</v>
      </c>
      <c r="R124" s="44">
        <f t="shared" si="48"/>
        <v>0</v>
      </c>
      <c r="S124" s="44">
        <f t="shared" si="48"/>
        <v>0</v>
      </c>
      <c r="T124" s="44">
        <f t="shared" si="47"/>
        <v>0</v>
      </c>
      <c r="U124" s="44">
        <f t="shared" si="47"/>
        <v>0</v>
      </c>
      <c r="V124" s="44">
        <f t="shared" si="47"/>
        <v>0</v>
      </c>
      <c r="W124" s="44">
        <f t="shared" si="47"/>
        <v>0</v>
      </c>
      <c r="X124" s="44">
        <f t="shared" si="47"/>
        <v>0</v>
      </c>
      <c r="Y124" s="44">
        <f t="shared" si="47"/>
        <v>0</v>
      </c>
      <c r="Z124" s="44">
        <f t="shared" si="47"/>
        <v>0</v>
      </c>
      <c r="AA124" s="44">
        <f t="shared" si="47"/>
        <v>0</v>
      </c>
      <c r="AB124" s="44">
        <f t="shared" si="47"/>
        <v>0</v>
      </c>
      <c r="AC124" s="44">
        <f t="shared" si="47"/>
        <v>0</v>
      </c>
      <c r="AD124" s="44">
        <f t="shared" si="47"/>
        <v>0</v>
      </c>
      <c r="AE124" s="44">
        <f t="shared" si="47"/>
        <v>0</v>
      </c>
      <c r="AF124" s="44">
        <f t="shared" si="47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5"/>
        <v>5</v>
      </c>
      <c r="C125" s="55">
        <v>5</v>
      </c>
      <c r="D125" s="44">
        <f t="shared" si="48"/>
        <v>5</v>
      </c>
      <c r="E125" s="44">
        <f t="shared" si="48"/>
        <v>5</v>
      </c>
      <c r="F125" s="44">
        <f t="shared" si="48"/>
        <v>5</v>
      </c>
      <c r="G125" s="44">
        <f t="shared" si="48"/>
        <v>5</v>
      </c>
      <c r="H125" s="44">
        <f t="shared" si="48"/>
        <v>5</v>
      </c>
      <c r="I125" s="44">
        <f t="shared" si="48"/>
        <v>5</v>
      </c>
      <c r="J125" s="44">
        <f t="shared" si="48"/>
        <v>5</v>
      </c>
      <c r="K125" s="44">
        <f t="shared" si="48"/>
        <v>5</v>
      </c>
      <c r="L125" s="44">
        <f t="shared" si="48"/>
        <v>5</v>
      </c>
      <c r="M125" s="44">
        <f t="shared" si="48"/>
        <v>5</v>
      </c>
      <c r="N125" s="44">
        <f t="shared" si="48"/>
        <v>5</v>
      </c>
      <c r="O125" s="44">
        <f t="shared" si="48"/>
        <v>5</v>
      </c>
      <c r="P125" s="44">
        <f t="shared" si="48"/>
        <v>5</v>
      </c>
      <c r="Q125" s="44">
        <f t="shared" si="48"/>
        <v>5</v>
      </c>
      <c r="R125" s="44">
        <f t="shared" si="48"/>
        <v>5</v>
      </c>
      <c r="S125" s="44">
        <f t="shared" si="48"/>
        <v>5</v>
      </c>
      <c r="T125" s="44">
        <f t="shared" si="47"/>
        <v>5</v>
      </c>
      <c r="U125" s="44">
        <f t="shared" si="47"/>
        <v>5</v>
      </c>
      <c r="V125" s="44">
        <f t="shared" si="47"/>
        <v>5</v>
      </c>
      <c r="W125" s="44">
        <f t="shared" si="47"/>
        <v>5</v>
      </c>
      <c r="X125" s="44">
        <f t="shared" si="47"/>
        <v>5</v>
      </c>
      <c r="Y125" s="44">
        <f t="shared" si="47"/>
        <v>5</v>
      </c>
      <c r="Z125" s="44">
        <f t="shared" si="47"/>
        <v>5</v>
      </c>
      <c r="AA125" s="44">
        <f t="shared" si="47"/>
        <v>5</v>
      </c>
      <c r="AB125" s="44">
        <f t="shared" si="47"/>
        <v>5</v>
      </c>
      <c r="AC125" s="44">
        <f t="shared" si="47"/>
        <v>5</v>
      </c>
      <c r="AD125" s="44">
        <f t="shared" si="47"/>
        <v>5</v>
      </c>
      <c r="AE125" s="44">
        <f t="shared" si="47"/>
        <v>5</v>
      </c>
      <c r="AF125" s="44">
        <f t="shared" si="47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5"/>
        <v>1</v>
      </c>
      <c r="C126" s="55">
        <v>1</v>
      </c>
      <c r="D126" s="44">
        <f t="shared" si="48"/>
        <v>1</v>
      </c>
      <c r="E126" s="44">
        <f t="shared" si="48"/>
        <v>1</v>
      </c>
      <c r="F126" s="44">
        <f t="shared" si="48"/>
        <v>1</v>
      </c>
      <c r="G126" s="44">
        <f t="shared" si="48"/>
        <v>1</v>
      </c>
      <c r="H126" s="44">
        <f t="shared" si="48"/>
        <v>1</v>
      </c>
      <c r="I126" s="44">
        <f t="shared" si="48"/>
        <v>1</v>
      </c>
      <c r="J126" s="44">
        <f t="shared" si="48"/>
        <v>1</v>
      </c>
      <c r="K126" s="44">
        <f t="shared" si="48"/>
        <v>1</v>
      </c>
      <c r="L126" s="44">
        <f t="shared" si="48"/>
        <v>1</v>
      </c>
      <c r="M126" s="44">
        <f t="shared" si="48"/>
        <v>1</v>
      </c>
      <c r="N126" s="44">
        <f t="shared" si="48"/>
        <v>1</v>
      </c>
      <c r="O126" s="44">
        <f t="shared" si="48"/>
        <v>1</v>
      </c>
      <c r="P126" s="44">
        <f t="shared" si="48"/>
        <v>1</v>
      </c>
      <c r="Q126" s="44">
        <f t="shared" si="48"/>
        <v>1</v>
      </c>
      <c r="R126" s="44">
        <f t="shared" si="48"/>
        <v>1</v>
      </c>
      <c r="S126" s="44">
        <f t="shared" si="48"/>
        <v>1</v>
      </c>
      <c r="T126" s="44">
        <f t="shared" si="47"/>
        <v>1</v>
      </c>
      <c r="U126" s="44">
        <f t="shared" si="47"/>
        <v>1</v>
      </c>
      <c r="V126" s="44">
        <f t="shared" si="47"/>
        <v>1</v>
      </c>
      <c r="W126" s="44">
        <f t="shared" si="47"/>
        <v>1</v>
      </c>
      <c r="X126" s="44">
        <f t="shared" si="47"/>
        <v>1</v>
      </c>
      <c r="Y126" s="44">
        <f t="shared" si="47"/>
        <v>1</v>
      </c>
      <c r="Z126" s="44">
        <f t="shared" si="47"/>
        <v>1</v>
      </c>
      <c r="AA126" s="44">
        <f t="shared" si="47"/>
        <v>1</v>
      </c>
      <c r="AB126" s="44">
        <f t="shared" si="47"/>
        <v>1</v>
      </c>
      <c r="AC126" s="44">
        <f t="shared" si="47"/>
        <v>1</v>
      </c>
      <c r="AD126" s="44">
        <f t="shared" si="47"/>
        <v>1</v>
      </c>
      <c r="AE126" s="44">
        <f t="shared" si="47"/>
        <v>1</v>
      </c>
      <c r="AF126" s="44">
        <f t="shared" si="47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5"/>
        <v>1.58</v>
      </c>
      <c r="C127" s="55">
        <v>1.58</v>
      </c>
      <c r="D127" s="44">
        <f t="shared" si="48"/>
        <v>1.58</v>
      </c>
      <c r="E127" s="44">
        <f t="shared" si="48"/>
        <v>1.58</v>
      </c>
      <c r="F127" s="44">
        <f t="shared" si="48"/>
        <v>1.58</v>
      </c>
      <c r="G127" s="44">
        <f t="shared" si="48"/>
        <v>1.58</v>
      </c>
      <c r="H127" s="44">
        <f t="shared" si="48"/>
        <v>1.58</v>
      </c>
      <c r="I127" s="44">
        <f t="shared" si="48"/>
        <v>1.58</v>
      </c>
      <c r="J127" s="44">
        <f t="shared" si="48"/>
        <v>1.58</v>
      </c>
      <c r="K127" s="44">
        <f t="shared" si="48"/>
        <v>1.58</v>
      </c>
      <c r="L127" s="44">
        <f t="shared" si="48"/>
        <v>1.58</v>
      </c>
      <c r="M127" s="44">
        <f t="shared" si="48"/>
        <v>1.58</v>
      </c>
      <c r="N127" s="44">
        <f t="shared" si="48"/>
        <v>1.58</v>
      </c>
      <c r="O127" s="44">
        <f t="shared" si="48"/>
        <v>1.58</v>
      </c>
      <c r="P127" s="44">
        <f t="shared" si="48"/>
        <v>1.58</v>
      </c>
      <c r="Q127" s="44">
        <f t="shared" si="48"/>
        <v>1.58</v>
      </c>
      <c r="R127" s="44">
        <f t="shared" si="48"/>
        <v>1.58</v>
      </c>
      <c r="S127" s="44">
        <f t="shared" si="48"/>
        <v>1.58</v>
      </c>
      <c r="T127" s="44">
        <f t="shared" si="47"/>
        <v>1.58</v>
      </c>
      <c r="U127" s="44">
        <f t="shared" si="47"/>
        <v>1.58</v>
      </c>
      <c r="V127" s="44">
        <f t="shared" si="47"/>
        <v>1.58</v>
      </c>
      <c r="W127" s="44">
        <f t="shared" si="47"/>
        <v>1.58</v>
      </c>
      <c r="X127" s="44">
        <f t="shared" si="47"/>
        <v>1.58</v>
      </c>
      <c r="Y127" s="44">
        <f t="shared" si="47"/>
        <v>1.58</v>
      </c>
      <c r="Z127" s="44">
        <f t="shared" si="47"/>
        <v>1.58</v>
      </c>
      <c r="AA127" s="44">
        <f t="shared" si="47"/>
        <v>1.58</v>
      </c>
      <c r="AB127" s="44">
        <f t="shared" si="47"/>
        <v>1.58</v>
      </c>
      <c r="AC127" s="44">
        <f t="shared" si="47"/>
        <v>1.58</v>
      </c>
      <c r="AD127" s="44">
        <f t="shared" si="47"/>
        <v>1.58</v>
      </c>
      <c r="AE127" s="44">
        <f t="shared" si="47"/>
        <v>1.58</v>
      </c>
      <c r="AF127" s="44">
        <f t="shared" si="47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5"/>
        <v>1.46</v>
      </c>
      <c r="C128" s="55">
        <v>1.46</v>
      </c>
      <c r="D128" s="44">
        <f t="shared" si="48"/>
        <v>1.46</v>
      </c>
      <c r="E128" s="44">
        <f t="shared" si="48"/>
        <v>1.46</v>
      </c>
      <c r="F128" s="44">
        <f t="shared" si="48"/>
        <v>1.46</v>
      </c>
      <c r="G128" s="44">
        <f t="shared" si="48"/>
        <v>1.46</v>
      </c>
      <c r="H128" s="44">
        <f t="shared" si="48"/>
        <v>1.46</v>
      </c>
      <c r="I128" s="44">
        <f t="shared" si="48"/>
        <v>1.46</v>
      </c>
      <c r="J128" s="44">
        <f t="shared" si="48"/>
        <v>1.46</v>
      </c>
      <c r="K128" s="44">
        <f t="shared" si="48"/>
        <v>1.46</v>
      </c>
      <c r="L128" s="44">
        <f t="shared" si="48"/>
        <v>1.46</v>
      </c>
      <c r="M128" s="44">
        <f t="shared" si="48"/>
        <v>1.46</v>
      </c>
      <c r="N128" s="44">
        <f t="shared" si="48"/>
        <v>1.46</v>
      </c>
      <c r="O128" s="44">
        <f t="shared" si="48"/>
        <v>1.46</v>
      </c>
      <c r="P128" s="44">
        <f t="shared" si="48"/>
        <v>1.46</v>
      </c>
      <c r="Q128" s="44">
        <f t="shared" si="48"/>
        <v>1.46</v>
      </c>
      <c r="R128" s="44">
        <f t="shared" si="48"/>
        <v>1.46</v>
      </c>
      <c r="S128" s="44">
        <f t="shared" si="48"/>
        <v>1.46</v>
      </c>
      <c r="T128" s="44">
        <f t="shared" ref="T128:AF129" si="49">S128</f>
        <v>1.46</v>
      </c>
      <c r="U128" s="44">
        <f t="shared" si="49"/>
        <v>1.46</v>
      </c>
      <c r="V128" s="44">
        <f t="shared" si="49"/>
        <v>1.46</v>
      </c>
      <c r="W128" s="44">
        <f t="shared" si="49"/>
        <v>1.46</v>
      </c>
      <c r="X128" s="44">
        <f t="shared" si="49"/>
        <v>1.46</v>
      </c>
      <c r="Y128" s="44">
        <f t="shared" si="49"/>
        <v>1.46</v>
      </c>
      <c r="Z128" s="44">
        <f t="shared" si="49"/>
        <v>1.46</v>
      </c>
      <c r="AA128" s="44">
        <f t="shared" si="49"/>
        <v>1.46</v>
      </c>
      <c r="AB128" s="44">
        <f t="shared" si="49"/>
        <v>1.46</v>
      </c>
      <c r="AC128" s="44">
        <f t="shared" si="49"/>
        <v>1.46</v>
      </c>
      <c r="AD128" s="44">
        <f t="shared" si="49"/>
        <v>1.46</v>
      </c>
      <c r="AE128" s="44">
        <f t="shared" si="49"/>
        <v>1.46</v>
      </c>
      <c r="AF128" s="44">
        <f t="shared" si="49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5"/>
        <v>1.48</v>
      </c>
      <c r="C129" s="55">
        <v>1.48</v>
      </c>
      <c r="D129" s="44">
        <f t="shared" si="48"/>
        <v>1.48</v>
      </c>
      <c r="E129" s="44">
        <f t="shared" si="48"/>
        <v>1.48</v>
      </c>
      <c r="F129" s="44">
        <f t="shared" si="48"/>
        <v>1.48</v>
      </c>
      <c r="G129" s="44">
        <f t="shared" si="48"/>
        <v>1.48</v>
      </c>
      <c r="H129" s="44">
        <f t="shared" si="48"/>
        <v>1.48</v>
      </c>
      <c r="I129" s="44">
        <f t="shared" si="48"/>
        <v>1.48</v>
      </c>
      <c r="J129" s="44">
        <f t="shared" si="48"/>
        <v>1.48</v>
      </c>
      <c r="K129" s="44">
        <f t="shared" si="48"/>
        <v>1.48</v>
      </c>
      <c r="L129" s="44">
        <f t="shared" si="48"/>
        <v>1.48</v>
      </c>
      <c r="M129" s="44">
        <f t="shared" si="48"/>
        <v>1.48</v>
      </c>
      <c r="N129" s="44">
        <f t="shared" si="48"/>
        <v>1.48</v>
      </c>
      <c r="O129" s="44">
        <f t="shared" si="48"/>
        <v>1.48</v>
      </c>
      <c r="P129" s="44">
        <f t="shared" si="48"/>
        <v>1.48</v>
      </c>
      <c r="Q129" s="44">
        <f t="shared" si="48"/>
        <v>1.48</v>
      </c>
      <c r="R129" s="44">
        <f t="shared" si="48"/>
        <v>1.48</v>
      </c>
      <c r="S129" s="44">
        <f t="shared" si="48"/>
        <v>1.48</v>
      </c>
      <c r="T129" s="44">
        <f t="shared" si="49"/>
        <v>1.48</v>
      </c>
      <c r="U129" s="44">
        <f t="shared" si="49"/>
        <v>1.48</v>
      </c>
      <c r="V129" s="44">
        <f t="shared" si="49"/>
        <v>1.48</v>
      </c>
      <c r="W129" s="44">
        <f t="shared" si="49"/>
        <v>1.48</v>
      </c>
      <c r="X129" s="44">
        <f t="shared" si="49"/>
        <v>1.48</v>
      </c>
      <c r="Y129" s="44">
        <f t="shared" si="49"/>
        <v>1.48</v>
      </c>
      <c r="Z129" s="44">
        <f t="shared" si="49"/>
        <v>1.48</v>
      </c>
      <c r="AA129" s="44">
        <f t="shared" si="49"/>
        <v>1.48</v>
      </c>
      <c r="AB129" s="44">
        <f t="shared" si="49"/>
        <v>1.48</v>
      </c>
      <c r="AC129" s="44">
        <f t="shared" si="49"/>
        <v>1.48</v>
      </c>
      <c r="AD129" s="44">
        <f t="shared" si="49"/>
        <v>1.48</v>
      </c>
      <c r="AE129" s="44">
        <f t="shared" si="49"/>
        <v>1.48</v>
      </c>
      <c r="AF129" s="44">
        <f t="shared" si="49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0">AF131</f>
        <v>2.2000000000000002</v>
      </c>
      <c r="C131" s="55">
        <v>2.2000000000000002</v>
      </c>
      <c r="D131" s="44">
        <f t="shared" ref="D131:S138" si="51">C131</f>
        <v>2.2000000000000002</v>
      </c>
      <c r="E131" s="44">
        <f t="shared" si="51"/>
        <v>2.2000000000000002</v>
      </c>
      <c r="F131" s="44">
        <f t="shared" si="51"/>
        <v>2.2000000000000002</v>
      </c>
      <c r="G131" s="44">
        <f t="shared" si="51"/>
        <v>2.2000000000000002</v>
      </c>
      <c r="H131" s="44">
        <f t="shared" si="51"/>
        <v>2.2000000000000002</v>
      </c>
      <c r="I131" s="44">
        <f t="shared" si="51"/>
        <v>2.2000000000000002</v>
      </c>
      <c r="J131" s="44">
        <f t="shared" si="51"/>
        <v>2.2000000000000002</v>
      </c>
      <c r="K131" s="44">
        <f t="shared" si="51"/>
        <v>2.2000000000000002</v>
      </c>
      <c r="L131" s="44">
        <f t="shared" si="51"/>
        <v>2.2000000000000002</v>
      </c>
      <c r="M131" s="44">
        <f t="shared" si="51"/>
        <v>2.2000000000000002</v>
      </c>
      <c r="N131" s="44">
        <f t="shared" si="51"/>
        <v>2.2000000000000002</v>
      </c>
      <c r="O131" s="44">
        <f t="shared" si="51"/>
        <v>2.2000000000000002</v>
      </c>
      <c r="P131" s="44">
        <f t="shared" si="51"/>
        <v>2.2000000000000002</v>
      </c>
      <c r="Q131" s="44">
        <f t="shared" si="51"/>
        <v>2.2000000000000002</v>
      </c>
      <c r="R131" s="44">
        <f t="shared" si="51"/>
        <v>2.2000000000000002</v>
      </c>
      <c r="S131" s="44">
        <f t="shared" si="51"/>
        <v>2.2000000000000002</v>
      </c>
      <c r="T131" s="44">
        <f t="shared" ref="T131:AF138" si="52">S131</f>
        <v>2.2000000000000002</v>
      </c>
      <c r="U131" s="44">
        <f t="shared" si="52"/>
        <v>2.2000000000000002</v>
      </c>
      <c r="V131" s="44">
        <f t="shared" si="52"/>
        <v>2.2000000000000002</v>
      </c>
      <c r="W131" s="44">
        <f t="shared" si="52"/>
        <v>2.2000000000000002</v>
      </c>
      <c r="X131" s="44">
        <f t="shared" si="52"/>
        <v>2.2000000000000002</v>
      </c>
      <c r="Y131" s="44">
        <f t="shared" si="52"/>
        <v>2.2000000000000002</v>
      </c>
      <c r="Z131" s="44">
        <f t="shared" si="52"/>
        <v>2.2000000000000002</v>
      </c>
      <c r="AA131" s="44">
        <f t="shared" si="52"/>
        <v>2.2000000000000002</v>
      </c>
      <c r="AB131" s="44">
        <f t="shared" si="52"/>
        <v>2.2000000000000002</v>
      </c>
      <c r="AC131" s="44">
        <f t="shared" si="52"/>
        <v>2.2000000000000002</v>
      </c>
      <c r="AD131" s="44">
        <f t="shared" si="52"/>
        <v>2.2000000000000002</v>
      </c>
      <c r="AE131" s="44">
        <f t="shared" si="52"/>
        <v>2.2000000000000002</v>
      </c>
      <c r="AF131" s="44">
        <f t="shared" si="52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0"/>
        <v>2</v>
      </c>
      <c r="C132" s="55">
        <v>2</v>
      </c>
      <c r="D132" s="44">
        <f t="shared" si="51"/>
        <v>2</v>
      </c>
      <c r="E132" s="44">
        <f t="shared" si="51"/>
        <v>2</v>
      </c>
      <c r="F132" s="44">
        <f t="shared" si="51"/>
        <v>2</v>
      </c>
      <c r="G132" s="44">
        <f t="shared" si="51"/>
        <v>2</v>
      </c>
      <c r="H132" s="44">
        <f t="shared" si="51"/>
        <v>2</v>
      </c>
      <c r="I132" s="44">
        <f t="shared" si="51"/>
        <v>2</v>
      </c>
      <c r="J132" s="44">
        <f t="shared" si="51"/>
        <v>2</v>
      </c>
      <c r="K132" s="44">
        <f t="shared" si="51"/>
        <v>2</v>
      </c>
      <c r="L132" s="44">
        <f t="shared" si="51"/>
        <v>2</v>
      </c>
      <c r="M132" s="44">
        <f t="shared" si="51"/>
        <v>2</v>
      </c>
      <c r="N132" s="44">
        <f t="shared" si="51"/>
        <v>2</v>
      </c>
      <c r="O132" s="44">
        <f t="shared" si="51"/>
        <v>2</v>
      </c>
      <c r="P132" s="44">
        <f t="shared" si="51"/>
        <v>2</v>
      </c>
      <c r="Q132" s="44">
        <f t="shared" si="51"/>
        <v>2</v>
      </c>
      <c r="R132" s="44">
        <f t="shared" si="51"/>
        <v>2</v>
      </c>
      <c r="S132" s="44">
        <f t="shared" si="51"/>
        <v>2</v>
      </c>
      <c r="T132" s="44">
        <f t="shared" si="52"/>
        <v>2</v>
      </c>
      <c r="U132" s="44">
        <f t="shared" si="52"/>
        <v>2</v>
      </c>
      <c r="V132" s="44">
        <f t="shared" si="52"/>
        <v>2</v>
      </c>
      <c r="W132" s="44">
        <f t="shared" si="52"/>
        <v>2</v>
      </c>
      <c r="X132" s="44">
        <f t="shared" si="52"/>
        <v>2</v>
      </c>
      <c r="Y132" s="44">
        <f t="shared" si="52"/>
        <v>2</v>
      </c>
      <c r="Z132" s="44">
        <f t="shared" si="52"/>
        <v>2</v>
      </c>
      <c r="AA132" s="44">
        <f t="shared" si="52"/>
        <v>2</v>
      </c>
      <c r="AB132" s="44">
        <f t="shared" si="52"/>
        <v>2</v>
      </c>
      <c r="AC132" s="44">
        <f t="shared" si="52"/>
        <v>2</v>
      </c>
      <c r="AD132" s="44">
        <f t="shared" si="52"/>
        <v>2</v>
      </c>
      <c r="AE132" s="44">
        <f t="shared" si="52"/>
        <v>2</v>
      </c>
      <c r="AF132" s="44">
        <f t="shared" si="52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0"/>
        <v>1.25</v>
      </c>
      <c r="C133" s="55">
        <v>1.25</v>
      </c>
      <c r="D133" s="44">
        <f t="shared" si="51"/>
        <v>1.25</v>
      </c>
      <c r="E133" s="44">
        <f t="shared" si="51"/>
        <v>1.25</v>
      </c>
      <c r="F133" s="44">
        <f t="shared" si="51"/>
        <v>1.25</v>
      </c>
      <c r="G133" s="44">
        <f t="shared" si="51"/>
        <v>1.25</v>
      </c>
      <c r="H133" s="44">
        <f t="shared" si="51"/>
        <v>1.25</v>
      </c>
      <c r="I133" s="44">
        <f t="shared" si="51"/>
        <v>1.25</v>
      </c>
      <c r="J133" s="44">
        <f t="shared" si="51"/>
        <v>1.25</v>
      </c>
      <c r="K133" s="44">
        <f t="shared" si="51"/>
        <v>1.25</v>
      </c>
      <c r="L133" s="44">
        <f t="shared" si="51"/>
        <v>1.25</v>
      </c>
      <c r="M133" s="44">
        <f t="shared" si="51"/>
        <v>1.25</v>
      </c>
      <c r="N133" s="44">
        <f t="shared" si="51"/>
        <v>1.25</v>
      </c>
      <c r="O133" s="44">
        <f t="shared" si="51"/>
        <v>1.25</v>
      </c>
      <c r="P133" s="44">
        <f t="shared" si="51"/>
        <v>1.25</v>
      </c>
      <c r="Q133" s="44">
        <f t="shared" si="51"/>
        <v>1.25</v>
      </c>
      <c r="R133" s="44">
        <f t="shared" si="51"/>
        <v>1.25</v>
      </c>
      <c r="S133" s="44">
        <f t="shared" si="51"/>
        <v>1.25</v>
      </c>
      <c r="T133" s="44">
        <f t="shared" si="52"/>
        <v>1.25</v>
      </c>
      <c r="U133" s="44">
        <f t="shared" si="52"/>
        <v>1.25</v>
      </c>
      <c r="V133" s="44">
        <f t="shared" si="52"/>
        <v>1.25</v>
      </c>
      <c r="W133" s="44">
        <f t="shared" si="52"/>
        <v>1.25</v>
      </c>
      <c r="X133" s="44">
        <f t="shared" si="52"/>
        <v>1.25</v>
      </c>
      <c r="Y133" s="44">
        <f t="shared" si="52"/>
        <v>1.25</v>
      </c>
      <c r="Z133" s="44">
        <f t="shared" si="52"/>
        <v>1.25</v>
      </c>
      <c r="AA133" s="44">
        <f t="shared" si="52"/>
        <v>1.25</v>
      </c>
      <c r="AB133" s="44">
        <f t="shared" si="52"/>
        <v>1.25</v>
      </c>
      <c r="AC133" s="44">
        <f t="shared" si="52"/>
        <v>1.25</v>
      </c>
      <c r="AD133" s="44">
        <f t="shared" si="52"/>
        <v>1.25</v>
      </c>
      <c r="AE133" s="44">
        <f t="shared" si="52"/>
        <v>1.25</v>
      </c>
      <c r="AF133" s="44">
        <f t="shared" si="52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0"/>
        <v>1.1499999999999999</v>
      </c>
      <c r="C134" s="55">
        <v>1.1499999999999999</v>
      </c>
      <c r="D134" s="44">
        <f t="shared" si="51"/>
        <v>1.1499999999999999</v>
      </c>
      <c r="E134" s="44">
        <f t="shared" si="51"/>
        <v>1.1499999999999999</v>
      </c>
      <c r="F134" s="44">
        <f t="shared" si="51"/>
        <v>1.1499999999999999</v>
      </c>
      <c r="G134" s="44">
        <f t="shared" si="51"/>
        <v>1.1499999999999999</v>
      </c>
      <c r="H134" s="44">
        <f t="shared" si="51"/>
        <v>1.1499999999999999</v>
      </c>
      <c r="I134" s="44">
        <f t="shared" si="51"/>
        <v>1.1499999999999999</v>
      </c>
      <c r="J134" s="44">
        <f t="shared" si="51"/>
        <v>1.1499999999999999</v>
      </c>
      <c r="K134" s="44">
        <f t="shared" si="51"/>
        <v>1.1499999999999999</v>
      </c>
      <c r="L134" s="44">
        <f t="shared" si="51"/>
        <v>1.1499999999999999</v>
      </c>
      <c r="M134" s="44">
        <f t="shared" si="51"/>
        <v>1.1499999999999999</v>
      </c>
      <c r="N134" s="44">
        <f t="shared" si="51"/>
        <v>1.1499999999999999</v>
      </c>
      <c r="O134" s="44">
        <f t="shared" si="51"/>
        <v>1.1499999999999999</v>
      </c>
      <c r="P134" s="44">
        <f t="shared" si="51"/>
        <v>1.1499999999999999</v>
      </c>
      <c r="Q134" s="44">
        <f t="shared" si="51"/>
        <v>1.1499999999999999</v>
      </c>
      <c r="R134" s="44">
        <f t="shared" si="51"/>
        <v>1.1499999999999999</v>
      </c>
      <c r="S134" s="44">
        <f t="shared" si="51"/>
        <v>1.1499999999999999</v>
      </c>
      <c r="T134" s="44">
        <f t="shared" si="52"/>
        <v>1.1499999999999999</v>
      </c>
      <c r="U134" s="44">
        <f t="shared" si="52"/>
        <v>1.1499999999999999</v>
      </c>
      <c r="V134" s="44">
        <f t="shared" si="52"/>
        <v>1.1499999999999999</v>
      </c>
      <c r="W134" s="44">
        <f t="shared" si="52"/>
        <v>1.1499999999999999</v>
      </c>
      <c r="X134" s="44">
        <f t="shared" si="52"/>
        <v>1.1499999999999999</v>
      </c>
      <c r="Y134" s="44">
        <f t="shared" si="52"/>
        <v>1.1499999999999999</v>
      </c>
      <c r="Z134" s="44">
        <f t="shared" si="52"/>
        <v>1.1499999999999999</v>
      </c>
      <c r="AA134" s="44">
        <f t="shared" si="52"/>
        <v>1.1499999999999999</v>
      </c>
      <c r="AB134" s="44">
        <f t="shared" si="52"/>
        <v>1.1499999999999999</v>
      </c>
      <c r="AC134" s="44">
        <f t="shared" si="52"/>
        <v>1.1499999999999999</v>
      </c>
      <c r="AD134" s="44">
        <f t="shared" si="52"/>
        <v>1.1499999999999999</v>
      </c>
      <c r="AE134" s="44">
        <f t="shared" si="52"/>
        <v>1.1499999999999999</v>
      </c>
      <c r="AF134" s="44">
        <f t="shared" si="52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0"/>
        <v>2.133</v>
      </c>
      <c r="C135" s="55">
        <v>2.133</v>
      </c>
      <c r="D135" s="44">
        <f t="shared" si="51"/>
        <v>2.133</v>
      </c>
      <c r="E135" s="44">
        <f t="shared" si="51"/>
        <v>2.133</v>
      </c>
      <c r="F135" s="44">
        <f t="shared" si="51"/>
        <v>2.133</v>
      </c>
      <c r="G135" s="44">
        <f t="shared" si="51"/>
        <v>2.133</v>
      </c>
      <c r="H135" s="44">
        <f t="shared" si="51"/>
        <v>2.133</v>
      </c>
      <c r="I135" s="44">
        <f t="shared" si="51"/>
        <v>2.133</v>
      </c>
      <c r="J135" s="44">
        <f t="shared" si="51"/>
        <v>2.133</v>
      </c>
      <c r="K135" s="44">
        <f t="shared" si="51"/>
        <v>2.133</v>
      </c>
      <c r="L135" s="44">
        <f t="shared" si="51"/>
        <v>2.133</v>
      </c>
      <c r="M135" s="44">
        <f t="shared" si="51"/>
        <v>2.133</v>
      </c>
      <c r="N135" s="44">
        <f t="shared" si="51"/>
        <v>2.133</v>
      </c>
      <c r="O135" s="44">
        <f t="shared" si="51"/>
        <v>2.133</v>
      </c>
      <c r="P135" s="44">
        <f t="shared" si="51"/>
        <v>2.133</v>
      </c>
      <c r="Q135" s="44">
        <f t="shared" si="51"/>
        <v>2.133</v>
      </c>
      <c r="R135" s="44">
        <f t="shared" si="51"/>
        <v>2.133</v>
      </c>
      <c r="S135" s="44">
        <f t="shared" si="51"/>
        <v>2.133</v>
      </c>
      <c r="T135" s="44">
        <f t="shared" si="52"/>
        <v>2.133</v>
      </c>
      <c r="U135" s="44">
        <f t="shared" si="52"/>
        <v>2.133</v>
      </c>
      <c r="V135" s="44">
        <f t="shared" si="52"/>
        <v>2.133</v>
      </c>
      <c r="W135" s="44">
        <f t="shared" si="52"/>
        <v>2.133</v>
      </c>
      <c r="X135" s="44">
        <f t="shared" si="52"/>
        <v>2.133</v>
      </c>
      <c r="Y135" s="44">
        <f t="shared" si="52"/>
        <v>2.133</v>
      </c>
      <c r="Z135" s="44">
        <f t="shared" si="52"/>
        <v>2.133</v>
      </c>
      <c r="AA135" s="44">
        <f t="shared" si="52"/>
        <v>2.133</v>
      </c>
      <c r="AB135" s="44">
        <f t="shared" si="52"/>
        <v>2.133</v>
      </c>
      <c r="AC135" s="44">
        <f t="shared" si="52"/>
        <v>2.133</v>
      </c>
      <c r="AD135" s="44">
        <f t="shared" si="52"/>
        <v>2.133</v>
      </c>
      <c r="AE135" s="44">
        <f t="shared" si="52"/>
        <v>2.133</v>
      </c>
      <c r="AF135" s="44">
        <f t="shared" si="52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0"/>
        <v>2.09</v>
      </c>
      <c r="C136" s="55">
        <v>2.09</v>
      </c>
      <c r="D136" s="44">
        <f t="shared" si="51"/>
        <v>2.09</v>
      </c>
      <c r="E136" s="44">
        <f t="shared" si="51"/>
        <v>2.09</v>
      </c>
      <c r="F136" s="44">
        <f t="shared" si="51"/>
        <v>2.09</v>
      </c>
      <c r="G136" s="44">
        <f t="shared" si="51"/>
        <v>2.09</v>
      </c>
      <c r="H136" s="44">
        <f t="shared" si="51"/>
        <v>2.09</v>
      </c>
      <c r="I136" s="44">
        <f t="shared" si="51"/>
        <v>2.09</v>
      </c>
      <c r="J136" s="44">
        <f t="shared" si="51"/>
        <v>2.09</v>
      </c>
      <c r="K136" s="44">
        <f t="shared" si="51"/>
        <v>2.09</v>
      </c>
      <c r="L136" s="44">
        <f t="shared" si="51"/>
        <v>2.09</v>
      </c>
      <c r="M136" s="44">
        <f t="shared" si="51"/>
        <v>2.09</v>
      </c>
      <c r="N136" s="44">
        <f t="shared" si="51"/>
        <v>2.09</v>
      </c>
      <c r="O136" s="44">
        <f t="shared" si="51"/>
        <v>2.09</v>
      </c>
      <c r="P136" s="44">
        <f t="shared" si="51"/>
        <v>2.09</v>
      </c>
      <c r="Q136" s="44">
        <f t="shared" si="51"/>
        <v>2.09</v>
      </c>
      <c r="R136" s="44">
        <f t="shared" si="51"/>
        <v>2.09</v>
      </c>
      <c r="S136" s="44">
        <f t="shared" si="51"/>
        <v>2.09</v>
      </c>
      <c r="T136" s="44">
        <f t="shared" si="52"/>
        <v>2.09</v>
      </c>
      <c r="U136" s="44">
        <f t="shared" si="52"/>
        <v>2.09</v>
      </c>
      <c r="V136" s="44">
        <f t="shared" si="52"/>
        <v>2.09</v>
      </c>
      <c r="W136" s="44">
        <f t="shared" si="52"/>
        <v>2.09</v>
      </c>
      <c r="X136" s="44">
        <f t="shared" si="52"/>
        <v>2.09</v>
      </c>
      <c r="Y136" s="44">
        <f t="shared" si="52"/>
        <v>2.09</v>
      </c>
      <c r="Z136" s="44">
        <f t="shared" si="52"/>
        <v>2.09</v>
      </c>
      <c r="AA136" s="44">
        <f t="shared" si="52"/>
        <v>2.09</v>
      </c>
      <c r="AB136" s="44">
        <f t="shared" si="52"/>
        <v>2.09</v>
      </c>
      <c r="AC136" s="44">
        <f t="shared" si="52"/>
        <v>2.09</v>
      </c>
      <c r="AD136" s="44">
        <f t="shared" si="52"/>
        <v>2.09</v>
      </c>
      <c r="AE136" s="44">
        <f t="shared" si="52"/>
        <v>2.09</v>
      </c>
      <c r="AF136" s="44">
        <f t="shared" si="52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0"/>
        <v>1.1399999999999999</v>
      </c>
      <c r="C137" s="55">
        <v>1.1399999999999999</v>
      </c>
      <c r="D137" s="44">
        <f t="shared" si="51"/>
        <v>1.1399999999999999</v>
      </c>
      <c r="E137" s="44">
        <f t="shared" si="51"/>
        <v>1.1399999999999999</v>
      </c>
      <c r="F137" s="44">
        <f t="shared" si="51"/>
        <v>1.1399999999999999</v>
      </c>
      <c r="G137" s="44">
        <f t="shared" si="51"/>
        <v>1.1399999999999999</v>
      </c>
      <c r="H137" s="44">
        <f t="shared" si="51"/>
        <v>1.1399999999999999</v>
      </c>
      <c r="I137" s="44">
        <f t="shared" si="51"/>
        <v>1.1399999999999999</v>
      </c>
      <c r="J137" s="44">
        <f t="shared" si="51"/>
        <v>1.1399999999999999</v>
      </c>
      <c r="K137" s="44">
        <f t="shared" si="51"/>
        <v>1.1399999999999999</v>
      </c>
      <c r="L137" s="44">
        <f t="shared" si="51"/>
        <v>1.1399999999999999</v>
      </c>
      <c r="M137" s="44">
        <f t="shared" si="51"/>
        <v>1.1399999999999999</v>
      </c>
      <c r="N137" s="44">
        <f t="shared" si="51"/>
        <v>1.1399999999999999</v>
      </c>
      <c r="O137" s="44">
        <f t="shared" si="51"/>
        <v>1.1399999999999999</v>
      </c>
      <c r="P137" s="44">
        <f t="shared" si="51"/>
        <v>1.1399999999999999</v>
      </c>
      <c r="Q137" s="44">
        <f t="shared" si="51"/>
        <v>1.1399999999999999</v>
      </c>
      <c r="R137" s="44">
        <f t="shared" si="51"/>
        <v>1.1399999999999999</v>
      </c>
      <c r="S137" s="44">
        <f t="shared" si="51"/>
        <v>1.1399999999999999</v>
      </c>
      <c r="T137" s="44">
        <f t="shared" si="52"/>
        <v>1.1399999999999999</v>
      </c>
      <c r="U137" s="44">
        <f t="shared" si="52"/>
        <v>1.1399999999999999</v>
      </c>
      <c r="V137" s="44">
        <f t="shared" si="52"/>
        <v>1.1399999999999999</v>
      </c>
      <c r="W137" s="44">
        <f t="shared" si="52"/>
        <v>1.1399999999999999</v>
      </c>
      <c r="X137" s="44">
        <f t="shared" si="52"/>
        <v>1.1399999999999999</v>
      </c>
      <c r="Y137" s="44">
        <f t="shared" si="52"/>
        <v>1.1399999999999999</v>
      </c>
      <c r="Z137" s="44">
        <f t="shared" si="52"/>
        <v>1.1399999999999999</v>
      </c>
      <c r="AA137" s="44">
        <f t="shared" si="52"/>
        <v>1.1399999999999999</v>
      </c>
      <c r="AB137" s="44">
        <f t="shared" si="52"/>
        <v>1.1399999999999999</v>
      </c>
      <c r="AC137" s="44">
        <f t="shared" si="52"/>
        <v>1.1399999999999999</v>
      </c>
      <c r="AD137" s="44">
        <f t="shared" si="52"/>
        <v>1.1399999999999999</v>
      </c>
      <c r="AE137" s="44">
        <f t="shared" si="52"/>
        <v>1.1399999999999999</v>
      </c>
      <c r="AF137" s="44">
        <f t="shared" si="5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0"/>
        <v>0.82</v>
      </c>
      <c r="C138" s="55">
        <v>0.82</v>
      </c>
      <c r="D138" s="44">
        <f t="shared" si="51"/>
        <v>0.82</v>
      </c>
      <c r="E138" s="44">
        <f t="shared" si="51"/>
        <v>0.82</v>
      </c>
      <c r="F138" s="44">
        <f t="shared" si="51"/>
        <v>0.82</v>
      </c>
      <c r="G138" s="44">
        <f t="shared" si="51"/>
        <v>0.82</v>
      </c>
      <c r="H138" s="44">
        <f t="shared" si="51"/>
        <v>0.82</v>
      </c>
      <c r="I138" s="44">
        <f t="shared" si="51"/>
        <v>0.82</v>
      </c>
      <c r="J138" s="44">
        <f t="shared" si="51"/>
        <v>0.82</v>
      </c>
      <c r="K138" s="44">
        <f t="shared" si="51"/>
        <v>0.82</v>
      </c>
      <c r="L138" s="44">
        <f t="shared" si="51"/>
        <v>0.82</v>
      </c>
      <c r="M138" s="44">
        <f t="shared" si="51"/>
        <v>0.82</v>
      </c>
      <c r="N138" s="44">
        <f t="shared" si="51"/>
        <v>0.82</v>
      </c>
      <c r="O138" s="44">
        <f t="shared" si="51"/>
        <v>0.82</v>
      </c>
      <c r="P138" s="44">
        <f t="shared" si="51"/>
        <v>0.82</v>
      </c>
      <c r="Q138" s="44">
        <f t="shared" si="51"/>
        <v>0.82</v>
      </c>
      <c r="R138" s="44">
        <f t="shared" si="51"/>
        <v>0.82</v>
      </c>
      <c r="S138" s="44">
        <f t="shared" si="51"/>
        <v>0.82</v>
      </c>
      <c r="T138" s="44">
        <f t="shared" si="52"/>
        <v>0.82</v>
      </c>
      <c r="U138" s="44">
        <f t="shared" si="52"/>
        <v>0.82</v>
      </c>
      <c r="V138" s="44">
        <f t="shared" si="52"/>
        <v>0.82</v>
      </c>
      <c r="W138" s="44">
        <f t="shared" si="52"/>
        <v>0.82</v>
      </c>
      <c r="X138" s="44">
        <f t="shared" si="52"/>
        <v>0.82</v>
      </c>
      <c r="Y138" s="44">
        <f t="shared" si="52"/>
        <v>0.82</v>
      </c>
      <c r="Z138" s="44">
        <f t="shared" si="52"/>
        <v>0.82</v>
      </c>
      <c r="AA138" s="44">
        <f t="shared" si="52"/>
        <v>0.82</v>
      </c>
      <c r="AB138" s="44">
        <f t="shared" si="52"/>
        <v>0.82</v>
      </c>
      <c r="AC138" s="44">
        <f t="shared" si="52"/>
        <v>0.82</v>
      </c>
      <c r="AD138" s="44">
        <f t="shared" si="52"/>
        <v>0.82</v>
      </c>
      <c r="AE138" s="44">
        <f t="shared" si="52"/>
        <v>0.82</v>
      </c>
      <c r="AF138" s="44">
        <f t="shared" si="52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3">AF140</f>
        <v>2</v>
      </c>
      <c r="C140" s="55">
        <v>2</v>
      </c>
      <c r="D140" s="44">
        <f t="shared" ref="D140:S146" si="54">C140</f>
        <v>2</v>
      </c>
      <c r="E140" s="44">
        <f t="shared" si="54"/>
        <v>2</v>
      </c>
      <c r="F140" s="44">
        <f t="shared" si="54"/>
        <v>2</v>
      </c>
      <c r="G140" s="44">
        <f t="shared" si="54"/>
        <v>2</v>
      </c>
      <c r="H140" s="44">
        <f t="shared" si="54"/>
        <v>2</v>
      </c>
      <c r="I140" s="44">
        <f t="shared" si="54"/>
        <v>2</v>
      </c>
      <c r="J140" s="44">
        <f t="shared" si="54"/>
        <v>2</v>
      </c>
      <c r="K140" s="44">
        <f t="shared" si="54"/>
        <v>2</v>
      </c>
      <c r="L140" s="44">
        <f t="shared" si="54"/>
        <v>2</v>
      </c>
      <c r="M140" s="44">
        <f t="shared" si="54"/>
        <v>2</v>
      </c>
      <c r="N140" s="44">
        <f t="shared" si="54"/>
        <v>2</v>
      </c>
      <c r="O140" s="44">
        <f t="shared" si="54"/>
        <v>2</v>
      </c>
      <c r="P140" s="44">
        <f t="shared" si="54"/>
        <v>2</v>
      </c>
      <c r="Q140" s="44">
        <f t="shared" si="54"/>
        <v>2</v>
      </c>
      <c r="R140" s="44">
        <f t="shared" si="54"/>
        <v>2</v>
      </c>
      <c r="S140" s="44">
        <f t="shared" si="54"/>
        <v>2</v>
      </c>
      <c r="T140" s="44">
        <f t="shared" ref="T140:AF146" si="55">S140</f>
        <v>2</v>
      </c>
      <c r="U140" s="44">
        <f t="shared" si="55"/>
        <v>2</v>
      </c>
      <c r="V140" s="44">
        <f t="shared" si="55"/>
        <v>2</v>
      </c>
      <c r="W140" s="44">
        <f t="shared" si="55"/>
        <v>2</v>
      </c>
      <c r="X140" s="44">
        <f t="shared" si="55"/>
        <v>2</v>
      </c>
      <c r="Y140" s="44">
        <f t="shared" si="55"/>
        <v>2</v>
      </c>
      <c r="Z140" s="44">
        <f t="shared" si="55"/>
        <v>2</v>
      </c>
      <c r="AA140" s="44">
        <f t="shared" si="55"/>
        <v>2</v>
      </c>
      <c r="AB140" s="44">
        <f t="shared" si="55"/>
        <v>2</v>
      </c>
      <c r="AC140" s="44">
        <f t="shared" si="55"/>
        <v>2</v>
      </c>
      <c r="AD140" s="44">
        <f t="shared" si="55"/>
        <v>2</v>
      </c>
      <c r="AE140" s="44">
        <f t="shared" si="55"/>
        <v>2</v>
      </c>
      <c r="AF140" s="44">
        <f t="shared" si="5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3"/>
        <v>5.61</v>
      </c>
      <c r="C141" s="55">
        <v>5.61</v>
      </c>
      <c r="D141" s="44">
        <f t="shared" si="54"/>
        <v>5.61</v>
      </c>
      <c r="E141" s="44">
        <f t="shared" si="54"/>
        <v>5.61</v>
      </c>
      <c r="F141" s="44">
        <f t="shared" si="54"/>
        <v>5.61</v>
      </c>
      <c r="G141" s="44">
        <f t="shared" si="54"/>
        <v>5.61</v>
      </c>
      <c r="H141" s="44">
        <f t="shared" si="54"/>
        <v>5.61</v>
      </c>
      <c r="I141" s="44">
        <f t="shared" si="54"/>
        <v>5.61</v>
      </c>
      <c r="J141" s="44">
        <f t="shared" si="54"/>
        <v>5.61</v>
      </c>
      <c r="K141" s="44">
        <f t="shared" si="54"/>
        <v>5.61</v>
      </c>
      <c r="L141" s="44">
        <f t="shared" si="54"/>
        <v>5.61</v>
      </c>
      <c r="M141" s="44">
        <f t="shared" si="54"/>
        <v>5.61</v>
      </c>
      <c r="N141" s="44">
        <f t="shared" si="54"/>
        <v>5.61</v>
      </c>
      <c r="O141" s="44">
        <f t="shared" si="54"/>
        <v>5.61</v>
      </c>
      <c r="P141" s="44">
        <f t="shared" si="54"/>
        <v>5.61</v>
      </c>
      <c r="Q141" s="44">
        <f t="shared" si="54"/>
        <v>5.61</v>
      </c>
      <c r="R141" s="44">
        <f t="shared" si="54"/>
        <v>5.61</v>
      </c>
      <c r="S141" s="44">
        <f t="shared" si="54"/>
        <v>5.61</v>
      </c>
      <c r="T141" s="44">
        <f t="shared" si="55"/>
        <v>5.61</v>
      </c>
      <c r="U141" s="44">
        <f t="shared" si="55"/>
        <v>5.61</v>
      </c>
      <c r="V141" s="44">
        <f t="shared" si="55"/>
        <v>5.61</v>
      </c>
      <c r="W141" s="44">
        <f t="shared" si="55"/>
        <v>5.61</v>
      </c>
      <c r="X141" s="44">
        <f t="shared" si="55"/>
        <v>5.61</v>
      </c>
      <c r="Y141" s="44">
        <f t="shared" si="55"/>
        <v>5.61</v>
      </c>
      <c r="Z141" s="44">
        <f t="shared" si="55"/>
        <v>5.61</v>
      </c>
      <c r="AA141" s="44">
        <f t="shared" si="55"/>
        <v>5.61</v>
      </c>
      <c r="AB141" s="44">
        <f t="shared" si="55"/>
        <v>5.61</v>
      </c>
      <c r="AC141" s="44">
        <f t="shared" si="55"/>
        <v>5.61</v>
      </c>
      <c r="AD141" s="44">
        <f t="shared" si="55"/>
        <v>5.61</v>
      </c>
      <c r="AE141" s="44">
        <f t="shared" si="55"/>
        <v>5.61</v>
      </c>
      <c r="AF141" s="44">
        <f t="shared" si="55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3"/>
        <v>1.25</v>
      </c>
      <c r="C142" s="55">
        <v>1.25</v>
      </c>
      <c r="D142" s="44">
        <f t="shared" si="54"/>
        <v>1.25</v>
      </c>
      <c r="E142" s="44">
        <f t="shared" si="54"/>
        <v>1.25</v>
      </c>
      <c r="F142" s="44">
        <f t="shared" si="54"/>
        <v>1.25</v>
      </c>
      <c r="G142" s="44">
        <f t="shared" si="54"/>
        <v>1.25</v>
      </c>
      <c r="H142" s="44">
        <f t="shared" si="54"/>
        <v>1.25</v>
      </c>
      <c r="I142" s="44">
        <f t="shared" si="54"/>
        <v>1.25</v>
      </c>
      <c r="J142" s="44">
        <f t="shared" si="54"/>
        <v>1.25</v>
      </c>
      <c r="K142" s="44">
        <f t="shared" si="54"/>
        <v>1.25</v>
      </c>
      <c r="L142" s="44">
        <f t="shared" si="54"/>
        <v>1.25</v>
      </c>
      <c r="M142" s="44">
        <f t="shared" si="54"/>
        <v>1.25</v>
      </c>
      <c r="N142" s="44">
        <f t="shared" si="54"/>
        <v>1.25</v>
      </c>
      <c r="O142" s="44">
        <f t="shared" si="54"/>
        <v>1.25</v>
      </c>
      <c r="P142" s="44">
        <f t="shared" si="54"/>
        <v>1.25</v>
      </c>
      <c r="Q142" s="44">
        <f t="shared" si="54"/>
        <v>1.25</v>
      </c>
      <c r="R142" s="44">
        <f t="shared" si="54"/>
        <v>1.25</v>
      </c>
      <c r="S142" s="44">
        <f t="shared" si="54"/>
        <v>1.25</v>
      </c>
      <c r="T142" s="44">
        <f t="shared" si="55"/>
        <v>1.25</v>
      </c>
      <c r="U142" s="44">
        <f t="shared" si="55"/>
        <v>1.25</v>
      </c>
      <c r="V142" s="44">
        <f t="shared" si="55"/>
        <v>1.25</v>
      </c>
      <c r="W142" s="44">
        <f t="shared" si="55"/>
        <v>1.25</v>
      </c>
      <c r="X142" s="44">
        <f t="shared" si="55"/>
        <v>1.25</v>
      </c>
      <c r="Y142" s="44">
        <f t="shared" si="55"/>
        <v>1.25</v>
      </c>
      <c r="Z142" s="44">
        <f t="shared" si="55"/>
        <v>1.25</v>
      </c>
      <c r="AA142" s="44">
        <f t="shared" si="55"/>
        <v>1.25</v>
      </c>
      <c r="AB142" s="44">
        <f t="shared" si="55"/>
        <v>1.25</v>
      </c>
      <c r="AC142" s="44">
        <f t="shared" si="55"/>
        <v>1.25</v>
      </c>
      <c r="AD142" s="44">
        <f t="shared" si="55"/>
        <v>1.25</v>
      </c>
      <c r="AE142" s="44">
        <f t="shared" si="55"/>
        <v>1.25</v>
      </c>
      <c r="AF142" s="44">
        <f t="shared" si="55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3"/>
        <v>1.25</v>
      </c>
      <c r="C143" s="55">
        <v>1.25</v>
      </c>
      <c r="D143" s="44">
        <f t="shared" si="54"/>
        <v>1.25</v>
      </c>
      <c r="E143" s="44">
        <f t="shared" si="54"/>
        <v>1.25</v>
      </c>
      <c r="F143" s="44">
        <f t="shared" si="54"/>
        <v>1.25</v>
      </c>
      <c r="G143" s="44">
        <f t="shared" si="54"/>
        <v>1.25</v>
      </c>
      <c r="H143" s="44">
        <f t="shared" si="54"/>
        <v>1.25</v>
      </c>
      <c r="I143" s="44">
        <f t="shared" si="54"/>
        <v>1.25</v>
      </c>
      <c r="J143" s="44">
        <f t="shared" si="54"/>
        <v>1.25</v>
      </c>
      <c r="K143" s="44">
        <f t="shared" si="54"/>
        <v>1.25</v>
      </c>
      <c r="L143" s="44">
        <f t="shared" si="54"/>
        <v>1.25</v>
      </c>
      <c r="M143" s="44">
        <f t="shared" si="54"/>
        <v>1.25</v>
      </c>
      <c r="N143" s="44">
        <f t="shared" si="54"/>
        <v>1.25</v>
      </c>
      <c r="O143" s="44">
        <f t="shared" si="54"/>
        <v>1.25</v>
      </c>
      <c r="P143" s="44">
        <f t="shared" si="54"/>
        <v>1.25</v>
      </c>
      <c r="Q143" s="44">
        <f t="shared" si="54"/>
        <v>1.25</v>
      </c>
      <c r="R143" s="44">
        <f t="shared" si="54"/>
        <v>1.25</v>
      </c>
      <c r="S143" s="44">
        <f t="shared" si="54"/>
        <v>1.25</v>
      </c>
      <c r="T143" s="44">
        <f t="shared" si="55"/>
        <v>1.25</v>
      </c>
      <c r="U143" s="44">
        <f t="shared" si="55"/>
        <v>1.25</v>
      </c>
      <c r="V143" s="44">
        <f t="shared" si="55"/>
        <v>1.25</v>
      </c>
      <c r="W143" s="44">
        <f t="shared" si="55"/>
        <v>1.25</v>
      </c>
      <c r="X143" s="44">
        <f t="shared" si="55"/>
        <v>1.25</v>
      </c>
      <c r="Y143" s="44">
        <f t="shared" si="55"/>
        <v>1.25</v>
      </c>
      <c r="Z143" s="44">
        <f t="shared" si="55"/>
        <v>1.25</v>
      </c>
      <c r="AA143" s="44">
        <f t="shared" si="55"/>
        <v>1.25</v>
      </c>
      <c r="AB143" s="44">
        <f t="shared" si="55"/>
        <v>1.25</v>
      </c>
      <c r="AC143" s="44">
        <f t="shared" si="55"/>
        <v>1.25</v>
      </c>
      <c r="AD143" s="44">
        <f t="shared" si="55"/>
        <v>1.25</v>
      </c>
      <c r="AE143" s="44">
        <f t="shared" si="55"/>
        <v>1.25</v>
      </c>
      <c r="AF143" s="44">
        <f t="shared" si="55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3"/>
        <v>1.46</v>
      </c>
      <c r="C144" s="55">
        <v>1.46</v>
      </c>
      <c r="D144" s="44">
        <f t="shared" si="54"/>
        <v>1.46</v>
      </c>
      <c r="E144" s="44">
        <f t="shared" si="54"/>
        <v>1.46</v>
      </c>
      <c r="F144" s="44">
        <f t="shared" si="54"/>
        <v>1.46</v>
      </c>
      <c r="G144" s="44">
        <f t="shared" si="54"/>
        <v>1.46</v>
      </c>
      <c r="H144" s="44">
        <f t="shared" si="54"/>
        <v>1.46</v>
      </c>
      <c r="I144" s="44">
        <f t="shared" si="54"/>
        <v>1.46</v>
      </c>
      <c r="J144" s="44">
        <f t="shared" si="54"/>
        <v>1.46</v>
      </c>
      <c r="K144" s="44">
        <f t="shared" si="54"/>
        <v>1.46</v>
      </c>
      <c r="L144" s="44">
        <f t="shared" si="54"/>
        <v>1.46</v>
      </c>
      <c r="M144" s="44">
        <f t="shared" si="54"/>
        <v>1.46</v>
      </c>
      <c r="N144" s="44">
        <f t="shared" si="54"/>
        <v>1.46</v>
      </c>
      <c r="O144" s="44">
        <f t="shared" si="54"/>
        <v>1.46</v>
      </c>
      <c r="P144" s="44">
        <f t="shared" si="54"/>
        <v>1.46</v>
      </c>
      <c r="Q144" s="44">
        <f t="shared" si="54"/>
        <v>1.46</v>
      </c>
      <c r="R144" s="44">
        <f t="shared" si="54"/>
        <v>1.46</v>
      </c>
      <c r="S144" s="44">
        <f t="shared" si="54"/>
        <v>1.46</v>
      </c>
      <c r="T144" s="44">
        <f t="shared" si="55"/>
        <v>1.46</v>
      </c>
      <c r="U144" s="44">
        <f t="shared" si="55"/>
        <v>1.46</v>
      </c>
      <c r="V144" s="44">
        <f t="shared" si="55"/>
        <v>1.46</v>
      </c>
      <c r="W144" s="44">
        <f t="shared" si="55"/>
        <v>1.46</v>
      </c>
      <c r="X144" s="44">
        <f t="shared" si="55"/>
        <v>1.46</v>
      </c>
      <c r="Y144" s="44">
        <f t="shared" si="55"/>
        <v>1.46</v>
      </c>
      <c r="Z144" s="44">
        <f t="shared" si="55"/>
        <v>1.46</v>
      </c>
      <c r="AA144" s="44">
        <f t="shared" si="55"/>
        <v>1.46</v>
      </c>
      <c r="AB144" s="44">
        <f t="shared" si="55"/>
        <v>1.46</v>
      </c>
      <c r="AC144" s="44">
        <f t="shared" si="55"/>
        <v>1.46</v>
      </c>
      <c r="AD144" s="44">
        <f t="shared" si="55"/>
        <v>1.46</v>
      </c>
      <c r="AE144" s="44">
        <f t="shared" si="55"/>
        <v>1.46</v>
      </c>
      <c r="AF144" s="44">
        <f t="shared" si="55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3"/>
        <v>3</v>
      </c>
      <c r="C145" s="55">
        <v>3</v>
      </c>
      <c r="D145" s="44">
        <f t="shared" si="54"/>
        <v>3</v>
      </c>
      <c r="E145" s="44">
        <f t="shared" si="54"/>
        <v>3</v>
      </c>
      <c r="F145" s="44">
        <f t="shared" si="54"/>
        <v>3</v>
      </c>
      <c r="G145" s="44">
        <f t="shared" si="54"/>
        <v>3</v>
      </c>
      <c r="H145" s="44">
        <f t="shared" si="54"/>
        <v>3</v>
      </c>
      <c r="I145" s="44">
        <f t="shared" si="54"/>
        <v>3</v>
      </c>
      <c r="J145" s="44">
        <f t="shared" si="54"/>
        <v>3</v>
      </c>
      <c r="K145" s="44">
        <f t="shared" si="54"/>
        <v>3</v>
      </c>
      <c r="L145" s="44">
        <f t="shared" si="54"/>
        <v>3</v>
      </c>
      <c r="M145" s="44">
        <f t="shared" si="54"/>
        <v>3</v>
      </c>
      <c r="N145" s="44">
        <f t="shared" si="54"/>
        <v>3</v>
      </c>
      <c r="O145" s="44">
        <f t="shared" si="54"/>
        <v>3</v>
      </c>
      <c r="P145" s="44">
        <f t="shared" si="54"/>
        <v>3</v>
      </c>
      <c r="Q145" s="44">
        <f t="shared" si="54"/>
        <v>3</v>
      </c>
      <c r="R145" s="44">
        <f t="shared" si="54"/>
        <v>3</v>
      </c>
      <c r="S145" s="44">
        <f t="shared" si="54"/>
        <v>3</v>
      </c>
      <c r="T145" s="44">
        <f t="shared" si="55"/>
        <v>3</v>
      </c>
      <c r="U145" s="44">
        <f t="shared" si="55"/>
        <v>3</v>
      </c>
      <c r="V145" s="44">
        <f t="shared" si="55"/>
        <v>3</v>
      </c>
      <c r="W145" s="44">
        <f t="shared" si="55"/>
        <v>3</v>
      </c>
      <c r="X145" s="44">
        <f t="shared" si="55"/>
        <v>3</v>
      </c>
      <c r="Y145" s="44">
        <f t="shared" si="55"/>
        <v>3</v>
      </c>
      <c r="Z145" s="44">
        <f t="shared" si="55"/>
        <v>3</v>
      </c>
      <c r="AA145" s="44">
        <f t="shared" si="55"/>
        <v>3</v>
      </c>
      <c r="AB145" s="44">
        <f t="shared" si="55"/>
        <v>3</v>
      </c>
      <c r="AC145" s="44">
        <f t="shared" si="55"/>
        <v>3</v>
      </c>
      <c r="AD145" s="44">
        <f t="shared" si="55"/>
        <v>3</v>
      </c>
      <c r="AE145" s="44">
        <f t="shared" si="55"/>
        <v>3</v>
      </c>
      <c r="AF145" s="44">
        <f t="shared" si="55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3"/>
        <v>3.3</v>
      </c>
      <c r="C146" s="55">
        <v>3.3</v>
      </c>
      <c r="D146" s="44">
        <f t="shared" si="54"/>
        <v>3.3</v>
      </c>
      <c r="E146" s="44">
        <f t="shared" si="54"/>
        <v>3.3</v>
      </c>
      <c r="F146" s="44">
        <f t="shared" si="54"/>
        <v>3.3</v>
      </c>
      <c r="G146" s="44">
        <f t="shared" si="54"/>
        <v>3.3</v>
      </c>
      <c r="H146" s="44">
        <f t="shared" si="54"/>
        <v>3.3</v>
      </c>
      <c r="I146" s="44">
        <f t="shared" si="54"/>
        <v>3.3</v>
      </c>
      <c r="J146" s="44">
        <f t="shared" si="54"/>
        <v>3.3</v>
      </c>
      <c r="K146" s="44">
        <f t="shared" si="54"/>
        <v>3.3</v>
      </c>
      <c r="L146" s="44">
        <f t="shared" si="54"/>
        <v>3.3</v>
      </c>
      <c r="M146" s="44">
        <f t="shared" si="54"/>
        <v>3.3</v>
      </c>
      <c r="N146" s="44">
        <f t="shared" si="54"/>
        <v>3.3</v>
      </c>
      <c r="O146" s="44">
        <f t="shared" si="54"/>
        <v>3.3</v>
      </c>
      <c r="P146" s="44">
        <f t="shared" si="54"/>
        <v>3.3</v>
      </c>
      <c r="Q146" s="44">
        <f t="shared" si="54"/>
        <v>3.3</v>
      </c>
      <c r="R146" s="44">
        <f t="shared" si="54"/>
        <v>3.3</v>
      </c>
      <c r="S146" s="44">
        <f t="shared" si="54"/>
        <v>3.3</v>
      </c>
      <c r="T146" s="44">
        <f t="shared" si="55"/>
        <v>3.3</v>
      </c>
      <c r="U146" s="44">
        <f t="shared" si="55"/>
        <v>3.3</v>
      </c>
      <c r="V146" s="44">
        <f t="shared" si="55"/>
        <v>3.3</v>
      </c>
      <c r="W146" s="44">
        <f t="shared" si="55"/>
        <v>3.3</v>
      </c>
      <c r="X146" s="44">
        <f t="shared" si="55"/>
        <v>3.3</v>
      </c>
      <c r="Y146" s="44">
        <f t="shared" si="55"/>
        <v>3.3</v>
      </c>
      <c r="Z146" s="44">
        <f t="shared" si="55"/>
        <v>3.3</v>
      </c>
      <c r="AA146" s="44">
        <f t="shared" si="55"/>
        <v>3.3</v>
      </c>
      <c r="AB146" s="44">
        <f t="shared" si="55"/>
        <v>3.3</v>
      </c>
      <c r="AC146" s="44">
        <f t="shared" si="55"/>
        <v>3.3</v>
      </c>
      <c r="AD146" s="44">
        <f t="shared" si="55"/>
        <v>3.3</v>
      </c>
      <c r="AE146" s="44">
        <f t="shared" si="55"/>
        <v>3.3</v>
      </c>
      <c r="AF146" s="44">
        <f t="shared" si="55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6">C148</f>
        <v>1.76</v>
      </c>
      <c r="E148" s="44">
        <f t="shared" si="56"/>
        <v>1.76</v>
      </c>
      <c r="F148" s="44">
        <f t="shared" si="56"/>
        <v>1.76</v>
      </c>
      <c r="G148" s="44">
        <f t="shared" si="56"/>
        <v>1.76</v>
      </c>
      <c r="H148" s="44">
        <f t="shared" si="56"/>
        <v>1.76</v>
      </c>
      <c r="I148" s="44">
        <f t="shared" si="56"/>
        <v>1.76</v>
      </c>
      <c r="J148" s="44">
        <f t="shared" si="56"/>
        <v>1.76</v>
      </c>
      <c r="K148" s="44">
        <f t="shared" si="56"/>
        <v>1.76</v>
      </c>
      <c r="L148" s="44">
        <f t="shared" si="56"/>
        <v>1.76</v>
      </c>
      <c r="M148" s="44">
        <f t="shared" si="56"/>
        <v>1.76</v>
      </c>
      <c r="N148" s="44">
        <f t="shared" si="56"/>
        <v>1.76</v>
      </c>
      <c r="O148" s="44">
        <f t="shared" si="56"/>
        <v>1.76</v>
      </c>
      <c r="P148" s="44">
        <f t="shared" si="56"/>
        <v>1.76</v>
      </c>
      <c r="Q148" s="44">
        <f t="shared" si="56"/>
        <v>1.76</v>
      </c>
      <c r="R148" s="44">
        <f t="shared" si="56"/>
        <v>1.76</v>
      </c>
      <c r="S148" s="44">
        <f t="shared" si="56"/>
        <v>1.76</v>
      </c>
      <c r="T148" s="44">
        <f t="shared" ref="T148:AF149" si="57">S148</f>
        <v>1.76</v>
      </c>
      <c r="U148" s="44">
        <f t="shared" si="57"/>
        <v>1.76</v>
      </c>
      <c r="V148" s="44">
        <f t="shared" si="57"/>
        <v>1.76</v>
      </c>
      <c r="W148" s="44">
        <f t="shared" si="57"/>
        <v>1.76</v>
      </c>
      <c r="X148" s="44">
        <f t="shared" si="57"/>
        <v>1.76</v>
      </c>
      <c r="Y148" s="44">
        <f t="shared" si="57"/>
        <v>1.76</v>
      </c>
      <c r="Z148" s="44">
        <f t="shared" si="57"/>
        <v>1.76</v>
      </c>
      <c r="AA148" s="44">
        <f t="shared" si="57"/>
        <v>1.76</v>
      </c>
      <c r="AB148" s="44">
        <f t="shared" si="57"/>
        <v>1.76</v>
      </c>
      <c r="AC148" s="44">
        <f t="shared" si="57"/>
        <v>1.76</v>
      </c>
      <c r="AD148" s="44">
        <f t="shared" si="57"/>
        <v>1.76</v>
      </c>
      <c r="AE148" s="44">
        <f t="shared" si="57"/>
        <v>1.76</v>
      </c>
      <c r="AF148" s="44">
        <f t="shared" si="57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6"/>
        <v>0</v>
      </c>
      <c r="E149" s="44">
        <f t="shared" si="56"/>
        <v>0</v>
      </c>
      <c r="F149" s="44">
        <f t="shared" si="56"/>
        <v>0</v>
      </c>
      <c r="G149" s="44">
        <f t="shared" si="56"/>
        <v>0</v>
      </c>
      <c r="H149" s="44">
        <f t="shared" si="56"/>
        <v>0</v>
      </c>
      <c r="I149" s="44">
        <f t="shared" si="56"/>
        <v>0</v>
      </c>
      <c r="J149" s="44">
        <f t="shared" si="56"/>
        <v>0</v>
      </c>
      <c r="K149" s="44">
        <f t="shared" si="56"/>
        <v>0</v>
      </c>
      <c r="L149" s="44">
        <f t="shared" si="56"/>
        <v>0</v>
      </c>
      <c r="M149" s="44">
        <f t="shared" si="56"/>
        <v>0</v>
      </c>
      <c r="N149" s="44">
        <f t="shared" si="56"/>
        <v>0</v>
      </c>
      <c r="O149" s="44">
        <f t="shared" si="56"/>
        <v>0</v>
      </c>
      <c r="P149" s="44">
        <f t="shared" si="56"/>
        <v>0</v>
      </c>
      <c r="Q149" s="44">
        <f t="shared" si="56"/>
        <v>0</v>
      </c>
      <c r="R149" s="44">
        <f t="shared" si="56"/>
        <v>0</v>
      </c>
      <c r="S149" s="44">
        <f t="shared" si="56"/>
        <v>0</v>
      </c>
      <c r="T149" s="44">
        <f t="shared" si="57"/>
        <v>0</v>
      </c>
      <c r="U149" s="44">
        <f t="shared" si="57"/>
        <v>0</v>
      </c>
      <c r="V149" s="44">
        <f t="shared" si="57"/>
        <v>0</v>
      </c>
      <c r="W149" s="44">
        <f t="shared" si="57"/>
        <v>0</v>
      </c>
      <c r="X149" s="44">
        <f t="shared" si="57"/>
        <v>0</v>
      </c>
      <c r="Y149" s="44">
        <f t="shared" si="57"/>
        <v>0</v>
      </c>
      <c r="Z149" s="44">
        <f t="shared" si="57"/>
        <v>0</v>
      </c>
      <c r="AA149" s="44">
        <f t="shared" si="57"/>
        <v>0</v>
      </c>
      <c r="AB149" s="44">
        <f t="shared" si="57"/>
        <v>0</v>
      </c>
      <c r="AC149" s="44">
        <f t="shared" si="57"/>
        <v>0</v>
      </c>
      <c r="AD149" s="44">
        <f t="shared" si="57"/>
        <v>0</v>
      </c>
      <c r="AE149" s="44">
        <f t="shared" si="57"/>
        <v>0</v>
      </c>
      <c r="AF149" s="44">
        <f t="shared" si="57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8">C151</f>
        <v>0.1</v>
      </c>
      <c r="E151" s="44">
        <f t="shared" si="58"/>
        <v>0.1</v>
      </c>
      <c r="F151" s="44">
        <f t="shared" si="58"/>
        <v>0.1</v>
      </c>
      <c r="G151" s="44">
        <f t="shared" si="58"/>
        <v>0.1</v>
      </c>
      <c r="H151" s="44">
        <f t="shared" si="58"/>
        <v>0.1</v>
      </c>
      <c r="I151" s="44">
        <f t="shared" si="58"/>
        <v>0.1</v>
      </c>
      <c r="J151" s="44">
        <f t="shared" si="58"/>
        <v>0.1</v>
      </c>
      <c r="K151" s="44">
        <f t="shared" si="58"/>
        <v>0.1</v>
      </c>
      <c r="L151" s="44">
        <f t="shared" si="58"/>
        <v>0.1</v>
      </c>
      <c r="M151" s="44">
        <f t="shared" si="58"/>
        <v>0.1</v>
      </c>
      <c r="N151" s="44">
        <f t="shared" si="58"/>
        <v>0.1</v>
      </c>
      <c r="O151" s="44">
        <f t="shared" si="58"/>
        <v>0.1</v>
      </c>
      <c r="P151" s="44">
        <f t="shared" si="58"/>
        <v>0.1</v>
      </c>
      <c r="Q151" s="44">
        <f t="shared" si="58"/>
        <v>0.1</v>
      </c>
      <c r="R151" s="44">
        <f t="shared" si="58"/>
        <v>0.1</v>
      </c>
      <c r="S151" s="44">
        <f t="shared" si="58"/>
        <v>0.1</v>
      </c>
      <c r="T151" s="44">
        <f t="shared" ref="T151:AF154" si="59">S151</f>
        <v>0.1</v>
      </c>
      <c r="U151" s="44">
        <f t="shared" si="59"/>
        <v>0.1</v>
      </c>
      <c r="V151" s="44">
        <f t="shared" si="59"/>
        <v>0.1</v>
      </c>
      <c r="W151" s="44">
        <f t="shared" si="59"/>
        <v>0.1</v>
      </c>
      <c r="X151" s="44">
        <f t="shared" si="59"/>
        <v>0.1</v>
      </c>
      <c r="Y151" s="44">
        <f t="shared" si="59"/>
        <v>0.1</v>
      </c>
      <c r="Z151" s="44">
        <f t="shared" si="59"/>
        <v>0.1</v>
      </c>
      <c r="AA151" s="44">
        <f t="shared" si="59"/>
        <v>0.1</v>
      </c>
      <c r="AB151" s="44">
        <f t="shared" si="59"/>
        <v>0.1</v>
      </c>
      <c r="AC151" s="44">
        <f t="shared" si="59"/>
        <v>0.1</v>
      </c>
      <c r="AD151" s="44">
        <f t="shared" si="59"/>
        <v>0.1</v>
      </c>
      <c r="AE151" s="44">
        <f t="shared" si="59"/>
        <v>0.1</v>
      </c>
      <c r="AF151" s="44">
        <f t="shared" si="59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8"/>
        <v>2.0499999999999998</v>
      </c>
      <c r="E152" s="44">
        <f t="shared" si="58"/>
        <v>2.0499999999999998</v>
      </c>
      <c r="F152" s="44">
        <f t="shared" si="58"/>
        <v>2.0499999999999998</v>
      </c>
      <c r="G152" s="44">
        <f t="shared" si="58"/>
        <v>2.0499999999999998</v>
      </c>
      <c r="H152" s="44">
        <f t="shared" si="58"/>
        <v>2.0499999999999998</v>
      </c>
      <c r="I152" s="44">
        <f t="shared" si="58"/>
        <v>2.0499999999999998</v>
      </c>
      <c r="J152" s="44">
        <f t="shared" si="58"/>
        <v>2.0499999999999998</v>
      </c>
      <c r="K152" s="44">
        <f t="shared" si="58"/>
        <v>2.0499999999999998</v>
      </c>
      <c r="L152" s="44">
        <f t="shared" si="58"/>
        <v>2.0499999999999998</v>
      </c>
      <c r="M152" s="44">
        <f t="shared" si="58"/>
        <v>2.0499999999999998</v>
      </c>
      <c r="N152" s="44">
        <f t="shared" si="58"/>
        <v>2.0499999999999998</v>
      </c>
      <c r="O152" s="44">
        <f t="shared" si="58"/>
        <v>2.0499999999999998</v>
      </c>
      <c r="P152" s="44">
        <f t="shared" si="58"/>
        <v>2.0499999999999998</v>
      </c>
      <c r="Q152" s="44">
        <f t="shared" si="58"/>
        <v>2.0499999999999998</v>
      </c>
      <c r="R152" s="44">
        <f t="shared" si="58"/>
        <v>2.0499999999999998</v>
      </c>
      <c r="S152" s="44">
        <f t="shared" si="58"/>
        <v>2.0499999999999998</v>
      </c>
      <c r="T152" s="44">
        <f t="shared" si="59"/>
        <v>2.0499999999999998</v>
      </c>
      <c r="U152" s="44">
        <f t="shared" si="59"/>
        <v>2.0499999999999998</v>
      </c>
      <c r="V152" s="44">
        <f t="shared" si="59"/>
        <v>2.0499999999999998</v>
      </c>
      <c r="W152" s="44">
        <f t="shared" si="59"/>
        <v>2.0499999999999998</v>
      </c>
      <c r="X152" s="44">
        <f t="shared" si="59"/>
        <v>2.0499999999999998</v>
      </c>
      <c r="Y152" s="44">
        <f t="shared" si="59"/>
        <v>2.0499999999999998</v>
      </c>
      <c r="Z152" s="44">
        <f t="shared" si="59"/>
        <v>2.0499999999999998</v>
      </c>
      <c r="AA152" s="44">
        <f t="shared" si="59"/>
        <v>2.0499999999999998</v>
      </c>
      <c r="AB152" s="44">
        <f t="shared" si="59"/>
        <v>2.0499999999999998</v>
      </c>
      <c r="AC152" s="44">
        <f t="shared" si="59"/>
        <v>2.0499999999999998</v>
      </c>
      <c r="AD152" s="44">
        <f t="shared" si="59"/>
        <v>2.0499999999999998</v>
      </c>
      <c r="AE152" s="44">
        <f t="shared" si="59"/>
        <v>2.0499999999999998</v>
      </c>
      <c r="AF152" s="44">
        <f t="shared" si="59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8"/>
        <v>2.7</v>
      </c>
      <c r="E153" s="44">
        <f t="shared" si="58"/>
        <v>2.7</v>
      </c>
      <c r="F153" s="44">
        <f t="shared" si="58"/>
        <v>2.7</v>
      </c>
      <c r="G153" s="44">
        <f t="shared" si="58"/>
        <v>2.7</v>
      </c>
      <c r="H153" s="44">
        <f t="shared" si="58"/>
        <v>2.7</v>
      </c>
      <c r="I153" s="44">
        <f t="shared" si="58"/>
        <v>2.7</v>
      </c>
      <c r="J153" s="44">
        <f t="shared" si="58"/>
        <v>2.7</v>
      </c>
      <c r="K153" s="44">
        <f t="shared" si="58"/>
        <v>2.7</v>
      </c>
      <c r="L153" s="44">
        <f t="shared" si="58"/>
        <v>2.7</v>
      </c>
      <c r="M153" s="44">
        <f t="shared" si="58"/>
        <v>2.7</v>
      </c>
      <c r="N153" s="44">
        <f t="shared" si="58"/>
        <v>2.7</v>
      </c>
      <c r="O153" s="44">
        <f t="shared" si="58"/>
        <v>2.7</v>
      </c>
      <c r="P153" s="44">
        <f t="shared" si="58"/>
        <v>2.7</v>
      </c>
      <c r="Q153" s="44">
        <f t="shared" si="58"/>
        <v>2.7</v>
      </c>
      <c r="R153" s="44">
        <f t="shared" si="58"/>
        <v>2.7</v>
      </c>
      <c r="S153" s="44">
        <f t="shared" si="58"/>
        <v>2.7</v>
      </c>
      <c r="T153" s="44">
        <f t="shared" si="59"/>
        <v>2.7</v>
      </c>
      <c r="U153" s="44">
        <f t="shared" si="59"/>
        <v>2.7</v>
      </c>
      <c r="V153" s="44">
        <f t="shared" si="59"/>
        <v>2.7</v>
      </c>
      <c r="W153" s="44">
        <f t="shared" si="59"/>
        <v>2.7</v>
      </c>
      <c r="X153" s="44">
        <f t="shared" si="59"/>
        <v>2.7</v>
      </c>
      <c r="Y153" s="44">
        <f t="shared" si="59"/>
        <v>2.7</v>
      </c>
      <c r="Z153" s="44">
        <f t="shared" si="59"/>
        <v>2.7</v>
      </c>
      <c r="AA153" s="44">
        <f t="shared" si="59"/>
        <v>2.7</v>
      </c>
      <c r="AB153" s="44">
        <f t="shared" si="59"/>
        <v>2.7</v>
      </c>
      <c r="AC153" s="44">
        <f t="shared" si="59"/>
        <v>2.7</v>
      </c>
      <c r="AD153" s="44">
        <f t="shared" si="59"/>
        <v>2.7</v>
      </c>
      <c r="AE153" s="44">
        <f t="shared" si="59"/>
        <v>2.7</v>
      </c>
      <c r="AF153" s="44">
        <f t="shared" si="59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8"/>
        <v>2.15</v>
      </c>
      <c r="E154" s="44">
        <f t="shared" si="58"/>
        <v>2.15</v>
      </c>
      <c r="F154" s="44">
        <f t="shared" si="58"/>
        <v>2.15</v>
      </c>
      <c r="G154" s="44">
        <f t="shared" si="58"/>
        <v>2.15</v>
      </c>
      <c r="H154" s="44">
        <f t="shared" si="58"/>
        <v>2.15</v>
      </c>
      <c r="I154" s="44">
        <f t="shared" si="58"/>
        <v>2.15</v>
      </c>
      <c r="J154" s="44">
        <f t="shared" si="58"/>
        <v>2.15</v>
      </c>
      <c r="K154" s="44">
        <f t="shared" si="58"/>
        <v>2.15</v>
      </c>
      <c r="L154" s="44">
        <f t="shared" si="58"/>
        <v>2.15</v>
      </c>
      <c r="M154" s="44">
        <f t="shared" si="58"/>
        <v>2.15</v>
      </c>
      <c r="N154" s="44">
        <f t="shared" si="58"/>
        <v>2.15</v>
      </c>
      <c r="O154" s="44">
        <f t="shared" si="58"/>
        <v>2.15</v>
      </c>
      <c r="P154" s="44">
        <f t="shared" si="58"/>
        <v>2.15</v>
      </c>
      <c r="Q154" s="44">
        <f t="shared" si="58"/>
        <v>2.15</v>
      </c>
      <c r="R154" s="44">
        <f t="shared" si="58"/>
        <v>2.15</v>
      </c>
      <c r="S154" s="44">
        <f t="shared" si="58"/>
        <v>2.15</v>
      </c>
      <c r="T154" s="44">
        <f t="shared" si="59"/>
        <v>2.15</v>
      </c>
      <c r="U154" s="44">
        <f t="shared" si="59"/>
        <v>2.15</v>
      </c>
      <c r="V154" s="44">
        <f t="shared" si="59"/>
        <v>2.15</v>
      </c>
      <c r="W154" s="44">
        <f t="shared" si="59"/>
        <v>2.15</v>
      </c>
      <c r="X154" s="44">
        <f t="shared" si="59"/>
        <v>2.15</v>
      </c>
      <c r="Y154" s="44">
        <f t="shared" si="59"/>
        <v>2.15</v>
      </c>
      <c r="Z154" s="44">
        <f t="shared" si="59"/>
        <v>2.15</v>
      </c>
      <c r="AA154" s="44">
        <f t="shared" si="59"/>
        <v>2.15</v>
      </c>
      <c r="AB154" s="44">
        <f t="shared" si="59"/>
        <v>2.15</v>
      </c>
      <c r="AC154" s="44">
        <f t="shared" si="59"/>
        <v>2.15</v>
      </c>
      <c r="AD154" s="44">
        <f t="shared" si="59"/>
        <v>2.15</v>
      </c>
      <c r="AE154" s="44">
        <f t="shared" si="59"/>
        <v>2.15</v>
      </c>
      <c r="AF154" s="44">
        <f t="shared" si="59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0">AF156</f>
        <v>0.9</v>
      </c>
      <c r="C156" s="55">
        <v>0.9</v>
      </c>
      <c r="D156" s="44">
        <f t="shared" ref="D156:S168" si="61">C156</f>
        <v>0.9</v>
      </c>
      <c r="E156" s="44">
        <f t="shared" si="61"/>
        <v>0.9</v>
      </c>
      <c r="F156" s="44">
        <f t="shared" si="61"/>
        <v>0.9</v>
      </c>
      <c r="G156" s="44">
        <f t="shared" si="61"/>
        <v>0.9</v>
      </c>
      <c r="H156" s="44">
        <f t="shared" si="61"/>
        <v>0.9</v>
      </c>
      <c r="I156" s="44">
        <f t="shared" si="61"/>
        <v>0.9</v>
      </c>
      <c r="J156" s="44">
        <f t="shared" si="61"/>
        <v>0.9</v>
      </c>
      <c r="K156" s="44">
        <f t="shared" si="61"/>
        <v>0.9</v>
      </c>
      <c r="L156" s="44">
        <f t="shared" si="61"/>
        <v>0.9</v>
      </c>
      <c r="M156" s="44">
        <f t="shared" si="61"/>
        <v>0.9</v>
      </c>
      <c r="N156" s="44">
        <f t="shared" si="61"/>
        <v>0.9</v>
      </c>
      <c r="O156" s="44">
        <f t="shared" si="61"/>
        <v>0.9</v>
      </c>
      <c r="P156" s="44">
        <f t="shared" si="61"/>
        <v>0.9</v>
      </c>
      <c r="Q156" s="44">
        <f t="shared" si="61"/>
        <v>0.9</v>
      </c>
      <c r="R156" s="44">
        <f t="shared" si="61"/>
        <v>0.9</v>
      </c>
      <c r="S156" s="44">
        <f t="shared" si="61"/>
        <v>0.9</v>
      </c>
      <c r="T156" s="44">
        <f t="shared" ref="S156:AF168" si="62">S156</f>
        <v>0.9</v>
      </c>
      <c r="U156" s="44">
        <f t="shared" si="62"/>
        <v>0.9</v>
      </c>
      <c r="V156" s="44">
        <f t="shared" si="62"/>
        <v>0.9</v>
      </c>
      <c r="W156" s="44">
        <f t="shared" si="62"/>
        <v>0.9</v>
      </c>
      <c r="X156" s="44">
        <f t="shared" si="62"/>
        <v>0.9</v>
      </c>
      <c r="Y156" s="44">
        <f t="shared" si="62"/>
        <v>0.9</v>
      </c>
      <c r="Z156" s="44">
        <f t="shared" si="62"/>
        <v>0.9</v>
      </c>
      <c r="AA156" s="44">
        <f t="shared" si="62"/>
        <v>0.9</v>
      </c>
      <c r="AB156" s="44">
        <f t="shared" si="62"/>
        <v>0.9</v>
      </c>
      <c r="AC156" s="44">
        <f t="shared" si="62"/>
        <v>0.9</v>
      </c>
      <c r="AD156" s="44">
        <f t="shared" si="62"/>
        <v>0.9</v>
      </c>
      <c r="AE156" s="44">
        <f t="shared" si="62"/>
        <v>0.9</v>
      </c>
      <c r="AF156" s="44">
        <f t="shared" si="62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0"/>
        <v>1.08</v>
      </c>
      <c r="C157" s="55">
        <v>1.08</v>
      </c>
      <c r="D157" s="44">
        <f t="shared" si="61"/>
        <v>1.08</v>
      </c>
      <c r="E157" s="44">
        <f t="shared" si="61"/>
        <v>1.08</v>
      </c>
      <c r="F157" s="44">
        <f t="shared" si="61"/>
        <v>1.08</v>
      </c>
      <c r="G157" s="44">
        <f t="shared" si="61"/>
        <v>1.08</v>
      </c>
      <c r="H157" s="44">
        <f t="shared" si="61"/>
        <v>1.08</v>
      </c>
      <c r="I157" s="44">
        <f t="shared" si="61"/>
        <v>1.08</v>
      </c>
      <c r="J157" s="44">
        <f t="shared" si="61"/>
        <v>1.08</v>
      </c>
      <c r="K157" s="44">
        <f t="shared" si="61"/>
        <v>1.08</v>
      </c>
      <c r="L157" s="44">
        <f t="shared" si="61"/>
        <v>1.08</v>
      </c>
      <c r="M157" s="44">
        <f t="shared" si="61"/>
        <v>1.08</v>
      </c>
      <c r="N157" s="44">
        <f t="shared" si="61"/>
        <v>1.08</v>
      </c>
      <c r="O157" s="44">
        <f t="shared" si="61"/>
        <v>1.08</v>
      </c>
      <c r="P157" s="44">
        <f t="shared" si="61"/>
        <v>1.08</v>
      </c>
      <c r="Q157" s="44">
        <f t="shared" si="61"/>
        <v>1.08</v>
      </c>
      <c r="R157" s="44">
        <f t="shared" si="61"/>
        <v>1.08</v>
      </c>
      <c r="S157" s="44">
        <f t="shared" si="61"/>
        <v>1.08</v>
      </c>
      <c r="T157" s="44">
        <f t="shared" si="62"/>
        <v>1.08</v>
      </c>
      <c r="U157" s="44">
        <f t="shared" si="62"/>
        <v>1.08</v>
      </c>
      <c r="V157" s="44">
        <f t="shared" si="62"/>
        <v>1.08</v>
      </c>
      <c r="W157" s="44">
        <f t="shared" si="62"/>
        <v>1.08</v>
      </c>
      <c r="X157" s="44">
        <f t="shared" si="62"/>
        <v>1.08</v>
      </c>
      <c r="Y157" s="44">
        <f t="shared" si="62"/>
        <v>1.08</v>
      </c>
      <c r="Z157" s="44">
        <f t="shared" si="62"/>
        <v>1.08</v>
      </c>
      <c r="AA157" s="44">
        <f t="shared" si="62"/>
        <v>1.08</v>
      </c>
      <c r="AB157" s="44">
        <f t="shared" si="62"/>
        <v>1.08</v>
      </c>
      <c r="AC157" s="44">
        <f t="shared" si="62"/>
        <v>1.08</v>
      </c>
      <c r="AD157" s="44">
        <f t="shared" si="62"/>
        <v>1.08</v>
      </c>
      <c r="AE157" s="44">
        <f t="shared" si="62"/>
        <v>1.08</v>
      </c>
      <c r="AF157" s="44">
        <f t="shared" si="62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0"/>
        <v>2.37</v>
      </c>
      <c r="C158" s="55">
        <v>2.37</v>
      </c>
      <c r="D158" s="44">
        <f t="shared" si="61"/>
        <v>2.37</v>
      </c>
      <c r="E158" s="44">
        <f t="shared" si="61"/>
        <v>2.37</v>
      </c>
      <c r="F158" s="44">
        <f t="shared" si="61"/>
        <v>2.37</v>
      </c>
      <c r="G158" s="44">
        <f t="shared" si="61"/>
        <v>2.37</v>
      </c>
      <c r="H158" s="44">
        <f t="shared" si="61"/>
        <v>2.37</v>
      </c>
      <c r="I158" s="44">
        <f t="shared" si="61"/>
        <v>2.37</v>
      </c>
      <c r="J158" s="44">
        <f t="shared" si="61"/>
        <v>2.37</v>
      </c>
      <c r="K158" s="44">
        <f t="shared" si="61"/>
        <v>2.37</v>
      </c>
      <c r="L158" s="44">
        <f t="shared" si="61"/>
        <v>2.37</v>
      </c>
      <c r="M158" s="44">
        <f t="shared" si="61"/>
        <v>2.37</v>
      </c>
      <c r="N158" s="44">
        <f t="shared" si="61"/>
        <v>2.37</v>
      </c>
      <c r="O158" s="44">
        <f t="shared" si="61"/>
        <v>2.37</v>
      </c>
      <c r="P158" s="44">
        <f t="shared" si="61"/>
        <v>2.37</v>
      </c>
      <c r="Q158" s="44">
        <f t="shared" si="61"/>
        <v>2.37</v>
      </c>
      <c r="R158" s="44">
        <f t="shared" si="61"/>
        <v>2.37</v>
      </c>
      <c r="S158" s="44">
        <f t="shared" si="61"/>
        <v>2.37</v>
      </c>
      <c r="T158" s="44">
        <f t="shared" si="62"/>
        <v>2.37</v>
      </c>
      <c r="U158" s="44">
        <f t="shared" si="62"/>
        <v>2.37</v>
      </c>
      <c r="V158" s="44">
        <f t="shared" si="62"/>
        <v>2.37</v>
      </c>
      <c r="W158" s="44">
        <f t="shared" si="62"/>
        <v>2.37</v>
      </c>
      <c r="X158" s="44">
        <f t="shared" si="62"/>
        <v>2.37</v>
      </c>
      <c r="Y158" s="44">
        <f t="shared" si="62"/>
        <v>2.37</v>
      </c>
      <c r="Z158" s="44">
        <f t="shared" si="62"/>
        <v>2.37</v>
      </c>
      <c r="AA158" s="44">
        <f t="shared" si="62"/>
        <v>2.37</v>
      </c>
      <c r="AB158" s="44">
        <f t="shared" si="62"/>
        <v>2.37</v>
      </c>
      <c r="AC158" s="44">
        <f t="shared" si="62"/>
        <v>2.37</v>
      </c>
      <c r="AD158" s="44">
        <f t="shared" si="62"/>
        <v>2.37</v>
      </c>
      <c r="AE158" s="44">
        <f t="shared" si="62"/>
        <v>2.37</v>
      </c>
      <c r="AF158" s="44">
        <f t="shared" si="62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0"/>
        <v>1.81</v>
      </c>
      <c r="C159" s="55">
        <v>1.81</v>
      </c>
      <c r="D159" s="44">
        <f t="shared" si="61"/>
        <v>1.81</v>
      </c>
      <c r="E159" s="44">
        <f t="shared" si="61"/>
        <v>1.81</v>
      </c>
      <c r="F159" s="44">
        <f t="shared" si="61"/>
        <v>1.81</v>
      </c>
      <c r="G159" s="44">
        <f t="shared" si="61"/>
        <v>1.81</v>
      </c>
      <c r="H159" s="44">
        <f t="shared" si="61"/>
        <v>1.81</v>
      </c>
      <c r="I159" s="44">
        <f t="shared" si="61"/>
        <v>1.81</v>
      </c>
      <c r="J159" s="44">
        <f t="shared" si="61"/>
        <v>1.81</v>
      </c>
      <c r="K159" s="44">
        <f t="shared" si="61"/>
        <v>1.81</v>
      </c>
      <c r="L159" s="44">
        <f t="shared" si="61"/>
        <v>1.81</v>
      </c>
      <c r="M159" s="44">
        <f t="shared" si="61"/>
        <v>1.81</v>
      </c>
      <c r="N159" s="44">
        <f t="shared" si="61"/>
        <v>1.81</v>
      </c>
      <c r="O159" s="44">
        <f t="shared" si="61"/>
        <v>1.81</v>
      </c>
      <c r="P159" s="44">
        <f t="shared" si="61"/>
        <v>1.81</v>
      </c>
      <c r="Q159" s="44">
        <f t="shared" si="61"/>
        <v>1.81</v>
      </c>
      <c r="R159" s="44">
        <f t="shared" si="61"/>
        <v>1.81</v>
      </c>
      <c r="S159" s="44">
        <f t="shared" si="61"/>
        <v>1.81</v>
      </c>
      <c r="T159" s="44">
        <f t="shared" si="62"/>
        <v>1.81</v>
      </c>
      <c r="U159" s="44">
        <f t="shared" si="62"/>
        <v>1.81</v>
      </c>
      <c r="V159" s="44">
        <f t="shared" si="62"/>
        <v>1.81</v>
      </c>
      <c r="W159" s="44">
        <f t="shared" si="62"/>
        <v>1.81</v>
      </c>
      <c r="X159" s="44">
        <f t="shared" si="62"/>
        <v>1.81</v>
      </c>
      <c r="Y159" s="44">
        <f t="shared" si="62"/>
        <v>1.81</v>
      </c>
      <c r="Z159" s="44">
        <f t="shared" si="62"/>
        <v>1.81</v>
      </c>
      <c r="AA159" s="44">
        <f t="shared" si="62"/>
        <v>1.81</v>
      </c>
      <c r="AB159" s="44">
        <f t="shared" si="62"/>
        <v>1.81</v>
      </c>
      <c r="AC159" s="44">
        <f t="shared" si="62"/>
        <v>1.81</v>
      </c>
      <c r="AD159" s="44">
        <f t="shared" si="62"/>
        <v>1.81</v>
      </c>
      <c r="AE159" s="44">
        <f t="shared" si="62"/>
        <v>1.81</v>
      </c>
      <c r="AF159" s="44">
        <f t="shared" si="6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0"/>
        <v>1.0900000000000001</v>
      </c>
      <c r="C160" s="55">
        <v>1.0900000000000001</v>
      </c>
      <c r="D160" s="44">
        <f t="shared" si="61"/>
        <v>1.0900000000000001</v>
      </c>
      <c r="E160" s="44">
        <f t="shared" si="61"/>
        <v>1.0900000000000001</v>
      </c>
      <c r="F160" s="44">
        <f t="shared" si="61"/>
        <v>1.0900000000000001</v>
      </c>
      <c r="G160" s="44">
        <f t="shared" si="61"/>
        <v>1.0900000000000001</v>
      </c>
      <c r="H160" s="44">
        <f t="shared" si="61"/>
        <v>1.0900000000000001</v>
      </c>
      <c r="I160" s="44">
        <f t="shared" si="61"/>
        <v>1.0900000000000001</v>
      </c>
      <c r="J160" s="44">
        <f t="shared" si="61"/>
        <v>1.0900000000000001</v>
      </c>
      <c r="K160" s="44">
        <f t="shared" si="61"/>
        <v>1.0900000000000001</v>
      </c>
      <c r="L160" s="44">
        <f t="shared" si="61"/>
        <v>1.0900000000000001</v>
      </c>
      <c r="M160" s="44">
        <f t="shared" si="61"/>
        <v>1.0900000000000001</v>
      </c>
      <c r="N160" s="44">
        <f t="shared" si="61"/>
        <v>1.0900000000000001</v>
      </c>
      <c r="O160" s="44">
        <f t="shared" si="61"/>
        <v>1.0900000000000001</v>
      </c>
      <c r="P160" s="44">
        <f t="shared" si="61"/>
        <v>1.0900000000000001</v>
      </c>
      <c r="Q160" s="44">
        <f t="shared" si="61"/>
        <v>1.0900000000000001</v>
      </c>
      <c r="R160" s="44">
        <f t="shared" si="61"/>
        <v>1.0900000000000001</v>
      </c>
      <c r="S160" s="44">
        <f t="shared" si="61"/>
        <v>1.0900000000000001</v>
      </c>
      <c r="T160" s="44">
        <f t="shared" si="62"/>
        <v>1.0900000000000001</v>
      </c>
      <c r="U160" s="44">
        <f t="shared" si="62"/>
        <v>1.0900000000000001</v>
      </c>
      <c r="V160" s="44">
        <f t="shared" si="62"/>
        <v>1.0900000000000001</v>
      </c>
      <c r="W160" s="44">
        <f t="shared" si="62"/>
        <v>1.0900000000000001</v>
      </c>
      <c r="X160" s="44">
        <f t="shared" si="62"/>
        <v>1.0900000000000001</v>
      </c>
      <c r="Y160" s="44">
        <f t="shared" si="62"/>
        <v>1.0900000000000001</v>
      </c>
      <c r="Z160" s="44">
        <f t="shared" si="62"/>
        <v>1.0900000000000001</v>
      </c>
      <c r="AA160" s="44">
        <f t="shared" si="62"/>
        <v>1.0900000000000001</v>
      </c>
      <c r="AB160" s="44">
        <f t="shared" si="62"/>
        <v>1.0900000000000001</v>
      </c>
      <c r="AC160" s="44">
        <f t="shared" si="62"/>
        <v>1.0900000000000001</v>
      </c>
      <c r="AD160" s="44">
        <f t="shared" si="62"/>
        <v>1.0900000000000001</v>
      </c>
      <c r="AE160" s="44">
        <f t="shared" si="62"/>
        <v>1.0900000000000001</v>
      </c>
      <c r="AF160" s="44">
        <f t="shared" si="62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0"/>
        <v>1.58</v>
      </c>
      <c r="C161" s="55">
        <v>1.58</v>
      </c>
      <c r="D161" s="44">
        <f t="shared" si="61"/>
        <v>1.58</v>
      </c>
      <c r="E161" s="44">
        <f t="shared" si="61"/>
        <v>1.58</v>
      </c>
      <c r="F161" s="44">
        <f t="shared" si="61"/>
        <v>1.58</v>
      </c>
      <c r="G161" s="44">
        <f t="shared" si="61"/>
        <v>1.58</v>
      </c>
      <c r="H161" s="44">
        <f t="shared" si="61"/>
        <v>1.58</v>
      </c>
      <c r="I161" s="44">
        <f t="shared" si="61"/>
        <v>1.58</v>
      </c>
      <c r="J161" s="44">
        <f t="shared" si="61"/>
        <v>1.58</v>
      </c>
      <c r="K161" s="44">
        <f t="shared" si="61"/>
        <v>1.58</v>
      </c>
      <c r="L161" s="44">
        <f t="shared" si="61"/>
        <v>1.58</v>
      </c>
      <c r="M161" s="44">
        <f t="shared" si="61"/>
        <v>1.58</v>
      </c>
      <c r="N161" s="44">
        <f t="shared" si="61"/>
        <v>1.58</v>
      </c>
      <c r="O161" s="44">
        <f t="shared" si="61"/>
        <v>1.58</v>
      </c>
      <c r="P161" s="44">
        <f t="shared" si="61"/>
        <v>1.58</v>
      </c>
      <c r="Q161" s="44">
        <f t="shared" si="61"/>
        <v>1.58</v>
      </c>
      <c r="R161" s="44">
        <f t="shared" si="61"/>
        <v>1.58</v>
      </c>
      <c r="S161" s="44">
        <f t="shared" si="61"/>
        <v>1.58</v>
      </c>
      <c r="T161" s="44">
        <f t="shared" si="62"/>
        <v>1.58</v>
      </c>
      <c r="U161" s="44">
        <f t="shared" si="62"/>
        <v>1.58</v>
      </c>
      <c r="V161" s="44">
        <f t="shared" si="62"/>
        <v>1.58</v>
      </c>
      <c r="W161" s="44">
        <f t="shared" si="62"/>
        <v>1.58</v>
      </c>
      <c r="X161" s="44">
        <f t="shared" si="62"/>
        <v>1.58</v>
      </c>
      <c r="Y161" s="44">
        <f t="shared" si="62"/>
        <v>1.58</v>
      </c>
      <c r="Z161" s="44">
        <f t="shared" si="62"/>
        <v>1.58</v>
      </c>
      <c r="AA161" s="44">
        <f t="shared" si="62"/>
        <v>1.58</v>
      </c>
      <c r="AB161" s="44">
        <f t="shared" si="62"/>
        <v>1.58</v>
      </c>
      <c r="AC161" s="44">
        <f t="shared" si="62"/>
        <v>1.58</v>
      </c>
      <c r="AD161" s="44">
        <f t="shared" si="62"/>
        <v>1.58</v>
      </c>
      <c r="AE161" s="44">
        <f t="shared" si="62"/>
        <v>1.58</v>
      </c>
      <c r="AF161" s="44">
        <f t="shared" si="62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0"/>
        <v>2</v>
      </c>
      <c r="C162" s="55">
        <v>2</v>
      </c>
      <c r="D162" s="44">
        <f t="shared" si="61"/>
        <v>2</v>
      </c>
      <c r="E162" s="44">
        <f t="shared" si="61"/>
        <v>2</v>
      </c>
      <c r="F162" s="44">
        <f t="shared" si="61"/>
        <v>2</v>
      </c>
      <c r="G162" s="44">
        <f t="shared" si="61"/>
        <v>2</v>
      </c>
      <c r="H162" s="44">
        <f t="shared" si="61"/>
        <v>2</v>
      </c>
      <c r="I162" s="44">
        <f t="shared" si="61"/>
        <v>2</v>
      </c>
      <c r="J162" s="44">
        <f t="shared" si="61"/>
        <v>2</v>
      </c>
      <c r="K162" s="44">
        <f t="shared" si="61"/>
        <v>2</v>
      </c>
      <c r="L162" s="44">
        <f t="shared" si="61"/>
        <v>2</v>
      </c>
      <c r="M162" s="44">
        <f t="shared" si="61"/>
        <v>2</v>
      </c>
      <c r="N162" s="44">
        <f t="shared" si="61"/>
        <v>2</v>
      </c>
      <c r="O162" s="44">
        <f t="shared" si="61"/>
        <v>2</v>
      </c>
      <c r="P162" s="44">
        <f t="shared" si="61"/>
        <v>2</v>
      </c>
      <c r="Q162" s="44">
        <f t="shared" si="61"/>
        <v>2</v>
      </c>
      <c r="R162" s="44">
        <f t="shared" si="61"/>
        <v>2</v>
      </c>
      <c r="S162" s="44">
        <f t="shared" si="61"/>
        <v>2</v>
      </c>
      <c r="T162" s="44">
        <f t="shared" si="62"/>
        <v>2</v>
      </c>
      <c r="U162" s="44">
        <f t="shared" si="62"/>
        <v>2</v>
      </c>
      <c r="V162" s="44">
        <f t="shared" si="62"/>
        <v>2</v>
      </c>
      <c r="W162" s="44">
        <f t="shared" si="62"/>
        <v>2</v>
      </c>
      <c r="X162" s="44">
        <f t="shared" si="62"/>
        <v>2</v>
      </c>
      <c r="Y162" s="44">
        <f t="shared" si="62"/>
        <v>2</v>
      </c>
      <c r="Z162" s="44">
        <f t="shared" si="62"/>
        <v>2</v>
      </c>
      <c r="AA162" s="44">
        <f t="shared" si="62"/>
        <v>2</v>
      </c>
      <c r="AB162" s="44">
        <f t="shared" si="62"/>
        <v>2</v>
      </c>
      <c r="AC162" s="44">
        <f t="shared" si="62"/>
        <v>2</v>
      </c>
      <c r="AD162" s="44">
        <f t="shared" si="62"/>
        <v>2</v>
      </c>
      <c r="AE162" s="44">
        <f t="shared" si="62"/>
        <v>2</v>
      </c>
      <c r="AF162" s="44">
        <f t="shared" si="62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0"/>
        <v>0.47</v>
      </c>
      <c r="C163" s="55">
        <v>0.47</v>
      </c>
      <c r="D163" s="44">
        <f t="shared" si="61"/>
        <v>0.47</v>
      </c>
      <c r="E163" s="44">
        <f t="shared" si="61"/>
        <v>0.47</v>
      </c>
      <c r="F163" s="44">
        <f t="shared" si="61"/>
        <v>0.47</v>
      </c>
      <c r="G163" s="44">
        <f t="shared" si="61"/>
        <v>0.47</v>
      </c>
      <c r="H163" s="44">
        <f t="shared" si="61"/>
        <v>0.47</v>
      </c>
      <c r="I163" s="44">
        <f t="shared" si="61"/>
        <v>0.47</v>
      </c>
      <c r="J163" s="44">
        <f t="shared" si="61"/>
        <v>0.47</v>
      </c>
      <c r="K163" s="44">
        <f t="shared" si="61"/>
        <v>0.47</v>
      </c>
      <c r="L163" s="44">
        <f t="shared" si="61"/>
        <v>0.47</v>
      </c>
      <c r="M163" s="44">
        <f t="shared" si="61"/>
        <v>0.47</v>
      </c>
      <c r="N163" s="44">
        <f t="shared" si="61"/>
        <v>0.47</v>
      </c>
      <c r="O163" s="44">
        <f t="shared" si="61"/>
        <v>0.47</v>
      </c>
      <c r="P163" s="44">
        <f t="shared" si="61"/>
        <v>0.47</v>
      </c>
      <c r="Q163" s="44">
        <f t="shared" si="61"/>
        <v>0.47</v>
      </c>
      <c r="R163" s="44">
        <f t="shared" si="61"/>
        <v>0.47</v>
      </c>
      <c r="S163" s="44">
        <f t="shared" si="61"/>
        <v>0.47</v>
      </c>
      <c r="T163" s="44">
        <f t="shared" si="62"/>
        <v>0.47</v>
      </c>
      <c r="U163" s="44">
        <f t="shared" si="62"/>
        <v>0.47</v>
      </c>
      <c r="V163" s="44">
        <f t="shared" si="62"/>
        <v>0.47</v>
      </c>
      <c r="W163" s="44">
        <f t="shared" si="62"/>
        <v>0.47</v>
      </c>
      <c r="X163" s="44">
        <f t="shared" si="62"/>
        <v>0.47</v>
      </c>
      <c r="Y163" s="44">
        <f t="shared" si="62"/>
        <v>0.47</v>
      </c>
      <c r="Z163" s="44">
        <f t="shared" si="62"/>
        <v>0.47</v>
      </c>
      <c r="AA163" s="44">
        <f t="shared" si="62"/>
        <v>0.47</v>
      </c>
      <c r="AB163" s="44">
        <f t="shared" si="62"/>
        <v>0.47</v>
      </c>
      <c r="AC163" s="44">
        <f t="shared" si="62"/>
        <v>0.47</v>
      </c>
      <c r="AD163" s="44">
        <f t="shared" si="62"/>
        <v>0.47</v>
      </c>
      <c r="AE163" s="44">
        <f t="shared" si="62"/>
        <v>0.47</v>
      </c>
      <c r="AF163" s="44">
        <f t="shared" si="62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0"/>
        <v>0</v>
      </c>
      <c r="C164" s="55">
        <v>0</v>
      </c>
      <c r="D164" s="44">
        <f t="shared" si="61"/>
        <v>0</v>
      </c>
      <c r="E164" s="44">
        <f t="shared" si="61"/>
        <v>0</v>
      </c>
      <c r="F164" s="44">
        <f t="shared" si="61"/>
        <v>0</v>
      </c>
      <c r="G164" s="44">
        <f t="shared" si="61"/>
        <v>0</v>
      </c>
      <c r="H164" s="44">
        <f t="shared" si="61"/>
        <v>0</v>
      </c>
      <c r="I164" s="44">
        <f t="shared" si="61"/>
        <v>0</v>
      </c>
      <c r="J164" s="44">
        <f t="shared" si="61"/>
        <v>0</v>
      </c>
      <c r="K164" s="44">
        <f t="shared" si="61"/>
        <v>0</v>
      </c>
      <c r="L164" s="44">
        <f t="shared" si="61"/>
        <v>0</v>
      </c>
      <c r="M164" s="44">
        <f t="shared" si="61"/>
        <v>0</v>
      </c>
      <c r="N164" s="44">
        <f t="shared" si="61"/>
        <v>0</v>
      </c>
      <c r="O164" s="44">
        <f t="shared" si="61"/>
        <v>0</v>
      </c>
      <c r="P164" s="44">
        <f t="shared" si="61"/>
        <v>0</v>
      </c>
      <c r="Q164" s="44">
        <f t="shared" si="61"/>
        <v>0</v>
      </c>
      <c r="R164" s="44">
        <f t="shared" si="61"/>
        <v>0</v>
      </c>
      <c r="S164" s="44">
        <f t="shared" si="61"/>
        <v>0</v>
      </c>
      <c r="T164" s="44">
        <f t="shared" si="62"/>
        <v>0</v>
      </c>
      <c r="U164" s="44">
        <f t="shared" si="62"/>
        <v>0</v>
      </c>
      <c r="V164" s="44">
        <f t="shared" si="62"/>
        <v>0</v>
      </c>
      <c r="W164" s="44">
        <f t="shared" si="62"/>
        <v>0</v>
      </c>
      <c r="X164" s="44">
        <f t="shared" si="62"/>
        <v>0</v>
      </c>
      <c r="Y164" s="44">
        <f t="shared" si="62"/>
        <v>0</v>
      </c>
      <c r="Z164" s="44">
        <f t="shared" si="62"/>
        <v>0</v>
      </c>
      <c r="AA164" s="44">
        <f t="shared" si="62"/>
        <v>0</v>
      </c>
      <c r="AB164" s="44">
        <f t="shared" si="62"/>
        <v>0</v>
      </c>
      <c r="AC164" s="44">
        <f t="shared" si="62"/>
        <v>0</v>
      </c>
      <c r="AD164" s="44">
        <f t="shared" si="62"/>
        <v>0</v>
      </c>
      <c r="AE164" s="44">
        <f t="shared" si="62"/>
        <v>0</v>
      </c>
      <c r="AF164" s="44">
        <f t="shared" si="62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0"/>
        <v>0</v>
      </c>
      <c r="C165" s="55">
        <v>0</v>
      </c>
      <c r="D165" s="44">
        <f t="shared" si="61"/>
        <v>0</v>
      </c>
      <c r="E165" s="44">
        <f t="shared" si="61"/>
        <v>0</v>
      </c>
      <c r="F165" s="44">
        <f t="shared" si="61"/>
        <v>0</v>
      </c>
      <c r="G165" s="44">
        <f t="shared" si="61"/>
        <v>0</v>
      </c>
      <c r="H165" s="44">
        <f t="shared" si="61"/>
        <v>0</v>
      </c>
      <c r="I165" s="44">
        <f t="shared" si="61"/>
        <v>0</v>
      </c>
      <c r="J165" s="44">
        <f t="shared" si="61"/>
        <v>0</v>
      </c>
      <c r="K165" s="44">
        <f t="shared" si="61"/>
        <v>0</v>
      </c>
      <c r="L165" s="44">
        <f t="shared" si="61"/>
        <v>0</v>
      </c>
      <c r="M165" s="44">
        <f t="shared" si="61"/>
        <v>0</v>
      </c>
      <c r="N165" s="44">
        <f t="shared" si="61"/>
        <v>0</v>
      </c>
      <c r="O165" s="44">
        <f t="shared" si="61"/>
        <v>0</v>
      </c>
      <c r="P165" s="44">
        <f t="shared" si="61"/>
        <v>0</v>
      </c>
      <c r="Q165" s="44">
        <f t="shared" si="61"/>
        <v>0</v>
      </c>
      <c r="R165" s="44">
        <f t="shared" si="61"/>
        <v>0</v>
      </c>
      <c r="S165" s="44">
        <f t="shared" si="62"/>
        <v>0</v>
      </c>
      <c r="T165" s="44">
        <f t="shared" si="62"/>
        <v>0</v>
      </c>
      <c r="U165" s="44">
        <f t="shared" si="62"/>
        <v>0</v>
      </c>
      <c r="V165" s="44">
        <f t="shared" si="62"/>
        <v>0</v>
      </c>
      <c r="W165" s="44">
        <f t="shared" si="62"/>
        <v>0</v>
      </c>
      <c r="X165" s="44">
        <f t="shared" si="62"/>
        <v>0</v>
      </c>
      <c r="Y165" s="44">
        <f t="shared" si="62"/>
        <v>0</v>
      </c>
      <c r="Z165" s="44">
        <f t="shared" si="62"/>
        <v>0</v>
      </c>
      <c r="AA165" s="44">
        <f t="shared" si="62"/>
        <v>0</v>
      </c>
      <c r="AB165" s="44">
        <f t="shared" si="62"/>
        <v>0</v>
      </c>
      <c r="AC165" s="44">
        <f t="shared" si="62"/>
        <v>0</v>
      </c>
      <c r="AD165" s="44">
        <f t="shared" si="62"/>
        <v>0</v>
      </c>
      <c r="AE165" s="44">
        <f t="shared" si="62"/>
        <v>0</v>
      </c>
      <c r="AF165" s="44">
        <f t="shared" si="62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0"/>
        <v>0.8</v>
      </c>
      <c r="C166" s="55">
        <v>0.8</v>
      </c>
      <c r="D166" s="44">
        <f t="shared" si="61"/>
        <v>0.8</v>
      </c>
      <c r="E166" s="44">
        <f t="shared" si="61"/>
        <v>0.8</v>
      </c>
      <c r="F166" s="44">
        <f t="shared" si="61"/>
        <v>0.8</v>
      </c>
      <c r="G166" s="44">
        <f t="shared" si="61"/>
        <v>0.8</v>
      </c>
      <c r="H166" s="44">
        <f t="shared" si="61"/>
        <v>0.8</v>
      </c>
      <c r="I166" s="44">
        <f t="shared" si="61"/>
        <v>0.8</v>
      </c>
      <c r="J166" s="44">
        <f t="shared" si="61"/>
        <v>0.8</v>
      </c>
      <c r="K166" s="44">
        <f t="shared" si="61"/>
        <v>0.8</v>
      </c>
      <c r="L166" s="44">
        <f t="shared" si="61"/>
        <v>0.8</v>
      </c>
      <c r="M166" s="44">
        <f t="shared" si="61"/>
        <v>0.8</v>
      </c>
      <c r="N166" s="44">
        <f t="shared" si="61"/>
        <v>0.8</v>
      </c>
      <c r="O166" s="44">
        <f t="shared" si="61"/>
        <v>0.8</v>
      </c>
      <c r="P166" s="44">
        <f t="shared" si="61"/>
        <v>0.8</v>
      </c>
      <c r="Q166" s="44">
        <f t="shared" si="61"/>
        <v>0.8</v>
      </c>
      <c r="R166" s="44">
        <f t="shared" si="61"/>
        <v>0.8</v>
      </c>
      <c r="S166" s="44">
        <f t="shared" si="62"/>
        <v>0.8</v>
      </c>
      <c r="T166" s="44">
        <f t="shared" si="62"/>
        <v>0.8</v>
      </c>
      <c r="U166" s="44">
        <f t="shared" si="62"/>
        <v>0.8</v>
      </c>
      <c r="V166" s="44">
        <f t="shared" si="62"/>
        <v>0.8</v>
      </c>
      <c r="W166" s="44">
        <f t="shared" si="62"/>
        <v>0.8</v>
      </c>
      <c r="X166" s="44">
        <f t="shared" si="62"/>
        <v>0.8</v>
      </c>
      <c r="Y166" s="44">
        <f t="shared" si="62"/>
        <v>0.8</v>
      </c>
      <c r="Z166" s="44">
        <f t="shared" si="62"/>
        <v>0.8</v>
      </c>
      <c r="AA166" s="44">
        <f t="shared" si="62"/>
        <v>0.8</v>
      </c>
      <c r="AB166" s="44">
        <f t="shared" si="62"/>
        <v>0.8</v>
      </c>
      <c r="AC166" s="44">
        <f t="shared" si="62"/>
        <v>0.8</v>
      </c>
      <c r="AD166" s="44">
        <f t="shared" si="62"/>
        <v>0.8</v>
      </c>
      <c r="AE166" s="44">
        <f t="shared" si="62"/>
        <v>0.8</v>
      </c>
      <c r="AF166" s="44">
        <f t="shared" si="62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0"/>
        <v>1.5</v>
      </c>
      <c r="C167" s="55">
        <v>1.5</v>
      </c>
      <c r="D167" s="44">
        <f t="shared" si="61"/>
        <v>1.5</v>
      </c>
      <c r="E167" s="44">
        <f t="shared" si="61"/>
        <v>1.5</v>
      </c>
      <c r="F167" s="44">
        <f t="shared" si="61"/>
        <v>1.5</v>
      </c>
      <c r="G167" s="44">
        <f t="shared" si="61"/>
        <v>1.5</v>
      </c>
      <c r="H167" s="44">
        <f t="shared" si="61"/>
        <v>1.5</v>
      </c>
      <c r="I167" s="44">
        <f t="shared" si="61"/>
        <v>1.5</v>
      </c>
      <c r="J167" s="44">
        <f t="shared" si="61"/>
        <v>1.5</v>
      </c>
      <c r="K167" s="44">
        <f t="shared" si="61"/>
        <v>1.5</v>
      </c>
      <c r="L167" s="44">
        <f t="shared" si="61"/>
        <v>1.5</v>
      </c>
      <c r="M167" s="44">
        <f t="shared" si="61"/>
        <v>1.5</v>
      </c>
      <c r="N167" s="44">
        <f t="shared" si="61"/>
        <v>1.5</v>
      </c>
      <c r="O167" s="44">
        <f t="shared" si="61"/>
        <v>1.5</v>
      </c>
      <c r="P167" s="44">
        <f t="shared" si="61"/>
        <v>1.5</v>
      </c>
      <c r="Q167" s="44">
        <f t="shared" si="61"/>
        <v>1.5</v>
      </c>
      <c r="R167" s="44">
        <f t="shared" si="61"/>
        <v>1.5</v>
      </c>
      <c r="S167" s="44">
        <f t="shared" si="62"/>
        <v>1.5</v>
      </c>
      <c r="T167" s="44">
        <f t="shared" si="62"/>
        <v>1.5</v>
      </c>
      <c r="U167" s="44">
        <f t="shared" si="62"/>
        <v>1.5</v>
      </c>
      <c r="V167" s="44">
        <f t="shared" si="62"/>
        <v>1.5</v>
      </c>
      <c r="W167" s="44">
        <f t="shared" si="62"/>
        <v>1.5</v>
      </c>
      <c r="X167" s="44">
        <f t="shared" si="62"/>
        <v>1.5</v>
      </c>
      <c r="Y167" s="44">
        <f t="shared" si="62"/>
        <v>1.5</v>
      </c>
      <c r="Z167" s="44">
        <f t="shared" si="62"/>
        <v>1.5</v>
      </c>
      <c r="AA167" s="44">
        <f t="shared" si="62"/>
        <v>1.5</v>
      </c>
      <c r="AB167" s="44">
        <f t="shared" si="62"/>
        <v>1.5</v>
      </c>
      <c r="AC167" s="44">
        <f t="shared" si="62"/>
        <v>1.5</v>
      </c>
      <c r="AD167" s="44">
        <f t="shared" si="62"/>
        <v>1.5</v>
      </c>
      <c r="AE167" s="44">
        <f t="shared" si="62"/>
        <v>1.5</v>
      </c>
      <c r="AF167" s="44">
        <f t="shared" si="62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0"/>
        <v>1</v>
      </c>
      <c r="C168" s="55">
        <v>1</v>
      </c>
      <c r="D168" s="44">
        <f t="shared" si="61"/>
        <v>1</v>
      </c>
      <c r="E168" s="44">
        <f t="shared" si="61"/>
        <v>1</v>
      </c>
      <c r="F168" s="44">
        <f t="shared" si="61"/>
        <v>1</v>
      </c>
      <c r="G168" s="44">
        <f t="shared" si="61"/>
        <v>1</v>
      </c>
      <c r="H168" s="44">
        <f t="shared" si="61"/>
        <v>1</v>
      </c>
      <c r="I168" s="44">
        <f t="shared" si="61"/>
        <v>1</v>
      </c>
      <c r="J168" s="44">
        <f t="shared" si="61"/>
        <v>1</v>
      </c>
      <c r="K168" s="44">
        <f t="shared" si="61"/>
        <v>1</v>
      </c>
      <c r="L168" s="44">
        <f t="shared" si="61"/>
        <v>1</v>
      </c>
      <c r="M168" s="44">
        <f t="shared" si="61"/>
        <v>1</v>
      </c>
      <c r="N168" s="44">
        <f t="shared" si="61"/>
        <v>1</v>
      </c>
      <c r="O168" s="44">
        <f t="shared" si="61"/>
        <v>1</v>
      </c>
      <c r="P168" s="44">
        <f t="shared" si="61"/>
        <v>1</v>
      </c>
      <c r="Q168" s="44">
        <f t="shared" si="61"/>
        <v>1</v>
      </c>
      <c r="R168" s="44">
        <f t="shared" si="61"/>
        <v>1</v>
      </c>
      <c r="S168" s="44">
        <f t="shared" si="62"/>
        <v>1</v>
      </c>
      <c r="T168" s="44">
        <f t="shared" si="62"/>
        <v>1</v>
      </c>
      <c r="U168" s="44">
        <f t="shared" si="62"/>
        <v>1</v>
      </c>
      <c r="V168" s="44">
        <f t="shared" si="62"/>
        <v>1</v>
      </c>
      <c r="W168" s="44">
        <f t="shared" si="62"/>
        <v>1</v>
      </c>
      <c r="X168" s="44">
        <f t="shared" si="62"/>
        <v>1</v>
      </c>
      <c r="Y168" s="44">
        <f t="shared" si="62"/>
        <v>1</v>
      </c>
      <c r="Z168" s="44">
        <f t="shared" si="62"/>
        <v>1</v>
      </c>
      <c r="AA168" s="44">
        <f t="shared" si="62"/>
        <v>1</v>
      </c>
      <c r="AB168" s="44">
        <f t="shared" si="62"/>
        <v>1</v>
      </c>
      <c r="AC168" s="44">
        <f t="shared" si="62"/>
        <v>1</v>
      </c>
      <c r="AD168" s="44">
        <f t="shared" si="62"/>
        <v>1</v>
      </c>
      <c r="AE168" s="44">
        <f t="shared" si="62"/>
        <v>1</v>
      </c>
      <c r="AF168" s="44">
        <f t="shared" si="62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3">AF170</f>
        <v>1</v>
      </c>
      <c r="C170" s="55">
        <v>1</v>
      </c>
      <c r="D170" s="44">
        <f t="shared" ref="D170:S177" si="64">C170</f>
        <v>1</v>
      </c>
      <c r="E170" s="44">
        <f t="shared" si="64"/>
        <v>1</v>
      </c>
      <c r="F170" s="44">
        <f t="shared" si="64"/>
        <v>1</v>
      </c>
      <c r="G170" s="44">
        <f t="shared" si="64"/>
        <v>1</v>
      </c>
      <c r="H170" s="44">
        <f t="shared" si="64"/>
        <v>1</v>
      </c>
      <c r="I170" s="44">
        <f t="shared" si="64"/>
        <v>1</v>
      </c>
      <c r="J170" s="44">
        <f t="shared" si="64"/>
        <v>1</v>
      </c>
      <c r="K170" s="44">
        <f t="shared" si="64"/>
        <v>1</v>
      </c>
      <c r="L170" s="44">
        <f t="shared" si="64"/>
        <v>1</v>
      </c>
      <c r="M170" s="44">
        <f t="shared" si="64"/>
        <v>1</v>
      </c>
      <c r="N170" s="44">
        <f t="shared" si="64"/>
        <v>1</v>
      </c>
      <c r="O170" s="44">
        <f t="shared" si="64"/>
        <v>1</v>
      </c>
      <c r="P170" s="44">
        <f t="shared" si="64"/>
        <v>1</v>
      </c>
      <c r="Q170" s="44">
        <f t="shared" si="64"/>
        <v>1</v>
      </c>
      <c r="R170" s="44">
        <f t="shared" si="64"/>
        <v>1</v>
      </c>
      <c r="S170" s="44">
        <f t="shared" si="64"/>
        <v>1</v>
      </c>
      <c r="T170" s="44">
        <f t="shared" ref="S170:AF177" si="65">S170</f>
        <v>1</v>
      </c>
      <c r="U170" s="44">
        <f t="shared" si="65"/>
        <v>1</v>
      </c>
      <c r="V170" s="44">
        <f t="shared" si="65"/>
        <v>1</v>
      </c>
      <c r="W170" s="44">
        <f t="shared" si="65"/>
        <v>1</v>
      </c>
      <c r="X170" s="44">
        <f t="shared" si="65"/>
        <v>1</v>
      </c>
      <c r="Y170" s="44">
        <f t="shared" si="65"/>
        <v>1</v>
      </c>
      <c r="Z170" s="44">
        <f t="shared" si="65"/>
        <v>1</v>
      </c>
      <c r="AA170" s="44">
        <f t="shared" si="65"/>
        <v>1</v>
      </c>
      <c r="AB170" s="44">
        <f t="shared" si="65"/>
        <v>1</v>
      </c>
      <c r="AC170" s="44">
        <f t="shared" si="65"/>
        <v>1</v>
      </c>
      <c r="AD170" s="44">
        <f t="shared" si="65"/>
        <v>1</v>
      </c>
      <c r="AE170" s="44">
        <f t="shared" si="65"/>
        <v>1</v>
      </c>
      <c r="AF170" s="44">
        <f t="shared" si="65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3"/>
        <v>0.42</v>
      </c>
      <c r="C171" s="55">
        <v>0.42</v>
      </c>
      <c r="D171" s="44">
        <f t="shared" si="64"/>
        <v>0.42</v>
      </c>
      <c r="E171" s="44">
        <f t="shared" si="64"/>
        <v>0.42</v>
      </c>
      <c r="F171" s="44">
        <f t="shared" si="64"/>
        <v>0.42</v>
      </c>
      <c r="G171" s="44">
        <f t="shared" si="64"/>
        <v>0.42</v>
      </c>
      <c r="H171" s="44">
        <f t="shared" si="64"/>
        <v>0.42</v>
      </c>
      <c r="I171" s="44">
        <f t="shared" si="64"/>
        <v>0.42</v>
      </c>
      <c r="J171" s="44">
        <f t="shared" si="64"/>
        <v>0.42</v>
      </c>
      <c r="K171" s="44">
        <f t="shared" si="64"/>
        <v>0.42</v>
      </c>
      <c r="L171" s="44">
        <f t="shared" si="64"/>
        <v>0.42</v>
      </c>
      <c r="M171" s="44">
        <f t="shared" si="64"/>
        <v>0.42</v>
      </c>
      <c r="N171" s="44">
        <f t="shared" si="64"/>
        <v>0.42</v>
      </c>
      <c r="O171" s="44">
        <f t="shared" si="64"/>
        <v>0.42</v>
      </c>
      <c r="P171" s="44">
        <f t="shared" si="64"/>
        <v>0.42</v>
      </c>
      <c r="Q171" s="44">
        <f t="shared" si="64"/>
        <v>0.42</v>
      </c>
      <c r="R171" s="44">
        <f t="shared" si="64"/>
        <v>0.42</v>
      </c>
      <c r="S171" s="44">
        <f t="shared" si="65"/>
        <v>0.42</v>
      </c>
      <c r="T171" s="44">
        <f t="shared" si="65"/>
        <v>0.42</v>
      </c>
      <c r="U171" s="44">
        <f t="shared" si="65"/>
        <v>0.42</v>
      </c>
      <c r="V171" s="44">
        <f t="shared" si="65"/>
        <v>0.42</v>
      </c>
      <c r="W171" s="44">
        <f t="shared" si="65"/>
        <v>0.42</v>
      </c>
      <c r="X171" s="44">
        <f t="shared" si="65"/>
        <v>0.42</v>
      </c>
      <c r="Y171" s="44">
        <f t="shared" si="65"/>
        <v>0.42</v>
      </c>
      <c r="Z171" s="44">
        <f t="shared" si="65"/>
        <v>0.42</v>
      </c>
      <c r="AA171" s="44">
        <f t="shared" si="65"/>
        <v>0.42</v>
      </c>
      <c r="AB171" s="44">
        <f t="shared" si="65"/>
        <v>0.42</v>
      </c>
      <c r="AC171" s="44">
        <f t="shared" si="65"/>
        <v>0.42</v>
      </c>
      <c r="AD171" s="44">
        <f t="shared" si="65"/>
        <v>0.42</v>
      </c>
      <c r="AE171" s="44">
        <f t="shared" si="65"/>
        <v>0.42</v>
      </c>
      <c r="AF171" s="44">
        <f t="shared" si="65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3"/>
        <v>0.46</v>
      </c>
      <c r="C172" s="55">
        <v>0.46</v>
      </c>
      <c r="D172" s="44">
        <f t="shared" si="64"/>
        <v>0.46</v>
      </c>
      <c r="E172" s="44">
        <f t="shared" si="64"/>
        <v>0.46</v>
      </c>
      <c r="F172" s="44">
        <f t="shared" si="64"/>
        <v>0.46</v>
      </c>
      <c r="G172" s="44">
        <f t="shared" si="64"/>
        <v>0.46</v>
      </c>
      <c r="H172" s="44">
        <f t="shared" si="64"/>
        <v>0.46</v>
      </c>
      <c r="I172" s="44">
        <f t="shared" si="64"/>
        <v>0.46</v>
      </c>
      <c r="J172" s="44">
        <f t="shared" si="64"/>
        <v>0.46</v>
      </c>
      <c r="K172" s="44">
        <f t="shared" si="64"/>
        <v>0.46</v>
      </c>
      <c r="L172" s="44">
        <f t="shared" si="64"/>
        <v>0.46</v>
      </c>
      <c r="M172" s="44">
        <f t="shared" si="64"/>
        <v>0.46</v>
      </c>
      <c r="N172" s="44">
        <f t="shared" si="64"/>
        <v>0.46</v>
      </c>
      <c r="O172" s="44">
        <f t="shared" si="64"/>
        <v>0.46</v>
      </c>
      <c r="P172" s="44">
        <f t="shared" si="64"/>
        <v>0.46</v>
      </c>
      <c r="Q172" s="44">
        <f t="shared" si="64"/>
        <v>0.46</v>
      </c>
      <c r="R172" s="44">
        <f t="shared" si="64"/>
        <v>0.46</v>
      </c>
      <c r="S172" s="44">
        <f t="shared" si="65"/>
        <v>0.46</v>
      </c>
      <c r="T172" s="44">
        <f t="shared" si="65"/>
        <v>0.46</v>
      </c>
      <c r="U172" s="44">
        <f t="shared" si="65"/>
        <v>0.46</v>
      </c>
      <c r="V172" s="44">
        <f t="shared" si="65"/>
        <v>0.46</v>
      </c>
      <c r="W172" s="44">
        <f t="shared" si="65"/>
        <v>0.46</v>
      </c>
      <c r="X172" s="44">
        <f t="shared" si="65"/>
        <v>0.46</v>
      </c>
      <c r="Y172" s="44">
        <f t="shared" si="65"/>
        <v>0.46</v>
      </c>
      <c r="Z172" s="44">
        <f t="shared" si="65"/>
        <v>0.46</v>
      </c>
      <c r="AA172" s="44">
        <f t="shared" si="65"/>
        <v>0.46</v>
      </c>
      <c r="AB172" s="44">
        <f t="shared" si="65"/>
        <v>0.46</v>
      </c>
      <c r="AC172" s="44">
        <f t="shared" si="65"/>
        <v>0.46</v>
      </c>
      <c r="AD172" s="44">
        <f t="shared" si="65"/>
        <v>0.46</v>
      </c>
      <c r="AE172" s="44">
        <f t="shared" si="65"/>
        <v>0.46</v>
      </c>
      <c r="AF172" s="44">
        <f t="shared" si="6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3"/>
        <v>0.85</v>
      </c>
      <c r="C173" s="55">
        <v>0.85</v>
      </c>
      <c r="D173" s="44">
        <f t="shared" si="64"/>
        <v>0.85</v>
      </c>
      <c r="E173" s="44">
        <f t="shared" si="64"/>
        <v>0.85</v>
      </c>
      <c r="F173" s="44">
        <f t="shared" si="64"/>
        <v>0.85</v>
      </c>
      <c r="G173" s="44">
        <f t="shared" si="64"/>
        <v>0.85</v>
      </c>
      <c r="H173" s="44">
        <f t="shared" si="64"/>
        <v>0.85</v>
      </c>
      <c r="I173" s="44">
        <f t="shared" si="64"/>
        <v>0.85</v>
      </c>
      <c r="J173" s="44">
        <f t="shared" si="64"/>
        <v>0.85</v>
      </c>
      <c r="K173" s="44">
        <f t="shared" si="64"/>
        <v>0.85</v>
      </c>
      <c r="L173" s="44">
        <f t="shared" si="64"/>
        <v>0.85</v>
      </c>
      <c r="M173" s="44">
        <f t="shared" si="64"/>
        <v>0.85</v>
      </c>
      <c r="N173" s="44">
        <f t="shared" si="64"/>
        <v>0.85</v>
      </c>
      <c r="O173" s="44">
        <f t="shared" si="64"/>
        <v>0.85</v>
      </c>
      <c r="P173" s="44">
        <f t="shared" si="64"/>
        <v>0.85</v>
      </c>
      <c r="Q173" s="44">
        <f t="shared" si="64"/>
        <v>0.85</v>
      </c>
      <c r="R173" s="44">
        <f t="shared" si="64"/>
        <v>0.85</v>
      </c>
      <c r="S173" s="44">
        <f t="shared" si="65"/>
        <v>0.85</v>
      </c>
      <c r="T173" s="44">
        <f t="shared" si="65"/>
        <v>0.85</v>
      </c>
      <c r="U173" s="44">
        <f t="shared" si="65"/>
        <v>0.85</v>
      </c>
      <c r="V173" s="44">
        <f t="shared" si="65"/>
        <v>0.85</v>
      </c>
      <c r="W173" s="44">
        <f t="shared" si="65"/>
        <v>0.85</v>
      </c>
      <c r="X173" s="44">
        <f t="shared" si="65"/>
        <v>0.85</v>
      </c>
      <c r="Y173" s="44">
        <f t="shared" si="65"/>
        <v>0.85</v>
      </c>
      <c r="Z173" s="44">
        <f t="shared" si="65"/>
        <v>0.85</v>
      </c>
      <c r="AA173" s="44">
        <f t="shared" si="65"/>
        <v>0.85</v>
      </c>
      <c r="AB173" s="44">
        <f t="shared" si="65"/>
        <v>0.85</v>
      </c>
      <c r="AC173" s="44">
        <f t="shared" si="65"/>
        <v>0.85</v>
      </c>
      <c r="AD173" s="44">
        <f t="shared" si="65"/>
        <v>0.85</v>
      </c>
      <c r="AE173" s="44">
        <f t="shared" si="65"/>
        <v>0.85</v>
      </c>
      <c r="AF173" s="44">
        <f t="shared" si="65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3"/>
        <v>0.9</v>
      </c>
      <c r="C174" s="55">
        <v>0.9</v>
      </c>
      <c r="D174" s="44">
        <f t="shared" si="64"/>
        <v>0.9</v>
      </c>
      <c r="E174" s="44">
        <f t="shared" si="64"/>
        <v>0.9</v>
      </c>
      <c r="F174" s="44">
        <f t="shared" si="64"/>
        <v>0.9</v>
      </c>
      <c r="G174" s="44">
        <f t="shared" si="64"/>
        <v>0.9</v>
      </c>
      <c r="H174" s="44">
        <f t="shared" si="64"/>
        <v>0.9</v>
      </c>
      <c r="I174" s="44">
        <f t="shared" si="64"/>
        <v>0.9</v>
      </c>
      <c r="J174" s="44">
        <f t="shared" si="64"/>
        <v>0.9</v>
      </c>
      <c r="K174" s="44">
        <f t="shared" si="64"/>
        <v>0.9</v>
      </c>
      <c r="L174" s="44">
        <f t="shared" si="64"/>
        <v>0.9</v>
      </c>
      <c r="M174" s="44">
        <f t="shared" si="64"/>
        <v>0.9</v>
      </c>
      <c r="N174" s="44">
        <f t="shared" si="64"/>
        <v>0.9</v>
      </c>
      <c r="O174" s="44">
        <f t="shared" si="64"/>
        <v>0.9</v>
      </c>
      <c r="P174" s="44">
        <f t="shared" si="64"/>
        <v>0.9</v>
      </c>
      <c r="Q174" s="44">
        <f t="shared" si="64"/>
        <v>0.9</v>
      </c>
      <c r="R174" s="44">
        <f t="shared" si="64"/>
        <v>0.9</v>
      </c>
      <c r="S174" s="44">
        <f t="shared" si="65"/>
        <v>0.9</v>
      </c>
      <c r="T174" s="44">
        <f t="shared" si="65"/>
        <v>0.9</v>
      </c>
      <c r="U174" s="44">
        <f t="shared" si="65"/>
        <v>0.9</v>
      </c>
      <c r="V174" s="44">
        <f t="shared" si="65"/>
        <v>0.9</v>
      </c>
      <c r="W174" s="44">
        <f t="shared" si="65"/>
        <v>0.9</v>
      </c>
      <c r="X174" s="44">
        <f t="shared" si="65"/>
        <v>0.9</v>
      </c>
      <c r="Y174" s="44">
        <f t="shared" si="65"/>
        <v>0.9</v>
      </c>
      <c r="Z174" s="44">
        <f t="shared" si="65"/>
        <v>0.9</v>
      </c>
      <c r="AA174" s="44">
        <f t="shared" si="65"/>
        <v>0.9</v>
      </c>
      <c r="AB174" s="44">
        <f t="shared" si="65"/>
        <v>0.9</v>
      </c>
      <c r="AC174" s="44">
        <f t="shared" si="65"/>
        <v>0.9</v>
      </c>
      <c r="AD174" s="44">
        <f t="shared" si="65"/>
        <v>0.9</v>
      </c>
      <c r="AE174" s="44">
        <f t="shared" si="65"/>
        <v>0.9</v>
      </c>
      <c r="AF174" s="44">
        <f t="shared" si="65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3"/>
        <v>0.44</v>
      </c>
      <c r="C175" s="55">
        <v>0.44</v>
      </c>
      <c r="D175" s="44">
        <f t="shared" si="64"/>
        <v>0.44</v>
      </c>
      <c r="E175" s="44">
        <f t="shared" si="64"/>
        <v>0.44</v>
      </c>
      <c r="F175" s="44">
        <f t="shared" si="64"/>
        <v>0.44</v>
      </c>
      <c r="G175" s="44">
        <f t="shared" si="64"/>
        <v>0.44</v>
      </c>
      <c r="H175" s="44">
        <f t="shared" si="64"/>
        <v>0.44</v>
      </c>
      <c r="I175" s="44">
        <f t="shared" si="64"/>
        <v>0.44</v>
      </c>
      <c r="J175" s="44">
        <f t="shared" si="64"/>
        <v>0.44</v>
      </c>
      <c r="K175" s="44">
        <f t="shared" si="64"/>
        <v>0.44</v>
      </c>
      <c r="L175" s="44">
        <f t="shared" si="64"/>
        <v>0.44</v>
      </c>
      <c r="M175" s="44">
        <f t="shared" si="64"/>
        <v>0.44</v>
      </c>
      <c r="N175" s="44">
        <f t="shared" si="64"/>
        <v>0.44</v>
      </c>
      <c r="O175" s="44">
        <f t="shared" si="64"/>
        <v>0.44</v>
      </c>
      <c r="P175" s="44">
        <f t="shared" si="64"/>
        <v>0.44</v>
      </c>
      <c r="Q175" s="44">
        <f t="shared" si="64"/>
        <v>0.44</v>
      </c>
      <c r="R175" s="44">
        <f t="shared" si="64"/>
        <v>0.44</v>
      </c>
      <c r="S175" s="44">
        <f t="shared" si="65"/>
        <v>0.44</v>
      </c>
      <c r="T175" s="44">
        <f t="shared" si="65"/>
        <v>0.44</v>
      </c>
      <c r="U175" s="44">
        <f t="shared" si="65"/>
        <v>0.44</v>
      </c>
      <c r="V175" s="44">
        <f t="shared" si="65"/>
        <v>0.44</v>
      </c>
      <c r="W175" s="44">
        <f t="shared" si="65"/>
        <v>0.44</v>
      </c>
      <c r="X175" s="44">
        <f t="shared" si="65"/>
        <v>0.44</v>
      </c>
      <c r="Y175" s="44">
        <f t="shared" si="65"/>
        <v>0.44</v>
      </c>
      <c r="Z175" s="44">
        <f t="shared" si="65"/>
        <v>0.44</v>
      </c>
      <c r="AA175" s="44">
        <f t="shared" si="65"/>
        <v>0.44</v>
      </c>
      <c r="AB175" s="44">
        <f t="shared" si="65"/>
        <v>0.44</v>
      </c>
      <c r="AC175" s="44">
        <f t="shared" si="65"/>
        <v>0.44</v>
      </c>
      <c r="AD175" s="44">
        <f t="shared" si="65"/>
        <v>0.44</v>
      </c>
      <c r="AE175" s="44">
        <f t="shared" si="65"/>
        <v>0.44</v>
      </c>
      <c r="AF175" s="44">
        <f t="shared" si="65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3"/>
        <v>2.1</v>
      </c>
      <c r="C176" s="55">
        <v>2.1</v>
      </c>
      <c r="D176" s="44">
        <f t="shared" si="64"/>
        <v>2.1</v>
      </c>
      <c r="E176" s="44">
        <f t="shared" si="64"/>
        <v>2.1</v>
      </c>
      <c r="F176" s="44">
        <f t="shared" si="64"/>
        <v>2.1</v>
      </c>
      <c r="G176" s="44">
        <f t="shared" si="64"/>
        <v>2.1</v>
      </c>
      <c r="H176" s="44">
        <f t="shared" si="64"/>
        <v>2.1</v>
      </c>
      <c r="I176" s="44">
        <f t="shared" si="64"/>
        <v>2.1</v>
      </c>
      <c r="J176" s="44">
        <f t="shared" si="64"/>
        <v>2.1</v>
      </c>
      <c r="K176" s="44">
        <f t="shared" si="64"/>
        <v>2.1</v>
      </c>
      <c r="L176" s="44">
        <f t="shared" si="64"/>
        <v>2.1</v>
      </c>
      <c r="M176" s="44">
        <f t="shared" si="64"/>
        <v>2.1</v>
      </c>
      <c r="N176" s="44">
        <f t="shared" si="64"/>
        <v>2.1</v>
      </c>
      <c r="O176" s="44">
        <f t="shared" si="64"/>
        <v>2.1</v>
      </c>
      <c r="P176" s="44">
        <f t="shared" si="64"/>
        <v>2.1</v>
      </c>
      <c r="Q176" s="44">
        <f t="shared" si="64"/>
        <v>2.1</v>
      </c>
      <c r="R176" s="44">
        <f t="shared" si="64"/>
        <v>2.1</v>
      </c>
      <c r="S176" s="44">
        <f t="shared" si="65"/>
        <v>2.1</v>
      </c>
      <c r="T176" s="44">
        <f t="shared" si="65"/>
        <v>2.1</v>
      </c>
      <c r="U176" s="44">
        <f t="shared" si="65"/>
        <v>2.1</v>
      </c>
      <c r="V176" s="44">
        <f t="shared" si="65"/>
        <v>2.1</v>
      </c>
      <c r="W176" s="44">
        <f t="shared" si="65"/>
        <v>2.1</v>
      </c>
      <c r="X176" s="44">
        <f t="shared" si="65"/>
        <v>2.1</v>
      </c>
      <c r="Y176" s="44">
        <f t="shared" si="65"/>
        <v>2.1</v>
      </c>
      <c r="Z176" s="44">
        <f t="shared" si="65"/>
        <v>2.1</v>
      </c>
      <c r="AA176" s="44">
        <f t="shared" si="65"/>
        <v>2.1</v>
      </c>
      <c r="AB176" s="44">
        <f t="shared" si="65"/>
        <v>2.1</v>
      </c>
      <c r="AC176" s="44">
        <f t="shared" si="65"/>
        <v>2.1</v>
      </c>
      <c r="AD176" s="44">
        <f t="shared" si="65"/>
        <v>2.1</v>
      </c>
      <c r="AE176" s="44">
        <f t="shared" si="65"/>
        <v>2.1</v>
      </c>
      <c r="AF176" s="44">
        <f t="shared" si="65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3"/>
        <v>0.9</v>
      </c>
      <c r="C177" s="55">
        <v>0.9</v>
      </c>
      <c r="D177" s="44">
        <f t="shared" si="64"/>
        <v>0.9</v>
      </c>
      <c r="E177" s="44">
        <f t="shared" si="64"/>
        <v>0.9</v>
      </c>
      <c r="F177" s="44">
        <f t="shared" si="64"/>
        <v>0.9</v>
      </c>
      <c r="G177" s="44">
        <f t="shared" si="64"/>
        <v>0.9</v>
      </c>
      <c r="H177" s="44">
        <f t="shared" si="64"/>
        <v>0.9</v>
      </c>
      <c r="I177" s="44">
        <f t="shared" si="64"/>
        <v>0.9</v>
      </c>
      <c r="J177" s="44">
        <f t="shared" si="64"/>
        <v>0.9</v>
      </c>
      <c r="K177" s="44">
        <f t="shared" si="64"/>
        <v>0.9</v>
      </c>
      <c r="L177" s="44">
        <f t="shared" si="64"/>
        <v>0.9</v>
      </c>
      <c r="M177" s="44">
        <f t="shared" si="64"/>
        <v>0.9</v>
      </c>
      <c r="N177" s="44">
        <f t="shared" si="64"/>
        <v>0.9</v>
      </c>
      <c r="O177" s="44">
        <f t="shared" si="64"/>
        <v>0.9</v>
      </c>
      <c r="P177" s="44">
        <f t="shared" si="64"/>
        <v>0.9</v>
      </c>
      <c r="Q177" s="44">
        <f t="shared" si="64"/>
        <v>0.9</v>
      </c>
      <c r="R177" s="44">
        <f t="shared" si="64"/>
        <v>0.9</v>
      </c>
      <c r="S177" s="44">
        <f t="shared" si="65"/>
        <v>0.9</v>
      </c>
      <c r="T177" s="44">
        <f t="shared" si="65"/>
        <v>0.9</v>
      </c>
      <c r="U177" s="44">
        <f t="shared" si="65"/>
        <v>0.9</v>
      </c>
      <c r="V177" s="44">
        <f t="shared" si="65"/>
        <v>0.9</v>
      </c>
      <c r="W177" s="44">
        <f t="shared" si="65"/>
        <v>0.9</v>
      </c>
      <c r="X177" s="44">
        <f t="shared" si="65"/>
        <v>0.9</v>
      </c>
      <c r="Y177" s="44">
        <f t="shared" si="65"/>
        <v>0.9</v>
      </c>
      <c r="Z177" s="44">
        <f t="shared" si="65"/>
        <v>0.9</v>
      </c>
      <c r="AA177" s="44">
        <f t="shared" si="65"/>
        <v>0.9</v>
      </c>
      <c r="AB177" s="44">
        <f t="shared" si="65"/>
        <v>0.9</v>
      </c>
      <c r="AC177" s="44">
        <f t="shared" si="65"/>
        <v>0.9</v>
      </c>
      <c r="AD177" s="44">
        <f t="shared" si="65"/>
        <v>0.9</v>
      </c>
      <c r="AE177" s="44">
        <f t="shared" si="65"/>
        <v>0.9</v>
      </c>
      <c r="AF177" s="44">
        <f t="shared" si="65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6">AF179</f>
        <v>0.57999999999999996</v>
      </c>
      <c r="C179" s="55">
        <v>0.57999999999999996</v>
      </c>
      <c r="D179" s="44">
        <f t="shared" ref="D179:S191" si="67">C179</f>
        <v>0.57999999999999996</v>
      </c>
      <c r="E179" s="44">
        <f t="shared" si="67"/>
        <v>0.57999999999999996</v>
      </c>
      <c r="F179" s="44">
        <f t="shared" si="67"/>
        <v>0.57999999999999996</v>
      </c>
      <c r="G179" s="44">
        <f t="shared" si="67"/>
        <v>0.57999999999999996</v>
      </c>
      <c r="H179" s="44">
        <f t="shared" si="67"/>
        <v>0.57999999999999996</v>
      </c>
      <c r="I179" s="44">
        <f t="shared" si="67"/>
        <v>0.57999999999999996</v>
      </c>
      <c r="J179" s="44">
        <f t="shared" si="67"/>
        <v>0.57999999999999996</v>
      </c>
      <c r="K179" s="44">
        <f t="shared" si="67"/>
        <v>0.57999999999999996</v>
      </c>
      <c r="L179" s="44">
        <f t="shared" si="67"/>
        <v>0.57999999999999996</v>
      </c>
      <c r="M179" s="44">
        <f t="shared" si="67"/>
        <v>0.57999999999999996</v>
      </c>
      <c r="N179" s="44">
        <f t="shared" si="67"/>
        <v>0.57999999999999996</v>
      </c>
      <c r="O179" s="44">
        <f t="shared" si="67"/>
        <v>0.57999999999999996</v>
      </c>
      <c r="P179" s="44">
        <f t="shared" si="67"/>
        <v>0.57999999999999996</v>
      </c>
      <c r="Q179" s="44">
        <f t="shared" si="67"/>
        <v>0.57999999999999996</v>
      </c>
      <c r="R179" s="44">
        <f t="shared" si="67"/>
        <v>0.57999999999999996</v>
      </c>
      <c r="S179" s="44">
        <f t="shared" si="67"/>
        <v>0.57999999999999996</v>
      </c>
      <c r="T179" s="44">
        <f t="shared" ref="S179:AF191" si="68">S179</f>
        <v>0.57999999999999996</v>
      </c>
      <c r="U179" s="44">
        <f t="shared" si="68"/>
        <v>0.57999999999999996</v>
      </c>
      <c r="V179" s="44">
        <f t="shared" si="68"/>
        <v>0.57999999999999996</v>
      </c>
      <c r="W179" s="44">
        <f t="shared" si="68"/>
        <v>0.57999999999999996</v>
      </c>
      <c r="X179" s="44">
        <f t="shared" si="68"/>
        <v>0.57999999999999996</v>
      </c>
      <c r="Y179" s="44">
        <f t="shared" si="68"/>
        <v>0.57999999999999996</v>
      </c>
      <c r="Z179" s="44">
        <f t="shared" si="68"/>
        <v>0.57999999999999996</v>
      </c>
      <c r="AA179" s="44">
        <f t="shared" si="68"/>
        <v>0.57999999999999996</v>
      </c>
      <c r="AB179" s="44">
        <f t="shared" si="68"/>
        <v>0.57999999999999996</v>
      </c>
      <c r="AC179" s="44">
        <f t="shared" si="68"/>
        <v>0.57999999999999996</v>
      </c>
      <c r="AD179" s="44">
        <f t="shared" si="68"/>
        <v>0.57999999999999996</v>
      </c>
      <c r="AE179" s="44">
        <f t="shared" si="68"/>
        <v>0.57999999999999996</v>
      </c>
      <c r="AF179" s="44">
        <f t="shared" si="68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6"/>
        <v>0.8</v>
      </c>
      <c r="C180" s="55">
        <v>0.8</v>
      </c>
      <c r="D180" s="44">
        <f t="shared" si="67"/>
        <v>0.8</v>
      </c>
      <c r="E180" s="44">
        <f t="shared" si="67"/>
        <v>0.8</v>
      </c>
      <c r="F180" s="44">
        <f t="shared" si="67"/>
        <v>0.8</v>
      </c>
      <c r="G180" s="44">
        <f t="shared" si="67"/>
        <v>0.8</v>
      </c>
      <c r="H180" s="44">
        <f t="shared" si="67"/>
        <v>0.8</v>
      </c>
      <c r="I180" s="44">
        <f t="shared" si="67"/>
        <v>0.8</v>
      </c>
      <c r="J180" s="44">
        <f t="shared" si="67"/>
        <v>0.8</v>
      </c>
      <c r="K180" s="44">
        <f t="shared" si="67"/>
        <v>0.8</v>
      </c>
      <c r="L180" s="44">
        <f t="shared" si="67"/>
        <v>0.8</v>
      </c>
      <c r="M180" s="44">
        <f t="shared" si="67"/>
        <v>0.8</v>
      </c>
      <c r="N180" s="44">
        <f t="shared" si="67"/>
        <v>0.8</v>
      </c>
      <c r="O180" s="44">
        <f t="shared" si="67"/>
        <v>0.8</v>
      </c>
      <c r="P180" s="44">
        <f t="shared" si="67"/>
        <v>0.8</v>
      </c>
      <c r="Q180" s="44">
        <f t="shared" si="67"/>
        <v>0.8</v>
      </c>
      <c r="R180" s="44">
        <f t="shared" si="67"/>
        <v>0.8</v>
      </c>
      <c r="S180" s="44">
        <f t="shared" si="67"/>
        <v>0.8</v>
      </c>
      <c r="T180" s="44">
        <f t="shared" si="68"/>
        <v>0.8</v>
      </c>
      <c r="U180" s="44">
        <f t="shared" si="68"/>
        <v>0.8</v>
      </c>
      <c r="V180" s="44">
        <f t="shared" si="68"/>
        <v>0.8</v>
      </c>
      <c r="W180" s="44">
        <f t="shared" si="68"/>
        <v>0.8</v>
      </c>
      <c r="X180" s="44">
        <f t="shared" si="68"/>
        <v>0.8</v>
      </c>
      <c r="Y180" s="44">
        <f t="shared" si="68"/>
        <v>0.8</v>
      </c>
      <c r="Z180" s="44">
        <f t="shared" si="68"/>
        <v>0.8</v>
      </c>
      <c r="AA180" s="44">
        <f t="shared" si="68"/>
        <v>0.8</v>
      </c>
      <c r="AB180" s="44">
        <f t="shared" si="68"/>
        <v>0.8</v>
      </c>
      <c r="AC180" s="44">
        <f t="shared" si="68"/>
        <v>0.8</v>
      </c>
      <c r="AD180" s="44">
        <f t="shared" si="68"/>
        <v>0.8</v>
      </c>
      <c r="AE180" s="44">
        <f t="shared" si="68"/>
        <v>0.8</v>
      </c>
      <c r="AF180" s="44">
        <f t="shared" si="68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6"/>
        <v>0</v>
      </c>
      <c r="C181" s="55">
        <v>0</v>
      </c>
      <c r="D181" s="44">
        <f t="shared" si="67"/>
        <v>0</v>
      </c>
      <c r="E181" s="44">
        <f t="shared" si="67"/>
        <v>0</v>
      </c>
      <c r="F181" s="44">
        <f t="shared" si="67"/>
        <v>0</v>
      </c>
      <c r="G181" s="44">
        <f t="shared" si="67"/>
        <v>0</v>
      </c>
      <c r="H181" s="44">
        <f t="shared" si="67"/>
        <v>0</v>
      </c>
      <c r="I181" s="44">
        <f t="shared" si="67"/>
        <v>0</v>
      </c>
      <c r="J181" s="44">
        <f t="shared" si="67"/>
        <v>0</v>
      </c>
      <c r="K181" s="44">
        <f t="shared" si="67"/>
        <v>0</v>
      </c>
      <c r="L181" s="44">
        <f t="shared" si="67"/>
        <v>0</v>
      </c>
      <c r="M181" s="44">
        <f t="shared" si="67"/>
        <v>0</v>
      </c>
      <c r="N181" s="44">
        <f t="shared" si="67"/>
        <v>0</v>
      </c>
      <c r="O181" s="44">
        <f t="shared" si="67"/>
        <v>0</v>
      </c>
      <c r="P181" s="44">
        <f t="shared" si="67"/>
        <v>0</v>
      </c>
      <c r="Q181" s="44">
        <f t="shared" si="67"/>
        <v>0</v>
      </c>
      <c r="R181" s="44">
        <f t="shared" si="67"/>
        <v>0</v>
      </c>
      <c r="S181" s="44">
        <f t="shared" si="67"/>
        <v>0</v>
      </c>
      <c r="T181" s="44">
        <f t="shared" si="68"/>
        <v>0</v>
      </c>
      <c r="U181" s="44">
        <f t="shared" si="68"/>
        <v>0</v>
      </c>
      <c r="V181" s="44">
        <f t="shared" si="68"/>
        <v>0</v>
      </c>
      <c r="W181" s="44">
        <f t="shared" si="68"/>
        <v>0</v>
      </c>
      <c r="X181" s="44">
        <f t="shared" si="68"/>
        <v>0</v>
      </c>
      <c r="Y181" s="44">
        <f t="shared" si="68"/>
        <v>0</v>
      </c>
      <c r="Z181" s="44">
        <f t="shared" si="68"/>
        <v>0</v>
      </c>
      <c r="AA181" s="44">
        <f t="shared" si="68"/>
        <v>0</v>
      </c>
      <c r="AB181" s="44">
        <f t="shared" si="68"/>
        <v>0</v>
      </c>
      <c r="AC181" s="44">
        <f t="shared" si="68"/>
        <v>0</v>
      </c>
      <c r="AD181" s="44">
        <f t="shared" si="68"/>
        <v>0</v>
      </c>
      <c r="AE181" s="44">
        <f t="shared" si="68"/>
        <v>0</v>
      </c>
      <c r="AF181" s="44">
        <f t="shared" si="68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6"/>
        <v>0.6</v>
      </c>
      <c r="C182" s="55">
        <v>0.6</v>
      </c>
      <c r="D182" s="44">
        <f t="shared" si="67"/>
        <v>0.6</v>
      </c>
      <c r="E182" s="44">
        <f t="shared" si="67"/>
        <v>0.6</v>
      </c>
      <c r="F182" s="44">
        <f t="shared" si="67"/>
        <v>0.6</v>
      </c>
      <c r="G182" s="44">
        <f t="shared" si="67"/>
        <v>0.6</v>
      </c>
      <c r="H182" s="44">
        <f t="shared" si="67"/>
        <v>0.6</v>
      </c>
      <c r="I182" s="44">
        <f t="shared" si="67"/>
        <v>0.6</v>
      </c>
      <c r="J182" s="44">
        <f t="shared" si="67"/>
        <v>0.6</v>
      </c>
      <c r="K182" s="44">
        <f t="shared" si="67"/>
        <v>0.6</v>
      </c>
      <c r="L182" s="44">
        <f t="shared" si="67"/>
        <v>0.6</v>
      </c>
      <c r="M182" s="44">
        <f t="shared" si="67"/>
        <v>0.6</v>
      </c>
      <c r="N182" s="44">
        <f t="shared" si="67"/>
        <v>0.6</v>
      </c>
      <c r="O182" s="44">
        <f t="shared" si="67"/>
        <v>0.6</v>
      </c>
      <c r="P182" s="44">
        <f t="shared" si="67"/>
        <v>0.6</v>
      </c>
      <c r="Q182" s="44">
        <f t="shared" si="67"/>
        <v>0.6</v>
      </c>
      <c r="R182" s="44">
        <f t="shared" si="67"/>
        <v>0.6</v>
      </c>
      <c r="S182" s="44">
        <f t="shared" si="67"/>
        <v>0.6</v>
      </c>
      <c r="T182" s="44">
        <f t="shared" si="68"/>
        <v>0.6</v>
      </c>
      <c r="U182" s="44">
        <f t="shared" si="68"/>
        <v>0.6</v>
      </c>
      <c r="V182" s="44">
        <f t="shared" si="68"/>
        <v>0.6</v>
      </c>
      <c r="W182" s="44">
        <f t="shared" si="68"/>
        <v>0.6</v>
      </c>
      <c r="X182" s="44">
        <f t="shared" si="68"/>
        <v>0.6</v>
      </c>
      <c r="Y182" s="44">
        <f t="shared" si="68"/>
        <v>0.6</v>
      </c>
      <c r="Z182" s="44">
        <f t="shared" si="68"/>
        <v>0.6</v>
      </c>
      <c r="AA182" s="44">
        <f t="shared" si="68"/>
        <v>0.6</v>
      </c>
      <c r="AB182" s="44">
        <f t="shared" si="68"/>
        <v>0.6</v>
      </c>
      <c r="AC182" s="44">
        <f t="shared" si="68"/>
        <v>0.6</v>
      </c>
      <c r="AD182" s="44">
        <f t="shared" si="68"/>
        <v>0.6</v>
      </c>
      <c r="AE182" s="44">
        <f t="shared" si="68"/>
        <v>0.6</v>
      </c>
      <c r="AF182" s="44">
        <f t="shared" si="68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6"/>
        <v>0.6</v>
      </c>
      <c r="C183" s="55">
        <v>0.6</v>
      </c>
      <c r="D183" s="44">
        <f t="shared" si="67"/>
        <v>0.6</v>
      </c>
      <c r="E183" s="44">
        <f t="shared" si="67"/>
        <v>0.6</v>
      </c>
      <c r="F183" s="44">
        <f t="shared" si="67"/>
        <v>0.6</v>
      </c>
      <c r="G183" s="44">
        <f t="shared" si="67"/>
        <v>0.6</v>
      </c>
      <c r="H183" s="44">
        <f t="shared" si="67"/>
        <v>0.6</v>
      </c>
      <c r="I183" s="44">
        <f t="shared" si="67"/>
        <v>0.6</v>
      </c>
      <c r="J183" s="44">
        <f t="shared" si="67"/>
        <v>0.6</v>
      </c>
      <c r="K183" s="44">
        <f t="shared" si="67"/>
        <v>0.6</v>
      </c>
      <c r="L183" s="44">
        <f t="shared" si="67"/>
        <v>0.6</v>
      </c>
      <c r="M183" s="44">
        <f t="shared" si="67"/>
        <v>0.6</v>
      </c>
      <c r="N183" s="44">
        <f t="shared" si="67"/>
        <v>0.6</v>
      </c>
      <c r="O183" s="44">
        <f t="shared" si="67"/>
        <v>0.6</v>
      </c>
      <c r="P183" s="44">
        <f t="shared" si="67"/>
        <v>0.6</v>
      </c>
      <c r="Q183" s="44">
        <f t="shared" si="67"/>
        <v>0.6</v>
      </c>
      <c r="R183" s="44">
        <f t="shared" si="67"/>
        <v>0.6</v>
      </c>
      <c r="S183" s="44">
        <f t="shared" si="67"/>
        <v>0.6</v>
      </c>
      <c r="T183" s="44">
        <f t="shared" si="68"/>
        <v>0.6</v>
      </c>
      <c r="U183" s="44">
        <f t="shared" si="68"/>
        <v>0.6</v>
      </c>
      <c r="V183" s="44">
        <f t="shared" si="68"/>
        <v>0.6</v>
      </c>
      <c r="W183" s="44">
        <f t="shared" si="68"/>
        <v>0.6</v>
      </c>
      <c r="X183" s="44">
        <f t="shared" si="68"/>
        <v>0.6</v>
      </c>
      <c r="Y183" s="44">
        <f t="shared" si="68"/>
        <v>0.6</v>
      </c>
      <c r="Z183" s="44">
        <f t="shared" si="68"/>
        <v>0.6</v>
      </c>
      <c r="AA183" s="44">
        <f t="shared" si="68"/>
        <v>0.6</v>
      </c>
      <c r="AB183" s="44">
        <f t="shared" si="68"/>
        <v>0.6</v>
      </c>
      <c r="AC183" s="44">
        <f t="shared" si="68"/>
        <v>0.6</v>
      </c>
      <c r="AD183" s="44">
        <f t="shared" si="68"/>
        <v>0.6</v>
      </c>
      <c r="AE183" s="44">
        <f t="shared" si="68"/>
        <v>0.6</v>
      </c>
      <c r="AF183" s="44">
        <f t="shared" si="68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6"/>
        <v>0.35</v>
      </c>
      <c r="C184" s="55">
        <v>0.35</v>
      </c>
      <c r="D184" s="44">
        <f t="shared" si="67"/>
        <v>0.35</v>
      </c>
      <c r="E184" s="44">
        <f t="shared" si="67"/>
        <v>0.35</v>
      </c>
      <c r="F184" s="44">
        <f t="shared" si="67"/>
        <v>0.35</v>
      </c>
      <c r="G184" s="44">
        <f t="shared" si="67"/>
        <v>0.35</v>
      </c>
      <c r="H184" s="44">
        <f t="shared" si="67"/>
        <v>0.35</v>
      </c>
      <c r="I184" s="44">
        <f t="shared" si="67"/>
        <v>0.35</v>
      </c>
      <c r="J184" s="44">
        <f t="shared" si="67"/>
        <v>0.35</v>
      </c>
      <c r="K184" s="44">
        <f t="shared" si="67"/>
        <v>0.35</v>
      </c>
      <c r="L184" s="44">
        <f t="shared" si="67"/>
        <v>0.35</v>
      </c>
      <c r="M184" s="44">
        <f t="shared" si="67"/>
        <v>0.35</v>
      </c>
      <c r="N184" s="44">
        <f t="shared" si="67"/>
        <v>0.35</v>
      </c>
      <c r="O184" s="44">
        <f t="shared" si="67"/>
        <v>0.35</v>
      </c>
      <c r="P184" s="44">
        <f t="shared" si="67"/>
        <v>0.35</v>
      </c>
      <c r="Q184" s="44">
        <f t="shared" si="67"/>
        <v>0.35</v>
      </c>
      <c r="R184" s="44">
        <f t="shared" si="67"/>
        <v>0.35</v>
      </c>
      <c r="S184" s="44">
        <f t="shared" si="67"/>
        <v>0.35</v>
      </c>
      <c r="T184" s="44">
        <f t="shared" si="68"/>
        <v>0.35</v>
      </c>
      <c r="U184" s="44">
        <f t="shared" si="68"/>
        <v>0.35</v>
      </c>
      <c r="V184" s="44">
        <f t="shared" si="68"/>
        <v>0.35</v>
      </c>
      <c r="W184" s="44">
        <f t="shared" si="68"/>
        <v>0.35</v>
      </c>
      <c r="X184" s="44">
        <f t="shared" si="68"/>
        <v>0.35</v>
      </c>
      <c r="Y184" s="44">
        <f t="shared" si="68"/>
        <v>0.35</v>
      </c>
      <c r="Z184" s="44">
        <f t="shared" si="68"/>
        <v>0.35</v>
      </c>
      <c r="AA184" s="44">
        <f t="shared" si="68"/>
        <v>0.35</v>
      </c>
      <c r="AB184" s="44">
        <f t="shared" si="68"/>
        <v>0.35</v>
      </c>
      <c r="AC184" s="44">
        <f t="shared" si="68"/>
        <v>0.35</v>
      </c>
      <c r="AD184" s="44">
        <f t="shared" si="68"/>
        <v>0.35</v>
      </c>
      <c r="AE184" s="44">
        <f t="shared" si="68"/>
        <v>0.35</v>
      </c>
      <c r="AF184" s="44">
        <f t="shared" si="68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6"/>
        <v>0.28999999999999998</v>
      </c>
      <c r="C185" s="55">
        <v>0.28999999999999998</v>
      </c>
      <c r="D185" s="44">
        <f t="shared" si="67"/>
        <v>0.28999999999999998</v>
      </c>
      <c r="E185" s="44">
        <f t="shared" si="67"/>
        <v>0.28999999999999998</v>
      </c>
      <c r="F185" s="44">
        <f t="shared" si="67"/>
        <v>0.28999999999999998</v>
      </c>
      <c r="G185" s="44">
        <f t="shared" si="67"/>
        <v>0.28999999999999998</v>
      </c>
      <c r="H185" s="44">
        <f t="shared" si="67"/>
        <v>0.28999999999999998</v>
      </c>
      <c r="I185" s="44">
        <f t="shared" si="67"/>
        <v>0.28999999999999998</v>
      </c>
      <c r="J185" s="44">
        <f t="shared" si="67"/>
        <v>0.28999999999999998</v>
      </c>
      <c r="K185" s="44">
        <f t="shared" si="67"/>
        <v>0.28999999999999998</v>
      </c>
      <c r="L185" s="44">
        <f t="shared" si="67"/>
        <v>0.28999999999999998</v>
      </c>
      <c r="M185" s="44">
        <f t="shared" si="67"/>
        <v>0.28999999999999998</v>
      </c>
      <c r="N185" s="44">
        <f t="shared" si="67"/>
        <v>0.28999999999999998</v>
      </c>
      <c r="O185" s="44">
        <f t="shared" si="67"/>
        <v>0.28999999999999998</v>
      </c>
      <c r="P185" s="44">
        <f t="shared" si="67"/>
        <v>0.28999999999999998</v>
      </c>
      <c r="Q185" s="44">
        <f t="shared" si="67"/>
        <v>0.28999999999999998</v>
      </c>
      <c r="R185" s="44">
        <f t="shared" si="67"/>
        <v>0.28999999999999998</v>
      </c>
      <c r="S185" s="44">
        <f t="shared" si="67"/>
        <v>0.28999999999999998</v>
      </c>
      <c r="T185" s="44">
        <f t="shared" si="68"/>
        <v>0.28999999999999998</v>
      </c>
      <c r="U185" s="44">
        <f t="shared" si="68"/>
        <v>0.28999999999999998</v>
      </c>
      <c r="V185" s="44">
        <f t="shared" si="68"/>
        <v>0.28999999999999998</v>
      </c>
      <c r="W185" s="44">
        <f t="shared" si="68"/>
        <v>0.28999999999999998</v>
      </c>
      <c r="X185" s="44">
        <f t="shared" si="68"/>
        <v>0.28999999999999998</v>
      </c>
      <c r="Y185" s="44">
        <f t="shared" si="68"/>
        <v>0.28999999999999998</v>
      </c>
      <c r="Z185" s="44">
        <f t="shared" si="68"/>
        <v>0.28999999999999998</v>
      </c>
      <c r="AA185" s="44">
        <f t="shared" si="68"/>
        <v>0.28999999999999998</v>
      </c>
      <c r="AB185" s="44">
        <f t="shared" si="68"/>
        <v>0.28999999999999998</v>
      </c>
      <c r="AC185" s="44">
        <f t="shared" si="68"/>
        <v>0.28999999999999998</v>
      </c>
      <c r="AD185" s="44">
        <f t="shared" si="68"/>
        <v>0.28999999999999998</v>
      </c>
      <c r="AE185" s="44">
        <f t="shared" si="68"/>
        <v>0.28999999999999998</v>
      </c>
      <c r="AF185" s="44">
        <f t="shared" si="6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6"/>
        <v>0.06</v>
      </c>
      <c r="C186" s="55">
        <v>0.06</v>
      </c>
      <c r="D186" s="44">
        <f t="shared" si="67"/>
        <v>0.06</v>
      </c>
      <c r="E186" s="44">
        <f t="shared" si="67"/>
        <v>0.06</v>
      </c>
      <c r="F186" s="44">
        <f t="shared" si="67"/>
        <v>0.06</v>
      </c>
      <c r="G186" s="44">
        <f t="shared" si="67"/>
        <v>0.06</v>
      </c>
      <c r="H186" s="44">
        <f t="shared" si="67"/>
        <v>0.06</v>
      </c>
      <c r="I186" s="44">
        <f t="shared" si="67"/>
        <v>0.06</v>
      </c>
      <c r="J186" s="44">
        <f t="shared" si="67"/>
        <v>0.06</v>
      </c>
      <c r="K186" s="44">
        <f t="shared" si="67"/>
        <v>0.06</v>
      </c>
      <c r="L186" s="44">
        <f t="shared" si="67"/>
        <v>0.06</v>
      </c>
      <c r="M186" s="44">
        <f t="shared" si="67"/>
        <v>0.06</v>
      </c>
      <c r="N186" s="44">
        <f t="shared" si="67"/>
        <v>0.06</v>
      </c>
      <c r="O186" s="44">
        <f t="shared" si="67"/>
        <v>0.06</v>
      </c>
      <c r="P186" s="44">
        <f t="shared" si="67"/>
        <v>0.06</v>
      </c>
      <c r="Q186" s="44">
        <f t="shared" si="67"/>
        <v>0.06</v>
      </c>
      <c r="R186" s="44">
        <f t="shared" si="67"/>
        <v>0.06</v>
      </c>
      <c r="S186" s="44">
        <f t="shared" si="67"/>
        <v>0.06</v>
      </c>
      <c r="T186" s="44">
        <f t="shared" si="68"/>
        <v>0.06</v>
      </c>
      <c r="U186" s="44">
        <f t="shared" si="68"/>
        <v>0.06</v>
      </c>
      <c r="V186" s="44">
        <f t="shared" si="68"/>
        <v>0.06</v>
      </c>
      <c r="W186" s="44">
        <f t="shared" si="68"/>
        <v>0.06</v>
      </c>
      <c r="X186" s="44">
        <f t="shared" si="68"/>
        <v>0.06</v>
      </c>
      <c r="Y186" s="44">
        <f t="shared" si="68"/>
        <v>0.06</v>
      </c>
      <c r="Z186" s="44">
        <f t="shared" si="68"/>
        <v>0.06</v>
      </c>
      <c r="AA186" s="44">
        <f t="shared" si="68"/>
        <v>0.06</v>
      </c>
      <c r="AB186" s="44">
        <f t="shared" si="68"/>
        <v>0.06</v>
      </c>
      <c r="AC186" s="44">
        <f t="shared" si="68"/>
        <v>0.06</v>
      </c>
      <c r="AD186" s="44">
        <f t="shared" si="68"/>
        <v>0.06</v>
      </c>
      <c r="AE186" s="44">
        <f t="shared" si="68"/>
        <v>0.06</v>
      </c>
      <c r="AF186" s="44">
        <f t="shared" si="68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6"/>
        <v>0.11</v>
      </c>
      <c r="C187" s="55">
        <v>0.11</v>
      </c>
      <c r="D187" s="44">
        <f t="shared" si="67"/>
        <v>0.11</v>
      </c>
      <c r="E187" s="44">
        <f t="shared" si="67"/>
        <v>0.11</v>
      </c>
      <c r="F187" s="44">
        <f t="shared" si="67"/>
        <v>0.11</v>
      </c>
      <c r="G187" s="44">
        <f t="shared" si="67"/>
        <v>0.11</v>
      </c>
      <c r="H187" s="44">
        <f t="shared" si="67"/>
        <v>0.11</v>
      </c>
      <c r="I187" s="44">
        <f t="shared" si="67"/>
        <v>0.11</v>
      </c>
      <c r="J187" s="44">
        <f t="shared" si="67"/>
        <v>0.11</v>
      </c>
      <c r="K187" s="44">
        <f t="shared" si="67"/>
        <v>0.11</v>
      </c>
      <c r="L187" s="44">
        <f t="shared" si="67"/>
        <v>0.11</v>
      </c>
      <c r="M187" s="44">
        <f t="shared" si="67"/>
        <v>0.11</v>
      </c>
      <c r="N187" s="44">
        <f t="shared" si="67"/>
        <v>0.11</v>
      </c>
      <c r="O187" s="44">
        <f t="shared" si="67"/>
        <v>0.11</v>
      </c>
      <c r="P187" s="44">
        <f t="shared" si="67"/>
        <v>0.11</v>
      </c>
      <c r="Q187" s="44">
        <f t="shared" si="67"/>
        <v>0.11</v>
      </c>
      <c r="R187" s="44">
        <f t="shared" si="67"/>
        <v>0.11</v>
      </c>
      <c r="S187" s="44">
        <f t="shared" si="67"/>
        <v>0.11</v>
      </c>
      <c r="T187" s="44">
        <f t="shared" si="68"/>
        <v>0.11</v>
      </c>
      <c r="U187" s="44">
        <f t="shared" si="68"/>
        <v>0.11</v>
      </c>
      <c r="V187" s="44">
        <f t="shared" si="68"/>
        <v>0.11</v>
      </c>
      <c r="W187" s="44">
        <f t="shared" si="68"/>
        <v>0.11</v>
      </c>
      <c r="X187" s="44">
        <f t="shared" si="68"/>
        <v>0.11</v>
      </c>
      <c r="Y187" s="44">
        <f t="shared" si="68"/>
        <v>0.11</v>
      </c>
      <c r="Z187" s="44">
        <f t="shared" si="68"/>
        <v>0.11</v>
      </c>
      <c r="AA187" s="44">
        <f t="shared" si="68"/>
        <v>0.11</v>
      </c>
      <c r="AB187" s="44">
        <f t="shared" si="68"/>
        <v>0.11</v>
      </c>
      <c r="AC187" s="44">
        <f t="shared" si="68"/>
        <v>0.11</v>
      </c>
      <c r="AD187" s="44">
        <f t="shared" si="68"/>
        <v>0.11</v>
      </c>
      <c r="AE187" s="44">
        <f t="shared" si="68"/>
        <v>0.11</v>
      </c>
      <c r="AF187" s="44">
        <f t="shared" si="68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6"/>
        <v>0.1</v>
      </c>
      <c r="C188" s="55">
        <v>0.1</v>
      </c>
      <c r="D188" s="44">
        <f t="shared" si="67"/>
        <v>0.1</v>
      </c>
      <c r="E188" s="44">
        <f t="shared" si="67"/>
        <v>0.1</v>
      </c>
      <c r="F188" s="44">
        <f t="shared" si="67"/>
        <v>0.1</v>
      </c>
      <c r="G188" s="44">
        <f t="shared" si="67"/>
        <v>0.1</v>
      </c>
      <c r="H188" s="44">
        <f t="shared" si="67"/>
        <v>0.1</v>
      </c>
      <c r="I188" s="44">
        <f t="shared" si="67"/>
        <v>0.1</v>
      </c>
      <c r="J188" s="44">
        <f t="shared" si="67"/>
        <v>0.1</v>
      </c>
      <c r="K188" s="44">
        <f t="shared" si="67"/>
        <v>0.1</v>
      </c>
      <c r="L188" s="44">
        <f t="shared" si="67"/>
        <v>0.1</v>
      </c>
      <c r="M188" s="44">
        <f t="shared" si="67"/>
        <v>0.1</v>
      </c>
      <c r="N188" s="44">
        <f t="shared" si="67"/>
        <v>0.1</v>
      </c>
      <c r="O188" s="44">
        <f t="shared" si="67"/>
        <v>0.1</v>
      </c>
      <c r="P188" s="44">
        <f t="shared" si="67"/>
        <v>0.1</v>
      </c>
      <c r="Q188" s="44">
        <f t="shared" si="67"/>
        <v>0.1</v>
      </c>
      <c r="R188" s="44">
        <f t="shared" si="67"/>
        <v>0.1</v>
      </c>
      <c r="S188" s="44">
        <f t="shared" si="68"/>
        <v>0.1</v>
      </c>
      <c r="T188" s="44">
        <f t="shared" si="68"/>
        <v>0.1</v>
      </c>
      <c r="U188" s="44">
        <f t="shared" si="68"/>
        <v>0.1</v>
      </c>
      <c r="V188" s="44">
        <f t="shared" si="68"/>
        <v>0.1</v>
      </c>
      <c r="W188" s="44">
        <f t="shared" si="68"/>
        <v>0.1</v>
      </c>
      <c r="X188" s="44">
        <f t="shared" si="68"/>
        <v>0.1</v>
      </c>
      <c r="Y188" s="44">
        <f t="shared" si="68"/>
        <v>0.1</v>
      </c>
      <c r="Z188" s="44">
        <f t="shared" si="68"/>
        <v>0.1</v>
      </c>
      <c r="AA188" s="44">
        <f t="shared" si="68"/>
        <v>0.1</v>
      </c>
      <c r="AB188" s="44">
        <f t="shared" si="68"/>
        <v>0.1</v>
      </c>
      <c r="AC188" s="44">
        <f t="shared" si="68"/>
        <v>0.1</v>
      </c>
      <c r="AD188" s="44">
        <f t="shared" si="68"/>
        <v>0.1</v>
      </c>
      <c r="AE188" s="44">
        <f t="shared" si="68"/>
        <v>0.1</v>
      </c>
      <c r="AF188" s="44">
        <f t="shared" si="68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6"/>
        <v>0.09</v>
      </c>
      <c r="C189" s="55">
        <v>0.09</v>
      </c>
      <c r="D189" s="44">
        <f t="shared" si="67"/>
        <v>0.09</v>
      </c>
      <c r="E189" s="44">
        <f t="shared" si="67"/>
        <v>0.09</v>
      </c>
      <c r="F189" s="44">
        <f t="shared" si="67"/>
        <v>0.09</v>
      </c>
      <c r="G189" s="44">
        <f t="shared" si="67"/>
        <v>0.09</v>
      </c>
      <c r="H189" s="44">
        <f t="shared" si="67"/>
        <v>0.09</v>
      </c>
      <c r="I189" s="44">
        <f t="shared" si="67"/>
        <v>0.09</v>
      </c>
      <c r="J189" s="44">
        <f t="shared" si="67"/>
        <v>0.09</v>
      </c>
      <c r="K189" s="44">
        <f t="shared" si="67"/>
        <v>0.09</v>
      </c>
      <c r="L189" s="44">
        <f t="shared" si="67"/>
        <v>0.09</v>
      </c>
      <c r="M189" s="44">
        <f t="shared" si="67"/>
        <v>0.09</v>
      </c>
      <c r="N189" s="44">
        <f t="shared" si="67"/>
        <v>0.09</v>
      </c>
      <c r="O189" s="44">
        <f t="shared" si="67"/>
        <v>0.09</v>
      </c>
      <c r="P189" s="44">
        <f t="shared" si="67"/>
        <v>0.09</v>
      </c>
      <c r="Q189" s="44">
        <f t="shared" si="67"/>
        <v>0.09</v>
      </c>
      <c r="R189" s="44">
        <f t="shared" si="67"/>
        <v>0.09</v>
      </c>
      <c r="S189" s="44">
        <f t="shared" si="68"/>
        <v>0.09</v>
      </c>
      <c r="T189" s="44">
        <f t="shared" si="68"/>
        <v>0.09</v>
      </c>
      <c r="U189" s="44">
        <f t="shared" si="68"/>
        <v>0.09</v>
      </c>
      <c r="V189" s="44">
        <f t="shared" si="68"/>
        <v>0.09</v>
      </c>
      <c r="W189" s="44">
        <f t="shared" si="68"/>
        <v>0.09</v>
      </c>
      <c r="X189" s="44">
        <f t="shared" si="68"/>
        <v>0.09</v>
      </c>
      <c r="Y189" s="44">
        <f t="shared" si="68"/>
        <v>0.09</v>
      </c>
      <c r="Z189" s="44">
        <f t="shared" si="68"/>
        <v>0.09</v>
      </c>
      <c r="AA189" s="44">
        <f t="shared" si="68"/>
        <v>0.09</v>
      </c>
      <c r="AB189" s="44">
        <f t="shared" si="68"/>
        <v>0.09</v>
      </c>
      <c r="AC189" s="44">
        <f t="shared" si="68"/>
        <v>0.09</v>
      </c>
      <c r="AD189" s="44">
        <f t="shared" si="68"/>
        <v>0.09</v>
      </c>
      <c r="AE189" s="44">
        <f t="shared" si="68"/>
        <v>0.09</v>
      </c>
      <c r="AF189" s="44">
        <f t="shared" si="68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6"/>
        <v>0.04</v>
      </c>
      <c r="C190" s="54">
        <v>0.04</v>
      </c>
      <c r="D190" s="44">
        <f t="shared" si="67"/>
        <v>0.04</v>
      </c>
      <c r="E190" s="44">
        <f t="shared" si="67"/>
        <v>0.04</v>
      </c>
      <c r="F190" s="44">
        <f t="shared" si="67"/>
        <v>0.04</v>
      </c>
      <c r="G190" s="44">
        <f t="shared" si="67"/>
        <v>0.04</v>
      </c>
      <c r="H190" s="44">
        <f t="shared" si="67"/>
        <v>0.04</v>
      </c>
      <c r="I190" s="44">
        <f t="shared" si="67"/>
        <v>0.04</v>
      </c>
      <c r="J190" s="44">
        <f t="shared" si="67"/>
        <v>0.04</v>
      </c>
      <c r="K190" s="44">
        <f t="shared" si="67"/>
        <v>0.04</v>
      </c>
      <c r="L190" s="44">
        <f t="shared" si="67"/>
        <v>0.04</v>
      </c>
      <c r="M190" s="44">
        <f t="shared" si="67"/>
        <v>0.04</v>
      </c>
      <c r="N190" s="44">
        <f t="shared" si="67"/>
        <v>0.04</v>
      </c>
      <c r="O190" s="44">
        <f t="shared" si="67"/>
        <v>0.04</v>
      </c>
      <c r="P190" s="44">
        <f t="shared" si="67"/>
        <v>0.04</v>
      </c>
      <c r="Q190" s="44">
        <f t="shared" si="67"/>
        <v>0.04</v>
      </c>
      <c r="R190" s="44">
        <f t="shared" si="67"/>
        <v>0.04</v>
      </c>
      <c r="S190" s="44">
        <f t="shared" si="68"/>
        <v>0.04</v>
      </c>
      <c r="T190" s="44">
        <f t="shared" si="68"/>
        <v>0.04</v>
      </c>
      <c r="U190" s="44">
        <f t="shared" si="68"/>
        <v>0.04</v>
      </c>
      <c r="V190" s="44">
        <f t="shared" si="68"/>
        <v>0.04</v>
      </c>
      <c r="W190" s="44">
        <f t="shared" si="68"/>
        <v>0.04</v>
      </c>
      <c r="X190" s="44">
        <f t="shared" si="68"/>
        <v>0.04</v>
      </c>
      <c r="Y190" s="44">
        <f t="shared" si="68"/>
        <v>0.04</v>
      </c>
      <c r="Z190" s="44">
        <f t="shared" si="68"/>
        <v>0.04</v>
      </c>
      <c r="AA190" s="44">
        <f t="shared" si="68"/>
        <v>0.04</v>
      </c>
      <c r="AB190" s="44">
        <f t="shared" si="68"/>
        <v>0.04</v>
      </c>
      <c r="AC190" s="44">
        <f t="shared" si="68"/>
        <v>0.04</v>
      </c>
      <c r="AD190" s="44">
        <f t="shared" si="68"/>
        <v>0.04</v>
      </c>
      <c r="AE190" s="44">
        <f t="shared" si="68"/>
        <v>0.04</v>
      </c>
      <c r="AF190" s="44">
        <f t="shared" si="68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6"/>
        <v>2.3E-2</v>
      </c>
      <c r="C191" s="54">
        <v>2.3E-2</v>
      </c>
      <c r="D191" s="44">
        <f>C191</f>
        <v>2.3E-2</v>
      </c>
      <c r="E191" s="44">
        <f t="shared" si="67"/>
        <v>2.3E-2</v>
      </c>
      <c r="F191" s="44">
        <f t="shared" si="67"/>
        <v>2.3E-2</v>
      </c>
      <c r="G191" s="44">
        <f t="shared" si="67"/>
        <v>2.3E-2</v>
      </c>
      <c r="H191" s="44">
        <f t="shared" si="67"/>
        <v>2.3E-2</v>
      </c>
      <c r="I191" s="44">
        <f t="shared" si="67"/>
        <v>2.3E-2</v>
      </c>
      <c r="J191" s="44">
        <f t="shared" si="67"/>
        <v>2.3E-2</v>
      </c>
      <c r="K191" s="44">
        <f t="shared" si="67"/>
        <v>2.3E-2</v>
      </c>
      <c r="L191" s="44">
        <f t="shared" si="67"/>
        <v>2.3E-2</v>
      </c>
      <c r="M191" s="44">
        <f t="shared" si="67"/>
        <v>2.3E-2</v>
      </c>
      <c r="N191" s="44">
        <f t="shared" si="67"/>
        <v>2.3E-2</v>
      </c>
      <c r="O191" s="44">
        <f t="shared" si="67"/>
        <v>2.3E-2</v>
      </c>
      <c r="P191" s="44">
        <f t="shared" si="67"/>
        <v>2.3E-2</v>
      </c>
      <c r="Q191" s="44">
        <f t="shared" si="67"/>
        <v>2.3E-2</v>
      </c>
      <c r="R191" s="44">
        <f t="shared" si="67"/>
        <v>2.3E-2</v>
      </c>
      <c r="S191" s="44">
        <f t="shared" si="68"/>
        <v>2.3E-2</v>
      </c>
      <c r="T191" s="44">
        <f t="shared" si="68"/>
        <v>2.3E-2</v>
      </c>
      <c r="U191" s="44">
        <f t="shared" si="68"/>
        <v>2.3E-2</v>
      </c>
      <c r="V191" s="44">
        <f t="shared" si="68"/>
        <v>2.3E-2</v>
      </c>
      <c r="W191" s="44">
        <f t="shared" si="68"/>
        <v>2.3E-2</v>
      </c>
      <c r="X191" s="44">
        <f t="shared" si="68"/>
        <v>2.3E-2</v>
      </c>
      <c r="Y191" s="44">
        <f t="shared" si="68"/>
        <v>2.3E-2</v>
      </c>
      <c r="Z191" s="44">
        <f t="shared" si="68"/>
        <v>2.3E-2</v>
      </c>
      <c r="AA191" s="44">
        <f t="shared" si="68"/>
        <v>2.3E-2</v>
      </c>
      <c r="AB191" s="44">
        <f t="shared" si="68"/>
        <v>2.3E-2</v>
      </c>
      <c r="AC191" s="44">
        <f t="shared" si="68"/>
        <v>2.3E-2</v>
      </c>
      <c r="AD191" s="44">
        <f t="shared" si="68"/>
        <v>2.3E-2</v>
      </c>
      <c r="AE191" s="44">
        <f t="shared" si="68"/>
        <v>2.3E-2</v>
      </c>
      <c r="AF191" s="44">
        <f t="shared" si="68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9">SUM(C102:C191)</f>
        <v>194.70600000000002</v>
      </c>
      <c r="D192" s="51">
        <f t="shared" si="69"/>
        <v>194.70600000000002</v>
      </c>
      <c r="E192" s="51">
        <f t="shared" si="69"/>
        <v>194.70600000000002</v>
      </c>
      <c r="F192" s="51">
        <f t="shared" si="69"/>
        <v>194.70600000000002</v>
      </c>
      <c r="G192" s="51">
        <f t="shared" si="69"/>
        <v>194.70600000000002</v>
      </c>
      <c r="H192" s="51">
        <f t="shared" si="69"/>
        <v>194.70600000000002</v>
      </c>
      <c r="I192" s="51">
        <f t="shared" si="69"/>
        <v>194.70600000000002</v>
      </c>
      <c r="J192" s="51">
        <f t="shared" si="69"/>
        <v>192.10600000000005</v>
      </c>
      <c r="K192" s="51">
        <f t="shared" si="69"/>
        <v>192.10600000000005</v>
      </c>
      <c r="L192" s="51">
        <f t="shared" si="69"/>
        <v>192.10600000000005</v>
      </c>
      <c r="M192" s="51">
        <f t="shared" si="69"/>
        <v>192.10600000000005</v>
      </c>
      <c r="N192" s="51">
        <f t="shared" si="69"/>
        <v>192.10600000000005</v>
      </c>
      <c r="O192" s="51">
        <f t="shared" si="69"/>
        <v>192.10600000000005</v>
      </c>
      <c r="P192" s="51">
        <f t="shared" si="69"/>
        <v>192.10600000000005</v>
      </c>
      <c r="Q192" s="51">
        <f t="shared" si="69"/>
        <v>192.10600000000005</v>
      </c>
      <c r="R192" s="51">
        <f t="shared" si="69"/>
        <v>192.10600000000005</v>
      </c>
      <c r="S192" s="51">
        <f t="shared" si="69"/>
        <v>192.10600000000005</v>
      </c>
      <c r="T192" s="51">
        <f t="shared" si="69"/>
        <v>192.10600000000005</v>
      </c>
      <c r="U192" s="51">
        <f t="shared" si="69"/>
        <v>192.10600000000005</v>
      </c>
      <c r="V192" s="51">
        <f t="shared" si="69"/>
        <v>192.10600000000005</v>
      </c>
      <c r="W192" s="51">
        <f t="shared" si="69"/>
        <v>192.10600000000005</v>
      </c>
      <c r="X192" s="51">
        <f t="shared" si="69"/>
        <v>192.10600000000005</v>
      </c>
      <c r="Y192" s="51">
        <f t="shared" si="69"/>
        <v>192.10600000000005</v>
      </c>
      <c r="Z192" s="51">
        <f t="shared" si="69"/>
        <v>192.10600000000005</v>
      </c>
      <c r="AA192" s="51">
        <f t="shared" si="69"/>
        <v>192.10600000000005</v>
      </c>
      <c r="AB192" s="51">
        <f t="shared" si="69"/>
        <v>192.10600000000005</v>
      </c>
      <c r="AC192" s="51">
        <f t="shared" si="69"/>
        <v>192.10600000000005</v>
      </c>
      <c r="AD192" s="51">
        <f t="shared" si="69"/>
        <v>192.10600000000005</v>
      </c>
      <c r="AE192" s="51">
        <f t="shared" si="69"/>
        <v>192.10600000000005</v>
      </c>
      <c r="AF192" s="51">
        <f t="shared" si="69"/>
        <v>192.10600000000005</v>
      </c>
      <c r="AG192" s="50">
        <f t="shared" si="69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0">AF194</f>
        <v>0.3</v>
      </c>
      <c r="C194" s="47">
        <v>0.3</v>
      </c>
      <c r="D194" s="47">
        <f t="shared" ref="D194:S199" si="71">C194</f>
        <v>0.3</v>
      </c>
      <c r="E194" s="47">
        <f t="shared" si="71"/>
        <v>0.3</v>
      </c>
      <c r="F194" s="47">
        <f t="shared" si="71"/>
        <v>0.3</v>
      </c>
      <c r="G194" s="47">
        <f t="shared" si="71"/>
        <v>0.3</v>
      </c>
      <c r="H194" s="47">
        <f t="shared" si="71"/>
        <v>0.3</v>
      </c>
      <c r="I194" s="47">
        <f t="shared" si="71"/>
        <v>0.3</v>
      </c>
      <c r="J194" s="47">
        <f t="shared" si="71"/>
        <v>0.3</v>
      </c>
      <c r="K194" s="47">
        <f t="shared" si="71"/>
        <v>0.3</v>
      </c>
      <c r="L194" s="47">
        <f t="shared" si="71"/>
        <v>0.3</v>
      </c>
      <c r="M194" s="47">
        <f t="shared" si="71"/>
        <v>0.3</v>
      </c>
      <c r="N194" s="47">
        <f t="shared" si="71"/>
        <v>0.3</v>
      </c>
      <c r="O194" s="47">
        <f t="shared" si="71"/>
        <v>0.3</v>
      </c>
      <c r="P194" s="47">
        <f t="shared" si="71"/>
        <v>0.3</v>
      </c>
      <c r="Q194" s="47">
        <f t="shared" si="71"/>
        <v>0.3</v>
      </c>
      <c r="R194" s="47">
        <f t="shared" si="71"/>
        <v>0.3</v>
      </c>
      <c r="S194" s="47">
        <f t="shared" si="71"/>
        <v>0.3</v>
      </c>
      <c r="T194" s="47">
        <f t="shared" ref="T194:AF199" si="72">S194</f>
        <v>0.3</v>
      </c>
      <c r="U194" s="47">
        <f t="shared" si="72"/>
        <v>0.3</v>
      </c>
      <c r="V194" s="47">
        <f t="shared" si="72"/>
        <v>0.3</v>
      </c>
      <c r="W194" s="47">
        <f t="shared" si="72"/>
        <v>0.3</v>
      </c>
      <c r="X194" s="47">
        <f t="shared" si="72"/>
        <v>0.3</v>
      </c>
      <c r="Y194" s="47">
        <f t="shared" si="72"/>
        <v>0.3</v>
      </c>
      <c r="Z194" s="47">
        <f t="shared" si="72"/>
        <v>0.3</v>
      </c>
      <c r="AA194" s="47">
        <f t="shared" si="72"/>
        <v>0.3</v>
      </c>
      <c r="AB194" s="47">
        <f t="shared" si="72"/>
        <v>0.3</v>
      </c>
      <c r="AC194" s="47">
        <f t="shared" si="72"/>
        <v>0.3</v>
      </c>
      <c r="AD194" s="47">
        <f t="shared" si="72"/>
        <v>0.3</v>
      </c>
      <c r="AE194" s="47">
        <f t="shared" si="72"/>
        <v>0.3</v>
      </c>
      <c r="AF194" s="47">
        <f t="shared" si="72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0"/>
        <v>0.4</v>
      </c>
      <c r="C195" s="44">
        <v>0.4</v>
      </c>
      <c r="D195" s="44">
        <f t="shared" si="71"/>
        <v>0.4</v>
      </c>
      <c r="E195" s="44">
        <f t="shared" si="71"/>
        <v>0.4</v>
      </c>
      <c r="F195" s="44">
        <f t="shared" si="71"/>
        <v>0.4</v>
      </c>
      <c r="G195" s="44">
        <f t="shared" si="71"/>
        <v>0.4</v>
      </c>
      <c r="H195" s="44">
        <f t="shared" si="71"/>
        <v>0.4</v>
      </c>
      <c r="I195" s="44">
        <f t="shared" si="71"/>
        <v>0.4</v>
      </c>
      <c r="J195" s="44">
        <f t="shared" si="71"/>
        <v>0.4</v>
      </c>
      <c r="K195" s="44">
        <f t="shared" si="71"/>
        <v>0.4</v>
      </c>
      <c r="L195" s="44">
        <f t="shared" si="71"/>
        <v>0.4</v>
      </c>
      <c r="M195" s="44">
        <f t="shared" si="71"/>
        <v>0.4</v>
      </c>
      <c r="N195" s="44">
        <f t="shared" si="71"/>
        <v>0.4</v>
      </c>
      <c r="O195" s="44">
        <f t="shared" si="71"/>
        <v>0.4</v>
      </c>
      <c r="P195" s="44">
        <f t="shared" si="71"/>
        <v>0.4</v>
      </c>
      <c r="Q195" s="44">
        <f t="shared" si="71"/>
        <v>0.4</v>
      </c>
      <c r="R195" s="44">
        <f t="shared" si="71"/>
        <v>0.4</v>
      </c>
      <c r="S195" s="44">
        <f t="shared" si="71"/>
        <v>0.4</v>
      </c>
      <c r="T195" s="44">
        <f t="shared" si="72"/>
        <v>0.4</v>
      </c>
      <c r="U195" s="44">
        <f t="shared" si="72"/>
        <v>0.4</v>
      </c>
      <c r="V195" s="44">
        <f t="shared" si="72"/>
        <v>0.4</v>
      </c>
      <c r="W195" s="44">
        <f>V195</f>
        <v>0.4</v>
      </c>
      <c r="X195" s="44">
        <f>W195</f>
        <v>0.4</v>
      </c>
      <c r="Y195" s="44">
        <f t="shared" si="72"/>
        <v>0.4</v>
      </c>
      <c r="Z195" s="44">
        <f t="shared" si="72"/>
        <v>0.4</v>
      </c>
      <c r="AA195" s="44">
        <f t="shared" si="72"/>
        <v>0.4</v>
      </c>
      <c r="AB195" s="44">
        <f t="shared" si="72"/>
        <v>0.4</v>
      </c>
      <c r="AC195" s="44">
        <f t="shared" si="72"/>
        <v>0.4</v>
      </c>
      <c r="AD195" s="44">
        <f t="shared" si="72"/>
        <v>0.4</v>
      </c>
      <c r="AE195" s="44">
        <f t="shared" si="72"/>
        <v>0.4</v>
      </c>
      <c r="AF195" s="44">
        <f t="shared" si="72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0"/>
        <v>1.5</v>
      </c>
      <c r="C196" s="44">
        <v>1.5</v>
      </c>
      <c r="D196" s="44">
        <f t="shared" si="71"/>
        <v>1.5</v>
      </c>
      <c r="E196" s="44">
        <f t="shared" si="71"/>
        <v>1.5</v>
      </c>
      <c r="F196" s="44">
        <f t="shared" si="71"/>
        <v>1.5</v>
      </c>
      <c r="G196" s="44">
        <f t="shared" si="71"/>
        <v>1.5</v>
      </c>
      <c r="H196" s="44">
        <f t="shared" si="71"/>
        <v>1.5</v>
      </c>
      <c r="I196" s="44">
        <f t="shared" si="71"/>
        <v>1.5</v>
      </c>
      <c r="J196" s="44">
        <f t="shared" si="71"/>
        <v>1.5</v>
      </c>
      <c r="K196" s="44">
        <f t="shared" si="71"/>
        <v>1.5</v>
      </c>
      <c r="L196" s="44">
        <f t="shared" si="71"/>
        <v>1.5</v>
      </c>
      <c r="M196" s="44">
        <f t="shared" si="71"/>
        <v>1.5</v>
      </c>
      <c r="N196" s="44">
        <f t="shared" si="71"/>
        <v>1.5</v>
      </c>
      <c r="O196" s="44">
        <f t="shared" si="71"/>
        <v>1.5</v>
      </c>
      <c r="P196" s="44">
        <f t="shared" si="71"/>
        <v>1.5</v>
      </c>
      <c r="Q196" s="44">
        <f t="shared" si="71"/>
        <v>1.5</v>
      </c>
      <c r="R196" s="44">
        <f t="shared" si="71"/>
        <v>1.5</v>
      </c>
      <c r="S196" s="44">
        <f t="shared" si="71"/>
        <v>1.5</v>
      </c>
      <c r="T196" s="44">
        <f t="shared" si="72"/>
        <v>1.5</v>
      </c>
      <c r="U196" s="44">
        <f t="shared" si="72"/>
        <v>1.5</v>
      </c>
      <c r="V196" s="44">
        <f t="shared" si="72"/>
        <v>1.5</v>
      </c>
      <c r="W196" s="44">
        <f t="shared" si="72"/>
        <v>1.5</v>
      </c>
      <c r="X196" s="44">
        <f t="shared" si="72"/>
        <v>1.5</v>
      </c>
      <c r="Y196" s="44">
        <f t="shared" si="72"/>
        <v>1.5</v>
      </c>
      <c r="Z196" s="44">
        <f t="shared" si="72"/>
        <v>1.5</v>
      </c>
      <c r="AA196" s="44">
        <f t="shared" si="72"/>
        <v>1.5</v>
      </c>
      <c r="AB196" s="44">
        <f t="shared" si="72"/>
        <v>1.5</v>
      </c>
      <c r="AC196" s="44">
        <f t="shared" si="72"/>
        <v>1.5</v>
      </c>
      <c r="AD196" s="44">
        <f t="shared" si="72"/>
        <v>1.5</v>
      </c>
      <c r="AE196" s="44">
        <f t="shared" si="72"/>
        <v>1.5</v>
      </c>
      <c r="AF196" s="44">
        <f t="shared" si="72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0"/>
        <v>0.3</v>
      </c>
      <c r="C197" s="44">
        <v>0.3</v>
      </c>
      <c r="D197" s="44">
        <f t="shared" si="71"/>
        <v>0.3</v>
      </c>
      <c r="E197" s="44">
        <f t="shared" si="71"/>
        <v>0.3</v>
      </c>
      <c r="F197" s="44">
        <f t="shared" si="71"/>
        <v>0.3</v>
      </c>
      <c r="G197" s="44">
        <f t="shared" si="71"/>
        <v>0.3</v>
      </c>
      <c r="H197" s="44">
        <f t="shared" si="71"/>
        <v>0.3</v>
      </c>
      <c r="I197" s="44">
        <f t="shared" si="71"/>
        <v>0.3</v>
      </c>
      <c r="J197" s="44">
        <f t="shared" si="71"/>
        <v>0.3</v>
      </c>
      <c r="K197" s="44">
        <f t="shared" si="71"/>
        <v>0.3</v>
      </c>
      <c r="L197" s="44">
        <f t="shared" si="71"/>
        <v>0.3</v>
      </c>
      <c r="M197" s="44">
        <f t="shared" si="71"/>
        <v>0.3</v>
      </c>
      <c r="N197" s="44">
        <f t="shared" si="71"/>
        <v>0.3</v>
      </c>
      <c r="O197" s="44">
        <f t="shared" si="71"/>
        <v>0.3</v>
      </c>
      <c r="P197" s="44">
        <f t="shared" si="71"/>
        <v>0.3</v>
      </c>
      <c r="Q197" s="44">
        <f t="shared" si="71"/>
        <v>0.3</v>
      </c>
      <c r="R197" s="44">
        <f t="shared" si="71"/>
        <v>0.3</v>
      </c>
      <c r="S197" s="44">
        <f t="shared" si="71"/>
        <v>0.3</v>
      </c>
      <c r="T197" s="44">
        <f t="shared" si="72"/>
        <v>0.3</v>
      </c>
      <c r="U197" s="44">
        <f t="shared" si="72"/>
        <v>0.3</v>
      </c>
      <c r="V197" s="44">
        <f t="shared" si="72"/>
        <v>0.3</v>
      </c>
      <c r="W197" s="44">
        <f t="shared" si="72"/>
        <v>0.3</v>
      </c>
      <c r="X197" s="44">
        <f t="shared" si="72"/>
        <v>0.3</v>
      </c>
      <c r="Y197" s="44">
        <f t="shared" si="72"/>
        <v>0.3</v>
      </c>
      <c r="Z197" s="44">
        <f t="shared" si="72"/>
        <v>0.3</v>
      </c>
      <c r="AA197" s="44">
        <f t="shared" si="72"/>
        <v>0.3</v>
      </c>
      <c r="AB197" s="44">
        <f t="shared" si="72"/>
        <v>0.3</v>
      </c>
      <c r="AC197" s="44">
        <f t="shared" si="72"/>
        <v>0.3</v>
      </c>
      <c r="AD197" s="44">
        <f t="shared" si="72"/>
        <v>0.3</v>
      </c>
      <c r="AE197" s="44">
        <f t="shared" si="72"/>
        <v>0.3</v>
      </c>
      <c r="AF197" s="44">
        <f t="shared" si="72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0"/>
        <v>0.4</v>
      </c>
      <c r="C198" s="44">
        <v>0.4</v>
      </c>
      <c r="D198" s="44">
        <f t="shared" si="71"/>
        <v>0.4</v>
      </c>
      <c r="E198" s="44">
        <f t="shared" si="71"/>
        <v>0.4</v>
      </c>
      <c r="F198" s="44">
        <f t="shared" si="71"/>
        <v>0.4</v>
      </c>
      <c r="G198" s="44">
        <f t="shared" si="71"/>
        <v>0.4</v>
      </c>
      <c r="H198" s="44">
        <f t="shared" si="71"/>
        <v>0.4</v>
      </c>
      <c r="I198" s="44">
        <f t="shared" si="71"/>
        <v>0.4</v>
      </c>
      <c r="J198" s="44">
        <f t="shared" si="71"/>
        <v>0.4</v>
      </c>
      <c r="K198" s="44">
        <f t="shared" si="71"/>
        <v>0.4</v>
      </c>
      <c r="L198" s="44">
        <f t="shared" si="71"/>
        <v>0.4</v>
      </c>
      <c r="M198" s="44">
        <f t="shared" si="71"/>
        <v>0.4</v>
      </c>
      <c r="N198" s="44">
        <f t="shared" si="71"/>
        <v>0.4</v>
      </c>
      <c r="O198" s="44">
        <f t="shared" si="71"/>
        <v>0.4</v>
      </c>
      <c r="P198" s="44">
        <f t="shared" si="71"/>
        <v>0.4</v>
      </c>
      <c r="Q198" s="44">
        <f t="shared" si="71"/>
        <v>0.4</v>
      </c>
      <c r="R198" s="44">
        <f t="shared" si="71"/>
        <v>0.4</v>
      </c>
      <c r="S198" s="44">
        <f t="shared" si="71"/>
        <v>0.4</v>
      </c>
      <c r="T198" s="44">
        <f t="shared" si="72"/>
        <v>0.4</v>
      </c>
      <c r="U198" s="44">
        <f t="shared" si="72"/>
        <v>0.4</v>
      </c>
      <c r="V198" s="44">
        <f t="shared" si="72"/>
        <v>0.4</v>
      </c>
      <c r="W198" s="44">
        <f t="shared" si="72"/>
        <v>0.4</v>
      </c>
      <c r="X198" s="44">
        <f t="shared" si="72"/>
        <v>0.4</v>
      </c>
      <c r="Y198" s="44">
        <f t="shared" si="72"/>
        <v>0.4</v>
      </c>
      <c r="Z198" s="44">
        <f t="shared" si="72"/>
        <v>0.4</v>
      </c>
      <c r="AA198" s="44">
        <f t="shared" si="72"/>
        <v>0.4</v>
      </c>
      <c r="AB198" s="44">
        <f t="shared" si="72"/>
        <v>0.4</v>
      </c>
      <c r="AC198" s="44">
        <f t="shared" si="72"/>
        <v>0.4</v>
      </c>
      <c r="AD198" s="44">
        <f t="shared" si="72"/>
        <v>0.4</v>
      </c>
      <c r="AE198" s="44">
        <f t="shared" si="72"/>
        <v>0.4</v>
      </c>
      <c r="AF198" s="44">
        <f t="shared" si="72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0"/>
        <v>0.64</v>
      </c>
      <c r="C199" s="40">
        <v>0.64</v>
      </c>
      <c r="D199" s="40">
        <f t="shared" si="71"/>
        <v>0.64</v>
      </c>
      <c r="E199" s="40">
        <f t="shared" si="71"/>
        <v>0.64</v>
      </c>
      <c r="F199" s="40">
        <f t="shared" si="71"/>
        <v>0.64</v>
      </c>
      <c r="G199" s="40">
        <f t="shared" si="71"/>
        <v>0.64</v>
      </c>
      <c r="H199" s="40">
        <f t="shared" si="71"/>
        <v>0.64</v>
      </c>
      <c r="I199" s="40">
        <f t="shared" si="71"/>
        <v>0.64</v>
      </c>
      <c r="J199" s="40">
        <f t="shared" si="71"/>
        <v>0.64</v>
      </c>
      <c r="K199" s="40">
        <f t="shared" si="71"/>
        <v>0.64</v>
      </c>
      <c r="L199" s="40">
        <f t="shared" si="71"/>
        <v>0.64</v>
      </c>
      <c r="M199" s="40">
        <f t="shared" si="71"/>
        <v>0.64</v>
      </c>
      <c r="N199" s="40">
        <f t="shared" si="71"/>
        <v>0.64</v>
      </c>
      <c r="O199" s="40">
        <f t="shared" si="71"/>
        <v>0.64</v>
      </c>
      <c r="P199" s="40">
        <f t="shared" si="71"/>
        <v>0.64</v>
      </c>
      <c r="Q199" s="40">
        <f t="shared" si="71"/>
        <v>0.64</v>
      </c>
      <c r="R199" s="40">
        <f t="shared" si="71"/>
        <v>0.64</v>
      </c>
      <c r="S199" s="40">
        <f t="shared" si="71"/>
        <v>0.64</v>
      </c>
      <c r="T199" s="40">
        <f t="shared" si="72"/>
        <v>0.64</v>
      </c>
      <c r="U199" s="40">
        <f t="shared" si="72"/>
        <v>0.64</v>
      </c>
      <c r="V199" s="40">
        <f t="shared" si="72"/>
        <v>0.64</v>
      </c>
      <c r="W199" s="40">
        <f t="shared" si="72"/>
        <v>0.64</v>
      </c>
      <c r="X199" s="40">
        <f t="shared" si="72"/>
        <v>0.64</v>
      </c>
      <c r="Y199" s="40">
        <f t="shared" si="72"/>
        <v>0.64</v>
      </c>
      <c r="Z199" s="40">
        <f t="shared" si="72"/>
        <v>0.64</v>
      </c>
      <c r="AA199" s="40">
        <f t="shared" si="72"/>
        <v>0.64</v>
      </c>
      <c r="AB199" s="40">
        <f t="shared" si="72"/>
        <v>0.64</v>
      </c>
      <c r="AC199" s="40">
        <f t="shared" si="72"/>
        <v>0.64</v>
      </c>
      <c r="AD199" s="40">
        <f t="shared" si="72"/>
        <v>0.64</v>
      </c>
      <c r="AE199" s="40">
        <f t="shared" si="72"/>
        <v>0.64</v>
      </c>
      <c r="AF199" s="40">
        <f t="shared" si="7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3">SUM(D194:D199)</f>
        <v>3.54</v>
      </c>
      <c r="E200" s="37">
        <f t="shared" si="73"/>
        <v>3.54</v>
      </c>
      <c r="F200" s="37">
        <f t="shared" si="73"/>
        <v>3.54</v>
      </c>
      <c r="G200" s="37">
        <f t="shared" si="73"/>
        <v>3.54</v>
      </c>
      <c r="H200" s="37">
        <f t="shared" si="73"/>
        <v>3.54</v>
      </c>
      <c r="I200" s="37">
        <f t="shared" si="73"/>
        <v>3.54</v>
      </c>
      <c r="J200" s="37">
        <f t="shared" si="73"/>
        <v>3.54</v>
      </c>
      <c r="K200" s="37">
        <f t="shared" si="73"/>
        <v>3.54</v>
      </c>
      <c r="L200" s="37">
        <f t="shared" si="73"/>
        <v>3.54</v>
      </c>
      <c r="M200" s="37">
        <f>SUM(M194:M199)</f>
        <v>3.54</v>
      </c>
      <c r="N200" s="37">
        <f t="shared" ref="N200:S200" si="74">SUM(N194:N199)</f>
        <v>3.54</v>
      </c>
      <c r="O200" s="37">
        <f t="shared" si="74"/>
        <v>3.54</v>
      </c>
      <c r="P200" s="37">
        <f t="shared" si="74"/>
        <v>3.54</v>
      </c>
      <c r="Q200" s="37">
        <f t="shared" si="74"/>
        <v>3.54</v>
      </c>
      <c r="R200" s="37">
        <f t="shared" si="74"/>
        <v>3.54</v>
      </c>
      <c r="S200" s="37">
        <f t="shared" si="74"/>
        <v>3.54</v>
      </c>
      <c r="T200" s="37">
        <f>SUM(T194:T199)</f>
        <v>3.54</v>
      </c>
      <c r="U200" s="37">
        <f t="shared" ref="U200:AG200" si="75">SUM(U194:U199)</f>
        <v>3.54</v>
      </c>
      <c r="V200" s="37">
        <f t="shared" si="75"/>
        <v>3.54</v>
      </c>
      <c r="W200" s="37">
        <f t="shared" si="75"/>
        <v>3.54</v>
      </c>
      <c r="X200" s="37">
        <f t="shared" si="75"/>
        <v>3.54</v>
      </c>
      <c r="Y200" s="37">
        <f t="shared" si="75"/>
        <v>3.54</v>
      </c>
      <c r="Z200" s="37">
        <f t="shared" si="75"/>
        <v>3.54</v>
      </c>
      <c r="AA200" s="37">
        <f t="shared" si="75"/>
        <v>3.54</v>
      </c>
      <c r="AB200" s="37">
        <f t="shared" si="75"/>
        <v>3.54</v>
      </c>
      <c r="AC200" s="37">
        <f t="shared" si="75"/>
        <v>3.54</v>
      </c>
      <c r="AD200" s="37">
        <f t="shared" si="75"/>
        <v>3.54</v>
      </c>
      <c r="AE200" s="37">
        <f t="shared" si="75"/>
        <v>3.54</v>
      </c>
      <c r="AF200" s="37">
        <f t="shared" si="75"/>
        <v>3.54</v>
      </c>
      <c r="AG200" s="36">
        <f t="shared" si="75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1382.3400000000001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2078/12/11)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2078/12/11)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6">B75</f>
        <v>1122.8400000000001</v>
      </c>
      <c r="U214" s="9">
        <f t="shared" si="76"/>
        <v>1124.04</v>
      </c>
      <c r="V214" s="9">
        <f t="shared" si="76"/>
        <v>1105.8300000000002</v>
      </c>
      <c r="W214" s="9">
        <f t="shared" si="76"/>
        <v>1080.54</v>
      </c>
      <c r="X214" s="9">
        <f t="shared" si="76"/>
        <v>1056.1399999999999</v>
      </c>
      <c r="Y214" s="9">
        <f t="shared" si="76"/>
        <v>1119.24</v>
      </c>
      <c r="Z214" s="9">
        <f t="shared" si="76"/>
        <v>1173.8399999999999</v>
      </c>
      <c r="AA214" s="9">
        <f t="shared" si="76"/>
        <v>1205.1399999999999</v>
      </c>
      <c r="AB214" s="9">
        <f t="shared" si="76"/>
        <v>1338.94</v>
      </c>
      <c r="AC214" s="9">
        <f t="shared" si="76"/>
        <v>1290.74</v>
      </c>
      <c r="AD214" s="9">
        <f t="shared" si="76"/>
        <v>1382.3400000000001</v>
      </c>
      <c r="AE214" s="9">
        <f t="shared" si="76"/>
        <v>1374.8400000000001</v>
      </c>
      <c r="AF214" s="9">
        <f t="shared" si="76"/>
        <v>1339.04</v>
      </c>
      <c r="AG214" s="9">
        <f t="shared" si="76"/>
        <v>1366.94</v>
      </c>
      <c r="AH214" s="9">
        <f t="shared" si="76"/>
        <v>1380.94</v>
      </c>
      <c r="AI214" s="9">
        <f t="shared" si="76"/>
        <v>1357.04</v>
      </c>
      <c r="AJ214" s="9">
        <f t="shared" si="76"/>
        <v>1327.0500000000002</v>
      </c>
      <c r="AK214" s="9">
        <f t="shared" si="76"/>
        <v>1360.34</v>
      </c>
      <c r="AL214" s="9">
        <f t="shared" si="76"/>
        <v>1365.04</v>
      </c>
      <c r="AM214" s="9">
        <f t="shared" si="76"/>
        <v>1280.04</v>
      </c>
      <c r="AN214" s="9">
        <f t="shared" si="76"/>
        <v>1381.94</v>
      </c>
      <c r="AO214" s="9">
        <f t="shared" si="76"/>
        <v>1352.04</v>
      </c>
      <c r="AP214" s="9">
        <f t="shared" si="76"/>
        <v>1372.74</v>
      </c>
      <c r="AQ214" s="9">
        <f t="shared" si="76"/>
        <v>1415.44</v>
      </c>
      <c r="AR214" s="9">
        <f t="shared" si="76"/>
        <v>1612.1800000000003</v>
      </c>
      <c r="AS214" s="9">
        <f t="shared" si="76"/>
        <v>1389.7400000000002</v>
      </c>
      <c r="AT214" s="9">
        <f t="shared" si="76"/>
        <v>1440.44</v>
      </c>
      <c r="AU214" s="9">
        <f t="shared" si="76"/>
        <v>1457.64</v>
      </c>
      <c r="AV214" s="9">
        <f t="shared" si="76"/>
        <v>1457.64</v>
      </c>
      <c r="AW214" s="9">
        <f t="shared" si="76"/>
        <v>1317.14</v>
      </c>
      <c r="AX214" s="9">
        <f t="shared" si="76"/>
        <v>1240.54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7">C199</f>
        <v>0.64</v>
      </c>
      <c r="C235" s="4">
        <f t="shared" si="77"/>
        <v>0.64</v>
      </c>
      <c r="D235" s="4">
        <f t="shared" si="77"/>
        <v>0.64</v>
      </c>
      <c r="E235" s="4">
        <f t="shared" si="77"/>
        <v>0.64</v>
      </c>
      <c r="F235" s="4">
        <f t="shared" si="77"/>
        <v>0.64</v>
      </c>
      <c r="G235" s="4">
        <f t="shared" si="77"/>
        <v>0.64</v>
      </c>
      <c r="H235" s="4">
        <f t="shared" si="77"/>
        <v>0.64</v>
      </c>
      <c r="I235" s="4">
        <f t="shared" si="77"/>
        <v>0.64</v>
      </c>
      <c r="J235" s="4">
        <f t="shared" si="77"/>
        <v>0.64</v>
      </c>
      <c r="K235" s="4">
        <f t="shared" si="77"/>
        <v>0.64</v>
      </c>
      <c r="L235" s="4">
        <f t="shared" si="77"/>
        <v>0.64</v>
      </c>
      <c r="M235" s="4">
        <f t="shared" si="77"/>
        <v>0.64</v>
      </c>
      <c r="N235" s="4">
        <f t="shared" si="77"/>
        <v>0.64</v>
      </c>
      <c r="O235" s="4">
        <f t="shared" si="77"/>
        <v>0.64</v>
      </c>
      <c r="P235" s="4">
        <f t="shared" si="77"/>
        <v>0.64</v>
      </c>
      <c r="Q235" s="4">
        <f t="shared" si="77"/>
        <v>0.64</v>
      </c>
      <c r="R235" s="4">
        <f t="shared" si="77"/>
        <v>0.64</v>
      </c>
      <c r="S235" s="4">
        <f t="shared" si="77"/>
        <v>0.64</v>
      </c>
      <c r="T235" s="4">
        <f t="shared" si="77"/>
        <v>0.64</v>
      </c>
      <c r="U235" s="4">
        <f t="shared" si="77"/>
        <v>0.64</v>
      </c>
      <c r="V235" s="4">
        <f t="shared" si="77"/>
        <v>0.64</v>
      </c>
      <c r="W235" s="4">
        <f t="shared" si="77"/>
        <v>0.64</v>
      </c>
      <c r="X235" s="4">
        <f t="shared" si="77"/>
        <v>0.64</v>
      </c>
      <c r="Y235" s="4">
        <f t="shared" si="77"/>
        <v>0.64</v>
      </c>
      <c r="Z235" s="4">
        <f t="shared" si="77"/>
        <v>0.64</v>
      </c>
      <c r="AA235" s="4">
        <f t="shared" si="77"/>
        <v>0.64</v>
      </c>
      <c r="AB235" s="4">
        <f t="shared" si="77"/>
        <v>0.64</v>
      </c>
      <c r="AC235" s="4">
        <f t="shared" si="77"/>
        <v>0.64</v>
      </c>
      <c r="AD235" s="4">
        <f t="shared" si="77"/>
        <v>0.64</v>
      </c>
      <c r="AE235" s="4">
        <f t="shared" si="77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8">IF(C203&lt;100,"",C203-520)</f>
        <v/>
      </c>
      <c r="D236" s="3" t="str">
        <f t="shared" si="78"/>
        <v/>
      </c>
      <c r="E236" s="3" t="str">
        <f t="shared" si="78"/>
        <v/>
      </c>
      <c r="F236" s="3" t="str">
        <f t="shared" si="78"/>
        <v/>
      </c>
      <c r="G236" s="3" t="str">
        <f t="shared" si="78"/>
        <v/>
      </c>
      <c r="H236" s="3" t="str">
        <f t="shared" si="78"/>
        <v/>
      </c>
      <c r="I236" s="3" t="str">
        <f t="shared" si="78"/>
        <v/>
      </c>
      <c r="J236" s="3" t="str">
        <f t="shared" si="78"/>
        <v/>
      </c>
      <c r="K236" s="3" t="str">
        <f t="shared" si="78"/>
        <v/>
      </c>
      <c r="L236" s="3" t="str">
        <f t="shared" si="78"/>
        <v/>
      </c>
      <c r="M236" s="3" t="str">
        <f t="shared" si="78"/>
        <v/>
      </c>
      <c r="N236" s="3" t="str">
        <f t="shared" si="78"/>
        <v/>
      </c>
      <c r="O236" s="3" t="str">
        <f t="shared" si="78"/>
        <v/>
      </c>
      <c r="P236" s="3" t="str">
        <f t="shared" si="78"/>
        <v/>
      </c>
      <c r="Q236" s="3" t="str">
        <f t="shared" si="78"/>
        <v/>
      </c>
      <c r="R236" s="3" t="str">
        <f t="shared" si="78"/>
        <v/>
      </c>
      <c r="S236" s="3" t="str">
        <f t="shared" si="78"/>
        <v/>
      </c>
      <c r="T236" s="3" t="str">
        <f t="shared" si="78"/>
        <v/>
      </c>
      <c r="U236" s="3" t="str">
        <f t="shared" si="78"/>
        <v/>
      </c>
      <c r="V236" s="3" t="str">
        <f t="shared" si="78"/>
        <v/>
      </c>
      <c r="W236" s="3" t="str">
        <f t="shared" si="78"/>
        <v/>
      </c>
      <c r="X236" s="3" t="str">
        <f t="shared" si="78"/>
        <v/>
      </c>
      <c r="Y236" s="3" t="str">
        <f t="shared" si="78"/>
        <v/>
      </c>
      <c r="Z236" s="3" t="str">
        <f t="shared" si="78"/>
        <v/>
      </c>
      <c r="AA236" s="3" t="str">
        <f t="shared" si="78"/>
        <v/>
      </c>
      <c r="AB236" s="3" t="str">
        <f t="shared" si="78"/>
        <v/>
      </c>
      <c r="AC236" s="3" t="str">
        <f t="shared" si="78"/>
        <v/>
      </c>
      <c r="AD236" s="3" t="str">
        <f t="shared" si="78"/>
        <v/>
      </c>
      <c r="AE236" s="3" t="str">
        <f t="shared" si="78"/>
        <v/>
      </c>
      <c r="AF236" s="3" t="str">
        <f t="shared" si="78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9">IF(B204&lt;100,"",B204-620)</f>
        <v/>
      </c>
      <c r="C237" s="3" t="str">
        <f t="shared" si="79"/>
        <v/>
      </c>
      <c r="D237" s="3" t="str">
        <f t="shared" si="79"/>
        <v/>
      </c>
      <c r="E237" s="3" t="str">
        <f t="shared" si="79"/>
        <v/>
      </c>
      <c r="F237" s="3" t="str">
        <f t="shared" si="79"/>
        <v/>
      </c>
      <c r="G237" s="3" t="str">
        <f t="shared" si="79"/>
        <v/>
      </c>
      <c r="H237" s="3" t="str">
        <f t="shared" si="79"/>
        <v/>
      </c>
      <c r="I237" s="3" t="str">
        <f t="shared" si="79"/>
        <v/>
      </c>
      <c r="J237" s="3" t="str">
        <f t="shared" si="79"/>
        <v/>
      </c>
      <c r="K237" s="3" t="str">
        <f t="shared" si="79"/>
        <v/>
      </c>
      <c r="L237" s="3" t="str">
        <f t="shared" si="79"/>
        <v/>
      </c>
      <c r="M237" s="3" t="str">
        <f t="shared" si="79"/>
        <v/>
      </c>
      <c r="N237" s="3" t="str">
        <f t="shared" si="79"/>
        <v/>
      </c>
      <c r="O237" s="3" t="str">
        <f t="shared" si="79"/>
        <v/>
      </c>
      <c r="P237" s="3" t="str">
        <f t="shared" si="79"/>
        <v/>
      </c>
      <c r="Q237" s="3" t="str">
        <f t="shared" si="79"/>
        <v/>
      </c>
      <c r="R237" s="3" t="str">
        <f t="shared" si="79"/>
        <v/>
      </c>
      <c r="S237" s="3" t="str">
        <f t="shared" si="79"/>
        <v/>
      </c>
      <c r="T237" s="3" t="str">
        <f t="shared" si="79"/>
        <v/>
      </c>
      <c r="U237" s="3" t="str">
        <f t="shared" si="79"/>
        <v/>
      </c>
      <c r="V237" s="3" t="str">
        <f t="shared" si="79"/>
        <v/>
      </c>
      <c r="W237" s="3" t="str">
        <f t="shared" si="79"/>
        <v/>
      </c>
      <c r="X237" s="3" t="str">
        <f t="shared" si="79"/>
        <v/>
      </c>
      <c r="Y237" s="3" t="str">
        <f t="shared" si="79"/>
        <v/>
      </c>
      <c r="Z237" s="3" t="str">
        <f t="shared" si="79"/>
        <v/>
      </c>
      <c r="AA237" s="3" t="str">
        <f t="shared" si="79"/>
        <v/>
      </c>
      <c r="AB237" s="3" t="str">
        <f t="shared" si="79"/>
        <v/>
      </c>
      <c r="AC237" s="3" t="str">
        <f t="shared" si="79"/>
        <v/>
      </c>
      <c r="AD237" s="3" t="str">
        <f t="shared" si="79"/>
        <v/>
      </c>
      <c r="AE237" s="3" t="str">
        <f t="shared" si="79"/>
        <v/>
      </c>
      <c r="AF237" s="3" t="str">
        <f t="shared" si="79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0">IF(B205&lt;100,"",B205-330)</f>
        <v/>
      </c>
      <c r="C238" s="3" t="str">
        <f t="shared" si="80"/>
        <v/>
      </c>
      <c r="D238" s="3" t="str">
        <f t="shared" si="80"/>
        <v/>
      </c>
      <c r="E238" s="3" t="str">
        <f t="shared" si="80"/>
        <v/>
      </c>
      <c r="F238" s="3" t="str">
        <f t="shared" si="80"/>
        <v/>
      </c>
      <c r="G238" s="3" t="str">
        <f t="shared" si="80"/>
        <v/>
      </c>
      <c r="H238" s="3" t="str">
        <f t="shared" si="80"/>
        <v/>
      </c>
      <c r="I238" s="3" t="str">
        <f t="shared" si="80"/>
        <v/>
      </c>
      <c r="J238" s="3" t="str">
        <f t="shared" si="80"/>
        <v/>
      </c>
      <c r="K238" s="3" t="str">
        <f t="shared" si="80"/>
        <v/>
      </c>
      <c r="L238" s="3" t="str">
        <f t="shared" si="80"/>
        <v/>
      </c>
      <c r="M238" s="3" t="str">
        <f t="shared" si="80"/>
        <v/>
      </c>
      <c r="N238" s="3" t="str">
        <f t="shared" si="80"/>
        <v/>
      </c>
      <c r="O238" s="3" t="str">
        <f t="shared" si="80"/>
        <v/>
      </c>
      <c r="P238" s="3" t="str">
        <f t="shared" si="80"/>
        <v/>
      </c>
      <c r="Q238" s="3" t="str">
        <f t="shared" si="80"/>
        <v/>
      </c>
      <c r="R238" s="3" t="str">
        <f t="shared" si="80"/>
        <v/>
      </c>
      <c r="S238" s="3" t="str">
        <f t="shared" si="80"/>
        <v/>
      </c>
      <c r="T238" s="3" t="str">
        <f t="shared" si="80"/>
        <v/>
      </c>
      <c r="U238" s="3" t="str">
        <f t="shared" si="80"/>
        <v/>
      </c>
      <c r="V238" s="3" t="str">
        <f t="shared" si="80"/>
        <v/>
      </c>
      <c r="W238" s="3" t="str">
        <f t="shared" si="80"/>
        <v/>
      </c>
      <c r="X238" s="3" t="str">
        <f t="shared" si="80"/>
        <v/>
      </c>
      <c r="Y238" s="3" t="str">
        <f t="shared" si="80"/>
        <v/>
      </c>
      <c r="Z238" s="3" t="str">
        <f t="shared" si="80"/>
        <v/>
      </c>
      <c r="AA238" s="3" t="str">
        <f t="shared" si="80"/>
        <v/>
      </c>
      <c r="AB238" s="3" t="str">
        <f t="shared" si="80"/>
        <v/>
      </c>
      <c r="AC238" s="3" t="str">
        <f t="shared" si="80"/>
        <v/>
      </c>
      <c r="AD238" s="3" t="str">
        <f t="shared" si="80"/>
        <v/>
      </c>
      <c r="AE238" s="3" t="str">
        <f t="shared" si="80"/>
        <v/>
      </c>
      <c r="AF238" s="3" t="str">
        <f t="shared" si="80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1">IF(C206&lt;100,"",C206-1500)</f>
        <v/>
      </c>
      <c r="D239" s="3" t="str">
        <f t="shared" si="81"/>
        <v/>
      </c>
      <c r="E239" s="3" t="str">
        <f t="shared" si="81"/>
        <v/>
      </c>
      <c r="F239" s="3" t="str">
        <f t="shared" si="81"/>
        <v/>
      </c>
      <c r="G239" s="3" t="str">
        <f t="shared" si="81"/>
        <v/>
      </c>
      <c r="H239" s="3" t="str">
        <f t="shared" si="81"/>
        <v/>
      </c>
      <c r="I239" s="3" t="str">
        <f t="shared" si="81"/>
        <v/>
      </c>
      <c r="J239" s="3" t="str">
        <f t="shared" si="81"/>
        <v/>
      </c>
      <c r="K239" s="3" t="str">
        <f t="shared" si="81"/>
        <v/>
      </c>
      <c r="L239" s="3" t="str">
        <f t="shared" si="81"/>
        <v/>
      </c>
      <c r="M239" s="3" t="str">
        <f t="shared" si="81"/>
        <v/>
      </c>
      <c r="N239" s="3" t="str">
        <f t="shared" si="81"/>
        <v/>
      </c>
      <c r="O239" s="3" t="str">
        <f t="shared" si="81"/>
        <v/>
      </c>
      <c r="P239" s="3" t="str">
        <f t="shared" si="81"/>
        <v/>
      </c>
      <c r="Q239" s="3" t="str">
        <f t="shared" si="81"/>
        <v/>
      </c>
      <c r="R239" s="3" t="str">
        <f t="shared" si="81"/>
        <v/>
      </c>
      <c r="S239" s="3" t="str">
        <f t="shared" si="81"/>
        <v/>
      </c>
      <c r="T239" s="3" t="str">
        <f t="shared" si="81"/>
        <v/>
      </c>
      <c r="U239" s="3" t="str">
        <f t="shared" si="81"/>
        <v/>
      </c>
      <c r="V239" s="3" t="str">
        <f t="shared" si="81"/>
        <v/>
      </c>
      <c r="W239" s="3" t="str">
        <f t="shared" si="81"/>
        <v/>
      </c>
      <c r="X239" s="3" t="str">
        <f t="shared" si="81"/>
        <v/>
      </c>
      <c r="Y239" s="3" t="str">
        <f t="shared" si="81"/>
        <v/>
      </c>
      <c r="Z239" s="3" t="str">
        <f t="shared" si="81"/>
        <v/>
      </c>
      <c r="AA239" s="3" t="str">
        <f t="shared" si="81"/>
        <v/>
      </c>
      <c r="AB239" s="3" t="str">
        <f t="shared" si="81"/>
        <v/>
      </c>
      <c r="AC239" s="3" t="str">
        <f t="shared" si="81"/>
        <v/>
      </c>
      <c r="AD239" s="3" t="str">
        <f t="shared" si="81"/>
        <v/>
      </c>
      <c r="AE239" s="3" t="str">
        <f t="shared" si="81"/>
        <v/>
      </c>
      <c r="AF239" s="3" t="str">
        <f t="shared" si="81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N62:N67 P39:R39 M39:O42 O61:O67 M58:P59 AB81:AF81 C81:R81 C56:AF56 C82:AF83 D194:AF200 B194:B200 B9:AF10 B192:AF192 AF57:AF60 AG73 AB94:AF100 U213:AF213 C53:E55 C63:D67 C62 C68:AF80 R58:W59 X85:AA91 F60:O60 F57:L59 C57:E61 F61:N61 C36:L36 P60:P67 N37:W37 Q58:Q67 R60:R67 P40:Y42 Q45:Y45 S62:Y67 N11:AE11 Z40:AE43 M53:AF55 AB84:AF91 Z16:AF31 Z36:AF36 Z12:AF14 AF43">
    <cfRule type="expression" dxfId="5959" priority="305">
      <formula>B$9&gt;=20/24</formula>
    </cfRule>
    <cfRule type="expression" dxfId="5958" priority="306">
      <formula>AND(B$9&gt;=14/24,B$9&lt;20/24)</formula>
    </cfRule>
    <cfRule type="expression" dxfId="5957" priority="307">
      <formula>AND(B$9&gt;=8/24,B$9&lt;14/24)</formula>
    </cfRule>
    <cfRule type="expression" dxfId="5956" priority="308">
      <formula>B$9&lt;8/24</formula>
    </cfRule>
  </conditionalFormatting>
  <conditionalFormatting sqref="AL4:AL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955" priority="300">
      <formula>M$9&gt;=20/24</formula>
    </cfRule>
    <cfRule type="expression" dxfId="5954" priority="301">
      <formula>AND(M$9&gt;=14/24,M$9&lt;20/24)</formula>
    </cfRule>
    <cfRule type="expression" dxfId="5953" priority="302">
      <formula>AND(M$9&gt;=8/24,M$9&lt;14/24)</formula>
    </cfRule>
    <cfRule type="expression" dxfId="5952" priority="303">
      <formula>M$9&lt;8/24</formula>
    </cfRule>
  </conditionalFormatting>
  <conditionalFormatting sqref="M43:U43">
    <cfRule type="expression" dxfId="5951" priority="296">
      <formula>M$9&gt;=20/24</formula>
    </cfRule>
    <cfRule type="expression" dxfId="5950" priority="297">
      <formula>AND(M$9&gt;=14/24,M$9&lt;20/24)</formula>
    </cfRule>
    <cfRule type="expression" dxfId="5949" priority="298">
      <formula>AND(M$9&gt;=8/24,M$9&lt;14/24)</formula>
    </cfRule>
    <cfRule type="expression" dxfId="5948" priority="299">
      <formula>M$9&lt;8/24</formula>
    </cfRule>
  </conditionalFormatting>
  <conditionalFormatting sqref="Z32:AF32">
    <cfRule type="expression" dxfId="5947" priority="292">
      <formula>Z$9&gt;=20/24</formula>
    </cfRule>
    <cfRule type="expression" dxfId="5946" priority="293">
      <formula>AND(Z$9&gt;=14/24,Z$9&lt;20/24)</formula>
    </cfRule>
    <cfRule type="expression" dxfId="5945" priority="294">
      <formula>AND(Z$9&gt;=8/24,Z$9&lt;14/24)</formula>
    </cfRule>
    <cfRule type="expression" dxfId="5944" priority="295">
      <formula>Z$9&lt;8/24</formula>
    </cfRule>
  </conditionalFormatting>
  <conditionalFormatting sqref="S39:AE39">
    <cfRule type="expression" dxfId="5943" priority="288">
      <formula>S$9&gt;=20/24</formula>
    </cfRule>
    <cfRule type="expression" dxfId="5942" priority="289">
      <formula>AND(S$9&gt;=14/24,S$9&lt;20/24)</formula>
    </cfRule>
    <cfRule type="expression" dxfId="5941" priority="290">
      <formula>AND(S$9&gt;=8/24,S$9&lt;14/24)</formula>
    </cfRule>
    <cfRule type="expression" dxfId="5940" priority="291">
      <formula>S$9&lt;8/24</formula>
    </cfRule>
  </conditionalFormatting>
  <conditionalFormatting sqref="S57:AE57">
    <cfRule type="expression" dxfId="5939" priority="284">
      <formula>S$9&gt;=20/24</formula>
    </cfRule>
    <cfRule type="expression" dxfId="5938" priority="285">
      <formula>AND(S$9&gt;=14/24,S$9&lt;20/24)</formula>
    </cfRule>
    <cfRule type="expression" dxfId="5937" priority="286">
      <formula>AND(S$9&gt;=8/24,S$9&lt;14/24)</formula>
    </cfRule>
    <cfRule type="expression" dxfId="5936" priority="287">
      <formula>S$9&lt;8/24</formula>
    </cfRule>
  </conditionalFormatting>
  <conditionalFormatting sqref="S81:AA81">
    <cfRule type="expression" dxfId="5935" priority="280">
      <formula>S$9&gt;=20/24</formula>
    </cfRule>
    <cfRule type="expression" dxfId="5934" priority="281">
      <formula>AND(S$9&gt;=14/24,S$9&lt;20/24)</formula>
    </cfRule>
    <cfRule type="expression" dxfId="5933" priority="282">
      <formula>AND(S$9&gt;=8/24,S$9&lt;14/24)</formula>
    </cfRule>
    <cfRule type="expression" dxfId="5932" priority="283">
      <formula>S$9&lt;8/24</formula>
    </cfRule>
  </conditionalFormatting>
  <conditionalFormatting sqref="U84:AA84">
    <cfRule type="expression" dxfId="5931" priority="276">
      <formula>U$9&gt;=20/24</formula>
    </cfRule>
    <cfRule type="expression" dxfId="5930" priority="277">
      <formula>AND(U$9&gt;=14/24,U$9&lt;20/24)</formula>
    </cfRule>
    <cfRule type="expression" dxfId="5929" priority="278">
      <formula>AND(U$9&gt;=8/24,U$9&lt;14/24)</formula>
    </cfRule>
    <cfRule type="expression" dxfId="5928" priority="279">
      <formula>U$9&lt;8/24</formula>
    </cfRule>
  </conditionalFormatting>
  <conditionalFormatting sqref="Q45:Y45">
    <cfRule type="expression" dxfId="5927" priority="264">
      <formula>Q$9&gt;=20/24</formula>
    </cfRule>
    <cfRule type="expression" dxfId="5926" priority="265">
      <formula>AND(Q$9&gt;=14/24,Q$9&lt;20/24)</formula>
    </cfRule>
    <cfRule type="expression" dxfId="5925" priority="266">
      <formula>AND(Q$9&gt;=8/24,Q$9&lt;14/24)</formula>
    </cfRule>
    <cfRule type="expression" dxfId="5924" priority="267">
      <formula>Q$9&lt;8/24</formula>
    </cfRule>
  </conditionalFormatting>
  <conditionalFormatting sqref="X37:AF37">
    <cfRule type="expression" dxfId="5923" priority="260">
      <formula>X$9&gt;=20/24</formula>
    </cfRule>
    <cfRule type="expression" dxfId="5922" priority="261">
      <formula>AND(X$9&gt;=14/24,X$9&lt;20/24)</formula>
    </cfRule>
    <cfRule type="expression" dxfId="5921" priority="262">
      <formula>AND(X$9&gt;=8/24,X$9&lt;14/24)</formula>
    </cfRule>
    <cfRule type="expression" dxfId="5920" priority="263">
      <formula>X$9&lt;8/24</formula>
    </cfRule>
  </conditionalFormatting>
  <conditionalFormatting sqref="Z35:AF35">
    <cfRule type="expression" dxfId="5919" priority="256">
      <formula>Z$9&gt;=20/24</formula>
    </cfRule>
    <cfRule type="expression" dxfId="5918" priority="257">
      <formula>AND(Z$9&gt;=14/24,Z$9&lt;20/24)</formula>
    </cfRule>
    <cfRule type="expression" dxfId="5917" priority="258">
      <formula>AND(Z$9&gt;=8/24,Z$9&lt;14/24)</formula>
    </cfRule>
    <cfRule type="expression" dxfId="5916" priority="259">
      <formula>Z$9&lt;8/24</formula>
    </cfRule>
  </conditionalFormatting>
  <conditionalFormatting sqref="S42:U43 V43:Y43 Z45:AF48">
    <cfRule type="expression" dxfId="5915" priority="252">
      <formula>S$9&gt;=20/24</formula>
    </cfRule>
    <cfRule type="expression" dxfId="5914" priority="253">
      <formula>AND(S$9&gt;=14/24,S$9&lt;20/24)</formula>
    </cfRule>
    <cfRule type="expression" dxfId="5913" priority="254">
      <formula>AND(S$9&gt;=8/24,S$9&lt;14/24)</formula>
    </cfRule>
    <cfRule type="expression" dxfId="5912" priority="255">
      <formula>S$9&lt;8/24</formula>
    </cfRule>
  </conditionalFormatting>
  <conditionalFormatting sqref="Z49:AF49">
    <cfRule type="expression" dxfId="5911" priority="248">
      <formula>Z$9&gt;=20/24</formula>
    </cfRule>
    <cfRule type="expression" dxfId="5910" priority="249">
      <formula>AND(Z$9&gt;=14/24,Z$9&lt;20/24)</formula>
    </cfRule>
    <cfRule type="expression" dxfId="5909" priority="250">
      <formula>AND(Z$9&gt;=8/24,Z$9&lt;14/24)</formula>
    </cfRule>
    <cfRule type="expression" dxfId="5908" priority="251">
      <formula>Z$9&lt;8/24</formula>
    </cfRule>
  </conditionalFormatting>
  <conditionalFormatting sqref="Z50:AF50">
    <cfRule type="expression" dxfId="5907" priority="244">
      <formula>Z$9&gt;=20/24</formula>
    </cfRule>
    <cfRule type="expression" dxfId="5906" priority="245">
      <formula>AND(Z$9&gt;=14/24,Z$9&lt;20/24)</formula>
    </cfRule>
    <cfRule type="expression" dxfId="5905" priority="246">
      <formula>AND(Z$9&gt;=8/24,Z$9&lt;14/24)</formula>
    </cfRule>
    <cfRule type="expression" dxfId="5904" priority="247">
      <formula>Z$9&lt;8/24</formula>
    </cfRule>
  </conditionalFormatting>
  <conditionalFormatting sqref="S60:T61 X60:Y61 Z60:AE67 AF61:AF67">
    <cfRule type="expression" dxfId="5903" priority="240">
      <formula>S$9&gt;=20/24</formula>
    </cfRule>
    <cfRule type="expression" dxfId="5902" priority="241">
      <formula>AND(S$9&gt;=14/24,S$9&lt;20/24)</formula>
    </cfRule>
    <cfRule type="expression" dxfId="5901" priority="242">
      <formula>AND(S$9&gt;=8/24,S$9&lt;14/24)</formula>
    </cfRule>
    <cfRule type="expression" dxfId="5900" priority="243">
      <formula>S$9&lt;8/24</formula>
    </cfRule>
  </conditionalFormatting>
  <conditionalFormatting sqref="D62:L62">
    <cfRule type="expression" dxfId="5899" priority="236">
      <formula>D$9&gt;=20/24</formula>
    </cfRule>
    <cfRule type="expression" dxfId="5898" priority="237">
      <formula>AND(D$9&gt;=14/24,D$9&lt;20/24)</formula>
    </cfRule>
    <cfRule type="expression" dxfId="5897" priority="238">
      <formula>AND(D$9&gt;=8/24,D$9&lt;14/24)</formula>
    </cfRule>
    <cfRule type="expression" dxfId="5896" priority="239">
      <formula>D$9&lt;8/24</formula>
    </cfRule>
  </conditionalFormatting>
  <conditionalFormatting sqref="U94:AA97">
    <cfRule type="expression" dxfId="5895" priority="232">
      <formula>U$9&gt;=20/24</formula>
    </cfRule>
    <cfRule type="expression" dxfId="5894" priority="233">
      <formula>AND(U$9&gt;=14/24,U$9&lt;20/24)</formula>
    </cfRule>
    <cfRule type="expression" dxfId="5893" priority="234">
      <formula>AND(U$9&gt;=8/24,U$9&lt;14/24)</formula>
    </cfRule>
    <cfRule type="expression" dxfId="5892" priority="235">
      <formula>U$9&lt;8/24</formula>
    </cfRule>
  </conditionalFormatting>
  <conditionalFormatting sqref="AG51 C11:D15 E11:L12 E13:E15 F13:L14 C34:L37 C16:L32 C45:L45 C38:AF38 Q45:R45 C44:R44 S44:S45 C39:S43 T39:Y45 N37:AD37 Z34:AD36 N11:AF11 C51:AF56 AE34:AF37 Z12:AF32 Z39:AF50">
    <cfRule type="expression" dxfId="5891" priority="231">
      <formula>C11&gt;$AG11</formula>
    </cfRule>
  </conditionalFormatting>
  <conditionalFormatting sqref="A101:A157 A84:A97 A11:A14 A16:A32 A45:A72 A80:A82 A74:A78 A35:A43 A170:A200">
    <cfRule type="expression" dxfId="5890" priority="230">
      <formula>$AH11=0</formula>
    </cfRule>
  </conditionalFormatting>
  <conditionalFormatting sqref="U98:AA98">
    <cfRule type="expression" dxfId="5889" priority="226">
      <formula>U$9&gt;=20/24</formula>
    </cfRule>
    <cfRule type="expression" dxfId="5888" priority="227">
      <formula>AND(U$9&gt;=14/24,U$9&lt;20/24)</formula>
    </cfRule>
    <cfRule type="expression" dxfId="5887" priority="228">
      <formula>AND(U$9&gt;=8/24,U$9&lt;14/24)</formula>
    </cfRule>
    <cfRule type="expression" dxfId="5886" priority="229">
      <formula>U$9&lt;8/24</formula>
    </cfRule>
  </conditionalFormatting>
  <conditionalFormatting sqref="A98">
    <cfRule type="expression" dxfId="5885" priority="225">
      <formula>$AH98=0</formula>
    </cfRule>
  </conditionalFormatting>
  <conditionalFormatting sqref="M64:M67 E63:L67">
    <cfRule type="expression" dxfId="5884" priority="221">
      <formula>E$9&gt;=20/24</formula>
    </cfRule>
    <cfRule type="expression" dxfId="5883" priority="222">
      <formula>AND(E$9&gt;=14/24,E$9&lt;20/24)</formula>
    </cfRule>
    <cfRule type="expression" dxfId="5882" priority="223">
      <formula>AND(E$9&gt;=8/24,E$9&lt;14/24)</formula>
    </cfRule>
    <cfRule type="expression" dxfId="5881" priority="224">
      <formula>E$9&lt;8/24</formula>
    </cfRule>
  </conditionalFormatting>
  <conditionalFormatting sqref="M62:M63">
    <cfRule type="expression" dxfId="5880" priority="217">
      <formula>M$9&gt;=20/24</formula>
    </cfRule>
    <cfRule type="expression" dxfId="5879" priority="218">
      <formula>AND(M$9&gt;=14/24,M$9&lt;20/24)</formula>
    </cfRule>
    <cfRule type="expression" dxfId="5878" priority="219">
      <formula>AND(M$9&gt;=8/24,M$9&lt;14/24)</formula>
    </cfRule>
    <cfRule type="expression" dxfId="5877" priority="220">
      <formula>M$9&lt;8/24</formula>
    </cfRule>
  </conditionalFormatting>
  <conditionalFormatting sqref="AL32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5876" priority="212">
      <formula>Z$9&gt;=20/24</formula>
    </cfRule>
    <cfRule type="expression" dxfId="5875" priority="213">
      <formula>AND(Z$9&gt;=14/24,Z$9&lt;20/24)</formula>
    </cfRule>
    <cfRule type="expression" dxfId="5874" priority="214">
      <formula>AND(Z$9&gt;=8/24,Z$9&lt;14/24)</formula>
    </cfRule>
    <cfRule type="expression" dxfId="5873" priority="215">
      <formula>Z$9&lt;8/24</formula>
    </cfRule>
  </conditionalFormatting>
  <conditionalFormatting sqref="A34">
    <cfRule type="expression" dxfId="5872" priority="207">
      <formula>$AH34=0</formula>
    </cfRule>
  </conditionalFormatting>
  <conditionalFormatting sqref="A83">
    <cfRule type="expression" dxfId="5871" priority="206">
      <formula>$AH83=0</formula>
    </cfRule>
  </conditionalFormatting>
  <conditionalFormatting sqref="Z15:AF15">
    <cfRule type="expression" dxfId="5870" priority="202">
      <formula>Z$9&gt;=20/24</formula>
    </cfRule>
    <cfRule type="expression" dxfId="5869" priority="203">
      <formula>AND(Z$9&gt;=14/24,Z$9&lt;20/24)</formula>
    </cfRule>
    <cfRule type="expression" dxfId="5868" priority="204">
      <formula>AND(Z$9&gt;=8/24,Z$9&lt;14/24)</formula>
    </cfRule>
    <cfRule type="expression" dxfId="5867" priority="205">
      <formula>Z$9&lt;8/24</formula>
    </cfRule>
  </conditionalFormatting>
  <conditionalFormatting sqref="F15:L15">
    <cfRule type="expression" dxfId="5866" priority="201">
      <formula>F15&gt;$AG15</formula>
    </cfRule>
  </conditionalFormatting>
  <conditionalFormatting sqref="A15">
    <cfRule type="expression" dxfId="5865" priority="200">
      <formula>$AH15=0</formula>
    </cfRule>
  </conditionalFormatting>
  <conditionalFormatting sqref="A164:A169">
    <cfRule type="expression" dxfId="5864" priority="199">
      <formula>$AH164=0</formula>
    </cfRule>
  </conditionalFormatting>
  <conditionalFormatting sqref="A158:A163">
    <cfRule type="expression" dxfId="5863" priority="198">
      <formula>$AH158=0</formula>
    </cfRule>
  </conditionalFormatting>
  <conditionalFormatting sqref="Z44:AF44">
    <cfRule type="expression" dxfId="5862" priority="194">
      <formula>Z$9&gt;=20/24</formula>
    </cfRule>
    <cfRule type="expression" dxfId="5861" priority="195">
      <formula>AND(Z$9&gt;=14/24,Z$9&lt;20/24)</formula>
    </cfRule>
    <cfRule type="expression" dxfId="5860" priority="196">
      <formula>AND(Z$9&gt;=8/24,Z$9&lt;14/24)</formula>
    </cfRule>
    <cfRule type="expression" dxfId="5859" priority="197">
      <formula>Z$9&lt;8/24</formula>
    </cfRule>
  </conditionalFormatting>
  <conditionalFormatting sqref="M44:Y44">
    <cfRule type="expression" dxfId="5858" priority="190">
      <formula>M$9&gt;=20/24</formula>
    </cfRule>
    <cfRule type="expression" dxfId="5857" priority="191">
      <formula>AND(M$9&gt;=14/24,M$9&lt;20/24)</formula>
    </cfRule>
    <cfRule type="expression" dxfId="5856" priority="192">
      <formula>AND(M$9&gt;=8/24,M$9&lt;14/24)</formula>
    </cfRule>
    <cfRule type="expression" dxfId="5855" priority="193">
      <formula>M$9&lt;8/24</formula>
    </cfRule>
  </conditionalFormatting>
  <conditionalFormatting sqref="A44">
    <cfRule type="expression" dxfId="5854" priority="185">
      <formula>$AH44=0</formula>
    </cfRule>
  </conditionalFormatting>
  <conditionalFormatting sqref="A79">
    <cfRule type="expression" dxfId="5853" priority="184">
      <formula>$AH79=0</formula>
    </cfRule>
  </conditionalFormatting>
  <conditionalFormatting sqref="A73">
    <cfRule type="expression" dxfId="5852" priority="183">
      <formula>$AH73=0</formula>
    </cfRule>
  </conditionalFormatting>
  <conditionalFormatting sqref="AL34:AL35 AL7:AL31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5851" priority="179">
      <formula>U$9&gt;=20/24</formula>
    </cfRule>
    <cfRule type="expression" dxfId="5850" priority="180">
      <formula>AND(U$9&gt;=14/24,U$9&lt;20/24)</formula>
    </cfRule>
    <cfRule type="expression" dxfId="5849" priority="181">
      <formula>AND(U$9&gt;=8/24,U$9&lt;14/24)</formula>
    </cfRule>
    <cfRule type="expression" dxfId="5848" priority="182">
      <formula>U$9&lt;8/24</formula>
    </cfRule>
  </conditionalFormatting>
  <conditionalFormatting sqref="U85:W91">
    <cfRule type="expression" dxfId="5847" priority="175">
      <formula>U$9&gt;=20/24</formula>
    </cfRule>
    <cfRule type="expression" dxfId="5846" priority="176">
      <formula>AND(U$9&gt;=14/24,U$9&lt;20/24)</formula>
    </cfRule>
    <cfRule type="expression" dxfId="5845" priority="177">
      <formula>AND(U$9&gt;=8/24,U$9&lt;14/24)</formula>
    </cfRule>
    <cfRule type="expression" dxfId="5844" priority="178">
      <formula>U$9&lt;8/24</formula>
    </cfRule>
  </conditionalFormatting>
  <conditionalFormatting sqref="C84:R91 S85:T91">
    <cfRule type="expression" dxfId="5843" priority="171">
      <formula>C$9&gt;=20/24</formula>
    </cfRule>
    <cfRule type="expression" dxfId="5842" priority="172">
      <formula>AND(C$9&gt;=14/24,C$9&lt;20/24)</formula>
    </cfRule>
    <cfRule type="expression" dxfId="5841" priority="173">
      <formula>AND(C$9&gt;=8/24,C$9&lt;14/24)</formula>
    </cfRule>
    <cfRule type="expression" dxfId="5840" priority="174">
      <formula>C$9&lt;8/24</formula>
    </cfRule>
  </conditionalFormatting>
  <conditionalFormatting sqref="S84:T84">
    <cfRule type="expression" dxfId="5839" priority="167">
      <formula>S$9&gt;=20/24</formula>
    </cfRule>
    <cfRule type="expression" dxfId="5838" priority="168">
      <formula>AND(S$9&gt;=14/24,S$9&lt;20/24)</formula>
    </cfRule>
    <cfRule type="expression" dxfId="5837" priority="169">
      <formula>AND(S$9&gt;=8/24,S$9&lt;14/24)</formula>
    </cfRule>
    <cfRule type="expression" dxfId="5836" priority="170">
      <formula>S$9&lt;8/24</formula>
    </cfRule>
  </conditionalFormatting>
  <conditionalFormatting sqref="C94:F94 C95:N97">
    <cfRule type="expression" dxfId="5835" priority="163">
      <formula>C$9&gt;=20/24</formula>
    </cfRule>
    <cfRule type="expression" dxfId="5834" priority="164">
      <formula>AND(C$9&gt;=14/24,C$9&lt;20/24)</formula>
    </cfRule>
    <cfRule type="expression" dxfId="5833" priority="165">
      <formula>AND(C$9&gt;=8/24,C$9&lt;14/24)</formula>
    </cfRule>
    <cfRule type="expression" dxfId="5832" priority="166">
      <formula>C$9&lt;8/24</formula>
    </cfRule>
  </conditionalFormatting>
  <conditionalFormatting sqref="O94:R97">
    <cfRule type="expression" dxfId="5831" priority="159">
      <formula>O$9&gt;=20/24</formula>
    </cfRule>
    <cfRule type="expression" dxfId="5830" priority="160">
      <formula>AND(O$9&gt;=14/24,O$9&lt;20/24)</formula>
    </cfRule>
    <cfRule type="expression" dxfId="5829" priority="161">
      <formula>AND(O$9&gt;=8/24,O$9&lt;14/24)</formula>
    </cfRule>
    <cfRule type="expression" dxfId="5828" priority="162">
      <formula>O$9&lt;8/24</formula>
    </cfRule>
  </conditionalFormatting>
  <conditionalFormatting sqref="S94:T97">
    <cfRule type="expression" dxfId="5827" priority="155">
      <formula>S$9&gt;=20/24</formula>
    </cfRule>
    <cfRule type="expression" dxfId="5826" priority="156">
      <formula>AND(S$9&gt;=14/24,S$9&lt;20/24)</formula>
    </cfRule>
    <cfRule type="expression" dxfId="5825" priority="157">
      <formula>AND(S$9&gt;=8/24,S$9&lt;14/24)</formula>
    </cfRule>
    <cfRule type="expression" dxfId="5824" priority="158">
      <formula>S$9&lt;8/24</formula>
    </cfRule>
  </conditionalFormatting>
  <conditionalFormatting sqref="C98:N98">
    <cfRule type="expression" dxfId="5823" priority="151">
      <formula>C$9&gt;=20/24</formula>
    </cfRule>
    <cfRule type="expression" dxfId="5822" priority="152">
      <formula>AND(C$9&gt;=14/24,C$9&lt;20/24)</formula>
    </cfRule>
    <cfRule type="expression" dxfId="5821" priority="153">
      <formula>AND(C$9&gt;=8/24,C$9&lt;14/24)</formula>
    </cfRule>
    <cfRule type="expression" dxfId="5820" priority="154">
      <formula>C$9&lt;8/24</formula>
    </cfRule>
  </conditionalFormatting>
  <conditionalFormatting sqref="O98:R98">
    <cfRule type="expression" dxfId="5819" priority="147">
      <formula>O$9&gt;=20/24</formula>
    </cfRule>
    <cfRule type="expression" dxfId="5818" priority="148">
      <formula>AND(O$9&gt;=14/24,O$9&lt;20/24)</formula>
    </cfRule>
    <cfRule type="expression" dxfId="5817" priority="149">
      <formula>AND(O$9&gt;=8/24,O$9&lt;14/24)</formula>
    </cfRule>
    <cfRule type="expression" dxfId="5816" priority="150">
      <formula>O$9&lt;8/24</formula>
    </cfRule>
  </conditionalFormatting>
  <conditionalFormatting sqref="S98:T98">
    <cfRule type="expression" dxfId="5815" priority="143">
      <formula>S$9&gt;=20/24</formula>
    </cfRule>
    <cfRule type="expression" dxfId="5814" priority="144">
      <formula>AND(S$9&gt;=14/24,S$9&lt;20/24)</formula>
    </cfRule>
    <cfRule type="expression" dxfId="5813" priority="145">
      <formula>AND(S$9&gt;=8/24,S$9&lt;14/24)</formula>
    </cfRule>
    <cfRule type="expression" dxfId="5812" priority="146">
      <formula>S$9&lt;8/24</formula>
    </cfRule>
  </conditionalFormatting>
  <conditionalFormatting sqref="M94:N94">
    <cfRule type="expression" dxfId="5811" priority="139">
      <formula>M$9&gt;=20/24</formula>
    </cfRule>
    <cfRule type="expression" dxfId="5810" priority="140">
      <formula>AND(M$9&gt;=14/24,M$9&lt;20/24)</formula>
    </cfRule>
    <cfRule type="expression" dxfId="5809" priority="141">
      <formula>AND(M$9&gt;=8/24,M$9&lt;14/24)</formula>
    </cfRule>
    <cfRule type="expression" dxfId="5808" priority="142">
      <formula>M$9&lt;8/24</formula>
    </cfRule>
  </conditionalFormatting>
  <conditionalFormatting sqref="G94:L94">
    <cfRule type="expression" dxfId="5807" priority="135">
      <formula>G$9&gt;=20/24</formula>
    </cfRule>
    <cfRule type="expression" dxfId="5806" priority="136">
      <formula>AND(G$9&gt;=14/24,G$9&lt;20/24)</formula>
    </cfRule>
    <cfRule type="expression" dxfId="5805" priority="137">
      <formula>AND(G$9&gt;=8/24,G$9&lt;14/24)</formula>
    </cfRule>
    <cfRule type="expression" dxfId="5804" priority="138">
      <formula>G$9&lt;8/24</formula>
    </cfRule>
  </conditionalFormatting>
  <conditionalFormatting sqref="U94:W94">
    <cfRule type="expression" dxfId="5803" priority="131">
      <formula>U$9&gt;=20/24</formula>
    </cfRule>
    <cfRule type="expression" dxfId="5802" priority="132">
      <formula>AND(U$9&gt;=14/24,U$9&lt;20/24)</formula>
    </cfRule>
    <cfRule type="expression" dxfId="5801" priority="133">
      <formula>AND(U$9&gt;=8/24,U$9&lt;14/24)</formula>
    </cfRule>
    <cfRule type="expression" dxfId="5800" priority="134">
      <formula>U$9&lt;8/24</formula>
    </cfRule>
  </conditionalFormatting>
  <conditionalFormatting sqref="O94:T94">
    <cfRule type="expression" dxfId="5799" priority="127">
      <formula>O$9&gt;=20/24</formula>
    </cfRule>
    <cfRule type="expression" dxfId="5798" priority="128">
      <formula>AND(O$9&gt;=14/24,O$9&lt;20/24)</formula>
    </cfRule>
    <cfRule type="expression" dxfId="5797" priority="129">
      <formula>AND(O$9&gt;=8/24,O$9&lt;14/24)</formula>
    </cfRule>
    <cfRule type="expression" dxfId="5796" priority="130">
      <formula>O$9&lt;8/24</formula>
    </cfRule>
  </conditionalFormatting>
  <conditionalFormatting sqref="U99:AA100">
    <cfRule type="expression" dxfId="5795" priority="123">
      <formula>U$9&gt;=20/24</formula>
    </cfRule>
    <cfRule type="expression" dxfId="5794" priority="124">
      <formula>AND(U$9&gt;=14/24,U$9&lt;20/24)</formula>
    </cfRule>
    <cfRule type="expression" dxfId="5793" priority="125">
      <formula>AND(U$9&gt;=8/24,U$9&lt;14/24)</formula>
    </cfRule>
    <cfRule type="expression" dxfId="5792" priority="126">
      <formula>U$9&lt;8/24</formula>
    </cfRule>
  </conditionalFormatting>
  <conditionalFormatting sqref="C99:N100">
    <cfRule type="expression" dxfId="5791" priority="119">
      <formula>C$9&gt;=20/24</formula>
    </cfRule>
    <cfRule type="expression" dxfId="5790" priority="120">
      <formula>AND(C$9&gt;=14/24,C$9&lt;20/24)</formula>
    </cfRule>
    <cfRule type="expression" dxfId="5789" priority="121">
      <formula>AND(C$9&gt;=8/24,C$9&lt;14/24)</formula>
    </cfRule>
    <cfRule type="expression" dxfId="5788" priority="122">
      <formula>C$9&lt;8/24</formula>
    </cfRule>
  </conditionalFormatting>
  <conditionalFormatting sqref="O99:R100">
    <cfRule type="expression" dxfId="5787" priority="115">
      <formula>O$9&gt;=20/24</formula>
    </cfRule>
    <cfRule type="expression" dxfId="5786" priority="116">
      <formula>AND(O$9&gt;=14/24,O$9&lt;20/24)</formula>
    </cfRule>
    <cfRule type="expression" dxfId="5785" priority="117">
      <formula>AND(O$9&gt;=8/24,O$9&lt;14/24)</formula>
    </cfRule>
    <cfRule type="expression" dxfId="5784" priority="118">
      <formula>O$9&lt;8/24</formula>
    </cfRule>
  </conditionalFormatting>
  <conditionalFormatting sqref="S99:T100">
    <cfRule type="expression" dxfId="5783" priority="111">
      <formula>S$9&gt;=20/24</formula>
    </cfRule>
    <cfRule type="expression" dxfId="5782" priority="112">
      <formula>AND(S$9&gt;=14/24,S$9&lt;20/24)</formula>
    </cfRule>
    <cfRule type="expression" dxfId="5781" priority="113">
      <formula>AND(S$9&gt;=8/24,S$9&lt;14/24)</formula>
    </cfRule>
    <cfRule type="expression" dxfId="5780" priority="114">
      <formula>S$9&lt;8/24</formula>
    </cfRule>
  </conditionalFormatting>
  <conditionalFormatting sqref="AE58:AE59">
    <cfRule type="expression" dxfId="5779" priority="95">
      <formula>AE$9&gt;=20/24</formula>
    </cfRule>
    <cfRule type="expression" dxfId="5778" priority="96">
      <formula>AND(AE$9&gt;=14/24,AE$9&lt;20/24)</formula>
    </cfRule>
    <cfRule type="expression" dxfId="5777" priority="97">
      <formula>AND(AE$9&gt;=8/24,AE$9&lt;14/24)</formula>
    </cfRule>
    <cfRule type="expression" dxfId="5776" priority="98">
      <formula>AE$9&lt;8/24</formula>
    </cfRule>
  </conditionalFormatting>
  <conditionalFormatting sqref="AL33">
    <cfRule type="iconSet" priority="9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75" priority="312">
      <formula>C$9&gt;=20/24</formula>
    </cfRule>
    <cfRule type="expression" dxfId="5774" priority="313">
      <formula>AND(C$9&gt;=14/24,C$9&lt;20/24)</formula>
    </cfRule>
    <cfRule type="expression" dxfId="5773" priority="314">
      <formula>AND(C$9&gt;=8/24,C$9&lt;14/24)</formula>
    </cfRule>
    <cfRule type="expression" dxfId="5772" priority="315">
      <formula>C$9&lt;8/24</formula>
    </cfRule>
  </conditionalFormatting>
  <conditionalFormatting sqref="A201">
    <cfRule type="expression" dxfId="5771" priority="316">
      <formula>$AH201=0</formula>
    </cfRule>
  </conditionalFormatting>
  <conditionalFormatting sqref="AG213">
    <cfRule type="expression" dxfId="5770" priority="317">
      <formula>B$9&gt;=20/24</formula>
    </cfRule>
    <cfRule type="expression" dxfId="5769" priority="318">
      <formula>AND(B$9&gt;=14/24,B$9&lt;20/24)</formula>
    </cfRule>
    <cfRule type="expression" dxfId="5768" priority="319">
      <formula>AND(B$9&gt;=8/24,B$9&lt;14/24)</formula>
    </cfRule>
    <cfRule type="expression" dxfId="5767" priority="320">
      <formula>B$9&lt;8/24</formula>
    </cfRule>
  </conditionalFormatting>
  <conditionalFormatting sqref="S8">
    <cfRule type="expression" dxfId="5766" priority="89">
      <formula>U$9&gt;=20/24</formula>
    </cfRule>
    <cfRule type="expression" dxfId="5765" priority="90">
      <formula>AND(U$9&gt;=14/24,U$9&lt;20/24)</formula>
    </cfRule>
    <cfRule type="expression" dxfId="5764" priority="91">
      <formula>AND(U$9&gt;=8/24,U$9&lt;14/24)</formula>
    </cfRule>
    <cfRule type="expression" dxfId="5763" priority="92">
      <formula>U$9&lt;8/24</formula>
    </cfRule>
  </conditionalFormatting>
  <conditionalFormatting sqref="AB8">
    <cfRule type="expression" dxfId="5762" priority="85">
      <formula>AD$9&gt;=20/24</formula>
    </cfRule>
    <cfRule type="expression" dxfId="5761" priority="86">
      <formula>AND(AD$9&gt;=14/24,AD$9&lt;20/24)</formula>
    </cfRule>
    <cfRule type="expression" dxfId="5760" priority="87">
      <formula>AND(AD$9&gt;=8/24,AD$9&lt;14/24)</formula>
    </cfRule>
    <cfRule type="expression" dxfId="5759" priority="88">
      <formula>AD$9&lt;8/24</formula>
    </cfRule>
  </conditionalFormatting>
  <conditionalFormatting sqref="AH213:AX213">
    <cfRule type="expression" dxfId="5758" priority="321">
      <formula>AG$9&gt;=20/24</formula>
    </cfRule>
    <cfRule type="expression" dxfId="5757" priority="322">
      <formula>AND(AG$9&gt;=14/24,AG$9&lt;20/24)</formula>
    </cfRule>
    <cfRule type="expression" dxfId="5756" priority="323">
      <formula>AND(AG$9&gt;=8/24,AG$9&lt;14/24)</formula>
    </cfRule>
    <cfRule type="expression" dxfId="5755" priority="324">
      <formula>AG$9&lt;8/24</formula>
    </cfRule>
  </conditionalFormatting>
  <conditionalFormatting sqref="T213">
    <cfRule type="expression" dxfId="5754" priority="325">
      <formula>AX$9&gt;=20/24</formula>
    </cfRule>
    <cfRule type="expression" dxfId="5753" priority="326">
      <formula>AND(AX$9&gt;=14/24,AX$9&lt;20/24)</formula>
    </cfRule>
    <cfRule type="expression" dxfId="5752" priority="327">
      <formula>AND(AX$9&gt;=8/24,AX$9&lt;14/24)</formula>
    </cfRule>
    <cfRule type="expression" dxfId="5751" priority="328">
      <formula>AX$9&lt;8/24</formula>
    </cfRule>
  </conditionalFormatting>
  <conditionalFormatting sqref="A99:A100">
    <cfRule type="expression" dxfId="5750" priority="84">
      <formula>$AH99=0</formula>
    </cfRule>
  </conditionalFormatting>
  <conditionalFormatting sqref="Z33:AF33">
    <cfRule type="expression" dxfId="5749" priority="80">
      <formula>Z$9&gt;=20/24</formula>
    </cfRule>
    <cfRule type="expression" dxfId="5748" priority="81">
      <formula>AND(Z$9&gt;=14/24,Z$9&lt;20/24)</formula>
    </cfRule>
    <cfRule type="expression" dxfId="5747" priority="82">
      <formula>AND(Z$9&gt;=8/24,Z$9&lt;14/24)</formula>
    </cfRule>
    <cfRule type="expression" dxfId="5746" priority="83">
      <formula>Z$9&lt;8/24</formula>
    </cfRule>
  </conditionalFormatting>
  <conditionalFormatting sqref="C33:L33 Z33:AF33">
    <cfRule type="expression" dxfId="5745" priority="75">
      <formula>C33&gt;$AG33</formula>
    </cfRule>
  </conditionalFormatting>
  <conditionalFormatting sqref="M11:M12 N12:P12 Q12:Y13">
    <cfRule type="expression" dxfId="5744" priority="71">
      <formula>M$9&gt;=20/24</formula>
    </cfRule>
    <cfRule type="expression" dxfId="5743" priority="72">
      <formula>AND(M$9&gt;=14/24,M$9&lt;20/24)</formula>
    </cfRule>
    <cfRule type="expression" dxfId="5742" priority="73">
      <formula>AND(M$9&gt;=8/24,M$9&lt;14/24)</formula>
    </cfRule>
    <cfRule type="expression" dxfId="5741" priority="74">
      <formula>M$9&lt;8/24</formula>
    </cfRule>
  </conditionalFormatting>
  <conditionalFormatting sqref="M11:M12 N12:P12 Q12:Y13">
    <cfRule type="expression" dxfId="5740" priority="66">
      <formula>M11&gt;$AG11</formula>
    </cfRule>
  </conditionalFormatting>
  <conditionalFormatting sqref="B94:B100 B53:B91 B36">
    <cfRule type="expression" dxfId="5739" priority="48">
      <formula>B$9&gt;=20/24</formula>
    </cfRule>
    <cfRule type="expression" dxfId="5738" priority="49">
      <formula>AND(B$9&gt;=14/24,B$9&lt;20/24)</formula>
    </cfRule>
    <cfRule type="expression" dxfId="5737" priority="50">
      <formula>AND(B$9&gt;=8/24,B$9&lt;14/24)</formula>
    </cfRule>
    <cfRule type="expression" dxfId="5736" priority="51">
      <formula>B$9&lt;8/24</formula>
    </cfRule>
  </conditionalFormatting>
  <conditionalFormatting sqref="B34:B56 B11:B32 C46:L50">
    <cfRule type="expression" dxfId="5735" priority="47">
      <formula>B11&gt;$AG11</formula>
    </cfRule>
  </conditionalFormatting>
  <conditionalFormatting sqref="B33">
    <cfRule type="expression" dxfId="5734" priority="46">
      <formula>B33&gt;$AG33</formula>
    </cfRule>
  </conditionalFormatting>
  <conditionalFormatting sqref="M37">
    <cfRule type="expression" dxfId="5733" priority="42">
      <formula>M$9&gt;=20/24</formula>
    </cfRule>
    <cfRule type="expression" dxfId="5732" priority="43">
      <formula>AND(M$9&gt;=14/24,M$9&lt;20/24)</formula>
    </cfRule>
    <cfRule type="expression" dxfId="5731" priority="44">
      <formula>AND(M$9&gt;=8/24,M$9&lt;14/24)</formula>
    </cfRule>
    <cfRule type="expression" dxfId="5730" priority="45">
      <formula>M$9&lt;8/24</formula>
    </cfRule>
  </conditionalFormatting>
  <conditionalFormatting sqref="M37">
    <cfRule type="expression" dxfId="5729" priority="41">
      <formula>M37&gt;$AG37</formula>
    </cfRule>
  </conditionalFormatting>
  <conditionalFormatting sqref="M13:P14 Q14:Y14 M36:Y36 M16:Y32">
    <cfRule type="expression" dxfId="5728" priority="37">
      <formula>M$9&gt;=20/24</formula>
    </cfRule>
    <cfRule type="expression" dxfId="5727" priority="38">
      <formula>AND(M$9&gt;=14/24,M$9&lt;20/24)</formula>
    </cfRule>
    <cfRule type="expression" dxfId="5726" priority="39">
      <formula>AND(M$9&gt;=8/24,M$9&lt;14/24)</formula>
    </cfRule>
    <cfRule type="expression" dxfId="5725" priority="40">
      <formula>M$9&lt;8/24</formula>
    </cfRule>
  </conditionalFormatting>
  <conditionalFormatting sqref="M35:Y35">
    <cfRule type="expression" dxfId="5724" priority="33">
      <formula>M$9&gt;=20/24</formula>
    </cfRule>
    <cfRule type="expression" dxfId="5723" priority="34">
      <formula>AND(M$9&gt;=14/24,M$9&lt;20/24)</formula>
    </cfRule>
    <cfRule type="expression" dxfId="5722" priority="35">
      <formula>AND(M$9&gt;=8/24,M$9&lt;14/24)</formula>
    </cfRule>
    <cfRule type="expression" dxfId="5721" priority="36">
      <formula>M$9&lt;8/24</formula>
    </cfRule>
  </conditionalFormatting>
  <conditionalFormatting sqref="M13:P14 Q14:Y14 M34:Y36 M16:Y32">
    <cfRule type="expression" dxfId="5720" priority="32">
      <formula>M13&gt;$AG13</formula>
    </cfRule>
  </conditionalFormatting>
  <conditionalFormatting sqref="M34:Y34">
    <cfRule type="expression" dxfId="5719" priority="28">
      <formula>M$9&gt;=20/24</formula>
    </cfRule>
    <cfRule type="expression" dxfId="5718" priority="29">
      <formula>AND(M$9&gt;=14/24,M$9&lt;20/24)</formula>
    </cfRule>
    <cfRule type="expression" dxfId="5717" priority="30">
      <formula>AND(M$9&gt;=8/24,M$9&lt;14/24)</formula>
    </cfRule>
    <cfRule type="expression" dxfId="5716" priority="31">
      <formula>M$9&lt;8/24</formula>
    </cfRule>
  </conditionalFormatting>
  <conditionalFormatting sqref="M15:Y15">
    <cfRule type="expression" dxfId="5715" priority="24">
      <formula>M$9&gt;=20/24</formula>
    </cfRule>
    <cfRule type="expression" dxfId="5714" priority="25">
      <formula>AND(M$9&gt;=14/24,M$9&lt;20/24)</formula>
    </cfRule>
    <cfRule type="expression" dxfId="5713" priority="26">
      <formula>AND(M$9&gt;=8/24,M$9&lt;14/24)</formula>
    </cfRule>
    <cfRule type="expression" dxfId="5712" priority="27">
      <formula>M$9&lt;8/24</formula>
    </cfRule>
  </conditionalFormatting>
  <conditionalFormatting sqref="M15:Y15">
    <cfRule type="expression" dxfId="5711" priority="23">
      <formula>M15&gt;$AG15</formula>
    </cfRule>
  </conditionalFormatting>
  <conditionalFormatting sqref="M33:Y33">
    <cfRule type="expression" dxfId="5710" priority="19">
      <formula>M$9&gt;=20/24</formula>
    </cfRule>
    <cfRule type="expression" dxfId="5709" priority="20">
      <formula>AND(M$9&gt;=14/24,M$9&lt;20/24)</formula>
    </cfRule>
    <cfRule type="expression" dxfId="5708" priority="21">
      <formula>AND(M$9&gt;=8/24,M$9&lt;14/24)</formula>
    </cfRule>
    <cfRule type="expression" dxfId="5707" priority="22">
      <formula>M$9&lt;8/24</formula>
    </cfRule>
  </conditionalFormatting>
  <conditionalFormatting sqref="M33:Y33">
    <cfRule type="expression" dxfId="5706" priority="18">
      <formula>M33&gt;$AG33</formula>
    </cfRule>
  </conditionalFormatting>
  <conditionalFormatting sqref="M45:P48 Q46:Y48">
    <cfRule type="expression" dxfId="5705" priority="14">
      <formula>M$9&gt;=20/24</formula>
    </cfRule>
    <cfRule type="expression" dxfId="5704" priority="15">
      <formula>AND(M$9&gt;=14/24,M$9&lt;20/24)</formula>
    </cfRule>
    <cfRule type="expression" dxfId="5703" priority="16">
      <formula>AND(M$9&gt;=8/24,M$9&lt;14/24)</formula>
    </cfRule>
    <cfRule type="expression" dxfId="5702" priority="17">
      <formula>M$9&lt;8/24</formula>
    </cfRule>
  </conditionalFormatting>
  <conditionalFormatting sqref="M49:Y49">
    <cfRule type="expression" dxfId="5701" priority="10">
      <formula>M$9&gt;=20/24</formula>
    </cfRule>
    <cfRule type="expression" dxfId="5700" priority="11">
      <formula>AND(M$9&gt;=14/24,M$9&lt;20/24)</formula>
    </cfRule>
    <cfRule type="expression" dxfId="5699" priority="12">
      <formula>AND(M$9&gt;=8/24,M$9&lt;14/24)</formula>
    </cfRule>
    <cfRule type="expression" dxfId="5698" priority="13">
      <formula>M$9&lt;8/24</formula>
    </cfRule>
  </conditionalFormatting>
  <conditionalFormatting sqref="M50:Y50">
    <cfRule type="expression" dxfId="5697" priority="6">
      <formula>M$9&gt;=20/24</formula>
    </cfRule>
    <cfRule type="expression" dxfId="5696" priority="7">
      <formula>AND(M$9&gt;=14/24,M$9&lt;20/24)</formula>
    </cfRule>
    <cfRule type="expression" dxfId="5695" priority="8">
      <formula>AND(M$9&gt;=8/24,M$9&lt;14/24)</formula>
    </cfRule>
    <cfRule type="expression" dxfId="5694" priority="9">
      <formula>M$9&lt;8/24</formula>
    </cfRule>
  </conditionalFormatting>
  <conditionalFormatting sqref="M45:P48 Q46:Y48">
    <cfRule type="expression" dxfId="5693" priority="2">
      <formula>M$9&gt;=20/24</formula>
    </cfRule>
    <cfRule type="expression" dxfId="5692" priority="3">
      <formula>AND(M$9&gt;=14/24,M$9&lt;20/24)</formula>
    </cfRule>
    <cfRule type="expression" dxfId="5691" priority="4">
      <formula>AND(M$9&gt;=8/24,M$9&lt;14/24)</formula>
    </cfRule>
    <cfRule type="expression" dxfId="5690" priority="5">
      <formula>M$9&lt;8/24</formula>
    </cfRule>
  </conditionalFormatting>
  <conditionalFormatting sqref="M45:P50 Q46:Y50">
    <cfRule type="expression" dxfId="5689" priority="1">
      <formula>M45&gt;$AG45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4" id="{7B87C617-DD2E-4683-9A0D-333612C213A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CJ472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AG58" sqref="AG5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2078/12/12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359.5</v>
      </c>
      <c r="C5" s="157">
        <f t="shared" si="0"/>
        <v>369.5</v>
      </c>
      <c r="D5" s="157">
        <f t="shared" si="0"/>
        <v>431.5</v>
      </c>
      <c r="E5" s="157">
        <f t="shared" si="0"/>
        <v>434.5</v>
      </c>
      <c r="F5" s="157">
        <f t="shared" si="0"/>
        <v>432</v>
      </c>
      <c r="G5" s="157">
        <f t="shared" si="0"/>
        <v>394</v>
      </c>
      <c r="H5" s="157">
        <f t="shared" si="0"/>
        <v>421.5</v>
      </c>
      <c r="I5" s="157">
        <f t="shared" si="0"/>
        <v>373.5</v>
      </c>
      <c r="J5" s="157">
        <f t="shared" si="0"/>
        <v>393.5</v>
      </c>
      <c r="K5" s="157">
        <f t="shared" si="0"/>
        <v>408.5</v>
      </c>
      <c r="L5" s="157">
        <f t="shared" si="0"/>
        <v>393.7</v>
      </c>
      <c r="M5" s="157">
        <f t="shared" si="0"/>
        <v>370.4</v>
      </c>
      <c r="N5" s="157">
        <f t="shared" si="0"/>
        <v>498.73</v>
      </c>
      <c r="O5" s="157">
        <f t="shared" si="0"/>
        <v>447.1</v>
      </c>
      <c r="P5" s="157">
        <f t="shared" si="0"/>
        <v>399.1</v>
      </c>
      <c r="Q5" s="157">
        <f t="shared" si="0"/>
        <v>416.1</v>
      </c>
      <c r="R5" s="157">
        <f t="shared" si="0"/>
        <v>422</v>
      </c>
      <c r="S5" s="157">
        <f t="shared" si="0"/>
        <v>415.70000000000005</v>
      </c>
      <c r="T5" s="157">
        <f t="shared" si="0"/>
        <v>364.1</v>
      </c>
      <c r="U5" s="157">
        <f t="shared" si="0"/>
        <v>410.76000000000005</v>
      </c>
      <c r="V5" s="157">
        <f t="shared" si="0"/>
        <v>384.7</v>
      </c>
      <c r="W5" s="157">
        <f t="shared" si="0"/>
        <v>358.5</v>
      </c>
      <c r="X5" s="157">
        <f t="shared" si="0"/>
        <v>195.24</v>
      </c>
      <c r="Y5" s="157">
        <f t="shared" si="0"/>
        <v>224</v>
      </c>
      <c r="Z5" s="157">
        <f t="shared" si="0"/>
        <v>166.3</v>
      </c>
      <c r="AA5" s="157">
        <f t="shared" si="0"/>
        <v>154.62</v>
      </c>
      <c r="AB5" s="157">
        <f t="shared" si="0"/>
        <v>156.5</v>
      </c>
      <c r="AC5" s="157">
        <f t="shared" si="0"/>
        <v>184.8</v>
      </c>
      <c r="AD5" s="157">
        <f t="shared" si="0"/>
        <v>180.6</v>
      </c>
      <c r="AE5" s="157">
        <f t="shared" si="0"/>
        <v>165.1</v>
      </c>
      <c r="AF5" s="157">
        <f>B68</f>
        <v>460.3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1349MW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Load=1122</v>
      </c>
      <c r="B7" s="146">
        <f>B75</f>
        <v>1229.24</v>
      </c>
      <c r="C7" s="146">
        <f t="shared" ref="C7:AF7" si="1">C75</f>
        <v>1203.44</v>
      </c>
      <c r="D7" s="146">
        <f t="shared" si="1"/>
        <v>1198.94</v>
      </c>
      <c r="E7" s="146">
        <f t="shared" si="1"/>
        <v>1184.6399999999999</v>
      </c>
      <c r="F7" s="146">
        <f t="shared" si="1"/>
        <v>1188.3400000000001</v>
      </c>
      <c r="G7" s="146">
        <f t="shared" si="1"/>
        <v>1180.54</v>
      </c>
      <c r="H7" s="146">
        <f t="shared" si="1"/>
        <v>1247.7400000000002</v>
      </c>
      <c r="I7" s="146">
        <f t="shared" si="1"/>
        <v>1235.8399999999999</v>
      </c>
      <c r="J7" s="146">
        <f t="shared" si="1"/>
        <v>1273.8400000000001</v>
      </c>
      <c r="K7" s="146">
        <f t="shared" si="1"/>
        <v>1313.54</v>
      </c>
      <c r="L7" s="146">
        <f t="shared" si="1"/>
        <v>1346.74</v>
      </c>
      <c r="M7" s="146">
        <f t="shared" si="1"/>
        <v>1349.04</v>
      </c>
      <c r="N7" s="146">
        <f t="shared" si="1"/>
        <v>1325.74</v>
      </c>
      <c r="O7" s="146">
        <f t="shared" si="1"/>
        <v>1270.97</v>
      </c>
      <c r="P7" s="146">
        <f t="shared" si="1"/>
        <v>1216.24</v>
      </c>
      <c r="Q7" s="146">
        <f t="shared" si="1"/>
        <v>1214.8400000000001</v>
      </c>
      <c r="R7" s="146">
        <f t="shared" si="1"/>
        <v>1209.6400000000001</v>
      </c>
      <c r="S7" s="146">
        <f t="shared" si="1"/>
        <v>1192.94</v>
      </c>
      <c r="T7" s="146">
        <f t="shared" si="1"/>
        <v>1173.24</v>
      </c>
      <c r="U7" s="146">
        <f t="shared" si="1"/>
        <v>1121.74</v>
      </c>
      <c r="V7" s="146">
        <f t="shared" si="1"/>
        <v>1186.5000000000002</v>
      </c>
      <c r="W7" s="146">
        <f t="shared" si="1"/>
        <v>1196.24</v>
      </c>
      <c r="X7" s="146">
        <f t="shared" si="1"/>
        <v>1190.8400000000001</v>
      </c>
      <c r="Y7" s="146">
        <f t="shared" si="1"/>
        <v>1263.0800000000002</v>
      </c>
      <c r="Z7" s="146">
        <f t="shared" si="1"/>
        <v>1533.84</v>
      </c>
      <c r="AA7" s="146">
        <f t="shared" si="1"/>
        <v>1499.74</v>
      </c>
      <c r="AB7" s="146">
        <f t="shared" si="1"/>
        <v>1427.36</v>
      </c>
      <c r="AC7" s="146">
        <f t="shared" si="1"/>
        <v>1410.34</v>
      </c>
      <c r="AD7" s="146">
        <f t="shared" si="1"/>
        <v>1371.94</v>
      </c>
      <c r="AE7" s="146">
        <f t="shared" si="1"/>
        <v>1220.04</v>
      </c>
      <c r="AF7" s="146">
        <f t="shared" si="1"/>
        <v>1126.94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12</v>
      </c>
      <c r="C11" s="127">
        <v>55</v>
      </c>
      <c r="D11" s="127">
        <v>50</v>
      </c>
      <c r="E11" s="127">
        <v>50</v>
      </c>
      <c r="F11" s="127">
        <v>60</v>
      </c>
      <c r="G11" s="127">
        <v>76</v>
      </c>
      <c r="H11" s="127">
        <v>150</v>
      </c>
      <c r="I11" s="127">
        <v>130</v>
      </c>
      <c r="J11" s="127">
        <v>205</v>
      </c>
      <c r="K11" s="127">
        <v>130</v>
      </c>
      <c r="L11" s="127">
        <v>130</v>
      </c>
      <c r="M11" s="103">
        <v>120</v>
      </c>
      <c r="N11" s="103">
        <v>125</v>
      </c>
      <c r="O11" s="103">
        <v>100</v>
      </c>
      <c r="P11" s="103">
        <v>100</v>
      </c>
      <c r="Q11" s="103">
        <v>100</v>
      </c>
      <c r="R11" s="103">
        <v>90</v>
      </c>
      <c r="S11" s="103">
        <v>70</v>
      </c>
      <c r="T11" s="103">
        <v>50</v>
      </c>
      <c r="U11" s="103">
        <v>50</v>
      </c>
      <c r="V11" s="103">
        <v>60</v>
      </c>
      <c r="W11" s="103">
        <v>90</v>
      </c>
      <c r="X11" s="103">
        <v>80</v>
      </c>
      <c r="Y11" s="103">
        <v>230</v>
      </c>
      <c r="Z11" s="179">
        <v>270</v>
      </c>
      <c r="AA11" s="103">
        <v>280</v>
      </c>
      <c r="AB11" s="103">
        <v>260</v>
      </c>
      <c r="AC11" s="103">
        <v>240</v>
      </c>
      <c r="AD11" s="103">
        <v>180</v>
      </c>
      <c r="AE11" s="103">
        <v>105</v>
      </c>
      <c r="AF11" s="103">
        <v>90</v>
      </c>
      <c r="AG11" s="54">
        <v>456</v>
      </c>
      <c r="AH11" s="21">
        <f>MAX(B11:AF11)</f>
        <v>280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16.3</v>
      </c>
      <c r="C13" s="127">
        <v>16.3</v>
      </c>
      <c r="D13" s="127">
        <v>16.3</v>
      </c>
      <c r="E13" s="127">
        <v>16.3</v>
      </c>
      <c r="F13" s="127">
        <v>16.3</v>
      </c>
      <c r="G13" s="127">
        <v>16.3</v>
      </c>
      <c r="H13" s="127">
        <v>16.3</v>
      </c>
      <c r="I13" s="127">
        <v>16.3</v>
      </c>
      <c r="J13" s="127">
        <v>16.3</v>
      </c>
      <c r="K13" s="127">
        <v>16.3</v>
      </c>
      <c r="L13" s="127">
        <v>16.3</v>
      </c>
      <c r="M13" s="127">
        <v>16.3</v>
      </c>
      <c r="N13" s="127">
        <v>16.3</v>
      </c>
      <c r="O13" s="127">
        <v>16.8</v>
      </c>
      <c r="P13" s="127">
        <v>16.8</v>
      </c>
      <c r="Q13" s="127">
        <v>16.8</v>
      </c>
      <c r="R13" s="127">
        <v>16.8</v>
      </c>
      <c r="S13" s="127">
        <v>16.8</v>
      </c>
      <c r="T13" s="127">
        <v>16.8</v>
      </c>
      <c r="U13" s="127">
        <v>16.8</v>
      </c>
      <c r="V13" s="127">
        <v>16.8</v>
      </c>
      <c r="W13" s="127">
        <v>16.8</v>
      </c>
      <c r="X13" s="127">
        <v>16.8</v>
      </c>
      <c r="Y13" s="127">
        <v>16.8</v>
      </c>
      <c r="Z13" s="103">
        <v>16.8</v>
      </c>
      <c r="AA13" s="103">
        <v>16.8</v>
      </c>
      <c r="AB13" s="103">
        <v>16.8</v>
      </c>
      <c r="AC13" s="103">
        <v>16.8</v>
      </c>
      <c r="AD13" s="103">
        <v>15.6</v>
      </c>
      <c r="AE13" s="103">
        <v>16.399999999999999</v>
      </c>
      <c r="AF13" s="103">
        <v>16.7</v>
      </c>
      <c r="AG13" s="134">
        <v>52.4</v>
      </c>
      <c r="AH13" s="21">
        <f t="shared" si="2"/>
        <v>16.8</v>
      </c>
      <c r="AI13" s="20">
        <f t="shared" si="3"/>
        <v>15.6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25.6</v>
      </c>
      <c r="C14" s="127">
        <v>25.6</v>
      </c>
      <c r="D14" s="127">
        <v>25.6</v>
      </c>
      <c r="E14" s="127">
        <v>25.6</v>
      </c>
      <c r="F14" s="127">
        <v>25.6</v>
      </c>
      <c r="G14" s="127">
        <v>25.6</v>
      </c>
      <c r="H14" s="127">
        <v>25.6</v>
      </c>
      <c r="I14" s="127">
        <v>25.6</v>
      </c>
      <c r="J14" s="127">
        <v>25.6</v>
      </c>
      <c r="K14" s="127">
        <v>25.6</v>
      </c>
      <c r="L14" s="127">
        <v>25.6</v>
      </c>
      <c r="M14" s="103">
        <v>25.6</v>
      </c>
      <c r="N14" s="103">
        <v>25.6</v>
      </c>
      <c r="O14" s="103">
        <v>25.4</v>
      </c>
      <c r="P14" s="103">
        <v>25.4</v>
      </c>
      <c r="Q14" s="103">
        <v>25.4</v>
      </c>
      <c r="R14" s="103">
        <v>25.4</v>
      </c>
      <c r="S14" s="103">
        <v>25.4</v>
      </c>
      <c r="T14" s="103">
        <v>25.4</v>
      </c>
      <c r="U14" s="103">
        <v>25.4</v>
      </c>
      <c r="V14" s="103">
        <v>25.4</v>
      </c>
      <c r="W14" s="103">
        <v>25.4</v>
      </c>
      <c r="X14" s="103">
        <v>25.4</v>
      </c>
      <c r="Y14" s="103">
        <v>25.4</v>
      </c>
      <c r="Z14" s="103">
        <v>25.4</v>
      </c>
      <c r="AA14" s="103">
        <v>25.4</v>
      </c>
      <c r="AB14" s="103">
        <v>25.4</v>
      </c>
      <c r="AC14" s="103">
        <v>25.4</v>
      </c>
      <c r="AD14" s="103">
        <v>25.2</v>
      </c>
      <c r="AE14" s="103">
        <v>25.3</v>
      </c>
      <c r="AF14" s="103">
        <v>25.4</v>
      </c>
      <c r="AG14" s="134">
        <v>50</v>
      </c>
      <c r="AH14" s="21">
        <f t="shared" si="2"/>
        <v>25.6</v>
      </c>
      <c r="AI14" s="20">
        <f t="shared" si="3"/>
        <v>25.2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22.8</v>
      </c>
      <c r="C15" s="123">
        <v>22.8</v>
      </c>
      <c r="D15" s="123">
        <v>22.8</v>
      </c>
      <c r="E15" s="123">
        <v>22.8</v>
      </c>
      <c r="F15" s="123">
        <v>22.8</v>
      </c>
      <c r="G15" s="123">
        <v>22.8</v>
      </c>
      <c r="H15" s="123">
        <v>22.8</v>
      </c>
      <c r="I15" s="123">
        <v>22.8</v>
      </c>
      <c r="J15" s="123">
        <v>22.8</v>
      </c>
      <c r="K15" s="123">
        <v>22.8</v>
      </c>
      <c r="L15" s="123">
        <v>22.8</v>
      </c>
      <c r="M15" s="103">
        <v>22.8</v>
      </c>
      <c r="N15" s="103">
        <v>22.8</v>
      </c>
      <c r="O15" s="103">
        <v>22.7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103">
        <v>22.7</v>
      </c>
      <c r="V15" s="103">
        <v>22.7</v>
      </c>
      <c r="W15" s="103">
        <v>22.7</v>
      </c>
      <c r="X15" s="103">
        <v>22.7</v>
      </c>
      <c r="Y15" s="103">
        <v>22.7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22.9</v>
      </c>
      <c r="AE15" s="103">
        <v>22.9</v>
      </c>
      <c r="AF15" s="103">
        <v>22.9</v>
      </c>
      <c r="AG15" s="108">
        <v>45</v>
      </c>
      <c r="AH15" s="21">
        <f t="shared" si="2"/>
        <v>22.9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18</v>
      </c>
      <c r="C16" s="127">
        <v>18</v>
      </c>
      <c r="D16" s="127">
        <v>18</v>
      </c>
      <c r="E16" s="127">
        <v>18</v>
      </c>
      <c r="F16" s="127">
        <v>18</v>
      </c>
      <c r="G16" s="127">
        <v>18</v>
      </c>
      <c r="H16" s="127">
        <v>18</v>
      </c>
      <c r="I16" s="127">
        <v>18</v>
      </c>
      <c r="J16" s="127">
        <v>18</v>
      </c>
      <c r="K16" s="127">
        <v>18</v>
      </c>
      <c r="L16" s="127">
        <v>18</v>
      </c>
      <c r="M16" s="103">
        <v>18</v>
      </c>
      <c r="N16" s="103">
        <v>18</v>
      </c>
      <c r="O16" s="103">
        <v>18</v>
      </c>
      <c r="P16" s="103">
        <v>18</v>
      </c>
      <c r="Q16" s="103">
        <v>18</v>
      </c>
      <c r="R16" s="103">
        <v>18</v>
      </c>
      <c r="S16" s="103">
        <v>18</v>
      </c>
      <c r="T16" s="103">
        <v>18</v>
      </c>
      <c r="U16" s="103">
        <v>18</v>
      </c>
      <c r="V16" s="103">
        <v>18</v>
      </c>
      <c r="W16" s="103">
        <v>18</v>
      </c>
      <c r="X16" s="103">
        <v>18</v>
      </c>
      <c r="Y16" s="103">
        <v>18</v>
      </c>
      <c r="Z16" s="103">
        <v>18</v>
      </c>
      <c r="AA16" s="103">
        <v>18</v>
      </c>
      <c r="AB16" s="103">
        <v>18</v>
      </c>
      <c r="AC16" s="103">
        <v>18</v>
      </c>
      <c r="AD16" s="103">
        <v>18</v>
      </c>
      <c r="AE16" s="103">
        <v>18</v>
      </c>
      <c r="AF16" s="103">
        <v>18</v>
      </c>
      <c r="AG16" s="134">
        <v>45</v>
      </c>
      <c r="AH16" s="21">
        <f t="shared" si="2"/>
        <v>18</v>
      </c>
      <c r="AI16" s="20">
        <f t="shared" si="3"/>
        <v>18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13.1</v>
      </c>
      <c r="C19" s="127">
        <v>13.1</v>
      </c>
      <c r="D19" s="127">
        <v>13.1</v>
      </c>
      <c r="E19" s="127">
        <v>13.1</v>
      </c>
      <c r="F19" s="127">
        <v>13.1</v>
      </c>
      <c r="G19" s="127">
        <v>13.1</v>
      </c>
      <c r="H19" s="127">
        <v>13.1</v>
      </c>
      <c r="I19" s="127">
        <v>13.1</v>
      </c>
      <c r="J19" s="127">
        <v>13.1</v>
      </c>
      <c r="K19" s="127">
        <v>13.1</v>
      </c>
      <c r="L19" s="127">
        <v>13.1</v>
      </c>
      <c r="M19" s="103">
        <v>13.1</v>
      </c>
      <c r="N19" s="103">
        <v>13.1</v>
      </c>
      <c r="O19" s="103">
        <v>13.1</v>
      </c>
      <c r="P19" s="103">
        <v>13.1</v>
      </c>
      <c r="Q19" s="103">
        <v>13.1</v>
      </c>
      <c r="R19" s="103">
        <v>13.1</v>
      </c>
      <c r="S19" s="103">
        <v>13.1</v>
      </c>
      <c r="T19" s="103">
        <v>13.1</v>
      </c>
      <c r="U19" s="103">
        <v>13.1</v>
      </c>
      <c r="V19" s="103">
        <v>13.1</v>
      </c>
      <c r="W19" s="103">
        <v>13.1</v>
      </c>
      <c r="X19" s="103">
        <v>13.1</v>
      </c>
      <c r="Y19" s="103">
        <v>13.1</v>
      </c>
      <c r="Z19" s="103">
        <v>13.1</v>
      </c>
      <c r="AA19" s="103">
        <v>13.1</v>
      </c>
      <c r="AB19" s="103">
        <v>13.1</v>
      </c>
      <c r="AC19" s="103">
        <v>13.1</v>
      </c>
      <c r="AD19" s="103">
        <v>10.3</v>
      </c>
      <c r="AE19" s="103">
        <v>10.4</v>
      </c>
      <c r="AF19" s="103">
        <v>10.9</v>
      </c>
      <c r="AG19" s="134">
        <v>30</v>
      </c>
      <c r="AH19" s="21">
        <f t="shared" si="2"/>
        <v>13.1</v>
      </c>
      <c r="AI19" s="20">
        <f t="shared" si="3"/>
        <v>10.3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7.2</v>
      </c>
      <c r="C20" s="127">
        <v>7.2</v>
      </c>
      <c r="D20" s="127">
        <v>7.2</v>
      </c>
      <c r="E20" s="127">
        <v>7.2</v>
      </c>
      <c r="F20" s="127">
        <v>7.2</v>
      </c>
      <c r="G20" s="127">
        <v>7.2</v>
      </c>
      <c r="H20" s="127">
        <v>7.2</v>
      </c>
      <c r="I20" s="127">
        <v>7.2</v>
      </c>
      <c r="J20" s="127">
        <v>7.2</v>
      </c>
      <c r="K20" s="127">
        <v>7.2</v>
      </c>
      <c r="L20" s="127">
        <v>7.2</v>
      </c>
      <c r="M20" s="103">
        <v>7.2</v>
      </c>
      <c r="N20" s="103">
        <v>7.2</v>
      </c>
      <c r="O20" s="103">
        <v>7.2</v>
      </c>
      <c r="P20" s="103">
        <v>7.2</v>
      </c>
      <c r="Q20" s="103">
        <v>7.2</v>
      </c>
      <c r="R20" s="103">
        <v>7.2</v>
      </c>
      <c r="S20" s="103">
        <v>7.2</v>
      </c>
      <c r="T20" s="103">
        <v>7.2</v>
      </c>
      <c r="U20" s="103">
        <v>7.2</v>
      </c>
      <c r="V20" s="103">
        <v>7.2</v>
      </c>
      <c r="W20" s="103">
        <v>7.2</v>
      </c>
      <c r="X20" s="103">
        <v>7.2</v>
      </c>
      <c r="Y20" s="103">
        <v>7.2</v>
      </c>
      <c r="Z20" s="103">
        <v>7.2</v>
      </c>
      <c r="AA20" s="103">
        <v>7.2</v>
      </c>
      <c r="AB20" s="103">
        <v>7.2</v>
      </c>
      <c r="AC20" s="103">
        <v>7.2</v>
      </c>
      <c r="AD20" s="103">
        <v>7.2</v>
      </c>
      <c r="AE20" s="103">
        <v>7.2</v>
      </c>
      <c r="AF20" s="103">
        <v>7.2</v>
      </c>
      <c r="AG20" s="134">
        <v>27</v>
      </c>
      <c r="AH20" s="21">
        <f t="shared" si="2"/>
        <v>7.2</v>
      </c>
      <c r="AI20" s="20">
        <f t="shared" si="3"/>
        <v>7.2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17.7</v>
      </c>
      <c r="C22" s="127">
        <v>17.7</v>
      </c>
      <c r="D22" s="127">
        <v>17.7</v>
      </c>
      <c r="E22" s="127">
        <v>17.7</v>
      </c>
      <c r="F22" s="127">
        <v>17.7</v>
      </c>
      <c r="G22" s="127">
        <v>17.7</v>
      </c>
      <c r="H22" s="127">
        <v>17.7</v>
      </c>
      <c r="I22" s="127">
        <v>17.7</v>
      </c>
      <c r="J22" s="127">
        <v>17.7</v>
      </c>
      <c r="K22" s="127">
        <v>17.7</v>
      </c>
      <c r="L22" s="127">
        <v>17.7</v>
      </c>
      <c r="M22" s="103">
        <v>17.7</v>
      </c>
      <c r="N22" s="103">
        <v>17.7</v>
      </c>
      <c r="O22" s="103">
        <v>17.7</v>
      </c>
      <c r="P22" s="103">
        <v>17.7</v>
      </c>
      <c r="Q22" s="103">
        <v>17.7</v>
      </c>
      <c r="R22" s="103">
        <v>17.7</v>
      </c>
      <c r="S22" s="103">
        <v>17.7</v>
      </c>
      <c r="T22" s="103">
        <v>17.7</v>
      </c>
      <c r="U22" s="103">
        <v>17.7</v>
      </c>
      <c r="V22" s="103">
        <v>17.7</v>
      </c>
      <c r="W22" s="103">
        <v>17.7</v>
      </c>
      <c r="X22" s="103">
        <v>17.7</v>
      </c>
      <c r="Y22" s="103">
        <v>17.7</v>
      </c>
      <c r="Z22" s="103">
        <v>18.8</v>
      </c>
      <c r="AA22" s="103">
        <v>18.8</v>
      </c>
      <c r="AB22" s="103">
        <v>18.8</v>
      </c>
      <c r="AC22" s="103">
        <v>18.8</v>
      </c>
      <c r="AD22" s="103">
        <v>19.2</v>
      </c>
      <c r="AE22" s="103">
        <v>19.5</v>
      </c>
      <c r="AF22" s="103">
        <v>19.600000000000001</v>
      </c>
      <c r="AG22" s="134">
        <v>25</v>
      </c>
      <c r="AH22" s="21">
        <f t="shared" si="2"/>
        <v>19.600000000000001</v>
      </c>
      <c r="AI22" s="20">
        <f t="shared" si="3"/>
        <v>17.7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8.1999999999999993</v>
      </c>
      <c r="C24" s="127">
        <v>8.1999999999999993</v>
      </c>
      <c r="D24" s="127">
        <v>8.1999999999999993</v>
      </c>
      <c r="E24" s="127">
        <v>8.1999999999999993</v>
      </c>
      <c r="F24" s="127">
        <v>8.1999999999999993</v>
      </c>
      <c r="G24" s="127">
        <v>8.1999999999999993</v>
      </c>
      <c r="H24" s="127">
        <v>8.1999999999999993</v>
      </c>
      <c r="I24" s="127">
        <v>8.1999999999999993</v>
      </c>
      <c r="J24" s="127">
        <v>8.1999999999999993</v>
      </c>
      <c r="K24" s="127">
        <v>8.1999999999999993</v>
      </c>
      <c r="L24" s="127">
        <v>8.1999999999999993</v>
      </c>
      <c r="M24" s="103">
        <v>7.9</v>
      </c>
      <c r="N24" s="103">
        <v>7.9</v>
      </c>
      <c r="O24" s="103">
        <v>7.9</v>
      </c>
      <c r="P24" s="103">
        <v>7.9</v>
      </c>
      <c r="Q24" s="103">
        <v>7.9</v>
      </c>
      <c r="R24" s="103">
        <v>7.9</v>
      </c>
      <c r="S24" s="103">
        <v>7.9</v>
      </c>
      <c r="T24" s="103">
        <v>7.9</v>
      </c>
      <c r="U24" s="103">
        <v>7.9</v>
      </c>
      <c r="V24" s="103">
        <v>7.9</v>
      </c>
      <c r="W24" s="103">
        <v>7.9</v>
      </c>
      <c r="X24" s="103">
        <v>7.9</v>
      </c>
      <c r="Y24" s="103">
        <v>7.9</v>
      </c>
      <c r="Z24" s="103">
        <v>7.9</v>
      </c>
      <c r="AA24" s="103">
        <v>7.9</v>
      </c>
      <c r="AB24" s="103">
        <v>7.9</v>
      </c>
      <c r="AC24" s="103">
        <v>7.9</v>
      </c>
      <c r="AD24" s="103">
        <v>8.1</v>
      </c>
      <c r="AE24" s="103">
        <v>9.1999999999999993</v>
      </c>
      <c r="AF24" s="103">
        <v>10.199999999999999</v>
      </c>
      <c r="AG24" s="134">
        <v>25</v>
      </c>
      <c r="AH24" s="21">
        <f t="shared" si="2"/>
        <v>10.199999999999999</v>
      </c>
      <c r="AI24" s="20">
        <f t="shared" si="3"/>
        <v>7.9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47</v>
      </c>
      <c r="C37" s="123">
        <v>47</v>
      </c>
      <c r="D37" s="123">
        <v>47</v>
      </c>
      <c r="E37" s="123">
        <v>48</v>
      </c>
      <c r="F37" s="123">
        <v>47</v>
      </c>
      <c r="G37" s="123">
        <v>47</v>
      </c>
      <c r="H37" s="123">
        <v>47</v>
      </c>
      <c r="I37" s="123">
        <v>41</v>
      </c>
      <c r="J37" s="123">
        <v>41</v>
      </c>
      <c r="K37" s="123">
        <v>41</v>
      </c>
      <c r="L37" s="123">
        <v>41</v>
      </c>
      <c r="M37" s="128">
        <f>26.8+16.6</f>
        <v>43.400000000000006</v>
      </c>
      <c r="N37" s="128">
        <v>0</v>
      </c>
      <c r="O37" s="128">
        <v>0</v>
      </c>
      <c r="P37" s="128">
        <v>0</v>
      </c>
      <c r="Q37" s="128">
        <v>0</v>
      </c>
      <c r="R37" s="128">
        <f>12.1+19.2</f>
        <v>31.299999999999997</v>
      </c>
      <c r="S37" s="128">
        <v>53</v>
      </c>
      <c r="T37" s="128">
        <v>45.7</v>
      </c>
      <c r="U37" s="128">
        <v>39.700000000000003</v>
      </c>
      <c r="V37" s="128">
        <v>39.700000000000003</v>
      </c>
      <c r="W37" s="128">
        <v>37.6</v>
      </c>
      <c r="X37" s="128">
        <v>37</v>
      </c>
      <c r="Y37" s="128">
        <v>35</v>
      </c>
      <c r="Z37" s="128">
        <v>35</v>
      </c>
      <c r="AA37" s="128">
        <v>39</v>
      </c>
      <c r="AB37" s="128">
        <f>14.2+23.6</f>
        <v>37.799999999999997</v>
      </c>
      <c r="AC37" s="128">
        <f>14+23</f>
        <v>37</v>
      </c>
      <c r="AD37" s="128">
        <f>14+23.4</f>
        <v>37.4</v>
      </c>
      <c r="AE37" s="128">
        <f>14+23.4</f>
        <v>37.4</v>
      </c>
      <c r="AF37" s="128">
        <f>14.5+24.7</f>
        <v>39.200000000000003</v>
      </c>
      <c r="AG37" s="106">
        <v>240</v>
      </c>
      <c r="AH37" s="21">
        <f t="shared" si="2"/>
        <v>53</v>
      </c>
      <c r="AI37" s="20">
        <f t="shared" si="3"/>
        <v>0</v>
      </c>
      <c r="AK37" s="42"/>
    </row>
    <row r="38" spans="1:88" ht="15.75" thickBot="1" x14ac:dyDescent="0.3">
      <c r="A38" s="100" t="s">
        <v>173</v>
      </c>
      <c r="B38" s="99">
        <f>SUM(B11:B36)</f>
        <v>402.29999999999995</v>
      </c>
      <c r="C38" s="99">
        <f t="shared" ref="C38:AF38" si="4">SUM(C11:C36)</f>
        <v>445.29999999999995</v>
      </c>
      <c r="D38" s="99">
        <f t="shared" si="4"/>
        <v>440.29999999999995</v>
      </c>
      <c r="E38" s="99">
        <f t="shared" si="4"/>
        <v>440.29999999999995</v>
      </c>
      <c r="F38" s="99">
        <f t="shared" si="4"/>
        <v>450.3</v>
      </c>
      <c r="G38" s="99">
        <f t="shared" si="4"/>
        <v>466.3</v>
      </c>
      <c r="H38" s="99">
        <f t="shared" si="4"/>
        <v>540.30000000000007</v>
      </c>
      <c r="I38" s="99">
        <f t="shared" si="4"/>
        <v>520.29999999999995</v>
      </c>
      <c r="J38" s="99">
        <f t="shared" si="4"/>
        <v>595.30000000000007</v>
      </c>
      <c r="K38" s="99">
        <f t="shared" si="4"/>
        <v>520.29999999999995</v>
      </c>
      <c r="L38" s="99">
        <f t="shared" si="4"/>
        <v>520.29999999999995</v>
      </c>
      <c r="M38" s="99">
        <f t="shared" si="4"/>
        <v>510</v>
      </c>
      <c r="N38" s="99">
        <f t="shared" si="4"/>
        <v>515</v>
      </c>
      <c r="O38" s="99">
        <f t="shared" si="4"/>
        <v>490.2</v>
      </c>
      <c r="P38" s="99">
        <f t="shared" ref="P38:Q38" si="5">SUM(P11:P36)</f>
        <v>490.2</v>
      </c>
      <c r="Q38" s="99">
        <f t="shared" si="5"/>
        <v>490.2</v>
      </c>
      <c r="R38" s="99">
        <f t="shared" ref="R38" si="6">SUM(R11:R36)</f>
        <v>480.2</v>
      </c>
      <c r="S38" s="99">
        <f t="shared" si="4"/>
        <v>460.2</v>
      </c>
      <c r="T38" s="99">
        <f t="shared" si="4"/>
        <v>440.19999999999993</v>
      </c>
      <c r="U38" s="99">
        <f t="shared" si="4"/>
        <v>440.19999999999993</v>
      </c>
      <c r="V38" s="99">
        <f t="shared" si="4"/>
        <v>450.2</v>
      </c>
      <c r="W38" s="99">
        <f t="shared" si="4"/>
        <v>480.2</v>
      </c>
      <c r="X38" s="99">
        <f t="shared" si="4"/>
        <v>470.2</v>
      </c>
      <c r="Y38" s="99">
        <f t="shared" si="4"/>
        <v>620.20000000000005</v>
      </c>
      <c r="Z38" s="99">
        <f t="shared" si="4"/>
        <v>661.3</v>
      </c>
      <c r="AA38" s="99">
        <f t="shared" si="4"/>
        <v>671.3</v>
      </c>
      <c r="AB38" s="99">
        <f t="shared" si="4"/>
        <v>651.29999999999995</v>
      </c>
      <c r="AC38" s="99">
        <f t="shared" si="4"/>
        <v>631.29999999999995</v>
      </c>
      <c r="AD38" s="99">
        <f t="shared" si="4"/>
        <v>567.90000000000009</v>
      </c>
      <c r="AE38" s="99">
        <f t="shared" si="4"/>
        <v>495.30000000000007</v>
      </c>
      <c r="AF38" s="99">
        <f t="shared" si="4"/>
        <v>482.3</v>
      </c>
      <c r="AG38" s="106">
        <f>SUM(AG11:AG37)</f>
        <v>1492.8299999999997</v>
      </c>
      <c r="AH38" s="21">
        <f t="shared" si="2"/>
        <v>671.3</v>
      </c>
      <c r="AI38" s="20">
        <f t="shared" si="3"/>
        <v>402.29999999999995</v>
      </c>
      <c r="AK38" s="42"/>
    </row>
    <row r="39" spans="1:88" x14ac:dyDescent="0.25">
      <c r="A39" s="109" t="s">
        <v>172</v>
      </c>
      <c r="B39" s="127">
        <v>81</v>
      </c>
      <c r="C39" s="123">
        <v>80.599999999999994</v>
      </c>
      <c r="D39" s="123">
        <v>70</v>
      </c>
      <c r="E39" s="123">
        <v>47.6</v>
      </c>
      <c r="F39" s="123">
        <v>40</v>
      </c>
      <c r="G39" s="123">
        <v>41</v>
      </c>
      <c r="H39" s="123">
        <v>48</v>
      </c>
      <c r="I39" s="123">
        <v>65</v>
      </c>
      <c r="J39" s="123">
        <v>55</v>
      </c>
      <c r="K39" s="123">
        <v>97</v>
      </c>
      <c r="L39" s="123">
        <v>145</v>
      </c>
      <c r="M39" s="103">
        <v>145.4</v>
      </c>
      <c r="N39" s="103">
        <v>133.6</v>
      </c>
      <c r="O39" s="103">
        <v>62</v>
      </c>
      <c r="P39" s="103">
        <v>70</v>
      </c>
      <c r="Q39" s="103">
        <v>91</v>
      </c>
      <c r="R39" s="103">
        <v>91.1</v>
      </c>
      <c r="S39" s="103">
        <v>86.1</v>
      </c>
      <c r="T39" s="103">
        <v>86.1</v>
      </c>
      <c r="U39" s="103">
        <v>71.3</v>
      </c>
      <c r="V39" s="103">
        <v>80.900000000000006</v>
      </c>
      <c r="W39" s="103">
        <v>81.099999999999994</v>
      </c>
      <c r="X39" s="103">
        <v>101.5</v>
      </c>
      <c r="Y39" s="103">
        <v>144.80000000000001</v>
      </c>
      <c r="Z39" s="103">
        <v>144.80000000000001</v>
      </c>
      <c r="AA39" s="103">
        <v>144.80000000000001</v>
      </c>
      <c r="AB39" s="103">
        <v>131.19999999999999</v>
      </c>
      <c r="AC39" s="103">
        <v>131.30000000000001</v>
      </c>
      <c r="AD39" s="103">
        <v>120</v>
      </c>
      <c r="AE39" s="103">
        <v>62.3</v>
      </c>
      <c r="AF39" s="127">
        <v>30.5</v>
      </c>
      <c r="AG39" s="108">
        <v>144</v>
      </c>
      <c r="AH39" s="21">
        <f t="shared" si="2"/>
        <v>145.4</v>
      </c>
      <c r="AI39" s="20">
        <f t="shared" si="3"/>
        <v>30.5</v>
      </c>
      <c r="AK39" s="42"/>
    </row>
    <row r="40" spans="1:88" x14ac:dyDescent="0.25">
      <c r="A40" s="107" t="s">
        <v>171</v>
      </c>
      <c r="B40" s="123">
        <v>35</v>
      </c>
      <c r="C40" s="123">
        <v>35</v>
      </c>
      <c r="D40" s="123">
        <v>35</v>
      </c>
      <c r="E40" s="123">
        <v>0</v>
      </c>
      <c r="F40" s="123">
        <v>0</v>
      </c>
      <c r="G40" s="123">
        <v>0</v>
      </c>
      <c r="H40" s="123">
        <v>26</v>
      </c>
      <c r="I40" s="123">
        <v>45</v>
      </c>
      <c r="J40" s="123">
        <v>45</v>
      </c>
      <c r="K40" s="123">
        <v>70</v>
      </c>
      <c r="L40" s="123">
        <v>70.599999999999994</v>
      </c>
      <c r="M40" s="73">
        <v>71</v>
      </c>
      <c r="N40" s="73">
        <v>71</v>
      </c>
      <c r="O40" s="73">
        <v>46.1</v>
      </c>
      <c r="P40" s="73">
        <v>35</v>
      </c>
      <c r="Q40" s="73">
        <v>35</v>
      </c>
      <c r="R40" s="73">
        <v>58.9</v>
      </c>
      <c r="S40" s="73">
        <v>56.2</v>
      </c>
      <c r="T40" s="73">
        <v>56.2</v>
      </c>
      <c r="U40" s="73">
        <v>49.3</v>
      </c>
      <c r="V40" s="73">
        <v>49.6</v>
      </c>
      <c r="W40" s="73">
        <v>53.7</v>
      </c>
      <c r="X40" s="73">
        <v>46.2</v>
      </c>
      <c r="Y40" s="73">
        <v>46.2</v>
      </c>
      <c r="Z40" s="73">
        <v>46.2</v>
      </c>
      <c r="AA40" s="73">
        <v>49.6</v>
      </c>
      <c r="AB40" s="73">
        <v>46.4</v>
      </c>
      <c r="AC40" s="73">
        <v>46.6</v>
      </c>
      <c r="AD40" s="73">
        <v>46.4</v>
      </c>
      <c r="AE40" s="73">
        <v>35</v>
      </c>
      <c r="AF40" s="123">
        <v>0</v>
      </c>
      <c r="AG40" s="106">
        <v>70</v>
      </c>
      <c r="AH40" s="21">
        <f t="shared" si="2"/>
        <v>71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49</v>
      </c>
      <c r="C41" s="123">
        <v>60.8</v>
      </c>
      <c r="D41" s="123">
        <v>60.8</v>
      </c>
      <c r="E41" s="123">
        <v>23.5</v>
      </c>
      <c r="F41" s="123">
        <v>23.3</v>
      </c>
      <c r="G41" s="123">
        <v>23</v>
      </c>
      <c r="H41" s="123">
        <v>23</v>
      </c>
      <c r="I41" s="123">
        <v>16</v>
      </c>
      <c r="J41" s="123">
        <v>16</v>
      </c>
      <c r="K41" s="123">
        <v>46</v>
      </c>
      <c r="L41" s="123">
        <v>45</v>
      </c>
      <c r="M41" s="73">
        <v>45.3</v>
      </c>
      <c r="N41" s="73">
        <v>45.3</v>
      </c>
      <c r="O41" s="73">
        <v>32.9</v>
      </c>
      <c r="P41" s="73">
        <v>32.9</v>
      </c>
      <c r="Q41" s="73">
        <v>45.6</v>
      </c>
      <c r="R41" s="73">
        <v>46.5</v>
      </c>
      <c r="S41" s="73">
        <v>45.8</v>
      </c>
      <c r="T41" s="73">
        <v>45.8</v>
      </c>
      <c r="U41" s="73">
        <v>45.9</v>
      </c>
      <c r="V41" s="73">
        <v>45.9</v>
      </c>
      <c r="W41" s="73">
        <v>36</v>
      </c>
      <c r="X41" s="73">
        <v>36</v>
      </c>
      <c r="Y41" s="73">
        <v>36</v>
      </c>
      <c r="Z41" s="73">
        <v>36</v>
      </c>
      <c r="AA41" s="73">
        <v>36</v>
      </c>
      <c r="AB41" s="73">
        <v>36.4</v>
      </c>
      <c r="AC41" s="73">
        <v>36.4</v>
      </c>
      <c r="AD41" s="73">
        <v>36.4</v>
      </c>
      <c r="AE41" s="73">
        <v>37.1</v>
      </c>
      <c r="AF41" s="123">
        <v>37</v>
      </c>
      <c r="AG41" s="106">
        <v>69</v>
      </c>
      <c r="AH41" s="21">
        <f t="shared" si="2"/>
        <v>60.8</v>
      </c>
      <c r="AI41" s="20">
        <f t="shared" si="3"/>
        <v>16</v>
      </c>
      <c r="AK41" s="42"/>
    </row>
    <row r="42" spans="1:88" x14ac:dyDescent="0.25">
      <c r="A42" s="107" t="s">
        <v>169</v>
      </c>
      <c r="B42" s="123">
        <v>53.4</v>
      </c>
      <c r="C42" s="123">
        <v>55.4</v>
      </c>
      <c r="D42" s="123">
        <v>55.4</v>
      </c>
      <c r="E42" s="123">
        <v>55.2</v>
      </c>
      <c r="F42" s="123">
        <v>55.2</v>
      </c>
      <c r="G42" s="123">
        <v>55.2</v>
      </c>
      <c r="H42" s="123">
        <v>55.4</v>
      </c>
      <c r="I42" s="123">
        <v>59.7</v>
      </c>
      <c r="J42" s="123">
        <v>59.7</v>
      </c>
      <c r="K42" s="123">
        <v>57.4</v>
      </c>
      <c r="L42" s="123">
        <v>57.4</v>
      </c>
      <c r="M42" s="73">
        <v>57.2</v>
      </c>
      <c r="N42" s="73">
        <v>57.2</v>
      </c>
      <c r="O42" s="73">
        <v>56.4</v>
      </c>
      <c r="P42" s="73">
        <v>56.4</v>
      </c>
      <c r="Q42" s="73">
        <v>56.4</v>
      </c>
      <c r="R42" s="73">
        <v>31</v>
      </c>
      <c r="S42" s="73">
        <v>60.9</v>
      </c>
      <c r="T42" s="73">
        <v>60.9</v>
      </c>
      <c r="U42" s="73">
        <v>56.2</v>
      </c>
      <c r="V42" s="73">
        <v>54.4</v>
      </c>
      <c r="W42" s="73">
        <v>54.9</v>
      </c>
      <c r="X42" s="73">
        <v>54.9</v>
      </c>
      <c r="Y42" s="73">
        <v>54.9</v>
      </c>
      <c r="Z42" s="73">
        <v>54.9</v>
      </c>
      <c r="AA42" s="73">
        <v>54.9</v>
      </c>
      <c r="AB42" s="73">
        <v>54.9</v>
      </c>
      <c r="AC42" s="73">
        <v>54.9</v>
      </c>
      <c r="AD42" s="73">
        <v>54.9</v>
      </c>
      <c r="AE42" s="73">
        <v>55.4</v>
      </c>
      <c r="AF42" s="123">
        <v>57</v>
      </c>
      <c r="AG42" s="106">
        <v>60</v>
      </c>
      <c r="AH42" s="21">
        <f t="shared" si="2"/>
        <v>60.9</v>
      </c>
      <c r="AI42" s="20">
        <f t="shared" si="3"/>
        <v>31</v>
      </c>
      <c r="AK42" s="42"/>
    </row>
    <row r="43" spans="1:88" x14ac:dyDescent="0.25">
      <c r="A43" s="107" t="s">
        <v>168</v>
      </c>
      <c r="B43" s="123">
        <v>10</v>
      </c>
      <c r="C43" s="123">
        <v>15</v>
      </c>
      <c r="D43" s="123">
        <v>15</v>
      </c>
      <c r="E43" s="123">
        <v>0</v>
      </c>
      <c r="F43" s="123">
        <v>0</v>
      </c>
      <c r="G43" s="123">
        <v>0</v>
      </c>
      <c r="H43" s="123">
        <v>15</v>
      </c>
      <c r="I43" s="123">
        <v>30</v>
      </c>
      <c r="J43" s="123">
        <v>30</v>
      </c>
      <c r="K43" s="123">
        <v>30</v>
      </c>
      <c r="L43" s="123">
        <v>30</v>
      </c>
      <c r="M43" s="103">
        <v>30</v>
      </c>
      <c r="N43" s="103">
        <v>15</v>
      </c>
      <c r="O43" s="103">
        <v>9.6999999999999993</v>
      </c>
      <c r="P43" s="103">
        <v>9.6999999999999993</v>
      </c>
      <c r="Q43" s="103">
        <v>9.6999999999999993</v>
      </c>
      <c r="R43" s="103">
        <v>9.6999999999999993</v>
      </c>
      <c r="S43" s="103">
        <v>0</v>
      </c>
      <c r="T43" s="103">
        <v>0</v>
      </c>
      <c r="U43" s="103">
        <v>0</v>
      </c>
      <c r="V43" s="103">
        <v>0</v>
      </c>
      <c r="W43" s="103">
        <v>10.9</v>
      </c>
      <c r="X43" s="103">
        <v>10.9</v>
      </c>
      <c r="Y43" s="103">
        <v>19.8</v>
      </c>
      <c r="Z43" s="73">
        <v>19.8</v>
      </c>
      <c r="AA43" s="73">
        <v>30</v>
      </c>
      <c r="AB43" s="73">
        <v>24</v>
      </c>
      <c r="AC43" s="73">
        <v>23.7</v>
      </c>
      <c r="AD43" s="73">
        <v>13.7</v>
      </c>
      <c r="AE43" s="73">
        <v>9.3000000000000007</v>
      </c>
      <c r="AF43" s="123">
        <v>8.6999999999999993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2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15</v>
      </c>
      <c r="C45" s="123">
        <v>15</v>
      </c>
      <c r="D45" s="123">
        <v>15</v>
      </c>
      <c r="E45" s="120">
        <v>16</v>
      </c>
      <c r="F45" s="120">
        <v>16</v>
      </c>
      <c r="G45" s="120">
        <v>16</v>
      </c>
      <c r="H45" s="120">
        <v>16</v>
      </c>
      <c r="I45" s="120">
        <v>16</v>
      </c>
      <c r="J45" s="120">
        <v>16</v>
      </c>
      <c r="K45" s="120">
        <v>16</v>
      </c>
      <c r="L45" s="120">
        <v>16</v>
      </c>
      <c r="M45" s="103">
        <v>14.8</v>
      </c>
      <c r="N45" s="103">
        <v>14.8</v>
      </c>
      <c r="O45" s="103">
        <v>14.8</v>
      </c>
      <c r="P45" s="103">
        <v>14.8</v>
      </c>
      <c r="Q45" s="103">
        <v>14.8</v>
      </c>
      <c r="R45" s="103">
        <v>14.8</v>
      </c>
      <c r="S45" s="103">
        <v>14.8</v>
      </c>
      <c r="T45" s="103">
        <v>14.8</v>
      </c>
      <c r="U45" s="103">
        <v>14.8</v>
      </c>
      <c r="V45" s="103">
        <v>14.8</v>
      </c>
      <c r="W45" s="103">
        <v>14.8</v>
      </c>
      <c r="X45" s="103">
        <v>14.8</v>
      </c>
      <c r="Y45" s="103">
        <v>14.8</v>
      </c>
      <c r="Z45" s="103">
        <v>14.8</v>
      </c>
      <c r="AA45" s="103">
        <v>14.8</v>
      </c>
      <c r="AB45" s="103">
        <v>15.7</v>
      </c>
      <c r="AC45" s="103">
        <v>15.7</v>
      </c>
      <c r="AD45" s="103">
        <v>15.7</v>
      </c>
      <c r="AE45" s="103">
        <v>15.7</v>
      </c>
      <c r="AF45" s="103">
        <v>15.7</v>
      </c>
      <c r="AG45" s="106">
        <v>24</v>
      </c>
      <c r="AH45" s="21">
        <f t="shared" si="2"/>
        <v>16</v>
      </c>
      <c r="AI45" s="20">
        <f t="shared" si="3"/>
        <v>14.8</v>
      </c>
      <c r="AK45" s="42"/>
    </row>
    <row r="46" spans="1:88" x14ac:dyDescent="0.25">
      <c r="A46" s="107" t="s">
        <v>165</v>
      </c>
      <c r="B46" s="123">
        <v>2.2999999999999998</v>
      </c>
      <c r="C46" s="123">
        <v>2.2999999999999998</v>
      </c>
      <c r="D46" s="123">
        <v>2</v>
      </c>
      <c r="E46" s="123">
        <v>1.5</v>
      </c>
      <c r="F46" s="123">
        <v>1</v>
      </c>
      <c r="G46" s="123">
        <v>1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2.2999999999999998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</v>
      </c>
      <c r="C48" s="123">
        <v>7</v>
      </c>
      <c r="D48" s="123">
        <v>7</v>
      </c>
      <c r="E48" s="123">
        <v>7</v>
      </c>
      <c r="F48" s="123">
        <v>7</v>
      </c>
      <c r="G48" s="123">
        <v>7</v>
      </c>
      <c r="H48" s="123">
        <v>7</v>
      </c>
      <c r="I48" s="123">
        <v>7</v>
      </c>
      <c r="J48" s="123">
        <v>7</v>
      </c>
      <c r="K48" s="123">
        <v>7</v>
      </c>
      <c r="L48" s="123">
        <v>7</v>
      </c>
      <c r="M48" s="103">
        <v>7</v>
      </c>
      <c r="N48" s="103">
        <v>7</v>
      </c>
      <c r="O48" s="103">
        <v>7</v>
      </c>
      <c r="P48" s="103">
        <v>7</v>
      </c>
      <c r="Q48" s="103">
        <v>7</v>
      </c>
      <c r="R48" s="103">
        <v>7</v>
      </c>
      <c r="S48" s="103">
        <v>7</v>
      </c>
      <c r="T48" s="103">
        <v>7</v>
      </c>
      <c r="U48" s="103">
        <v>7</v>
      </c>
      <c r="V48" s="103">
        <v>7</v>
      </c>
      <c r="W48" s="103">
        <v>7</v>
      </c>
      <c r="X48" s="103">
        <v>7</v>
      </c>
      <c r="Y48" s="103">
        <v>7</v>
      </c>
      <c r="Z48" s="103">
        <v>7</v>
      </c>
      <c r="AA48" s="103">
        <v>7</v>
      </c>
      <c r="AB48" s="103">
        <v>7</v>
      </c>
      <c r="AC48" s="103">
        <v>7</v>
      </c>
      <c r="AD48" s="103">
        <v>7</v>
      </c>
      <c r="AE48" s="103">
        <v>7</v>
      </c>
      <c r="AF48" s="103">
        <v>7</v>
      </c>
      <c r="AG48" s="106">
        <v>14</v>
      </c>
      <c r="AH48" s="21">
        <f t="shared" si="2"/>
        <v>7</v>
      </c>
      <c r="AI48" s="20">
        <f t="shared" si="3"/>
        <v>7</v>
      </c>
      <c r="AK48" s="42"/>
    </row>
    <row r="49" spans="1:37" x14ac:dyDescent="0.25">
      <c r="A49" s="107" t="s">
        <v>162</v>
      </c>
      <c r="B49" s="123">
        <v>6.3</v>
      </c>
      <c r="C49" s="123">
        <v>6.3</v>
      </c>
      <c r="D49" s="123">
        <v>6.3</v>
      </c>
      <c r="E49" s="123">
        <v>6.3</v>
      </c>
      <c r="F49" s="123">
        <v>6.3</v>
      </c>
      <c r="G49" s="123">
        <v>6.3</v>
      </c>
      <c r="H49" s="123">
        <v>6.3</v>
      </c>
      <c r="I49" s="123">
        <v>6.3</v>
      </c>
      <c r="J49" s="123">
        <v>6.3</v>
      </c>
      <c r="K49" s="123">
        <v>6.3</v>
      </c>
      <c r="L49" s="123">
        <v>6.3</v>
      </c>
      <c r="M49" s="103">
        <v>6.3</v>
      </c>
      <c r="N49" s="103">
        <v>6.3</v>
      </c>
      <c r="O49" s="103">
        <v>6.3</v>
      </c>
      <c r="P49" s="103">
        <v>6.3</v>
      </c>
      <c r="Q49" s="103">
        <v>6.3</v>
      </c>
      <c r="R49" s="103">
        <v>6.3</v>
      </c>
      <c r="S49" s="103">
        <v>6.3</v>
      </c>
      <c r="T49" s="103">
        <v>6.3</v>
      </c>
      <c r="U49" s="103">
        <v>6.3</v>
      </c>
      <c r="V49" s="103">
        <v>6.3</v>
      </c>
      <c r="W49" s="103">
        <v>6.3</v>
      </c>
      <c r="X49" s="103">
        <v>6.3</v>
      </c>
      <c r="Y49" s="103">
        <v>6.3</v>
      </c>
      <c r="Z49" s="103">
        <v>6.3</v>
      </c>
      <c r="AA49" s="103">
        <v>6.3</v>
      </c>
      <c r="AB49" s="103">
        <v>6.3</v>
      </c>
      <c r="AC49" s="103">
        <v>6.3</v>
      </c>
      <c r="AD49" s="103">
        <v>6.3</v>
      </c>
      <c r="AE49" s="103">
        <v>6.3</v>
      </c>
      <c r="AF49" s="103">
        <v>6.3</v>
      </c>
      <c r="AG49" s="106">
        <v>10.050000000000001</v>
      </c>
      <c r="AH49" s="21">
        <f t="shared" si="2"/>
        <v>6.3</v>
      </c>
      <c r="AI49" s="20">
        <f t="shared" si="3"/>
        <v>6.3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277.04000000000008</v>
      </c>
      <c r="C52" s="99">
        <f t="shared" ref="C52:AF52" si="8">SUM(C39:C51)</f>
        <v>295.44</v>
      </c>
      <c r="D52" s="99">
        <f t="shared" si="8"/>
        <v>284.54000000000008</v>
      </c>
      <c r="E52" s="99">
        <f t="shared" si="8"/>
        <v>175.14000000000001</v>
      </c>
      <c r="F52" s="99">
        <f t="shared" si="8"/>
        <v>166.84</v>
      </c>
      <c r="G52" s="99">
        <f t="shared" si="8"/>
        <v>167.54</v>
      </c>
      <c r="H52" s="99">
        <f t="shared" si="8"/>
        <v>214.74</v>
      </c>
      <c r="I52" s="99">
        <f t="shared" si="8"/>
        <v>263.04000000000002</v>
      </c>
      <c r="J52" s="99">
        <f t="shared" si="8"/>
        <v>253.04</v>
      </c>
      <c r="K52" s="99">
        <f t="shared" si="8"/>
        <v>347.74</v>
      </c>
      <c r="L52" s="99">
        <f t="shared" si="8"/>
        <v>395.34000000000003</v>
      </c>
      <c r="M52" s="99">
        <f t="shared" si="8"/>
        <v>395.04</v>
      </c>
      <c r="N52" s="99">
        <f t="shared" si="8"/>
        <v>368.24</v>
      </c>
      <c r="O52" s="99">
        <f t="shared" si="8"/>
        <v>253.24</v>
      </c>
      <c r="P52" s="99">
        <f t="shared" ref="P52:Q52" si="9">SUM(P39:P51)</f>
        <v>250.14000000000001</v>
      </c>
      <c r="Q52" s="99">
        <f t="shared" si="9"/>
        <v>283.84000000000003</v>
      </c>
      <c r="R52" s="99">
        <f t="shared" ref="R52" si="10">SUM(R39:R51)</f>
        <v>283.34000000000003</v>
      </c>
      <c r="S52" s="99">
        <f t="shared" si="8"/>
        <v>295.14000000000004</v>
      </c>
      <c r="T52" s="99">
        <f t="shared" si="8"/>
        <v>295.14000000000004</v>
      </c>
      <c r="U52" s="99">
        <f t="shared" si="8"/>
        <v>268.84000000000003</v>
      </c>
      <c r="V52" s="99">
        <f t="shared" si="8"/>
        <v>276.94000000000005</v>
      </c>
      <c r="W52" s="99">
        <f t="shared" si="8"/>
        <v>282.74000000000007</v>
      </c>
      <c r="X52" s="99">
        <f t="shared" si="8"/>
        <v>295.64000000000004</v>
      </c>
      <c r="Y52" s="99">
        <f t="shared" si="8"/>
        <v>347.84000000000003</v>
      </c>
      <c r="Z52" s="99">
        <f t="shared" si="8"/>
        <v>347.84000000000003</v>
      </c>
      <c r="AA52" s="99">
        <f t="shared" si="8"/>
        <v>361.44000000000005</v>
      </c>
      <c r="AB52" s="99">
        <f t="shared" si="8"/>
        <v>339.94</v>
      </c>
      <c r="AC52" s="99">
        <f t="shared" si="8"/>
        <v>339.94</v>
      </c>
      <c r="AD52" s="99">
        <f t="shared" si="8"/>
        <v>318.44</v>
      </c>
      <c r="AE52" s="99">
        <f t="shared" si="8"/>
        <v>246.14000000000001</v>
      </c>
      <c r="AF52" s="99">
        <f t="shared" si="8"/>
        <v>180.23999999999998</v>
      </c>
      <c r="AG52" s="98">
        <f>SUM(AG39:AG51)</f>
        <v>489.91</v>
      </c>
      <c r="AH52" s="21">
        <f t="shared" si="2"/>
        <v>395.34000000000003</v>
      </c>
      <c r="AI52" s="20">
        <f t="shared" si="3"/>
        <v>166.84</v>
      </c>
      <c r="AK52" s="42"/>
    </row>
    <row r="53" spans="1:37" x14ac:dyDescent="0.25">
      <c r="A53" s="109" t="s">
        <v>159</v>
      </c>
      <c r="B53" s="103">
        <v>54</v>
      </c>
      <c r="C53" s="123">
        <v>54</v>
      </c>
      <c r="D53" s="123">
        <v>54</v>
      </c>
      <c r="E53" s="123">
        <v>59.7</v>
      </c>
      <c r="F53" s="123">
        <v>59.7</v>
      </c>
      <c r="G53" s="123">
        <v>59.7</v>
      </c>
      <c r="H53" s="123">
        <v>59.7</v>
      </c>
      <c r="I53" s="123">
        <v>10</v>
      </c>
      <c r="J53" s="123">
        <v>30</v>
      </c>
      <c r="K53" s="123">
        <v>30</v>
      </c>
      <c r="L53" s="123">
        <v>14</v>
      </c>
      <c r="M53" s="122">
        <v>30.1</v>
      </c>
      <c r="N53" s="122">
        <v>44.1</v>
      </c>
      <c r="O53" s="122">
        <v>20.2</v>
      </c>
      <c r="P53" s="122">
        <v>20.2</v>
      </c>
      <c r="Q53" s="122">
        <v>30</v>
      </c>
      <c r="R53" s="122">
        <v>19.600000000000001</v>
      </c>
      <c r="S53" s="103">
        <v>10.4</v>
      </c>
      <c r="T53" s="103">
        <v>14</v>
      </c>
      <c r="U53" s="103">
        <v>29.4</v>
      </c>
      <c r="V53" s="103">
        <v>29.4</v>
      </c>
      <c r="W53" s="103">
        <v>29.4</v>
      </c>
      <c r="X53" s="103">
        <v>40.9</v>
      </c>
      <c r="Y53" s="103">
        <v>60.2</v>
      </c>
      <c r="Z53" s="103">
        <v>60.4</v>
      </c>
      <c r="AA53" s="103">
        <v>60.4</v>
      </c>
      <c r="AB53" s="103">
        <v>50.1</v>
      </c>
      <c r="AC53" s="103">
        <v>50.1</v>
      </c>
      <c r="AD53" s="103">
        <v>60</v>
      </c>
      <c r="AE53" s="103">
        <v>59.5</v>
      </c>
      <c r="AF53" s="103">
        <v>59.5</v>
      </c>
      <c r="AG53" s="108">
        <v>60</v>
      </c>
      <c r="AH53" s="21">
        <f t="shared" si="2"/>
        <v>60.4</v>
      </c>
      <c r="AI53" s="20">
        <f t="shared" si="3"/>
        <v>10</v>
      </c>
      <c r="AK53" s="42"/>
    </row>
    <row r="54" spans="1:37" x14ac:dyDescent="0.25">
      <c r="A54" s="107" t="s">
        <v>158</v>
      </c>
      <c r="B54" s="73">
        <v>26</v>
      </c>
      <c r="C54" s="123">
        <v>25</v>
      </c>
      <c r="D54" s="123">
        <v>26</v>
      </c>
      <c r="E54" s="123">
        <v>28</v>
      </c>
      <c r="F54" s="123">
        <v>28</v>
      </c>
      <c r="G54" s="123">
        <v>28</v>
      </c>
      <c r="H54" s="123">
        <v>28</v>
      </c>
      <c r="I54" s="123">
        <v>16</v>
      </c>
      <c r="J54" s="123">
        <v>15</v>
      </c>
      <c r="K54" s="123">
        <v>15</v>
      </c>
      <c r="L54" s="123">
        <v>5.6</v>
      </c>
      <c r="M54" s="122">
        <v>14.8</v>
      </c>
      <c r="N54" s="122">
        <v>20.5</v>
      </c>
      <c r="O54" s="122">
        <v>6.3</v>
      </c>
      <c r="P54" s="122">
        <v>6.3</v>
      </c>
      <c r="Q54" s="122">
        <v>8.6</v>
      </c>
      <c r="R54" s="122">
        <v>7.6</v>
      </c>
      <c r="S54" s="103">
        <v>3.8</v>
      </c>
      <c r="T54" s="103">
        <v>6</v>
      </c>
      <c r="U54" s="103">
        <v>14.1</v>
      </c>
      <c r="V54" s="103">
        <v>14.1</v>
      </c>
      <c r="W54" s="103">
        <v>14.1</v>
      </c>
      <c r="X54" s="73">
        <v>18.8</v>
      </c>
      <c r="Y54" s="73">
        <v>29</v>
      </c>
      <c r="Z54" s="73">
        <v>29.5</v>
      </c>
      <c r="AA54" s="73">
        <v>29.5</v>
      </c>
      <c r="AB54" s="73">
        <v>23</v>
      </c>
      <c r="AC54" s="73">
        <v>23.8</v>
      </c>
      <c r="AD54" s="73">
        <v>29.9</v>
      </c>
      <c r="AE54" s="73">
        <v>28.2</v>
      </c>
      <c r="AF54" s="73">
        <v>29.2</v>
      </c>
      <c r="AG54" s="106">
        <v>32</v>
      </c>
      <c r="AH54" s="21">
        <f t="shared" si="2"/>
        <v>29.9</v>
      </c>
      <c r="AI54" s="20">
        <f t="shared" si="3"/>
        <v>3.8</v>
      </c>
      <c r="AK54" s="42"/>
    </row>
    <row r="55" spans="1:37" ht="15.75" thickBot="1" x14ac:dyDescent="0.3">
      <c r="A55" s="121" t="s">
        <v>157</v>
      </c>
      <c r="B55" s="118">
        <v>9.6</v>
      </c>
      <c r="C55" s="120">
        <v>9.1999999999999993</v>
      </c>
      <c r="D55" s="120">
        <v>9.6</v>
      </c>
      <c r="E55" s="120">
        <v>11</v>
      </c>
      <c r="F55" s="120">
        <v>11</v>
      </c>
      <c r="G55" s="120">
        <v>11</v>
      </c>
      <c r="H55" s="120">
        <v>11</v>
      </c>
      <c r="I55" s="120">
        <v>5</v>
      </c>
      <c r="J55" s="120">
        <v>7</v>
      </c>
      <c r="K55" s="120">
        <v>7</v>
      </c>
      <c r="L55" s="120">
        <v>3</v>
      </c>
      <c r="M55" s="119">
        <v>5.4</v>
      </c>
      <c r="N55" s="119">
        <v>7.5</v>
      </c>
      <c r="O55" s="119">
        <v>2.2999999999999998</v>
      </c>
      <c r="P55" s="119">
        <v>2.2999999999999998</v>
      </c>
      <c r="Q55" s="119">
        <v>3.1</v>
      </c>
      <c r="R55" s="119">
        <v>2.8</v>
      </c>
      <c r="S55" s="103">
        <v>1.4</v>
      </c>
      <c r="T55" s="103">
        <v>2.2000000000000002</v>
      </c>
      <c r="U55" s="103">
        <v>5.0999999999999996</v>
      </c>
      <c r="V55" s="103">
        <v>5.0999999999999996</v>
      </c>
      <c r="W55" s="103">
        <v>5.0999999999999996</v>
      </c>
      <c r="X55" s="118">
        <v>6.8</v>
      </c>
      <c r="Y55" s="118">
        <v>10.6</v>
      </c>
      <c r="Z55" s="118">
        <v>10.8</v>
      </c>
      <c r="AA55" s="118">
        <v>10.8</v>
      </c>
      <c r="AB55" s="118">
        <v>8.4</v>
      </c>
      <c r="AC55" s="118">
        <v>8.6999999999999993</v>
      </c>
      <c r="AD55" s="118">
        <v>10.9</v>
      </c>
      <c r="AE55" s="118">
        <v>10.3</v>
      </c>
      <c r="AF55" s="118">
        <v>10.6</v>
      </c>
      <c r="AG55" s="117">
        <v>14</v>
      </c>
      <c r="AH55" s="21">
        <f t="shared" si="2"/>
        <v>11</v>
      </c>
      <c r="AI55" s="20">
        <f t="shared" si="3"/>
        <v>1.4</v>
      </c>
      <c r="AK55" s="42"/>
    </row>
    <row r="56" spans="1:37" ht="15.75" thickBot="1" x14ac:dyDescent="0.3">
      <c r="A56" s="100" t="s">
        <v>156</v>
      </c>
      <c r="B56" s="99">
        <f>SUM(B53:B55)</f>
        <v>89.6</v>
      </c>
      <c r="C56" s="99">
        <f>SUM(C53:C55)</f>
        <v>88.2</v>
      </c>
      <c r="D56" s="99">
        <f t="shared" ref="D56:AF56" si="11">SUM(D53:D55)</f>
        <v>89.6</v>
      </c>
      <c r="E56" s="99">
        <f t="shared" si="11"/>
        <v>98.7</v>
      </c>
      <c r="F56" s="99">
        <f t="shared" si="11"/>
        <v>98.7</v>
      </c>
      <c r="G56" s="99">
        <f t="shared" si="11"/>
        <v>98.7</v>
      </c>
      <c r="H56" s="99">
        <f t="shared" si="11"/>
        <v>98.7</v>
      </c>
      <c r="I56" s="99">
        <f t="shared" si="11"/>
        <v>31</v>
      </c>
      <c r="J56" s="99">
        <f t="shared" si="11"/>
        <v>52</v>
      </c>
      <c r="K56" s="99">
        <f t="shared" si="11"/>
        <v>52</v>
      </c>
      <c r="L56" s="99">
        <f t="shared" si="11"/>
        <v>22.6</v>
      </c>
      <c r="M56" s="99">
        <f t="shared" si="11"/>
        <v>50.300000000000004</v>
      </c>
      <c r="N56" s="99">
        <f t="shared" si="11"/>
        <v>72.099999999999994</v>
      </c>
      <c r="O56" s="99">
        <f t="shared" si="11"/>
        <v>28.8</v>
      </c>
      <c r="P56" s="99">
        <f t="shared" ref="P56:Q56" si="12">SUM(P53:P55)</f>
        <v>28.8</v>
      </c>
      <c r="Q56" s="99">
        <f t="shared" si="12"/>
        <v>41.7</v>
      </c>
      <c r="R56" s="99">
        <f t="shared" ref="R56" si="13">SUM(R53:R55)</f>
        <v>30.000000000000004</v>
      </c>
      <c r="S56" s="99">
        <f t="shared" si="11"/>
        <v>15.6</v>
      </c>
      <c r="T56" s="99">
        <f t="shared" si="11"/>
        <v>22.2</v>
      </c>
      <c r="U56" s="99">
        <f t="shared" si="11"/>
        <v>48.6</v>
      </c>
      <c r="V56" s="99">
        <f t="shared" si="11"/>
        <v>48.6</v>
      </c>
      <c r="W56" s="99">
        <f t="shared" si="11"/>
        <v>48.6</v>
      </c>
      <c r="X56" s="99">
        <f t="shared" si="11"/>
        <v>66.5</v>
      </c>
      <c r="Y56" s="99">
        <f t="shared" si="11"/>
        <v>99.8</v>
      </c>
      <c r="Z56" s="99">
        <f t="shared" si="11"/>
        <v>100.7</v>
      </c>
      <c r="AA56" s="99">
        <f t="shared" si="11"/>
        <v>100.7</v>
      </c>
      <c r="AB56" s="99">
        <f t="shared" si="11"/>
        <v>81.5</v>
      </c>
      <c r="AC56" s="99">
        <f t="shared" si="11"/>
        <v>82.600000000000009</v>
      </c>
      <c r="AD56" s="99">
        <f t="shared" si="11"/>
        <v>100.80000000000001</v>
      </c>
      <c r="AE56" s="99">
        <f t="shared" si="11"/>
        <v>98</v>
      </c>
      <c r="AF56" s="99">
        <f t="shared" si="11"/>
        <v>99.3</v>
      </c>
      <c r="AG56" s="98">
        <f>SUM(AG53:AG55)</f>
        <v>106</v>
      </c>
      <c r="AH56" s="21">
        <f t="shared" si="2"/>
        <v>100.80000000000001</v>
      </c>
      <c r="AI56" s="20">
        <f t="shared" si="3"/>
        <v>15.6</v>
      </c>
      <c r="AK56" s="42"/>
    </row>
    <row r="57" spans="1:37" x14ac:dyDescent="0.25">
      <c r="A57" s="109" t="s">
        <v>135</v>
      </c>
      <c r="B57" s="103">
        <v>72.8</v>
      </c>
      <c r="C57" s="103">
        <v>69</v>
      </c>
      <c r="D57" s="103">
        <v>69</v>
      </c>
      <c r="E57" s="103">
        <v>76</v>
      </c>
      <c r="F57" s="103">
        <v>77</v>
      </c>
      <c r="G57" s="103">
        <v>80</v>
      </c>
      <c r="H57" s="103">
        <v>77</v>
      </c>
      <c r="I57" s="103">
        <v>70</v>
      </c>
      <c r="J57" s="103">
        <v>61</v>
      </c>
      <c r="K57" s="103">
        <v>61</v>
      </c>
      <c r="L57" s="103">
        <v>63</v>
      </c>
      <c r="M57" s="103">
        <v>66.5</v>
      </c>
      <c r="N57" s="103">
        <v>66.3</v>
      </c>
      <c r="O57" s="103">
        <v>61.33</v>
      </c>
      <c r="P57" s="103">
        <v>62</v>
      </c>
      <c r="Q57" s="103">
        <v>64</v>
      </c>
      <c r="R57" s="103">
        <v>64.5</v>
      </c>
      <c r="S57" s="103">
        <v>64.599999999999994</v>
      </c>
      <c r="T57" s="103">
        <v>69.099999999999994</v>
      </c>
      <c r="U57" s="103">
        <v>15.6</v>
      </c>
      <c r="V57" s="103">
        <v>73.760000000000005</v>
      </c>
      <c r="W57" s="103">
        <v>68.5</v>
      </c>
      <c r="X57" s="103">
        <v>64.900000000000006</v>
      </c>
      <c r="Y57" s="103">
        <v>62.24</v>
      </c>
      <c r="Z57" s="103">
        <v>78</v>
      </c>
      <c r="AA57" s="103">
        <v>68.3</v>
      </c>
      <c r="AB57" s="103">
        <v>62.72</v>
      </c>
      <c r="AC57" s="103">
        <v>61.3</v>
      </c>
      <c r="AD57" s="103">
        <v>69.8</v>
      </c>
      <c r="AE57" s="103">
        <v>66.599999999999994</v>
      </c>
      <c r="AF57" s="103">
        <v>62.5</v>
      </c>
      <c r="AG57" s="108"/>
      <c r="AH57" s="21">
        <f t="shared" si="2"/>
        <v>80</v>
      </c>
      <c r="AI57" s="20">
        <f t="shared" si="3"/>
        <v>15.6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148</v>
      </c>
      <c r="J58" s="73">
        <v>110</v>
      </c>
      <c r="K58" s="73">
        <v>106</v>
      </c>
      <c r="L58" s="73">
        <v>108</v>
      </c>
      <c r="M58" s="103">
        <v>96</v>
      </c>
      <c r="N58" s="103">
        <f>95+40</f>
        <v>135</v>
      </c>
      <c r="O58" s="103">
        <v>135</v>
      </c>
      <c r="P58" s="103">
        <v>125</v>
      </c>
      <c r="Q58" s="103">
        <v>125</v>
      </c>
      <c r="R58" s="103">
        <v>125</v>
      </c>
      <c r="S58" s="103">
        <f>94.2+56</f>
        <v>150.19999999999999</v>
      </c>
      <c r="T58" s="103">
        <f>84.3+48</f>
        <v>132.30000000000001</v>
      </c>
      <c r="U58" s="103">
        <f>79.8+46</f>
        <v>125.8</v>
      </c>
      <c r="V58" s="103">
        <f>87.1+48</f>
        <v>135.1</v>
      </c>
      <c r="W58" s="103">
        <f>82.9+46</f>
        <v>128.9</v>
      </c>
      <c r="X58" s="116">
        <f>88.6+11</f>
        <v>99.6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150.19999999999999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357</v>
      </c>
      <c r="C59" s="73">
        <v>260</v>
      </c>
      <c r="D59" s="73">
        <v>270</v>
      </c>
      <c r="E59" s="73">
        <v>325</v>
      </c>
      <c r="F59" s="73">
        <v>327</v>
      </c>
      <c r="G59" s="73">
        <v>315</v>
      </c>
      <c r="H59" s="103">
        <v>266</v>
      </c>
      <c r="I59" s="103">
        <v>55</v>
      </c>
      <c r="J59" s="103">
        <v>46</v>
      </c>
      <c r="K59" s="103">
        <v>77</v>
      </c>
      <c r="L59" s="103">
        <v>79</v>
      </c>
      <c r="M59" s="73">
        <v>88.7</v>
      </c>
      <c r="N59" s="73">
        <v>21.2</v>
      </c>
      <c r="O59" s="73">
        <v>154.30000000000001</v>
      </c>
      <c r="P59" s="73">
        <v>112</v>
      </c>
      <c r="Q59" s="73">
        <v>62</v>
      </c>
      <c r="R59" s="73">
        <v>81.599999999999994</v>
      </c>
      <c r="S59" s="73">
        <v>76.3</v>
      </c>
      <c r="T59" s="73">
        <v>81.7</v>
      </c>
      <c r="U59" s="73">
        <v>78.7</v>
      </c>
      <c r="V59" s="73">
        <v>64</v>
      </c>
      <c r="W59" s="73">
        <v>55.6</v>
      </c>
      <c r="X59" s="115">
        <v>121.4</v>
      </c>
      <c r="Y59" s="115">
        <v>106</v>
      </c>
      <c r="Z59" s="115">
        <v>119</v>
      </c>
      <c r="AA59" s="115">
        <v>71</v>
      </c>
      <c r="AB59" s="73">
        <v>64.900000000000006</v>
      </c>
      <c r="AC59" s="73">
        <v>68.2</v>
      </c>
      <c r="AD59" s="73">
        <v>88</v>
      </c>
      <c r="AE59" s="73">
        <v>87</v>
      </c>
      <c r="AF59" s="73">
        <v>75.599999999999994</v>
      </c>
      <c r="AG59" s="113"/>
      <c r="AH59" s="21">
        <f t="shared" si="2"/>
        <v>357</v>
      </c>
      <c r="AI59" s="20">
        <f t="shared" si="3"/>
        <v>21.2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20</v>
      </c>
      <c r="H60" s="77">
        <v>20.5</v>
      </c>
      <c r="I60" s="77">
        <v>48</v>
      </c>
      <c r="J60" s="77">
        <v>57</v>
      </c>
      <c r="K60" s="77">
        <v>48</v>
      </c>
      <c r="L60" s="77">
        <v>52</v>
      </c>
      <c r="M60" s="73">
        <v>51.3</v>
      </c>
      <c r="N60" s="73">
        <v>56</v>
      </c>
      <c r="O60" s="73">
        <v>56.2</v>
      </c>
      <c r="P60" s="73">
        <v>56.2</v>
      </c>
      <c r="Q60" s="73">
        <v>56.2</v>
      </c>
      <c r="R60" s="73">
        <v>52.1</v>
      </c>
      <c r="S60" s="73">
        <v>52.1</v>
      </c>
      <c r="T60" s="73">
        <v>50</v>
      </c>
      <c r="U60" s="73">
        <v>54.1</v>
      </c>
      <c r="V60" s="73">
        <v>54.1</v>
      </c>
      <c r="W60" s="73">
        <v>54.7</v>
      </c>
      <c r="X60" s="73">
        <v>45.6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7">
        <v>0</v>
      </c>
      <c r="AG60" s="113"/>
      <c r="AH60" s="21">
        <f t="shared" si="2"/>
        <v>57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70</v>
      </c>
      <c r="J61" s="77">
        <v>69</v>
      </c>
      <c r="K61" s="77">
        <v>71</v>
      </c>
      <c r="L61" s="77">
        <v>76</v>
      </c>
      <c r="M61" s="103">
        <v>64.2</v>
      </c>
      <c r="N61" s="103">
        <v>64.900000000000006</v>
      </c>
      <c r="O61" s="103">
        <v>64.900000000000006</v>
      </c>
      <c r="P61" s="103">
        <v>64.900000000000006</v>
      </c>
      <c r="Q61" s="103">
        <v>64.900000000000006</v>
      </c>
      <c r="R61" s="103">
        <v>65.900000000000006</v>
      </c>
      <c r="S61" s="103">
        <v>51.8</v>
      </c>
      <c r="T61" s="103">
        <v>55.6</v>
      </c>
      <c r="U61" s="103">
        <v>62.9</v>
      </c>
      <c r="V61" s="103">
        <v>56.8</v>
      </c>
      <c r="W61" s="103">
        <v>50</v>
      </c>
      <c r="X61" s="103">
        <v>0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76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6</v>
      </c>
      <c r="C62" s="67">
        <v>6</v>
      </c>
      <c r="D62" s="67">
        <v>6</v>
      </c>
      <c r="E62" s="73">
        <v>6</v>
      </c>
      <c r="F62" s="73">
        <v>6</v>
      </c>
      <c r="G62" s="73">
        <v>6</v>
      </c>
      <c r="H62" s="73">
        <v>6</v>
      </c>
      <c r="I62" s="73">
        <v>6</v>
      </c>
      <c r="J62" s="73">
        <v>6</v>
      </c>
      <c r="K62" s="73">
        <v>6</v>
      </c>
      <c r="L62" s="73">
        <v>6</v>
      </c>
      <c r="M62" s="73">
        <v>6</v>
      </c>
      <c r="N62" s="73">
        <v>6</v>
      </c>
      <c r="O62" s="73">
        <v>6</v>
      </c>
      <c r="P62" s="73">
        <v>6</v>
      </c>
      <c r="Q62" s="73">
        <v>6</v>
      </c>
      <c r="R62" s="73">
        <v>6</v>
      </c>
      <c r="S62" s="73">
        <v>6</v>
      </c>
      <c r="T62" s="73">
        <v>6</v>
      </c>
      <c r="U62" s="73">
        <v>6</v>
      </c>
      <c r="V62" s="73">
        <v>6</v>
      </c>
      <c r="W62" s="73">
        <v>6</v>
      </c>
      <c r="X62" s="73">
        <v>6</v>
      </c>
      <c r="Y62" s="73">
        <v>6</v>
      </c>
      <c r="Z62" s="67">
        <v>6</v>
      </c>
      <c r="AA62" s="67">
        <v>6</v>
      </c>
      <c r="AB62" s="67">
        <v>6</v>
      </c>
      <c r="AC62" s="67">
        <v>6</v>
      </c>
      <c r="AD62" s="67">
        <v>6</v>
      </c>
      <c r="AE62" s="67">
        <v>6</v>
      </c>
      <c r="AF62" s="67">
        <v>6</v>
      </c>
      <c r="AG62" s="113"/>
      <c r="AH62" s="21">
        <f t="shared" si="2"/>
        <v>6</v>
      </c>
      <c r="AI62" s="20">
        <f t="shared" si="3"/>
        <v>6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103">
        <v>0</v>
      </c>
      <c r="U63" s="103">
        <v>0</v>
      </c>
      <c r="V63" s="103">
        <v>0</v>
      </c>
      <c r="W63" s="103">
        <v>0</v>
      </c>
      <c r="X63" s="103">
        <v>0</v>
      </c>
      <c r="Y63" s="103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13.5</v>
      </c>
      <c r="C66" s="70">
        <v>13.5</v>
      </c>
      <c r="D66" s="70">
        <v>13.5</v>
      </c>
      <c r="E66" s="70">
        <v>13.5</v>
      </c>
      <c r="F66" s="70">
        <v>13.5</v>
      </c>
      <c r="G66" s="70">
        <v>0</v>
      </c>
      <c r="H66" s="70">
        <v>13.5</v>
      </c>
      <c r="I66" s="70">
        <v>13.5</v>
      </c>
      <c r="J66" s="70">
        <v>13.5</v>
      </c>
      <c r="K66" s="70">
        <v>13.5</v>
      </c>
      <c r="L66" s="70">
        <v>13.5</v>
      </c>
      <c r="M66" s="73">
        <v>10</v>
      </c>
      <c r="N66" s="73">
        <v>10</v>
      </c>
      <c r="O66" s="73">
        <v>10</v>
      </c>
      <c r="P66" s="73">
        <v>10</v>
      </c>
      <c r="Q66" s="73">
        <v>10</v>
      </c>
      <c r="R66" s="73">
        <v>10</v>
      </c>
      <c r="S66" s="73">
        <v>10</v>
      </c>
      <c r="T66" s="73">
        <v>10</v>
      </c>
      <c r="U66" s="73">
        <v>10</v>
      </c>
      <c r="V66" s="73">
        <v>10</v>
      </c>
      <c r="W66" s="73">
        <v>10</v>
      </c>
      <c r="X66" s="73">
        <v>10</v>
      </c>
      <c r="Y66" s="73">
        <v>10</v>
      </c>
      <c r="Z66" s="70">
        <v>10</v>
      </c>
      <c r="AA66" s="70">
        <v>10</v>
      </c>
      <c r="AB66" s="70">
        <v>10</v>
      </c>
      <c r="AC66" s="70">
        <v>10</v>
      </c>
      <c r="AD66" s="70">
        <v>10</v>
      </c>
      <c r="AE66" s="70">
        <v>10</v>
      </c>
      <c r="AF66" s="70">
        <v>10</v>
      </c>
      <c r="AG66" s="102"/>
      <c r="AH66" s="21">
        <f t="shared" si="2"/>
        <v>13.5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460.3</v>
      </c>
      <c r="C68" s="99">
        <f>SUM(C57:C67)</f>
        <v>359.5</v>
      </c>
      <c r="D68" s="99">
        <f t="shared" ref="D68:AF68" si="14">SUM(D57:D67)</f>
        <v>369.5</v>
      </c>
      <c r="E68" s="99">
        <f t="shared" si="14"/>
        <v>431.5</v>
      </c>
      <c r="F68" s="99">
        <f t="shared" si="14"/>
        <v>434.5</v>
      </c>
      <c r="G68" s="99">
        <f t="shared" si="14"/>
        <v>432</v>
      </c>
      <c r="H68" s="99">
        <f t="shared" si="14"/>
        <v>394</v>
      </c>
      <c r="I68" s="99">
        <f t="shared" si="14"/>
        <v>421.5</v>
      </c>
      <c r="J68" s="99">
        <f t="shared" si="14"/>
        <v>373.5</v>
      </c>
      <c r="K68" s="99">
        <f t="shared" si="14"/>
        <v>393.5</v>
      </c>
      <c r="L68" s="99">
        <f t="shared" si="14"/>
        <v>408.5</v>
      </c>
      <c r="M68" s="99">
        <f t="shared" si="14"/>
        <v>393.7</v>
      </c>
      <c r="N68" s="99">
        <f t="shared" si="14"/>
        <v>370.4</v>
      </c>
      <c r="O68" s="99">
        <f t="shared" si="14"/>
        <v>498.73</v>
      </c>
      <c r="P68" s="99">
        <f t="shared" ref="P68:Q68" si="15">SUM(P57:P67)</f>
        <v>447.1</v>
      </c>
      <c r="Q68" s="99">
        <f t="shared" si="15"/>
        <v>399.1</v>
      </c>
      <c r="R68" s="99">
        <f t="shared" ref="R68" si="16">SUM(R57:R67)</f>
        <v>416.1</v>
      </c>
      <c r="S68" s="99">
        <f t="shared" si="14"/>
        <v>422</v>
      </c>
      <c r="T68" s="99">
        <f t="shared" si="14"/>
        <v>415.70000000000005</v>
      </c>
      <c r="U68" s="99">
        <f t="shared" si="14"/>
        <v>364.1</v>
      </c>
      <c r="V68" s="99">
        <f t="shared" si="14"/>
        <v>410.76000000000005</v>
      </c>
      <c r="W68" s="99">
        <f t="shared" si="14"/>
        <v>384.7</v>
      </c>
      <c r="X68" s="99">
        <f t="shared" si="14"/>
        <v>358.5</v>
      </c>
      <c r="Y68" s="99">
        <f t="shared" si="14"/>
        <v>195.24</v>
      </c>
      <c r="Z68" s="99">
        <f t="shared" si="14"/>
        <v>224</v>
      </c>
      <c r="AA68" s="99">
        <f t="shared" si="14"/>
        <v>166.3</v>
      </c>
      <c r="AB68" s="99">
        <f t="shared" si="14"/>
        <v>154.62</v>
      </c>
      <c r="AC68" s="99">
        <f t="shared" si="14"/>
        <v>156.5</v>
      </c>
      <c r="AD68" s="99">
        <f t="shared" si="14"/>
        <v>184.8</v>
      </c>
      <c r="AE68" s="99">
        <f t="shared" si="14"/>
        <v>180.6</v>
      </c>
      <c r="AF68" s="99">
        <f t="shared" si="14"/>
        <v>165.1</v>
      </c>
      <c r="AG68" s="98">
        <f>SUM(AG57:AG67)</f>
        <v>0</v>
      </c>
      <c r="AH68" s="21">
        <f t="shared" si="2"/>
        <v>498.73</v>
      </c>
      <c r="AI68" s="20">
        <f t="shared" si="3"/>
        <v>154.62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17">SUM(D69:D71)</f>
        <v>0</v>
      </c>
      <c r="E72" s="99">
        <f t="shared" si="17"/>
        <v>0</v>
      </c>
      <c r="F72" s="99">
        <f t="shared" si="17"/>
        <v>0</v>
      </c>
      <c r="G72" s="99">
        <f t="shared" si="17"/>
        <v>0</v>
      </c>
      <c r="H72" s="99">
        <f t="shared" si="17"/>
        <v>0</v>
      </c>
      <c r="I72" s="99">
        <f t="shared" si="17"/>
        <v>0</v>
      </c>
      <c r="J72" s="99">
        <f t="shared" si="17"/>
        <v>0</v>
      </c>
      <c r="K72" s="99">
        <f t="shared" si="17"/>
        <v>0</v>
      </c>
      <c r="L72" s="99">
        <f t="shared" si="17"/>
        <v>0</v>
      </c>
      <c r="M72" s="99">
        <f t="shared" si="17"/>
        <v>0</v>
      </c>
      <c r="N72" s="99">
        <f t="shared" si="17"/>
        <v>0</v>
      </c>
      <c r="O72" s="99">
        <f t="shared" si="17"/>
        <v>0</v>
      </c>
      <c r="P72" s="99">
        <f t="shared" ref="P72:Q72" si="18">SUM(P69:P71)</f>
        <v>0</v>
      </c>
      <c r="Q72" s="99">
        <f t="shared" si="18"/>
        <v>0</v>
      </c>
      <c r="R72" s="99">
        <f t="shared" ref="R72" si="19">SUM(R69:R71)</f>
        <v>0</v>
      </c>
      <c r="S72" s="99">
        <f t="shared" si="17"/>
        <v>0</v>
      </c>
      <c r="T72" s="99">
        <f t="shared" si="17"/>
        <v>0</v>
      </c>
      <c r="U72" s="99">
        <f t="shared" si="17"/>
        <v>0</v>
      </c>
      <c r="V72" s="99">
        <f t="shared" si="17"/>
        <v>0</v>
      </c>
      <c r="W72" s="99">
        <f t="shared" si="17"/>
        <v>0</v>
      </c>
      <c r="X72" s="99">
        <f t="shared" si="17"/>
        <v>0</v>
      </c>
      <c r="Y72" s="99">
        <f t="shared" si="17"/>
        <v>0</v>
      </c>
      <c r="Z72" s="99">
        <f t="shared" si="17"/>
        <v>0</v>
      </c>
      <c r="AA72" s="99">
        <f t="shared" si="17"/>
        <v>0</v>
      </c>
      <c r="AB72" s="99">
        <f t="shared" si="17"/>
        <v>0</v>
      </c>
      <c r="AC72" s="99">
        <f t="shared" si="17"/>
        <v>0</v>
      </c>
      <c r="AD72" s="99">
        <f t="shared" si="17"/>
        <v>0</v>
      </c>
      <c r="AE72" s="99">
        <f t="shared" si="17"/>
        <v>0</v>
      </c>
      <c r="AF72" s="99">
        <f t="shared" si="17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1229.24</v>
      </c>
      <c r="C73" s="110">
        <f>C68+C56+C52+C38+C72</f>
        <v>1188.44</v>
      </c>
      <c r="D73" s="110">
        <f t="shared" ref="D73:AG73" si="20">D68+D56+D52+D38+D72</f>
        <v>1183.94</v>
      </c>
      <c r="E73" s="110">
        <f t="shared" si="20"/>
        <v>1145.6399999999999</v>
      </c>
      <c r="F73" s="110">
        <f t="shared" si="20"/>
        <v>1150.3400000000001</v>
      </c>
      <c r="G73" s="110">
        <f t="shared" si="20"/>
        <v>1164.54</v>
      </c>
      <c r="H73" s="110">
        <f t="shared" si="20"/>
        <v>1247.7400000000002</v>
      </c>
      <c r="I73" s="110">
        <f t="shared" si="20"/>
        <v>1235.8399999999999</v>
      </c>
      <c r="J73" s="110">
        <f t="shared" si="20"/>
        <v>1273.8400000000001</v>
      </c>
      <c r="K73" s="110">
        <f t="shared" si="20"/>
        <v>1313.54</v>
      </c>
      <c r="L73" s="110">
        <f t="shared" si="20"/>
        <v>1346.74</v>
      </c>
      <c r="M73" s="110">
        <f t="shared" si="20"/>
        <v>1349.04</v>
      </c>
      <c r="N73" s="110">
        <f t="shared" si="20"/>
        <v>1325.74</v>
      </c>
      <c r="O73" s="110">
        <f t="shared" si="20"/>
        <v>1270.97</v>
      </c>
      <c r="P73" s="110">
        <f t="shared" ref="P73:Q73" si="21">P68+P56+P52+P38+P72</f>
        <v>1216.24</v>
      </c>
      <c r="Q73" s="110">
        <f t="shared" si="21"/>
        <v>1214.8400000000001</v>
      </c>
      <c r="R73" s="110">
        <f t="shared" ref="R73" si="22">R68+R56+R52+R38+R72</f>
        <v>1209.6400000000001</v>
      </c>
      <c r="S73" s="110">
        <f t="shared" si="20"/>
        <v>1192.94</v>
      </c>
      <c r="T73" s="110">
        <f t="shared" si="20"/>
        <v>1173.24</v>
      </c>
      <c r="U73" s="110">
        <f t="shared" si="20"/>
        <v>1121.74</v>
      </c>
      <c r="V73" s="110">
        <f t="shared" si="20"/>
        <v>1186.5000000000002</v>
      </c>
      <c r="W73" s="110">
        <f t="shared" si="20"/>
        <v>1196.24</v>
      </c>
      <c r="X73" s="110">
        <f t="shared" si="20"/>
        <v>1190.8400000000001</v>
      </c>
      <c r="Y73" s="110">
        <f t="shared" si="20"/>
        <v>1263.0800000000002</v>
      </c>
      <c r="Z73" s="110">
        <f t="shared" si="20"/>
        <v>1333.84</v>
      </c>
      <c r="AA73" s="110">
        <f t="shared" si="20"/>
        <v>1299.74</v>
      </c>
      <c r="AB73" s="110">
        <f t="shared" si="20"/>
        <v>1227.3599999999999</v>
      </c>
      <c r="AC73" s="110">
        <f t="shared" si="20"/>
        <v>1210.3399999999999</v>
      </c>
      <c r="AD73" s="110">
        <f t="shared" si="20"/>
        <v>1171.94</v>
      </c>
      <c r="AE73" s="110">
        <f t="shared" si="20"/>
        <v>1020.0400000000001</v>
      </c>
      <c r="AF73" s="110">
        <f t="shared" si="20"/>
        <v>926.94</v>
      </c>
      <c r="AG73" s="110">
        <f t="shared" si="20"/>
        <v>2144.14</v>
      </c>
      <c r="AH73" s="21">
        <f t="shared" si="2"/>
        <v>1349.04</v>
      </c>
      <c r="AI73" s="20">
        <f t="shared" si="3"/>
        <v>926.94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>
        <v>15</v>
      </c>
      <c r="D74" s="111">
        <v>15</v>
      </c>
      <c r="E74" s="111">
        <v>39</v>
      </c>
      <c r="F74" s="111">
        <v>38</v>
      </c>
      <c r="G74" s="111">
        <v>16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>
        <v>200</v>
      </c>
      <c r="AA74" s="111">
        <v>200</v>
      </c>
      <c r="AB74" s="111">
        <v>200</v>
      </c>
      <c r="AC74" s="111">
        <v>200</v>
      </c>
      <c r="AD74" s="111">
        <v>200</v>
      </c>
      <c r="AE74" s="111">
        <v>200</v>
      </c>
      <c r="AF74" s="111">
        <v>200</v>
      </c>
      <c r="AG74" s="98"/>
      <c r="AH74" s="21">
        <f t="shared" si="2"/>
        <v>200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1229.24</v>
      </c>
      <c r="C75" s="110">
        <f>C73+C74</f>
        <v>1203.44</v>
      </c>
      <c r="D75" s="110">
        <f t="shared" ref="D75:AF75" si="23">D72+D68+D56+D52+D38+D74</f>
        <v>1198.94</v>
      </c>
      <c r="E75" s="110">
        <f t="shared" si="23"/>
        <v>1184.6399999999999</v>
      </c>
      <c r="F75" s="110">
        <f t="shared" si="23"/>
        <v>1188.3400000000001</v>
      </c>
      <c r="G75" s="110">
        <f t="shared" si="23"/>
        <v>1180.54</v>
      </c>
      <c r="H75" s="110">
        <f t="shared" si="23"/>
        <v>1247.7400000000002</v>
      </c>
      <c r="I75" s="110">
        <f t="shared" si="23"/>
        <v>1235.8399999999999</v>
      </c>
      <c r="J75" s="110">
        <f t="shared" si="23"/>
        <v>1273.8400000000001</v>
      </c>
      <c r="K75" s="110">
        <f t="shared" si="23"/>
        <v>1313.54</v>
      </c>
      <c r="L75" s="110">
        <f t="shared" si="23"/>
        <v>1346.74</v>
      </c>
      <c r="M75" s="110">
        <f t="shared" si="23"/>
        <v>1349.04</v>
      </c>
      <c r="N75" s="110">
        <f t="shared" si="23"/>
        <v>1325.74</v>
      </c>
      <c r="O75" s="110">
        <f t="shared" si="23"/>
        <v>1270.97</v>
      </c>
      <c r="P75" s="110">
        <f t="shared" ref="P75:Q75" si="24">P72+P68+P56+P52+P38+P74</f>
        <v>1216.24</v>
      </c>
      <c r="Q75" s="110">
        <f t="shared" si="24"/>
        <v>1214.8400000000001</v>
      </c>
      <c r="R75" s="110">
        <f t="shared" ref="R75" si="25">R72+R68+R56+R52+R38+R74</f>
        <v>1209.6400000000001</v>
      </c>
      <c r="S75" s="110">
        <f t="shared" si="23"/>
        <v>1192.94</v>
      </c>
      <c r="T75" s="110">
        <f t="shared" si="23"/>
        <v>1173.24</v>
      </c>
      <c r="U75" s="110">
        <f t="shared" si="23"/>
        <v>1121.74</v>
      </c>
      <c r="V75" s="110">
        <f t="shared" si="23"/>
        <v>1186.5000000000002</v>
      </c>
      <c r="W75" s="110">
        <f t="shared" si="23"/>
        <v>1196.24</v>
      </c>
      <c r="X75" s="110">
        <f t="shared" si="23"/>
        <v>1190.8400000000001</v>
      </c>
      <c r="Y75" s="110">
        <f t="shared" si="23"/>
        <v>1263.0800000000002</v>
      </c>
      <c r="Z75" s="110">
        <f t="shared" si="23"/>
        <v>1533.84</v>
      </c>
      <c r="AA75" s="110">
        <f t="shared" si="23"/>
        <v>1499.74</v>
      </c>
      <c r="AB75" s="110">
        <f t="shared" si="23"/>
        <v>1427.36</v>
      </c>
      <c r="AC75" s="110">
        <f t="shared" si="23"/>
        <v>1410.34</v>
      </c>
      <c r="AD75" s="110">
        <f t="shared" si="23"/>
        <v>1371.94</v>
      </c>
      <c r="AE75" s="110">
        <f t="shared" si="23"/>
        <v>1220.04</v>
      </c>
      <c r="AF75" s="110">
        <f t="shared" si="23"/>
        <v>1126.94</v>
      </c>
      <c r="AG75" s="98">
        <f>AG72+AG68+AG56+AG52+AG38+AG74</f>
        <v>2144.14</v>
      </c>
      <c r="AH75" s="21">
        <f t="shared" si="2"/>
        <v>1533.84</v>
      </c>
      <c r="AI75" s="20">
        <f t="shared" si="3"/>
        <v>1121.74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26">IF(D60&lt;0,D60*-1,0)</f>
        <v>0</v>
      </c>
      <c r="E76" s="77">
        <f t="shared" si="26"/>
        <v>0</v>
      </c>
      <c r="F76" s="77">
        <f t="shared" si="26"/>
        <v>0</v>
      </c>
      <c r="G76" s="77">
        <f t="shared" si="26"/>
        <v>0</v>
      </c>
      <c r="H76" s="77">
        <f t="shared" si="26"/>
        <v>0</v>
      </c>
      <c r="I76" s="77">
        <f t="shared" si="26"/>
        <v>0</v>
      </c>
      <c r="J76" s="77">
        <f t="shared" si="26"/>
        <v>0</v>
      </c>
      <c r="K76" s="77">
        <f t="shared" si="26"/>
        <v>0</v>
      </c>
      <c r="L76" s="77">
        <f t="shared" si="26"/>
        <v>0</v>
      </c>
      <c r="M76" s="77">
        <f t="shared" si="26"/>
        <v>0</v>
      </c>
      <c r="N76" s="77">
        <f t="shared" si="26"/>
        <v>0</v>
      </c>
      <c r="O76" s="77">
        <f t="shared" si="26"/>
        <v>0</v>
      </c>
      <c r="P76" s="77">
        <f t="shared" ref="P76:Q76" si="27">IF(P60&lt;0,P60*-1,0)</f>
        <v>0</v>
      </c>
      <c r="Q76" s="77">
        <f t="shared" si="27"/>
        <v>0</v>
      </c>
      <c r="R76" s="77">
        <f t="shared" ref="R76" si="28">IF(R60&lt;0,R60*-1,0)</f>
        <v>0</v>
      </c>
      <c r="S76" s="77">
        <f t="shared" si="26"/>
        <v>0</v>
      </c>
      <c r="T76" s="77">
        <f t="shared" si="26"/>
        <v>0</v>
      </c>
      <c r="U76" s="77">
        <f t="shared" si="26"/>
        <v>0</v>
      </c>
      <c r="V76" s="77">
        <f t="shared" si="26"/>
        <v>0</v>
      </c>
      <c r="W76" s="77">
        <f t="shared" si="26"/>
        <v>0</v>
      </c>
      <c r="X76" s="77">
        <f t="shared" si="26"/>
        <v>0</v>
      </c>
      <c r="Y76" s="77">
        <f t="shared" si="26"/>
        <v>0</v>
      </c>
      <c r="Z76" s="77">
        <f t="shared" si="26"/>
        <v>0</v>
      </c>
      <c r="AA76" s="77">
        <f t="shared" si="26"/>
        <v>0</v>
      </c>
      <c r="AB76" s="77">
        <f t="shared" si="26"/>
        <v>0</v>
      </c>
      <c r="AC76" s="77">
        <f t="shared" si="26"/>
        <v>0</v>
      </c>
      <c r="AD76" s="77">
        <f t="shared" si="26"/>
        <v>0</v>
      </c>
      <c r="AE76" s="77">
        <f t="shared" si="26"/>
        <v>0</v>
      </c>
      <c r="AF76" s="77">
        <f t="shared" si="26"/>
        <v>0</v>
      </c>
      <c r="AG76" s="108"/>
      <c r="AH76" s="21">
        <f t="shared" ref="AH76:AH91" si="29">MAX(B76:AF76)</f>
        <v>0</v>
      </c>
      <c r="AI76" s="20">
        <f t="shared" ref="AI76:AI91" si="3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31">IF(D58&lt;0,D58*-1,0)</f>
        <v>0</v>
      </c>
      <c r="E77" s="77">
        <f t="shared" si="31"/>
        <v>0</v>
      </c>
      <c r="F77" s="77">
        <f t="shared" si="31"/>
        <v>0</v>
      </c>
      <c r="G77" s="77">
        <f t="shared" si="31"/>
        <v>0</v>
      </c>
      <c r="H77" s="77">
        <f t="shared" si="31"/>
        <v>0</v>
      </c>
      <c r="I77" s="77">
        <f t="shared" si="31"/>
        <v>0</v>
      </c>
      <c r="J77" s="77">
        <f t="shared" si="31"/>
        <v>0</v>
      </c>
      <c r="K77" s="77">
        <f t="shared" si="31"/>
        <v>0</v>
      </c>
      <c r="L77" s="77">
        <f t="shared" si="31"/>
        <v>0</v>
      </c>
      <c r="M77" s="77">
        <f t="shared" si="31"/>
        <v>0</v>
      </c>
      <c r="N77" s="77">
        <f t="shared" si="31"/>
        <v>0</v>
      </c>
      <c r="O77" s="77">
        <f t="shared" si="31"/>
        <v>0</v>
      </c>
      <c r="P77" s="77">
        <f t="shared" ref="P77:Q77" si="32">IF(P58&lt;0,P58*-1,0)</f>
        <v>0</v>
      </c>
      <c r="Q77" s="77">
        <f t="shared" si="32"/>
        <v>0</v>
      </c>
      <c r="R77" s="77">
        <f t="shared" ref="R77" si="33">IF(R58&lt;0,R58*-1,0)</f>
        <v>0</v>
      </c>
      <c r="S77" s="77">
        <f t="shared" si="31"/>
        <v>0</v>
      </c>
      <c r="T77" s="77">
        <f t="shared" si="31"/>
        <v>0</v>
      </c>
      <c r="U77" s="77">
        <f t="shared" si="31"/>
        <v>0</v>
      </c>
      <c r="V77" s="77">
        <f t="shared" si="31"/>
        <v>0</v>
      </c>
      <c r="W77" s="77">
        <f t="shared" si="31"/>
        <v>0</v>
      </c>
      <c r="X77" s="77">
        <f t="shared" si="31"/>
        <v>0</v>
      </c>
      <c r="Y77" s="77">
        <f t="shared" si="31"/>
        <v>0</v>
      </c>
      <c r="Z77" s="77">
        <f t="shared" si="31"/>
        <v>0</v>
      </c>
      <c r="AA77" s="77">
        <f t="shared" si="31"/>
        <v>0</v>
      </c>
      <c r="AB77" s="77">
        <f t="shared" si="31"/>
        <v>0</v>
      </c>
      <c r="AC77" s="77">
        <f t="shared" si="31"/>
        <v>0</v>
      </c>
      <c r="AD77" s="77">
        <f t="shared" si="31"/>
        <v>0</v>
      </c>
      <c r="AE77" s="77">
        <f t="shared" si="31"/>
        <v>0</v>
      </c>
      <c r="AF77" s="77">
        <f t="shared" si="31"/>
        <v>0</v>
      </c>
      <c r="AG77" s="106"/>
      <c r="AH77" s="21">
        <f t="shared" si="29"/>
        <v>0</v>
      </c>
      <c r="AI77" s="20">
        <f t="shared" si="3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34">IF(D61&lt;0,D61*-1,0)</f>
        <v>0</v>
      </c>
      <c r="E78" s="77">
        <f t="shared" si="34"/>
        <v>0</v>
      </c>
      <c r="F78" s="77">
        <f t="shared" si="34"/>
        <v>0</v>
      </c>
      <c r="G78" s="77">
        <f t="shared" si="34"/>
        <v>0</v>
      </c>
      <c r="H78" s="77">
        <f t="shared" si="34"/>
        <v>0</v>
      </c>
      <c r="I78" s="77">
        <f t="shared" si="34"/>
        <v>0</v>
      </c>
      <c r="J78" s="77">
        <f t="shared" si="34"/>
        <v>0</v>
      </c>
      <c r="K78" s="77">
        <f t="shared" si="34"/>
        <v>0</v>
      </c>
      <c r="L78" s="77">
        <f t="shared" si="34"/>
        <v>0</v>
      </c>
      <c r="M78" s="77">
        <f t="shared" si="34"/>
        <v>0</v>
      </c>
      <c r="N78" s="77">
        <f t="shared" si="34"/>
        <v>0</v>
      </c>
      <c r="O78" s="77">
        <f t="shared" si="34"/>
        <v>0</v>
      </c>
      <c r="P78" s="77">
        <f t="shared" ref="P78:Q78" si="35">IF(P61&lt;0,P61*-1,0)</f>
        <v>0</v>
      </c>
      <c r="Q78" s="77">
        <f t="shared" si="35"/>
        <v>0</v>
      </c>
      <c r="R78" s="77">
        <f t="shared" ref="R78" si="36">IF(R61&lt;0,R61*-1,0)</f>
        <v>0</v>
      </c>
      <c r="S78" s="77">
        <f t="shared" si="34"/>
        <v>0</v>
      </c>
      <c r="T78" s="77">
        <f t="shared" si="34"/>
        <v>0</v>
      </c>
      <c r="U78" s="77">
        <f t="shared" si="34"/>
        <v>0</v>
      </c>
      <c r="V78" s="77">
        <f t="shared" si="34"/>
        <v>0</v>
      </c>
      <c r="W78" s="77">
        <f t="shared" si="34"/>
        <v>0</v>
      </c>
      <c r="X78" s="77">
        <f t="shared" si="34"/>
        <v>0</v>
      </c>
      <c r="Y78" s="77">
        <f t="shared" si="34"/>
        <v>0</v>
      </c>
      <c r="Z78" s="77">
        <f t="shared" si="34"/>
        <v>0</v>
      </c>
      <c r="AA78" s="77">
        <f t="shared" si="34"/>
        <v>0</v>
      </c>
      <c r="AB78" s="77">
        <f t="shared" si="34"/>
        <v>0</v>
      </c>
      <c r="AC78" s="77">
        <f t="shared" si="34"/>
        <v>0</v>
      </c>
      <c r="AD78" s="77">
        <f t="shared" si="34"/>
        <v>0</v>
      </c>
      <c r="AE78" s="77">
        <f t="shared" si="34"/>
        <v>0</v>
      </c>
      <c r="AF78" s="77">
        <f t="shared" si="34"/>
        <v>0</v>
      </c>
      <c r="AG78" s="105"/>
      <c r="AH78" s="21">
        <f t="shared" si="29"/>
        <v>0</v>
      </c>
      <c r="AI78" s="20">
        <f t="shared" si="3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37">IF(D59&lt;0,D59*-1,0)</f>
        <v>0</v>
      </c>
      <c r="E79" s="77">
        <f t="shared" si="37"/>
        <v>0</v>
      </c>
      <c r="F79" s="77">
        <f t="shared" si="37"/>
        <v>0</v>
      </c>
      <c r="G79" s="77">
        <f t="shared" si="37"/>
        <v>0</v>
      </c>
      <c r="H79" s="77">
        <f t="shared" si="37"/>
        <v>0</v>
      </c>
      <c r="I79" s="77">
        <f t="shared" si="37"/>
        <v>0</v>
      </c>
      <c r="J79" s="77">
        <f t="shared" si="37"/>
        <v>0</v>
      </c>
      <c r="K79" s="77">
        <f t="shared" si="37"/>
        <v>0</v>
      </c>
      <c r="L79" s="77">
        <f t="shared" si="37"/>
        <v>0</v>
      </c>
      <c r="M79" s="77">
        <f t="shared" si="37"/>
        <v>0</v>
      </c>
      <c r="N79" s="77">
        <f t="shared" si="37"/>
        <v>0</v>
      </c>
      <c r="O79" s="77">
        <f t="shared" si="37"/>
        <v>0</v>
      </c>
      <c r="P79" s="77">
        <f t="shared" ref="P79:Q79" si="38">IF(P59&lt;0,P59*-1,0)</f>
        <v>0</v>
      </c>
      <c r="Q79" s="77">
        <f t="shared" si="38"/>
        <v>0</v>
      </c>
      <c r="R79" s="77">
        <f t="shared" ref="R79" si="39">IF(R59&lt;0,R59*-1,0)</f>
        <v>0</v>
      </c>
      <c r="S79" s="77">
        <f t="shared" si="37"/>
        <v>0</v>
      </c>
      <c r="T79" s="77">
        <f t="shared" si="37"/>
        <v>0</v>
      </c>
      <c r="U79" s="77">
        <f t="shared" si="37"/>
        <v>0</v>
      </c>
      <c r="V79" s="77">
        <f t="shared" si="37"/>
        <v>0</v>
      </c>
      <c r="W79" s="77">
        <f t="shared" si="37"/>
        <v>0</v>
      </c>
      <c r="X79" s="77">
        <f t="shared" si="37"/>
        <v>0</v>
      </c>
      <c r="Y79" s="77">
        <f t="shared" si="37"/>
        <v>0</v>
      </c>
      <c r="Z79" s="77">
        <f t="shared" si="37"/>
        <v>0</v>
      </c>
      <c r="AA79" s="77">
        <f t="shared" si="37"/>
        <v>0</v>
      </c>
      <c r="AB79" s="77">
        <f t="shared" si="37"/>
        <v>0</v>
      </c>
      <c r="AC79" s="77">
        <f t="shared" si="37"/>
        <v>0</v>
      </c>
      <c r="AD79" s="77">
        <f t="shared" si="37"/>
        <v>0</v>
      </c>
      <c r="AE79" s="77">
        <f t="shared" si="37"/>
        <v>0</v>
      </c>
      <c r="AF79" s="77">
        <f t="shared" si="37"/>
        <v>0</v>
      </c>
      <c r="AG79" s="105"/>
      <c r="AH79" s="21">
        <f t="shared" si="29"/>
        <v>0</v>
      </c>
      <c r="AI79" s="20">
        <f t="shared" si="30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40">IF(D57&lt;0,D57*-1,0)</f>
        <v>0</v>
      </c>
      <c r="E80" s="77">
        <f t="shared" si="40"/>
        <v>0</v>
      </c>
      <c r="F80" s="77">
        <f t="shared" si="40"/>
        <v>0</v>
      </c>
      <c r="G80" s="77">
        <f t="shared" si="40"/>
        <v>0</v>
      </c>
      <c r="H80" s="77">
        <f t="shared" si="40"/>
        <v>0</v>
      </c>
      <c r="I80" s="77">
        <f t="shared" si="40"/>
        <v>0</v>
      </c>
      <c r="J80" s="77">
        <f t="shared" si="40"/>
        <v>0</v>
      </c>
      <c r="K80" s="77">
        <f t="shared" si="40"/>
        <v>0</v>
      </c>
      <c r="L80" s="77">
        <f t="shared" si="40"/>
        <v>0</v>
      </c>
      <c r="M80" s="77">
        <f t="shared" si="40"/>
        <v>0</v>
      </c>
      <c r="N80" s="77">
        <f t="shared" si="40"/>
        <v>0</v>
      </c>
      <c r="O80" s="77">
        <f t="shared" si="40"/>
        <v>0</v>
      </c>
      <c r="P80" s="77">
        <f t="shared" ref="P80:Q80" si="41">IF(P57&lt;0,P57*-1,0)</f>
        <v>0</v>
      </c>
      <c r="Q80" s="77">
        <f t="shared" si="41"/>
        <v>0</v>
      </c>
      <c r="R80" s="77">
        <f t="shared" ref="R80" si="42">IF(R57&lt;0,R57*-1,0)</f>
        <v>0</v>
      </c>
      <c r="S80" s="77">
        <f t="shared" si="40"/>
        <v>0</v>
      </c>
      <c r="T80" s="77">
        <f t="shared" si="40"/>
        <v>0</v>
      </c>
      <c r="U80" s="77">
        <f t="shared" si="40"/>
        <v>0</v>
      </c>
      <c r="V80" s="77">
        <f t="shared" si="40"/>
        <v>0</v>
      </c>
      <c r="W80" s="77">
        <f t="shared" si="40"/>
        <v>0</v>
      </c>
      <c r="X80" s="77">
        <f t="shared" si="40"/>
        <v>0</v>
      </c>
      <c r="Y80" s="77">
        <f t="shared" si="40"/>
        <v>0</v>
      </c>
      <c r="Z80" s="77">
        <f t="shared" si="40"/>
        <v>0</v>
      </c>
      <c r="AA80" s="77">
        <f t="shared" si="40"/>
        <v>0</v>
      </c>
      <c r="AB80" s="77">
        <f t="shared" si="40"/>
        <v>0</v>
      </c>
      <c r="AC80" s="77">
        <f t="shared" si="40"/>
        <v>0</v>
      </c>
      <c r="AD80" s="77">
        <f t="shared" si="40"/>
        <v>0</v>
      </c>
      <c r="AE80" s="77">
        <f t="shared" si="40"/>
        <v>0</v>
      </c>
      <c r="AF80" s="77">
        <f t="shared" si="40"/>
        <v>0</v>
      </c>
      <c r="AG80" s="105"/>
      <c r="AH80" s="21">
        <f t="shared" si="29"/>
        <v>0</v>
      </c>
      <c r="AI80" s="20">
        <f t="shared" si="30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9"/>
        <v>0</v>
      </c>
      <c r="AI81" s="20">
        <f t="shared" si="30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43">SUM(C76:C81)</f>
        <v>0</v>
      </c>
      <c r="D82" s="99">
        <f t="shared" si="43"/>
        <v>0</v>
      </c>
      <c r="E82" s="99">
        <f t="shared" si="43"/>
        <v>0</v>
      </c>
      <c r="F82" s="99">
        <f t="shared" si="43"/>
        <v>0</v>
      </c>
      <c r="G82" s="99">
        <f t="shared" si="43"/>
        <v>0</v>
      </c>
      <c r="H82" s="99">
        <f t="shared" si="43"/>
        <v>0</v>
      </c>
      <c r="I82" s="99">
        <f t="shared" si="43"/>
        <v>0</v>
      </c>
      <c r="J82" s="99">
        <f t="shared" si="43"/>
        <v>0</v>
      </c>
      <c r="K82" s="99">
        <f t="shared" si="43"/>
        <v>0</v>
      </c>
      <c r="L82" s="99">
        <f t="shared" si="43"/>
        <v>0</v>
      </c>
      <c r="M82" s="99">
        <f t="shared" si="43"/>
        <v>0</v>
      </c>
      <c r="N82" s="99">
        <f t="shared" si="43"/>
        <v>0</v>
      </c>
      <c r="O82" s="99">
        <f t="shared" si="43"/>
        <v>0</v>
      </c>
      <c r="P82" s="99">
        <f t="shared" ref="P82:Q82" si="44">SUM(P76:P81)</f>
        <v>0</v>
      </c>
      <c r="Q82" s="99">
        <f t="shared" si="44"/>
        <v>0</v>
      </c>
      <c r="R82" s="99">
        <f t="shared" ref="R82" si="45">SUM(R76:R81)</f>
        <v>0</v>
      </c>
      <c r="S82" s="99">
        <f t="shared" si="43"/>
        <v>0</v>
      </c>
      <c r="T82" s="99">
        <f t="shared" si="43"/>
        <v>0</v>
      </c>
      <c r="U82" s="99">
        <f t="shared" si="43"/>
        <v>0</v>
      </c>
      <c r="V82" s="99">
        <f t="shared" si="43"/>
        <v>0</v>
      </c>
      <c r="W82" s="99">
        <f t="shared" si="43"/>
        <v>0</v>
      </c>
      <c r="X82" s="99">
        <f t="shared" si="43"/>
        <v>0</v>
      </c>
      <c r="Y82" s="99">
        <f t="shared" si="43"/>
        <v>0</v>
      </c>
      <c r="Z82" s="99">
        <f t="shared" si="43"/>
        <v>0</v>
      </c>
      <c r="AA82" s="99">
        <f t="shared" si="43"/>
        <v>0</v>
      </c>
      <c r="AB82" s="99">
        <f t="shared" si="43"/>
        <v>0</v>
      </c>
      <c r="AC82" s="99">
        <f t="shared" si="43"/>
        <v>0</v>
      </c>
      <c r="AD82" s="99">
        <f t="shared" si="43"/>
        <v>0</v>
      </c>
      <c r="AE82" s="99">
        <f t="shared" si="43"/>
        <v>0</v>
      </c>
      <c r="AF82" s="99">
        <f t="shared" si="43"/>
        <v>0</v>
      </c>
      <c r="AG82" s="98">
        <f t="shared" si="43"/>
        <v>0</v>
      </c>
      <c r="AH82" s="21">
        <f t="shared" si="29"/>
        <v>0</v>
      </c>
      <c r="AI82" s="20">
        <f t="shared" si="30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2458.48</v>
      </c>
      <c r="C83" s="99">
        <f t="shared" ref="C83:AG83" si="46">SUM(C70:C82)</f>
        <v>2406.88</v>
      </c>
      <c r="D83" s="99">
        <f t="shared" si="46"/>
        <v>2397.88</v>
      </c>
      <c r="E83" s="99">
        <f t="shared" si="46"/>
        <v>2369.2799999999997</v>
      </c>
      <c r="F83" s="99">
        <f t="shared" si="46"/>
        <v>2376.6800000000003</v>
      </c>
      <c r="G83" s="99">
        <f t="shared" si="46"/>
        <v>2361.08</v>
      </c>
      <c r="H83" s="99">
        <f t="shared" si="46"/>
        <v>2495.4800000000005</v>
      </c>
      <c r="I83" s="99">
        <f t="shared" si="46"/>
        <v>2471.6799999999998</v>
      </c>
      <c r="J83" s="99">
        <f t="shared" si="46"/>
        <v>2547.6800000000003</v>
      </c>
      <c r="K83" s="99">
        <f t="shared" si="46"/>
        <v>2627.08</v>
      </c>
      <c r="L83" s="99">
        <f t="shared" si="46"/>
        <v>2693.48</v>
      </c>
      <c r="M83" s="99">
        <f t="shared" si="46"/>
        <v>2698.08</v>
      </c>
      <c r="N83" s="99">
        <f t="shared" si="46"/>
        <v>2651.48</v>
      </c>
      <c r="O83" s="99">
        <f t="shared" si="46"/>
        <v>2541.94</v>
      </c>
      <c r="P83" s="99">
        <f t="shared" ref="P83:Q83" si="47">SUM(P70:P82)</f>
        <v>2432.48</v>
      </c>
      <c r="Q83" s="99">
        <f t="shared" si="47"/>
        <v>2429.6800000000003</v>
      </c>
      <c r="R83" s="99">
        <f t="shared" ref="R83" si="48">SUM(R70:R82)</f>
        <v>2419.2800000000002</v>
      </c>
      <c r="S83" s="99">
        <f t="shared" si="46"/>
        <v>2385.88</v>
      </c>
      <c r="T83" s="99">
        <f t="shared" si="46"/>
        <v>2346.48</v>
      </c>
      <c r="U83" s="99">
        <f t="shared" si="46"/>
        <v>2243.48</v>
      </c>
      <c r="V83" s="99">
        <f t="shared" si="46"/>
        <v>2373.0000000000005</v>
      </c>
      <c r="W83" s="99">
        <f t="shared" si="46"/>
        <v>2392.48</v>
      </c>
      <c r="X83" s="99">
        <f t="shared" si="46"/>
        <v>2381.6800000000003</v>
      </c>
      <c r="Y83" s="99">
        <f t="shared" si="46"/>
        <v>2526.1600000000003</v>
      </c>
      <c r="Z83" s="99">
        <f t="shared" si="46"/>
        <v>3067.68</v>
      </c>
      <c r="AA83" s="99">
        <f t="shared" si="46"/>
        <v>2999.48</v>
      </c>
      <c r="AB83" s="99">
        <f t="shared" si="46"/>
        <v>2854.72</v>
      </c>
      <c r="AC83" s="99">
        <f t="shared" si="46"/>
        <v>2820.68</v>
      </c>
      <c r="AD83" s="99">
        <f t="shared" si="46"/>
        <v>2743.88</v>
      </c>
      <c r="AE83" s="99">
        <f t="shared" si="46"/>
        <v>2440.08</v>
      </c>
      <c r="AF83" s="99">
        <f t="shared" si="46"/>
        <v>2253.88</v>
      </c>
      <c r="AG83" s="98">
        <f t="shared" si="46"/>
        <v>4360.08</v>
      </c>
      <c r="AH83" s="21">
        <f t="shared" si="29"/>
        <v>3067.68</v>
      </c>
      <c r="AI83" s="20">
        <f t="shared" si="30"/>
        <v>2243.48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49.89</v>
      </c>
      <c r="C84" s="96">
        <v>49.8</v>
      </c>
      <c r="D84" s="96">
        <v>50.03</v>
      </c>
      <c r="E84" s="96">
        <v>50.052999999999997</v>
      </c>
      <c r="F84" s="96">
        <v>49.942999999999998</v>
      </c>
      <c r="G84" s="96">
        <v>49.945999999999998</v>
      </c>
      <c r="H84" s="96">
        <v>49.773000000000003</v>
      </c>
      <c r="I84" s="96">
        <v>50.051000000000002</v>
      </c>
      <c r="J84" s="96">
        <v>49.906999999999996</v>
      </c>
      <c r="K84" s="96">
        <v>49.975999999999999</v>
      </c>
      <c r="L84" s="96">
        <v>49.9</v>
      </c>
      <c r="M84" s="96">
        <v>50.051000000000002</v>
      </c>
      <c r="N84" s="96">
        <v>50</v>
      </c>
      <c r="O84" s="96">
        <v>50.03</v>
      </c>
      <c r="P84" s="96">
        <v>50.03</v>
      </c>
      <c r="Q84" s="96">
        <v>50.03</v>
      </c>
      <c r="R84" s="96">
        <v>50.1</v>
      </c>
      <c r="S84" s="96">
        <v>50.054000000000002</v>
      </c>
      <c r="T84" s="96">
        <v>50.042999999999999</v>
      </c>
      <c r="U84" s="96">
        <v>49.706000000000003</v>
      </c>
      <c r="V84" s="96">
        <v>49.612000000000002</v>
      </c>
      <c r="W84" s="96">
        <v>49.765000000000001</v>
      </c>
      <c r="X84" s="96">
        <v>49.988</v>
      </c>
      <c r="Y84" s="96">
        <v>50.015000000000001</v>
      </c>
      <c r="Z84" s="96">
        <v>50.055999999999997</v>
      </c>
      <c r="AA84" s="96">
        <v>49.716999999999999</v>
      </c>
      <c r="AB84" s="96">
        <v>49.996000000000002</v>
      </c>
      <c r="AC84" s="96">
        <v>49.975999999999999</v>
      </c>
      <c r="AD84" s="96">
        <v>49.94</v>
      </c>
      <c r="AE84" s="96">
        <v>49.96</v>
      </c>
      <c r="AF84" s="96">
        <v>49.97</v>
      </c>
      <c r="AG84" s="95"/>
      <c r="AH84" s="21">
        <f t="shared" si="29"/>
        <v>50.1</v>
      </c>
      <c r="AI84" s="20">
        <f t="shared" si="30"/>
        <v>49.612000000000002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126.6</v>
      </c>
      <c r="C85" s="73">
        <v>128</v>
      </c>
      <c r="D85" s="73">
        <v>127</v>
      </c>
      <c r="E85" s="73">
        <v>127</v>
      </c>
      <c r="F85" s="73">
        <v>127</v>
      </c>
      <c r="G85" s="73">
        <v>126</v>
      </c>
      <c r="H85" s="73">
        <v>125</v>
      </c>
      <c r="I85" s="73">
        <v>127</v>
      </c>
      <c r="J85" s="73">
        <v>125</v>
      </c>
      <c r="K85" s="73">
        <v>125</v>
      </c>
      <c r="L85" s="73">
        <v>125</v>
      </c>
      <c r="M85" s="73">
        <v>124.2</v>
      </c>
      <c r="N85" s="73">
        <v>126.4</v>
      </c>
      <c r="O85" s="73">
        <v>126.2</v>
      </c>
      <c r="P85" s="73">
        <v>126.2</v>
      </c>
      <c r="Q85" s="73">
        <v>126.2</v>
      </c>
      <c r="R85" s="73">
        <v>127.5</v>
      </c>
      <c r="S85" s="73">
        <v>126.1</v>
      </c>
      <c r="T85" s="73">
        <v>125.8</v>
      </c>
      <c r="U85" s="94">
        <v>127.4</v>
      </c>
      <c r="V85" s="94">
        <v>126.5</v>
      </c>
      <c r="W85" s="94">
        <v>127.1</v>
      </c>
      <c r="X85" s="94">
        <v>129.69999999999999</v>
      </c>
      <c r="Y85" s="94">
        <v>128.30000000000001</v>
      </c>
      <c r="Z85" s="94">
        <v>127.7</v>
      </c>
      <c r="AA85" s="94">
        <v>128.5</v>
      </c>
      <c r="AB85" s="73">
        <v>129.5</v>
      </c>
      <c r="AC85" s="73">
        <v>129.6</v>
      </c>
      <c r="AD85" s="73">
        <v>129.6</v>
      </c>
      <c r="AE85" s="73">
        <v>131.1</v>
      </c>
      <c r="AF85" s="73">
        <v>131.6</v>
      </c>
      <c r="AG85" s="89"/>
      <c r="AH85" s="21">
        <f t="shared" si="29"/>
        <v>131.6</v>
      </c>
      <c r="AI85" s="20">
        <f t="shared" si="30"/>
        <v>124.2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131.80000000000001</v>
      </c>
      <c r="C86" s="73">
        <v>132</v>
      </c>
      <c r="D86" s="73">
        <v>132.9</v>
      </c>
      <c r="E86" s="73">
        <v>132</v>
      </c>
      <c r="F86" s="73">
        <v>132</v>
      </c>
      <c r="G86" s="73">
        <v>132</v>
      </c>
      <c r="H86" s="73">
        <v>130</v>
      </c>
      <c r="I86" s="73">
        <v>131</v>
      </c>
      <c r="J86" s="73">
        <v>129</v>
      </c>
      <c r="K86" s="73">
        <v>129</v>
      </c>
      <c r="L86" s="73">
        <v>128</v>
      </c>
      <c r="M86" s="73">
        <v>128.19999999999999</v>
      </c>
      <c r="N86" s="73">
        <v>130</v>
      </c>
      <c r="O86" s="73">
        <v>131</v>
      </c>
      <c r="P86" s="73">
        <v>131</v>
      </c>
      <c r="Q86" s="73">
        <v>131</v>
      </c>
      <c r="R86" s="73">
        <v>130.5</v>
      </c>
      <c r="S86" s="73">
        <v>130</v>
      </c>
      <c r="T86" s="73">
        <v>130</v>
      </c>
      <c r="U86" s="94">
        <v>131</v>
      </c>
      <c r="V86" s="94">
        <v>130.5</v>
      </c>
      <c r="W86" s="94">
        <v>130.9</v>
      </c>
      <c r="X86" s="94">
        <v>132.9</v>
      </c>
      <c r="Y86" s="94">
        <v>131</v>
      </c>
      <c r="Z86" s="94">
        <v>129.9</v>
      </c>
      <c r="AA86" s="94">
        <v>130.5</v>
      </c>
      <c r="AB86" s="73">
        <v>131.69999999999999</v>
      </c>
      <c r="AC86" s="73">
        <v>131.9</v>
      </c>
      <c r="AD86" s="73">
        <v>131.9</v>
      </c>
      <c r="AE86" s="73">
        <v>133.69999999999999</v>
      </c>
      <c r="AF86" s="73">
        <v>134.6</v>
      </c>
      <c r="AG86" s="89"/>
      <c r="AH86" s="21">
        <f t="shared" si="29"/>
        <v>134.6</v>
      </c>
      <c r="AI86" s="20">
        <f t="shared" si="30"/>
        <v>128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127.5</v>
      </c>
      <c r="C87" s="90">
        <v>127.5</v>
      </c>
      <c r="D87" s="73">
        <v>130</v>
      </c>
      <c r="E87" s="73">
        <v>130</v>
      </c>
      <c r="F87" s="73">
        <v>130</v>
      </c>
      <c r="G87" s="73">
        <v>129</v>
      </c>
      <c r="H87" s="73">
        <v>127</v>
      </c>
      <c r="I87" s="73">
        <v>129</v>
      </c>
      <c r="J87" s="73">
        <v>130</v>
      </c>
      <c r="K87" s="73">
        <v>129</v>
      </c>
      <c r="L87" s="73">
        <v>128</v>
      </c>
      <c r="M87" s="73">
        <v>130.30000000000001</v>
      </c>
      <c r="N87" s="73">
        <v>128.9</v>
      </c>
      <c r="O87" s="73">
        <v>128.9</v>
      </c>
      <c r="P87" s="73">
        <v>128.9</v>
      </c>
      <c r="Q87" s="73">
        <v>128.9</v>
      </c>
      <c r="R87" s="73">
        <v>130.6</v>
      </c>
      <c r="S87" s="73">
        <v>133.30000000000001</v>
      </c>
      <c r="T87" s="73">
        <v>129.30000000000001</v>
      </c>
      <c r="U87" s="73">
        <v>131.30000000000001</v>
      </c>
      <c r="V87" s="73">
        <v>129.6</v>
      </c>
      <c r="W87" s="73">
        <v>131</v>
      </c>
      <c r="X87" s="94">
        <v>130.19999999999999</v>
      </c>
      <c r="Y87" s="94">
        <v>130</v>
      </c>
      <c r="Z87" s="94">
        <v>126.6</v>
      </c>
      <c r="AA87" s="94">
        <v>129.1</v>
      </c>
      <c r="AB87" s="73">
        <v>130.4</v>
      </c>
      <c r="AC87" s="73">
        <v>130.69999999999999</v>
      </c>
      <c r="AD87" s="73">
        <v>130.5</v>
      </c>
      <c r="AE87" s="73">
        <v>130.69999999999999</v>
      </c>
      <c r="AF87" s="73">
        <v>131.19999999999999</v>
      </c>
      <c r="AG87" s="89"/>
      <c r="AH87" s="21">
        <f t="shared" si="29"/>
        <v>133.30000000000001</v>
      </c>
      <c r="AI87" s="20">
        <f t="shared" si="30"/>
        <v>126.6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132</v>
      </c>
      <c r="C88" s="90">
        <v>132</v>
      </c>
      <c r="D88" s="73">
        <v>134</v>
      </c>
      <c r="E88" s="73">
        <v>134</v>
      </c>
      <c r="F88" s="73">
        <v>134</v>
      </c>
      <c r="G88" s="73">
        <v>134</v>
      </c>
      <c r="H88" s="73">
        <v>132</v>
      </c>
      <c r="I88" s="73">
        <v>132</v>
      </c>
      <c r="J88" s="73">
        <v>131</v>
      </c>
      <c r="K88" s="73">
        <v>130</v>
      </c>
      <c r="L88" s="73">
        <v>128</v>
      </c>
      <c r="M88" s="73">
        <v>131.19999999999999</v>
      </c>
      <c r="N88" s="73">
        <v>0</v>
      </c>
      <c r="O88" s="73">
        <v>0</v>
      </c>
      <c r="P88" s="73">
        <v>0</v>
      </c>
      <c r="Q88" s="73">
        <v>0</v>
      </c>
      <c r="R88" s="73">
        <v>130.4</v>
      </c>
      <c r="S88" s="73">
        <v>132.80000000000001</v>
      </c>
      <c r="T88" s="73">
        <v>129</v>
      </c>
      <c r="U88" s="73">
        <v>131.69999999999999</v>
      </c>
      <c r="V88" s="73">
        <v>130.4</v>
      </c>
      <c r="W88" s="73">
        <v>131.4</v>
      </c>
      <c r="X88" s="94">
        <v>130.9</v>
      </c>
      <c r="Y88" s="94">
        <v>131.6</v>
      </c>
      <c r="Z88" s="94">
        <v>128.69999999999999</v>
      </c>
      <c r="AA88" s="94">
        <v>131.6</v>
      </c>
      <c r="AB88" s="73">
        <v>133.5</v>
      </c>
      <c r="AC88" s="73">
        <v>133.9</v>
      </c>
      <c r="AD88" s="73">
        <v>133.80000000000001</v>
      </c>
      <c r="AE88" s="73">
        <v>135.19999999999999</v>
      </c>
      <c r="AF88" s="73">
        <v>134</v>
      </c>
      <c r="AG88" s="89"/>
      <c r="AH88" s="21">
        <f t="shared" si="29"/>
        <v>135.19999999999999</v>
      </c>
      <c r="AI88" s="20">
        <f t="shared" si="30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133.69999999999999</v>
      </c>
      <c r="C89" s="92">
        <v>133.69999999999999</v>
      </c>
      <c r="D89" s="66">
        <v>136</v>
      </c>
      <c r="E89" s="66">
        <v>136</v>
      </c>
      <c r="F89" s="66">
        <v>136</v>
      </c>
      <c r="G89" s="66">
        <v>131</v>
      </c>
      <c r="H89" s="66">
        <v>133</v>
      </c>
      <c r="I89" s="66">
        <v>133</v>
      </c>
      <c r="J89" s="66">
        <v>132</v>
      </c>
      <c r="K89" s="66">
        <v>133</v>
      </c>
      <c r="L89" s="66">
        <v>135</v>
      </c>
      <c r="M89" s="66">
        <v>134</v>
      </c>
      <c r="N89" s="66">
        <v>131.30000000000001</v>
      </c>
      <c r="O89" s="66">
        <v>131.30000000000001</v>
      </c>
      <c r="P89" s="66">
        <v>131.30000000000001</v>
      </c>
      <c r="Q89" s="66">
        <v>131.30000000000001</v>
      </c>
      <c r="R89" s="66">
        <v>134.80000000000001</v>
      </c>
      <c r="S89" s="66">
        <v>131.80000000000001</v>
      </c>
      <c r="T89" s="66">
        <v>133.30000000000001</v>
      </c>
      <c r="U89" s="66">
        <v>135</v>
      </c>
      <c r="V89" s="66">
        <v>132.5</v>
      </c>
      <c r="W89" s="66">
        <v>132.9</v>
      </c>
      <c r="X89" s="94">
        <v>135.6</v>
      </c>
      <c r="Y89" s="94">
        <v>136.69999999999999</v>
      </c>
      <c r="Z89" s="94">
        <v>133.69999999999999</v>
      </c>
      <c r="AA89" s="94">
        <v>134</v>
      </c>
      <c r="AB89" s="66">
        <v>136.19999999999999</v>
      </c>
      <c r="AC89" s="66">
        <v>136.5</v>
      </c>
      <c r="AD89" s="66">
        <v>136.6</v>
      </c>
      <c r="AE89" s="66">
        <v>135.19999999999999</v>
      </c>
      <c r="AF89" s="66">
        <v>134.1</v>
      </c>
      <c r="AG89" s="91"/>
      <c r="AH89" s="21">
        <f t="shared" si="29"/>
        <v>136.69999999999999</v>
      </c>
      <c r="AI89" s="20">
        <f t="shared" si="30"/>
        <v>131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131</v>
      </c>
      <c r="C90" s="90">
        <v>131</v>
      </c>
      <c r="D90" s="73">
        <v>134</v>
      </c>
      <c r="E90" s="73">
        <v>134</v>
      </c>
      <c r="F90" s="73">
        <v>134</v>
      </c>
      <c r="G90" s="73">
        <v>134</v>
      </c>
      <c r="H90" s="73">
        <v>135</v>
      </c>
      <c r="I90" s="73">
        <v>135</v>
      </c>
      <c r="J90" s="73">
        <v>130</v>
      </c>
      <c r="K90" s="73">
        <v>131</v>
      </c>
      <c r="L90" s="73">
        <v>131</v>
      </c>
      <c r="M90" s="73">
        <v>130.19999999999999</v>
      </c>
      <c r="N90" s="73">
        <v>132.19999999999999</v>
      </c>
      <c r="O90" s="73">
        <v>132.4</v>
      </c>
      <c r="P90" s="73">
        <v>132.4</v>
      </c>
      <c r="Q90" s="73">
        <v>132.4</v>
      </c>
      <c r="R90" s="73">
        <v>132.30000000000001</v>
      </c>
      <c r="S90" s="73">
        <v>129.19999999999999</v>
      </c>
      <c r="T90" s="73">
        <v>132.19999999999999</v>
      </c>
      <c r="U90" s="73"/>
      <c r="V90" s="73">
        <v>126.3</v>
      </c>
      <c r="W90" s="73">
        <v>129.6</v>
      </c>
      <c r="X90" s="94">
        <v>132.69999999999999</v>
      </c>
      <c r="Y90" s="94">
        <v>132.6</v>
      </c>
      <c r="Z90" s="94">
        <v>136.4</v>
      </c>
      <c r="AA90" s="94">
        <v>136</v>
      </c>
      <c r="AB90" s="73">
        <v>134.19999999999999</v>
      </c>
      <c r="AC90" s="73">
        <v>131.30000000000001</v>
      </c>
      <c r="AD90" s="73">
        <v>131.1</v>
      </c>
      <c r="AE90" s="73">
        <v>134.1</v>
      </c>
      <c r="AF90" s="73">
        <v>132.5</v>
      </c>
      <c r="AG90" s="89"/>
      <c r="AH90" s="21">
        <f t="shared" si="29"/>
        <v>136.4</v>
      </c>
      <c r="AI90" s="20">
        <f t="shared" si="30"/>
        <v>126.3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66.599999999999994</v>
      </c>
      <c r="C91" s="88">
        <v>66.599999999999994</v>
      </c>
      <c r="D91" s="87">
        <v>67</v>
      </c>
      <c r="E91" s="87">
        <v>66.599999999999994</v>
      </c>
      <c r="F91" s="87">
        <v>66.599999999999994</v>
      </c>
      <c r="G91" s="87">
        <v>66</v>
      </c>
      <c r="H91" s="87">
        <v>66</v>
      </c>
      <c r="I91" s="87">
        <v>65</v>
      </c>
      <c r="J91" s="87">
        <v>65</v>
      </c>
      <c r="K91" s="87">
        <v>65</v>
      </c>
      <c r="L91" s="87">
        <v>65</v>
      </c>
      <c r="M91" s="87">
        <v>64.8</v>
      </c>
      <c r="N91" s="87">
        <v>66</v>
      </c>
      <c r="O91" s="87">
        <v>65</v>
      </c>
      <c r="P91" s="87">
        <v>64.400000000000006</v>
      </c>
      <c r="Q91" s="87">
        <v>64.599999999999994</v>
      </c>
      <c r="R91" s="87">
        <v>66</v>
      </c>
      <c r="S91" s="87">
        <v>65.8</v>
      </c>
      <c r="T91" s="87">
        <v>66</v>
      </c>
      <c r="U91" s="87">
        <v>66.2</v>
      </c>
      <c r="V91" s="87">
        <v>66.099999999999994</v>
      </c>
      <c r="W91" s="87">
        <v>66.2</v>
      </c>
      <c r="X91" s="87">
        <v>67.2</v>
      </c>
      <c r="Y91" s="87">
        <v>66.099999999999994</v>
      </c>
      <c r="Z91" s="87">
        <v>65.8</v>
      </c>
      <c r="AA91" s="87">
        <v>66</v>
      </c>
      <c r="AB91" s="87">
        <v>66.8</v>
      </c>
      <c r="AC91" s="87">
        <v>66.900000000000006</v>
      </c>
      <c r="AD91" s="87">
        <v>66.5</v>
      </c>
      <c r="AE91" s="87">
        <v>67</v>
      </c>
      <c r="AF91" s="87">
        <v>67.5</v>
      </c>
      <c r="AG91" s="86"/>
      <c r="AH91" s="21">
        <f t="shared" si="29"/>
        <v>67.5</v>
      </c>
      <c r="AI91" s="20">
        <f t="shared" si="30"/>
        <v>64.400000000000006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49">SUM(B15,B18,B21:B22,B42,B44:B45,B47,B49,B94:B97,B103,B109,B115,B124,B126,B138,B145,B148:B149,B156,B158,B160,B164:B166,B168:B170,B175,B181:B182,B184:B186,B194,B199)</f>
        <v>172.54</v>
      </c>
      <c r="C93" s="82">
        <f t="shared" si="49"/>
        <v>166.54</v>
      </c>
      <c r="D93" s="82">
        <f t="shared" si="49"/>
        <v>126.54</v>
      </c>
      <c r="E93" s="82">
        <f t="shared" si="49"/>
        <v>123.93999999999998</v>
      </c>
      <c r="F93" s="82">
        <f t="shared" si="49"/>
        <v>124.43999999999998</v>
      </c>
      <c r="G93" s="80">
        <f t="shared" si="49"/>
        <v>151.33999999999997</v>
      </c>
      <c r="H93" s="80">
        <f t="shared" si="49"/>
        <v>170.54</v>
      </c>
      <c r="I93" s="80">
        <f t="shared" si="49"/>
        <v>225.73999999999998</v>
      </c>
      <c r="J93" s="80">
        <f t="shared" si="49"/>
        <v>254.64</v>
      </c>
      <c r="K93" s="80">
        <f t="shared" si="49"/>
        <v>274.14000000000004</v>
      </c>
      <c r="L93" s="80">
        <f t="shared" si="49"/>
        <v>295.74</v>
      </c>
      <c r="M93" s="80">
        <f t="shared" si="49"/>
        <v>317.54000000000002</v>
      </c>
      <c r="N93" s="80">
        <f t="shared" si="49"/>
        <v>316.84000000000003</v>
      </c>
      <c r="O93" s="80">
        <f t="shared" ref="O93" si="50">SUM(O15,O18,O21:O22,O42,O44:O45,O47,O49,O94:O97,O103,O109,O115,O124,O126,O138,O145,O148:O149,O156,O158,O160,O164:O166,O168:O170,O175,O181:O182,O184:O186,O194,O199)</f>
        <v>277.24000000000007</v>
      </c>
      <c r="P93" s="80">
        <f t="shared" si="49"/>
        <v>250.94</v>
      </c>
      <c r="Q93" s="80">
        <f t="shared" si="49"/>
        <v>277.64000000000004</v>
      </c>
      <c r="R93" s="80">
        <f t="shared" si="49"/>
        <v>258.74000000000012</v>
      </c>
      <c r="S93" s="80">
        <f t="shared" si="49"/>
        <v>257.54000000000008</v>
      </c>
      <c r="T93" s="80">
        <f t="shared" si="49"/>
        <v>258.24000000000012</v>
      </c>
      <c r="U93" s="80">
        <f t="shared" si="49"/>
        <v>252.24</v>
      </c>
      <c r="V93" s="80">
        <f t="shared" si="49"/>
        <v>255.44</v>
      </c>
      <c r="W93" s="80">
        <f t="shared" si="49"/>
        <v>253.44</v>
      </c>
      <c r="X93" s="80">
        <f t="shared" si="49"/>
        <v>292.84000000000003</v>
      </c>
      <c r="Y93" s="80">
        <f t="shared" si="49"/>
        <v>327.84000000000003</v>
      </c>
      <c r="Z93" s="80">
        <f t="shared" si="49"/>
        <v>352.84000000000003</v>
      </c>
      <c r="AA93" s="80">
        <f t="shared" si="49"/>
        <v>346.94000000000005</v>
      </c>
      <c r="AB93" s="80">
        <f t="shared" si="49"/>
        <v>316.24000000000007</v>
      </c>
      <c r="AC93" s="80">
        <f t="shared" si="49"/>
        <v>297.1400000000001</v>
      </c>
      <c r="AD93" s="80">
        <f t="shared" si="49"/>
        <v>276.14000000000004</v>
      </c>
      <c r="AE93" s="80">
        <f t="shared" si="49"/>
        <v>217.83999999999997</v>
      </c>
      <c r="AF93" s="80">
        <f t="shared" si="49"/>
        <v>185.03999999999996</v>
      </c>
      <c r="AG93" s="79"/>
      <c r="AH93" s="21">
        <f>MAX(C93:AF93)</f>
        <v>352.84000000000003</v>
      </c>
      <c r="AI93" s="20">
        <f>MIN(C93:AF93)</f>
        <v>123.93999999999998</v>
      </c>
    </row>
    <row r="94" spans="1:88" x14ac:dyDescent="0.25">
      <c r="A94" s="48" t="s">
        <v>122</v>
      </c>
      <c r="B94" s="78">
        <v>-9</v>
      </c>
      <c r="C94" s="77">
        <v>-6</v>
      </c>
      <c r="D94" s="77">
        <v>3</v>
      </c>
      <c r="E94" s="77">
        <v>-31.8</v>
      </c>
      <c r="F94" s="77">
        <v>-35.4</v>
      </c>
      <c r="G94" s="76">
        <v>-33.6</v>
      </c>
      <c r="H94" s="76">
        <v>-29.4</v>
      </c>
      <c r="I94" s="76">
        <v>11.5</v>
      </c>
      <c r="J94" s="76">
        <v>-2.5</v>
      </c>
      <c r="K94" s="76">
        <v>37.299999999999997</v>
      </c>
      <c r="L94" s="76">
        <v>58.8</v>
      </c>
      <c r="M94" s="75">
        <v>50.7</v>
      </c>
      <c r="N94" s="76">
        <v>37.299999999999997</v>
      </c>
      <c r="O94" s="76">
        <v>10</v>
      </c>
      <c r="P94" s="76">
        <v>2</v>
      </c>
      <c r="Q94" s="76">
        <v>17.5</v>
      </c>
      <c r="R94" s="76">
        <v>21.4</v>
      </c>
      <c r="S94" s="76">
        <v>19.8</v>
      </c>
      <c r="T94" s="76">
        <v>22.5</v>
      </c>
      <c r="U94" s="75">
        <v>12.4</v>
      </c>
      <c r="V94" s="75">
        <v>17.8</v>
      </c>
      <c r="W94" s="75">
        <v>10.1</v>
      </c>
      <c r="X94" s="76">
        <v>14.2</v>
      </c>
      <c r="Y94" s="76">
        <v>27.7</v>
      </c>
      <c r="Z94" s="76">
        <v>21.6</v>
      </c>
      <c r="AA94" s="76">
        <v>26.3</v>
      </c>
      <c r="AB94" s="75">
        <v>29.5</v>
      </c>
      <c r="AC94" s="75">
        <v>27.8</v>
      </c>
      <c r="AD94" s="75">
        <v>27.6</v>
      </c>
      <c r="AE94" s="75">
        <v>5.7</v>
      </c>
      <c r="AF94" s="75">
        <v>-16</v>
      </c>
      <c r="AG94" s="3">
        <v>75</v>
      </c>
      <c r="AH94" s="21">
        <f t="shared" ref="AH94:AH100" si="51">IF(ABS(MAX(C94:AF94))&gt;ABS(MIN(C94:AF94)),MAX(C94:AF94),MIN(C94:AF94))</f>
        <v>58.8</v>
      </c>
      <c r="AI94" s="64">
        <f t="shared" ref="AI94:AI100" si="52">INDEX($C$9:$AF$9,1,MATCH(AH94,C94:AF94,0))</f>
        <v>0.3125</v>
      </c>
    </row>
    <row r="95" spans="1:88" x14ac:dyDescent="0.25">
      <c r="A95" s="45" t="s">
        <v>121</v>
      </c>
      <c r="B95" s="74">
        <v>-46</v>
      </c>
      <c r="C95" s="67">
        <v>-50</v>
      </c>
      <c r="D95" s="67">
        <v>-90</v>
      </c>
      <c r="E95" s="67">
        <v>-85</v>
      </c>
      <c r="F95" s="67">
        <v>-82</v>
      </c>
      <c r="G95" s="67">
        <v>-76</v>
      </c>
      <c r="H95" s="67">
        <v>-73</v>
      </c>
      <c r="I95" s="67">
        <v>-34</v>
      </c>
      <c r="J95" s="67">
        <v>-22</v>
      </c>
      <c r="K95" s="67">
        <v>-20</v>
      </c>
      <c r="L95" s="67">
        <v>-10.8</v>
      </c>
      <c r="M95" s="67">
        <v>-16</v>
      </c>
      <c r="N95" s="67">
        <f>0-10.6</f>
        <v>-10.6</v>
      </c>
      <c r="O95" s="67">
        <f>-8-14</f>
        <v>-22</v>
      </c>
      <c r="P95" s="67">
        <v>-16</v>
      </c>
      <c r="Q95" s="67">
        <v>-4</v>
      </c>
      <c r="R95" s="67">
        <f>10.4</f>
        <v>10.4</v>
      </c>
      <c r="S95" s="67">
        <v>-4.0999999999999996</v>
      </c>
      <c r="T95" s="67">
        <v>-3.9</v>
      </c>
      <c r="U95" s="67">
        <v>-3</v>
      </c>
      <c r="V95" s="67">
        <v>-8.1</v>
      </c>
      <c r="W95" s="67">
        <v>0</v>
      </c>
      <c r="X95" s="67">
        <v>-16.5</v>
      </c>
      <c r="Y95" s="67">
        <v>10.6</v>
      </c>
      <c r="Z95" s="67">
        <v>19.100000000000001</v>
      </c>
      <c r="AA95" s="67">
        <v>19.7</v>
      </c>
      <c r="AB95" s="73">
        <v>5.3</v>
      </c>
      <c r="AC95" s="73">
        <v>-1.1000000000000001</v>
      </c>
      <c r="AD95" s="73">
        <v>-5.6</v>
      </c>
      <c r="AE95" s="73">
        <v>-19.899999999999999</v>
      </c>
      <c r="AF95" s="73">
        <v>-26.9</v>
      </c>
      <c r="AG95" s="3">
        <v>240</v>
      </c>
      <c r="AH95" s="21">
        <f t="shared" si="51"/>
        <v>-90</v>
      </c>
      <c r="AI95" s="64">
        <f t="shared" si="52"/>
        <v>8.3333333333333301E-2</v>
      </c>
    </row>
    <row r="96" spans="1:88" x14ac:dyDescent="0.25">
      <c r="A96" s="45" t="s">
        <v>120</v>
      </c>
      <c r="B96" s="74">
        <v>9</v>
      </c>
      <c r="C96" s="67">
        <v>7</v>
      </c>
      <c r="D96" s="67">
        <v>3</v>
      </c>
      <c r="E96" s="67">
        <v>10.6</v>
      </c>
      <c r="F96" s="67">
        <v>12.6</v>
      </c>
      <c r="G96" s="67">
        <v>14.3</v>
      </c>
      <c r="H96" s="67">
        <v>13.2</v>
      </c>
      <c r="I96" s="67">
        <v>0.2</v>
      </c>
      <c r="J96" s="67">
        <v>13.5</v>
      </c>
      <c r="K96" s="67">
        <v>14.3</v>
      </c>
      <c r="L96" s="67">
        <v>10.7</v>
      </c>
      <c r="M96" s="67">
        <v>14.1</v>
      </c>
      <c r="N96" s="67">
        <v>25.6</v>
      </c>
      <c r="O96" s="67">
        <v>25.6</v>
      </c>
      <c r="P96" s="67">
        <v>21.5</v>
      </c>
      <c r="Q96" s="67">
        <v>20.7</v>
      </c>
      <c r="R96" s="67">
        <v>20.399999999999999</v>
      </c>
      <c r="S96" s="67">
        <v>1.9</v>
      </c>
      <c r="T96" s="67">
        <v>3.7</v>
      </c>
      <c r="U96" s="67">
        <v>13.6</v>
      </c>
      <c r="V96" s="67">
        <v>12.7</v>
      </c>
      <c r="W96" s="67">
        <v>15.2</v>
      </c>
      <c r="X96" s="67">
        <v>34.200000000000003</v>
      </c>
      <c r="Y96" s="67">
        <v>47.3</v>
      </c>
      <c r="Z96" s="67">
        <v>51.5</v>
      </c>
      <c r="AA96" s="67">
        <v>46.6</v>
      </c>
      <c r="AB96" s="73">
        <v>41.4</v>
      </c>
      <c r="AC96" s="73">
        <v>39.200000000000003</v>
      </c>
      <c r="AD96" s="73">
        <v>35.9</v>
      </c>
      <c r="AE96" s="73">
        <v>36</v>
      </c>
      <c r="AF96" s="73">
        <v>32.4</v>
      </c>
      <c r="AG96" s="3">
        <v>60</v>
      </c>
      <c r="AH96" s="21">
        <f t="shared" si="51"/>
        <v>51.5</v>
      </c>
      <c r="AI96" s="64">
        <f t="shared" si="52"/>
        <v>0.79166666666666663</v>
      </c>
    </row>
    <row r="97" spans="1:37" x14ac:dyDescent="0.25">
      <c r="A97" s="41" t="s">
        <v>119</v>
      </c>
      <c r="B97" s="71">
        <v>45</v>
      </c>
      <c r="C97" s="70">
        <v>40</v>
      </c>
      <c r="D97" s="70">
        <v>35</v>
      </c>
      <c r="E97" s="70">
        <v>53.8</v>
      </c>
      <c r="F97" s="70">
        <v>52.9</v>
      </c>
      <c r="G97" s="70">
        <v>70.3</v>
      </c>
      <c r="H97" s="70">
        <v>83.2</v>
      </c>
      <c r="I97" s="70">
        <v>67.2</v>
      </c>
      <c r="J97" s="70">
        <v>84.8</v>
      </c>
      <c r="K97" s="70">
        <v>64</v>
      </c>
      <c r="L97" s="70">
        <v>58.5</v>
      </c>
      <c r="M97" s="70">
        <v>91.6</v>
      </c>
      <c r="N97" s="70">
        <v>87.4</v>
      </c>
      <c r="O97" s="70">
        <v>87.4</v>
      </c>
      <c r="P97" s="70">
        <v>67.2</v>
      </c>
      <c r="Q97" s="70">
        <v>67.2</v>
      </c>
      <c r="R97" s="70">
        <v>55.7</v>
      </c>
      <c r="S97" s="70">
        <v>59.2</v>
      </c>
      <c r="T97" s="70">
        <v>55.2</v>
      </c>
      <c r="U97" s="70">
        <v>53.2</v>
      </c>
      <c r="V97" s="70">
        <v>58.8</v>
      </c>
      <c r="W97" s="70">
        <v>53.4</v>
      </c>
      <c r="X97" s="70">
        <v>86.2</v>
      </c>
      <c r="Y97" s="70">
        <v>67.5</v>
      </c>
      <c r="Z97" s="70">
        <v>84.8</v>
      </c>
      <c r="AA97" s="70">
        <v>78.5</v>
      </c>
      <c r="AB97" s="69">
        <v>63.3</v>
      </c>
      <c r="AC97" s="69">
        <v>54.5</v>
      </c>
      <c r="AD97" s="69">
        <v>40.9</v>
      </c>
      <c r="AE97" s="69">
        <v>17.899999999999999</v>
      </c>
      <c r="AF97" s="69">
        <v>15.7</v>
      </c>
      <c r="AG97" s="72">
        <v>120</v>
      </c>
      <c r="AH97" s="21">
        <f t="shared" si="51"/>
        <v>91.6</v>
      </c>
      <c r="AI97" s="64">
        <f t="shared" si="52"/>
        <v>0.33333333333333331</v>
      </c>
    </row>
    <row r="98" spans="1:37" x14ac:dyDescent="0.25">
      <c r="A98" s="41" t="s">
        <v>118</v>
      </c>
      <c r="B98" s="71">
        <v>64</v>
      </c>
      <c r="C98" s="70">
        <v>54</v>
      </c>
      <c r="D98" s="70">
        <v>57</v>
      </c>
      <c r="E98" s="70">
        <v>74.400000000000006</v>
      </c>
      <c r="F98" s="70">
        <v>72.599999999999994</v>
      </c>
      <c r="G98" s="70">
        <v>83.6</v>
      </c>
      <c r="H98" s="70">
        <v>87.3</v>
      </c>
      <c r="I98" s="70">
        <v>58.8</v>
      </c>
      <c r="J98" s="70">
        <v>68</v>
      </c>
      <c r="K98" s="70">
        <v>52</v>
      </c>
      <c r="L98" s="70">
        <v>43.7</v>
      </c>
      <c r="M98" s="70">
        <v>56.3</v>
      </c>
      <c r="N98" s="70">
        <v>0</v>
      </c>
      <c r="O98" s="70">
        <v>60</v>
      </c>
      <c r="P98" s="70">
        <v>60.4</v>
      </c>
      <c r="Q98" s="70">
        <v>60.4</v>
      </c>
      <c r="R98" s="70">
        <v>65.3</v>
      </c>
      <c r="S98" s="70">
        <v>63.8</v>
      </c>
      <c r="T98" s="70">
        <v>63.7</v>
      </c>
      <c r="U98" s="70">
        <v>61.2</v>
      </c>
      <c r="V98" s="70">
        <v>48.4</v>
      </c>
      <c r="W98" s="70">
        <v>56.7</v>
      </c>
      <c r="X98" s="70">
        <v>38.200000000000003</v>
      </c>
      <c r="Y98" s="70">
        <v>40.5</v>
      </c>
      <c r="Z98" s="70">
        <v>50.5</v>
      </c>
      <c r="AA98" s="70">
        <v>45.3</v>
      </c>
      <c r="AB98" s="69">
        <v>38.200000000000003</v>
      </c>
      <c r="AC98" s="69">
        <v>33.4</v>
      </c>
      <c r="AD98" s="69">
        <v>28.2</v>
      </c>
      <c r="AE98" s="69">
        <v>17.600000000000001</v>
      </c>
      <c r="AF98" s="69">
        <v>19</v>
      </c>
      <c r="AG98" s="72"/>
      <c r="AH98" s="21">
        <f t="shared" si="51"/>
        <v>87.3</v>
      </c>
      <c r="AI98" s="64">
        <f t="shared" si="52"/>
        <v>0.22916666666666666</v>
      </c>
    </row>
    <row r="99" spans="1:37" x14ac:dyDescent="0.25">
      <c r="A99" s="41" t="s">
        <v>117</v>
      </c>
      <c r="B99" s="71">
        <v>77</v>
      </c>
      <c r="C99" s="70">
        <v>79</v>
      </c>
      <c r="D99" s="70">
        <v>67</v>
      </c>
      <c r="E99" s="70">
        <v>62.6</v>
      </c>
      <c r="F99" s="70">
        <v>67</v>
      </c>
      <c r="G99" s="70">
        <v>62.8</v>
      </c>
      <c r="H99" s="70">
        <v>67.8</v>
      </c>
      <c r="I99" s="70">
        <v>27</v>
      </c>
      <c r="J99" s="70">
        <v>45</v>
      </c>
      <c r="K99" s="70">
        <v>30.5</v>
      </c>
      <c r="L99" s="70">
        <v>7.7</v>
      </c>
      <c r="M99" s="70">
        <v>10.5</v>
      </c>
      <c r="N99" s="70">
        <v>28.8</v>
      </c>
      <c r="O99" s="70">
        <v>30</v>
      </c>
      <c r="P99" s="70">
        <v>49.6</v>
      </c>
      <c r="Q99" s="70">
        <v>49.6</v>
      </c>
      <c r="R99" s="70">
        <v>51</v>
      </c>
      <c r="S99" s="70">
        <v>50.9</v>
      </c>
      <c r="T99" s="70">
        <v>50.5</v>
      </c>
      <c r="U99" s="70">
        <v>56.3</v>
      </c>
      <c r="V99" s="70">
        <v>48.1</v>
      </c>
      <c r="W99" s="70">
        <v>51.1</v>
      </c>
      <c r="X99" s="70">
        <v>37.799999999999997</v>
      </c>
      <c r="Y99" s="70">
        <v>29.3</v>
      </c>
      <c r="Z99" s="70">
        <v>30.9</v>
      </c>
      <c r="AA99" s="70">
        <v>31.4</v>
      </c>
      <c r="AB99" s="69">
        <v>26.8</v>
      </c>
      <c r="AC99" s="69">
        <v>31</v>
      </c>
      <c r="AD99" s="69">
        <v>30.1</v>
      </c>
      <c r="AE99" s="69">
        <v>50.5</v>
      </c>
      <c r="AF99" s="69">
        <v>56.8</v>
      </c>
      <c r="AG99" s="65"/>
      <c r="AH99" s="21">
        <f t="shared" si="51"/>
        <v>79</v>
      </c>
      <c r="AI99" s="64">
        <f t="shared" si="52"/>
        <v>4.1666666666666664E-2</v>
      </c>
    </row>
    <row r="100" spans="1:37" ht="15.75" thickBot="1" x14ac:dyDescent="0.3">
      <c r="A100" s="68" t="s">
        <v>116</v>
      </c>
      <c r="B100" s="66">
        <v>98</v>
      </c>
      <c r="C100" s="67">
        <v>98</v>
      </c>
      <c r="D100" s="67">
        <v>93</v>
      </c>
      <c r="E100" s="67">
        <v>92.8</v>
      </c>
      <c r="F100" s="67">
        <v>90</v>
      </c>
      <c r="G100" s="67">
        <v>88.9</v>
      </c>
      <c r="H100" s="67">
        <v>92</v>
      </c>
      <c r="I100" s="67">
        <v>10.6</v>
      </c>
      <c r="J100" s="67">
        <v>36.9</v>
      </c>
      <c r="K100" s="67">
        <v>41</v>
      </c>
      <c r="L100" s="67">
        <v>40</v>
      </c>
      <c r="M100" s="67">
        <v>41.1</v>
      </c>
      <c r="N100" s="67">
        <v>11.1</v>
      </c>
      <c r="O100" s="67">
        <v>12</v>
      </c>
      <c r="P100" s="67">
        <v>0</v>
      </c>
      <c r="Q100" s="67">
        <v>0</v>
      </c>
      <c r="R100" s="67">
        <v>0</v>
      </c>
      <c r="S100" s="67">
        <v>0</v>
      </c>
      <c r="T100" s="67">
        <v>0</v>
      </c>
      <c r="U100" s="67">
        <v>0</v>
      </c>
      <c r="V100" s="67">
        <v>0</v>
      </c>
      <c r="W100" s="67">
        <v>0</v>
      </c>
      <c r="X100" s="67">
        <v>32.5</v>
      </c>
      <c r="Y100" s="67">
        <v>92</v>
      </c>
      <c r="Z100" s="67">
        <v>98</v>
      </c>
      <c r="AA100" s="67">
        <v>95</v>
      </c>
      <c r="AB100" s="66">
        <v>90.6</v>
      </c>
      <c r="AC100" s="66">
        <v>89.9</v>
      </c>
      <c r="AD100" s="66">
        <v>85.1</v>
      </c>
      <c r="AE100" s="66">
        <v>72</v>
      </c>
      <c r="AF100" s="66">
        <v>66.599999999999994</v>
      </c>
      <c r="AG100" s="65"/>
      <c r="AH100" s="21">
        <f t="shared" si="51"/>
        <v>98</v>
      </c>
      <c r="AI100" s="64">
        <f t="shared" si="52"/>
        <v>4.1666666666666664E-2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53">AF102</f>
        <v>9.9</v>
      </c>
      <c r="C102" s="54">
        <v>9.9</v>
      </c>
      <c r="D102" s="58">
        <f t="shared" ref="D102:S107" si="54">C102</f>
        <v>9.9</v>
      </c>
      <c r="E102" s="58">
        <f t="shared" si="54"/>
        <v>9.9</v>
      </c>
      <c r="F102" s="58">
        <f t="shared" si="54"/>
        <v>9.9</v>
      </c>
      <c r="G102" s="58">
        <f t="shared" si="54"/>
        <v>9.9</v>
      </c>
      <c r="H102" s="58">
        <f t="shared" si="54"/>
        <v>9.9</v>
      </c>
      <c r="I102" s="58">
        <f t="shared" si="54"/>
        <v>9.9</v>
      </c>
      <c r="J102" s="58">
        <f t="shared" si="54"/>
        <v>9.9</v>
      </c>
      <c r="K102" s="58">
        <f t="shared" si="54"/>
        <v>9.9</v>
      </c>
      <c r="L102" s="58">
        <f t="shared" si="54"/>
        <v>9.9</v>
      </c>
      <c r="M102" s="58">
        <f t="shared" si="54"/>
        <v>9.9</v>
      </c>
      <c r="N102" s="58">
        <f t="shared" si="54"/>
        <v>9.9</v>
      </c>
      <c r="O102" s="58">
        <f t="shared" si="54"/>
        <v>9.9</v>
      </c>
      <c r="P102" s="58">
        <f t="shared" si="54"/>
        <v>9.9</v>
      </c>
      <c r="Q102" s="58">
        <f t="shared" si="54"/>
        <v>9.9</v>
      </c>
      <c r="R102" s="58">
        <f t="shared" si="54"/>
        <v>9.9</v>
      </c>
      <c r="S102" s="58">
        <f t="shared" si="54"/>
        <v>9.9</v>
      </c>
      <c r="T102" s="58">
        <f t="shared" ref="T102:AF107" si="55">S102</f>
        <v>9.9</v>
      </c>
      <c r="U102" s="58">
        <f t="shared" si="55"/>
        <v>9.9</v>
      </c>
      <c r="V102" s="58">
        <f t="shared" si="55"/>
        <v>9.9</v>
      </c>
      <c r="W102" s="58">
        <f t="shared" si="55"/>
        <v>9.9</v>
      </c>
      <c r="X102" s="58">
        <f t="shared" si="55"/>
        <v>9.9</v>
      </c>
      <c r="Y102" s="58">
        <f t="shared" si="55"/>
        <v>9.9</v>
      </c>
      <c r="Z102" s="58">
        <f t="shared" si="55"/>
        <v>9.9</v>
      </c>
      <c r="AA102" s="58">
        <f t="shared" si="55"/>
        <v>9.9</v>
      </c>
      <c r="AB102" s="58">
        <f t="shared" si="55"/>
        <v>9.9</v>
      </c>
      <c r="AC102" s="58">
        <f t="shared" si="55"/>
        <v>9.9</v>
      </c>
      <c r="AD102" s="58">
        <f t="shared" si="55"/>
        <v>9.9</v>
      </c>
      <c r="AE102" s="58">
        <f t="shared" si="55"/>
        <v>9.9</v>
      </c>
      <c r="AF102" s="58">
        <f t="shared" si="55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53"/>
        <v>9.6</v>
      </c>
      <c r="C103" s="55">
        <v>9.6</v>
      </c>
      <c r="D103" s="44">
        <f t="shared" si="54"/>
        <v>9.6</v>
      </c>
      <c r="E103" s="44">
        <f t="shared" si="54"/>
        <v>9.6</v>
      </c>
      <c r="F103" s="44">
        <f t="shared" si="54"/>
        <v>9.6</v>
      </c>
      <c r="G103" s="44">
        <f t="shared" si="54"/>
        <v>9.6</v>
      </c>
      <c r="H103" s="44">
        <f t="shared" si="54"/>
        <v>9.6</v>
      </c>
      <c r="I103" s="44">
        <f t="shared" si="54"/>
        <v>9.6</v>
      </c>
      <c r="J103" s="44">
        <f t="shared" si="54"/>
        <v>9.6</v>
      </c>
      <c r="K103" s="44">
        <f t="shared" si="54"/>
        <v>9.6</v>
      </c>
      <c r="L103" s="44">
        <f t="shared" si="54"/>
        <v>9.6</v>
      </c>
      <c r="M103" s="44">
        <f t="shared" si="54"/>
        <v>9.6</v>
      </c>
      <c r="N103" s="44">
        <f t="shared" si="54"/>
        <v>9.6</v>
      </c>
      <c r="O103" s="44">
        <f t="shared" si="54"/>
        <v>9.6</v>
      </c>
      <c r="P103" s="44">
        <f t="shared" si="54"/>
        <v>9.6</v>
      </c>
      <c r="Q103" s="44">
        <f t="shared" si="54"/>
        <v>9.6</v>
      </c>
      <c r="R103" s="44">
        <f t="shared" si="54"/>
        <v>9.6</v>
      </c>
      <c r="S103" s="44">
        <f t="shared" si="54"/>
        <v>9.6</v>
      </c>
      <c r="T103" s="44">
        <f t="shared" si="55"/>
        <v>9.6</v>
      </c>
      <c r="U103" s="44">
        <f t="shared" si="55"/>
        <v>9.6</v>
      </c>
      <c r="V103" s="44">
        <f t="shared" si="55"/>
        <v>9.6</v>
      </c>
      <c r="W103" s="44">
        <f t="shared" si="55"/>
        <v>9.6</v>
      </c>
      <c r="X103" s="44">
        <f t="shared" si="55"/>
        <v>9.6</v>
      </c>
      <c r="Y103" s="44">
        <f t="shared" si="55"/>
        <v>9.6</v>
      </c>
      <c r="Z103" s="44">
        <f t="shared" si="55"/>
        <v>9.6</v>
      </c>
      <c r="AA103" s="44">
        <f t="shared" si="55"/>
        <v>9.6</v>
      </c>
      <c r="AB103" s="44">
        <f t="shared" si="55"/>
        <v>9.6</v>
      </c>
      <c r="AC103" s="44">
        <f t="shared" si="55"/>
        <v>9.6</v>
      </c>
      <c r="AD103" s="44">
        <f t="shared" si="55"/>
        <v>9.6</v>
      </c>
      <c r="AE103" s="44">
        <f t="shared" si="55"/>
        <v>9.6</v>
      </c>
      <c r="AF103" s="44">
        <f t="shared" si="55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53"/>
        <v>9.98</v>
      </c>
      <c r="C104" s="55">
        <v>9.98</v>
      </c>
      <c r="D104" s="44">
        <f t="shared" si="54"/>
        <v>9.98</v>
      </c>
      <c r="E104" s="44">
        <f t="shared" si="54"/>
        <v>9.98</v>
      </c>
      <c r="F104" s="44">
        <f t="shared" si="54"/>
        <v>9.98</v>
      </c>
      <c r="G104" s="44">
        <f t="shared" si="54"/>
        <v>9.98</v>
      </c>
      <c r="H104" s="44">
        <f t="shared" si="54"/>
        <v>9.98</v>
      </c>
      <c r="I104" s="44">
        <f t="shared" si="54"/>
        <v>9.98</v>
      </c>
      <c r="J104" s="44">
        <f t="shared" si="54"/>
        <v>9.98</v>
      </c>
      <c r="K104" s="44">
        <f t="shared" si="54"/>
        <v>9.98</v>
      </c>
      <c r="L104" s="44">
        <f t="shared" si="54"/>
        <v>9.98</v>
      </c>
      <c r="M104" s="44">
        <f t="shared" si="54"/>
        <v>9.98</v>
      </c>
      <c r="N104" s="44">
        <f t="shared" si="54"/>
        <v>9.98</v>
      </c>
      <c r="O104" s="44">
        <f t="shared" si="54"/>
        <v>9.98</v>
      </c>
      <c r="P104" s="44">
        <f t="shared" si="54"/>
        <v>9.98</v>
      </c>
      <c r="Q104" s="44">
        <f t="shared" si="54"/>
        <v>9.98</v>
      </c>
      <c r="R104" s="44">
        <f t="shared" si="54"/>
        <v>9.98</v>
      </c>
      <c r="S104" s="44">
        <f t="shared" si="54"/>
        <v>9.98</v>
      </c>
      <c r="T104" s="44">
        <f t="shared" si="55"/>
        <v>9.98</v>
      </c>
      <c r="U104" s="44">
        <f t="shared" si="55"/>
        <v>9.98</v>
      </c>
      <c r="V104" s="44">
        <f t="shared" si="55"/>
        <v>9.98</v>
      </c>
      <c r="W104" s="44">
        <f t="shared" si="55"/>
        <v>9.98</v>
      </c>
      <c r="X104" s="44">
        <f t="shared" si="55"/>
        <v>9.98</v>
      </c>
      <c r="Y104" s="44">
        <f t="shared" si="55"/>
        <v>9.98</v>
      </c>
      <c r="Z104" s="44">
        <f t="shared" si="55"/>
        <v>9.98</v>
      </c>
      <c r="AA104" s="44">
        <f t="shared" si="55"/>
        <v>9.98</v>
      </c>
      <c r="AB104" s="44">
        <f t="shared" si="55"/>
        <v>9.98</v>
      </c>
      <c r="AC104" s="44">
        <f t="shared" si="55"/>
        <v>9.98</v>
      </c>
      <c r="AD104" s="44">
        <f t="shared" si="55"/>
        <v>9.98</v>
      </c>
      <c r="AE104" s="44">
        <f t="shared" si="55"/>
        <v>9.98</v>
      </c>
      <c r="AF104" s="44">
        <f t="shared" si="55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53"/>
        <v>9.1</v>
      </c>
      <c r="C105" s="55">
        <v>9.1</v>
      </c>
      <c r="D105" s="44">
        <f t="shared" si="54"/>
        <v>9.1</v>
      </c>
      <c r="E105" s="44">
        <f t="shared" si="54"/>
        <v>9.1</v>
      </c>
      <c r="F105" s="44">
        <f t="shared" si="54"/>
        <v>9.1</v>
      </c>
      <c r="G105" s="44">
        <f t="shared" si="54"/>
        <v>9.1</v>
      </c>
      <c r="H105" s="44">
        <f t="shared" si="54"/>
        <v>9.1</v>
      </c>
      <c r="I105" s="44">
        <f t="shared" si="54"/>
        <v>9.1</v>
      </c>
      <c r="J105" s="44">
        <f t="shared" si="54"/>
        <v>9.1</v>
      </c>
      <c r="K105" s="44">
        <f t="shared" si="54"/>
        <v>9.1</v>
      </c>
      <c r="L105" s="44">
        <f t="shared" si="54"/>
        <v>9.1</v>
      </c>
      <c r="M105" s="44">
        <f t="shared" si="54"/>
        <v>9.1</v>
      </c>
      <c r="N105" s="44">
        <f t="shared" si="54"/>
        <v>9.1</v>
      </c>
      <c r="O105" s="44">
        <f t="shared" si="54"/>
        <v>9.1</v>
      </c>
      <c r="P105" s="44">
        <f t="shared" si="54"/>
        <v>9.1</v>
      </c>
      <c r="Q105" s="44">
        <f t="shared" si="54"/>
        <v>9.1</v>
      </c>
      <c r="R105" s="44">
        <f t="shared" si="54"/>
        <v>9.1</v>
      </c>
      <c r="S105" s="44">
        <f t="shared" si="54"/>
        <v>9.1</v>
      </c>
      <c r="T105" s="44">
        <f t="shared" si="55"/>
        <v>9.1</v>
      </c>
      <c r="U105" s="44">
        <f t="shared" si="55"/>
        <v>9.1</v>
      </c>
      <c r="V105" s="44">
        <f t="shared" si="55"/>
        <v>9.1</v>
      </c>
      <c r="W105" s="44">
        <f t="shared" si="55"/>
        <v>9.1</v>
      </c>
      <c r="X105" s="44">
        <f t="shared" si="55"/>
        <v>9.1</v>
      </c>
      <c r="Y105" s="44">
        <f t="shared" si="55"/>
        <v>9.1</v>
      </c>
      <c r="Z105" s="44">
        <f t="shared" si="55"/>
        <v>9.1</v>
      </c>
      <c r="AA105" s="44">
        <f t="shared" si="55"/>
        <v>9.1</v>
      </c>
      <c r="AB105" s="44">
        <f t="shared" si="55"/>
        <v>9.1</v>
      </c>
      <c r="AC105" s="44">
        <f t="shared" si="55"/>
        <v>9.1</v>
      </c>
      <c r="AD105" s="44">
        <f t="shared" si="55"/>
        <v>9.1</v>
      </c>
      <c r="AE105" s="44">
        <f t="shared" si="55"/>
        <v>9.1</v>
      </c>
      <c r="AF105" s="44">
        <f t="shared" si="55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53"/>
        <v>9.18</v>
      </c>
      <c r="C106" s="55">
        <v>9.18</v>
      </c>
      <c r="D106" s="44">
        <f t="shared" si="54"/>
        <v>9.18</v>
      </c>
      <c r="E106" s="44">
        <f t="shared" si="54"/>
        <v>9.18</v>
      </c>
      <c r="F106" s="44">
        <f t="shared" si="54"/>
        <v>9.18</v>
      </c>
      <c r="G106" s="44">
        <f t="shared" si="54"/>
        <v>9.18</v>
      </c>
      <c r="H106" s="44">
        <f t="shared" si="54"/>
        <v>9.18</v>
      </c>
      <c r="I106" s="44">
        <f t="shared" si="54"/>
        <v>9.18</v>
      </c>
      <c r="J106" s="44">
        <f t="shared" si="54"/>
        <v>9.18</v>
      </c>
      <c r="K106" s="44">
        <f t="shared" si="54"/>
        <v>9.18</v>
      </c>
      <c r="L106" s="44">
        <f t="shared" si="54"/>
        <v>9.18</v>
      </c>
      <c r="M106" s="44">
        <f t="shared" si="54"/>
        <v>9.18</v>
      </c>
      <c r="N106" s="44">
        <f t="shared" si="54"/>
        <v>9.18</v>
      </c>
      <c r="O106" s="44">
        <f t="shared" si="54"/>
        <v>9.18</v>
      </c>
      <c r="P106" s="44">
        <f t="shared" si="54"/>
        <v>9.18</v>
      </c>
      <c r="Q106" s="44">
        <f t="shared" si="54"/>
        <v>9.18</v>
      </c>
      <c r="R106" s="44">
        <f t="shared" si="54"/>
        <v>9.18</v>
      </c>
      <c r="S106" s="44">
        <f t="shared" si="54"/>
        <v>9.18</v>
      </c>
      <c r="T106" s="44">
        <f t="shared" si="55"/>
        <v>9.18</v>
      </c>
      <c r="U106" s="44">
        <f t="shared" si="55"/>
        <v>9.18</v>
      </c>
      <c r="V106" s="44">
        <f t="shared" si="55"/>
        <v>9.18</v>
      </c>
      <c r="W106" s="44">
        <f t="shared" si="55"/>
        <v>9.18</v>
      </c>
      <c r="X106" s="44">
        <f t="shared" si="55"/>
        <v>9.18</v>
      </c>
      <c r="Y106" s="44">
        <f t="shared" si="55"/>
        <v>9.18</v>
      </c>
      <c r="Z106" s="44">
        <f t="shared" si="55"/>
        <v>9.18</v>
      </c>
      <c r="AA106" s="44">
        <f t="shared" si="55"/>
        <v>9.18</v>
      </c>
      <c r="AB106" s="44">
        <f t="shared" si="55"/>
        <v>9.18</v>
      </c>
      <c r="AC106" s="44">
        <f t="shared" si="55"/>
        <v>9.18</v>
      </c>
      <c r="AD106" s="44">
        <f t="shared" si="55"/>
        <v>9.18</v>
      </c>
      <c r="AE106" s="44">
        <f t="shared" si="55"/>
        <v>9.18</v>
      </c>
      <c r="AF106" s="44">
        <f t="shared" si="55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53"/>
        <v>7</v>
      </c>
      <c r="C107" s="55">
        <v>7</v>
      </c>
      <c r="D107" s="44">
        <f t="shared" si="54"/>
        <v>7</v>
      </c>
      <c r="E107" s="44">
        <f t="shared" si="54"/>
        <v>7</v>
      </c>
      <c r="F107" s="44">
        <f t="shared" si="54"/>
        <v>7</v>
      </c>
      <c r="G107" s="44">
        <f t="shared" si="54"/>
        <v>7</v>
      </c>
      <c r="H107" s="44">
        <f t="shared" si="54"/>
        <v>7</v>
      </c>
      <c r="I107" s="44">
        <f t="shared" si="54"/>
        <v>7</v>
      </c>
      <c r="J107" s="44">
        <f t="shared" si="54"/>
        <v>7</v>
      </c>
      <c r="K107" s="44">
        <f t="shared" si="54"/>
        <v>7</v>
      </c>
      <c r="L107" s="44">
        <f t="shared" si="54"/>
        <v>7</v>
      </c>
      <c r="M107" s="44">
        <f t="shared" si="54"/>
        <v>7</v>
      </c>
      <c r="N107" s="44">
        <f t="shared" si="54"/>
        <v>7</v>
      </c>
      <c r="O107" s="44">
        <f t="shared" si="54"/>
        <v>7</v>
      </c>
      <c r="P107" s="44">
        <f t="shared" si="54"/>
        <v>7</v>
      </c>
      <c r="Q107" s="44">
        <f t="shared" si="54"/>
        <v>7</v>
      </c>
      <c r="R107" s="44">
        <f t="shared" si="54"/>
        <v>7</v>
      </c>
      <c r="S107" s="44">
        <f t="shared" si="54"/>
        <v>7</v>
      </c>
      <c r="T107" s="44">
        <f t="shared" si="55"/>
        <v>7</v>
      </c>
      <c r="U107" s="44">
        <f t="shared" si="55"/>
        <v>7</v>
      </c>
      <c r="V107" s="44">
        <f t="shared" si="55"/>
        <v>7</v>
      </c>
      <c r="W107" s="44">
        <f t="shared" si="55"/>
        <v>7</v>
      </c>
      <c r="X107" s="44">
        <f t="shared" si="55"/>
        <v>7</v>
      </c>
      <c r="Y107" s="44">
        <f t="shared" si="55"/>
        <v>7</v>
      </c>
      <c r="Z107" s="44">
        <f t="shared" si="55"/>
        <v>7</v>
      </c>
      <c r="AA107" s="44">
        <f t="shared" si="55"/>
        <v>7</v>
      </c>
      <c r="AB107" s="44">
        <f t="shared" si="55"/>
        <v>7</v>
      </c>
      <c r="AC107" s="44">
        <f t="shared" si="55"/>
        <v>7</v>
      </c>
      <c r="AD107" s="44">
        <f t="shared" si="55"/>
        <v>7</v>
      </c>
      <c r="AE107" s="44">
        <f t="shared" si="55"/>
        <v>7</v>
      </c>
      <c r="AF107" s="44">
        <f t="shared" si="55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56">C109</f>
        <v>2.25</v>
      </c>
      <c r="E109" s="44">
        <f t="shared" si="56"/>
        <v>2.25</v>
      </c>
      <c r="F109" s="44">
        <f t="shared" si="56"/>
        <v>2.25</v>
      </c>
      <c r="G109" s="44">
        <f t="shared" si="56"/>
        <v>2.25</v>
      </c>
      <c r="H109" s="44">
        <f t="shared" si="56"/>
        <v>2.25</v>
      </c>
      <c r="I109" s="44">
        <f t="shared" si="56"/>
        <v>2.25</v>
      </c>
      <c r="J109" s="44">
        <f t="shared" si="56"/>
        <v>2.25</v>
      </c>
      <c r="K109" s="44">
        <f t="shared" si="56"/>
        <v>2.25</v>
      </c>
      <c r="L109" s="44">
        <f t="shared" si="56"/>
        <v>2.25</v>
      </c>
      <c r="M109" s="44">
        <f t="shared" si="56"/>
        <v>2.25</v>
      </c>
      <c r="N109" s="44">
        <f t="shared" si="56"/>
        <v>2.25</v>
      </c>
      <c r="O109" s="44">
        <f t="shared" si="56"/>
        <v>2.25</v>
      </c>
      <c r="P109" s="44">
        <f t="shared" si="56"/>
        <v>2.25</v>
      </c>
      <c r="Q109" s="44">
        <f t="shared" si="56"/>
        <v>2.25</v>
      </c>
      <c r="R109" s="44">
        <f t="shared" si="56"/>
        <v>2.25</v>
      </c>
      <c r="S109" s="44">
        <f t="shared" si="56"/>
        <v>2.25</v>
      </c>
      <c r="T109" s="44">
        <f t="shared" ref="T109:AF110" si="57">S109</f>
        <v>2.25</v>
      </c>
      <c r="U109" s="44">
        <f t="shared" si="57"/>
        <v>2.25</v>
      </c>
      <c r="V109" s="44">
        <f t="shared" si="57"/>
        <v>2.25</v>
      </c>
      <c r="W109" s="44">
        <f t="shared" si="57"/>
        <v>2.25</v>
      </c>
      <c r="X109" s="44">
        <f t="shared" si="57"/>
        <v>2.25</v>
      </c>
      <c r="Y109" s="44">
        <f t="shared" si="57"/>
        <v>2.25</v>
      </c>
      <c r="Z109" s="44">
        <f t="shared" si="57"/>
        <v>2.25</v>
      </c>
      <c r="AA109" s="44">
        <f t="shared" si="57"/>
        <v>2.25</v>
      </c>
      <c r="AB109" s="44">
        <f t="shared" si="57"/>
        <v>2.25</v>
      </c>
      <c r="AC109" s="44">
        <f t="shared" si="57"/>
        <v>2.25</v>
      </c>
      <c r="AD109" s="44">
        <f t="shared" si="57"/>
        <v>2.25</v>
      </c>
      <c r="AE109" s="44">
        <f t="shared" si="57"/>
        <v>2.25</v>
      </c>
      <c r="AF109" s="44">
        <f t="shared" si="57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56"/>
        <v>1.64</v>
      </c>
      <c r="E110" s="44">
        <f t="shared" si="56"/>
        <v>1.64</v>
      </c>
      <c r="F110" s="44">
        <f t="shared" si="56"/>
        <v>1.64</v>
      </c>
      <c r="G110" s="44">
        <f t="shared" si="56"/>
        <v>1.64</v>
      </c>
      <c r="H110" s="44">
        <f t="shared" si="56"/>
        <v>1.64</v>
      </c>
      <c r="I110" s="44">
        <f t="shared" si="56"/>
        <v>1.64</v>
      </c>
      <c r="J110" s="44">
        <f t="shared" si="56"/>
        <v>1.64</v>
      </c>
      <c r="K110" s="44">
        <f t="shared" si="56"/>
        <v>1.64</v>
      </c>
      <c r="L110" s="44">
        <f t="shared" si="56"/>
        <v>1.64</v>
      </c>
      <c r="M110" s="44">
        <f t="shared" si="56"/>
        <v>1.64</v>
      </c>
      <c r="N110" s="44">
        <f t="shared" si="56"/>
        <v>1.64</v>
      </c>
      <c r="O110" s="44">
        <f t="shared" si="56"/>
        <v>1.64</v>
      </c>
      <c r="P110" s="44">
        <f t="shared" si="56"/>
        <v>1.64</v>
      </c>
      <c r="Q110" s="44">
        <f t="shared" si="56"/>
        <v>1.64</v>
      </c>
      <c r="R110" s="44">
        <f t="shared" si="56"/>
        <v>1.64</v>
      </c>
      <c r="S110" s="44">
        <f t="shared" si="56"/>
        <v>1.64</v>
      </c>
      <c r="T110" s="44">
        <f t="shared" si="57"/>
        <v>1.64</v>
      </c>
      <c r="U110" s="44">
        <f t="shared" si="57"/>
        <v>1.64</v>
      </c>
      <c r="V110" s="44">
        <f t="shared" si="57"/>
        <v>1.64</v>
      </c>
      <c r="W110" s="44">
        <f t="shared" si="57"/>
        <v>1.64</v>
      </c>
      <c r="X110" s="44">
        <f t="shared" si="57"/>
        <v>1.64</v>
      </c>
      <c r="Y110" s="44">
        <f t="shared" si="57"/>
        <v>1.64</v>
      </c>
      <c r="Z110" s="44">
        <f t="shared" si="57"/>
        <v>1.64</v>
      </c>
      <c r="AA110" s="44">
        <f t="shared" si="57"/>
        <v>1.64</v>
      </c>
      <c r="AB110" s="44">
        <f t="shared" si="57"/>
        <v>1.64</v>
      </c>
      <c r="AC110" s="44">
        <f t="shared" si="57"/>
        <v>1.64</v>
      </c>
      <c r="AD110" s="44">
        <f t="shared" si="57"/>
        <v>1.64</v>
      </c>
      <c r="AE110" s="44">
        <f t="shared" si="57"/>
        <v>1.64</v>
      </c>
      <c r="AF110" s="44">
        <f t="shared" si="57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58">AF112</f>
        <v>1.62</v>
      </c>
      <c r="C112" s="55">
        <v>1.62</v>
      </c>
      <c r="D112" s="44">
        <f t="shared" ref="D112:S119" si="59">C112</f>
        <v>1.62</v>
      </c>
      <c r="E112" s="44">
        <f t="shared" si="59"/>
        <v>1.62</v>
      </c>
      <c r="F112" s="44">
        <f t="shared" si="59"/>
        <v>1.62</v>
      </c>
      <c r="G112" s="44">
        <f t="shared" si="59"/>
        <v>1.62</v>
      </c>
      <c r="H112" s="44">
        <f t="shared" si="59"/>
        <v>1.62</v>
      </c>
      <c r="I112" s="44">
        <f t="shared" si="59"/>
        <v>1.62</v>
      </c>
      <c r="J112" s="44">
        <f t="shared" si="59"/>
        <v>1.62</v>
      </c>
      <c r="K112" s="44">
        <f t="shared" si="59"/>
        <v>1.62</v>
      </c>
      <c r="L112" s="44">
        <f t="shared" si="59"/>
        <v>1.62</v>
      </c>
      <c r="M112" s="44">
        <f t="shared" si="59"/>
        <v>1.62</v>
      </c>
      <c r="N112" s="44">
        <f t="shared" si="59"/>
        <v>1.62</v>
      </c>
      <c r="O112" s="44">
        <f t="shared" si="59"/>
        <v>1.62</v>
      </c>
      <c r="P112" s="44">
        <f t="shared" si="59"/>
        <v>1.62</v>
      </c>
      <c r="Q112" s="44">
        <f t="shared" si="59"/>
        <v>1.62</v>
      </c>
      <c r="R112" s="44">
        <f t="shared" si="59"/>
        <v>1.62</v>
      </c>
      <c r="S112" s="44">
        <f t="shared" si="59"/>
        <v>1.62</v>
      </c>
      <c r="T112" s="44">
        <f t="shared" ref="T112:AF127" si="60">S112</f>
        <v>1.62</v>
      </c>
      <c r="U112" s="44">
        <f t="shared" si="60"/>
        <v>1.62</v>
      </c>
      <c r="V112" s="44">
        <f t="shared" si="60"/>
        <v>1.62</v>
      </c>
      <c r="W112" s="44">
        <f t="shared" si="60"/>
        <v>1.62</v>
      </c>
      <c r="X112" s="44">
        <f t="shared" si="60"/>
        <v>1.62</v>
      </c>
      <c r="Y112" s="44">
        <f t="shared" si="60"/>
        <v>1.62</v>
      </c>
      <c r="Z112" s="44">
        <f t="shared" si="60"/>
        <v>1.62</v>
      </c>
      <c r="AA112" s="44">
        <f t="shared" si="60"/>
        <v>1.62</v>
      </c>
      <c r="AB112" s="44">
        <f t="shared" si="60"/>
        <v>1.62</v>
      </c>
      <c r="AC112" s="44">
        <f t="shared" si="60"/>
        <v>1.62</v>
      </c>
      <c r="AD112" s="44">
        <f t="shared" si="60"/>
        <v>1.62</v>
      </c>
      <c r="AE112" s="44">
        <f t="shared" si="60"/>
        <v>1.62</v>
      </c>
      <c r="AF112" s="44">
        <f t="shared" si="60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58"/>
        <v>8.36</v>
      </c>
      <c r="C113" s="55">
        <v>8.36</v>
      </c>
      <c r="D113" s="44">
        <f t="shared" si="59"/>
        <v>8.36</v>
      </c>
      <c r="E113" s="44">
        <f t="shared" si="59"/>
        <v>8.36</v>
      </c>
      <c r="F113" s="44">
        <f t="shared" si="59"/>
        <v>8.36</v>
      </c>
      <c r="G113" s="44">
        <f t="shared" si="59"/>
        <v>8.36</v>
      </c>
      <c r="H113" s="44">
        <f t="shared" si="59"/>
        <v>8.36</v>
      </c>
      <c r="I113" s="44">
        <f t="shared" si="59"/>
        <v>8.36</v>
      </c>
      <c r="J113" s="44">
        <f t="shared" si="59"/>
        <v>8.36</v>
      </c>
      <c r="K113" s="44">
        <f t="shared" si="59"/>
        <v>8.36</v>
      </c>
      <c r="L113" s="44">
        <f t="shared" si="59"/>
        <v>8.36</v>
      </c>
      <c r="M113" s="44">
        <f t="shared" si="59"/>
        <v>8.36</v>
      </c>
      <c r="N113" s="44">
        <f t="shared" si="59"/>
        <v>8.36</v>
      </c>
      <c r="O113" s="44">
        <f t="shared" si="59"/>
        <v>8.36</v>
      </c>
      <c r="P113" s="44">
        <f t="shared" si="59"/>
        <v>8.36</v>
      </c>
      <c r="Q113" s="44">
        <f t="shared" si="59"/>
        <v>8.36</v>
      </c>
      <c r="R113" s="44">
        <f t="shared" si="59"/>
        <v>8.36</v>
      </c>
      <c r="S113" s="44">
        <f t="shared" si="59"/>
        <v>8.36</v>
      </c>
      <c r="T113" s="44">
        <f t="shared" si="60"/>
        <v>8.36</v>
      </c>
      <c r="U113" s="44">
        <f t="shared" si="60"/>
        <v>8.36</v>
      </c>
      <c r="V113" s="44">
        <f t="shared" si="60"/>
        <v>8.36</v>
      </c>
      <c r="W113" s="44">
        <f t="shared" si="60"/>
        <v>8.36</v>
      </c>
      <c r="X113" s="44">
        <f t="shared" si="60"/>
        <v>8.36</v>
      </c>
      <c r="Y113" s="44">
        <f t="shared" si="60"/>
        <v>8.36</v>
      </c>
      <c r="Z113" s="44">
        <f t="shared" si="60"/>
        <v>8.36</v>
      </c>
      <c r="AA113" s="44">
        <f t="shared" si="60"/>
        <v>8.36</v>
      </c>
      <c r="AB113" s="44">
        <f t="shared" si="60"/>
        <v>8.36</v>
      </c>
      <c r="AC113" s="44">
        <f t="shared" si="60"/>
        <v>8.36</v>
      </c>
      <c r="AD113" s="44">
        <f t="shared" si="60"/>
        <v>8.36</v>
      </c>
      <c r="AE113" s="44">
        <f t="shared" si="60"/>
        <v>8.36</v>
      </c>
      <c r="AF113" s="44">
        <f t="shared" si="60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58"/>
        <v>5.4</v>
      </c>
      <c r="C114" s="55">
        <v>8</v>
      </c>
      <c r="D114" s="44">
        <f t="shared" si="59"/>
        <v>8</v>
      </c>
      <c r="E114" s="44">
        <f t="shared" si="59"/>
        <v>8</v>
      </c>
      <c r="F114" s="44">
        <f t="shared" si="59"/>
        <v>8</v>
      </c>
      <c r="G114" s="44">
        <f t="shared" si="59"/>
        <v>8</v>
      </c>
      <c r="H114" s="44">
        <f t="shared" si="59"/>
        <v>8</v>
      </c>
      <c r="I114" s="44">
        <f t="shared" si="59"/>
        <v>8</v>
      </c>
      <c r="J114" s="44">
        <v>5.4</v>
      </c>
      <c r="K114" s="44">
        <f t="shared" si="59"/>
        <v>5.4</v>
      </c>
      <c r="L114" s="44">
        <f t="shared" si="59"/>
        <v>5.4</v>
      </c>
      <c r="M114" s="44">
        <f t="shared" si="59"/>
        <v>5.4</v>
      </c>
      <c r="N114" s="44">
        <f t="shared" si="59"/>
        <v>5.4</v>
      </c>
      <c r="O114" s="44">
        <f t="shared" si="59"/>
        <v>5.4</v>
      </c>
      <c r="P114" s="44">
        <f t="shared" si="59"/>
        <v>5.4</v>
      </c>
      <c r="Q114" s="44">
        <f t="shared" si="59"/>
        <v>5.4</v>
      </c>
      <c r="R114" s="44">
        <f t="shared" si="59"/>
        <v>5.4</v>
      </c>
      <c r="S114" s="44">
        <f t="shared" si="59"/>
        <v>5.4</v>
      </c>
      <c r="T114" s="44">
        <f t="shared" si="60"/>
        <v>5.4</v>
      </c>
      <c r="U114" s="44">
        <f t="shared" si="60"/>
        <v>5.4</v>
      </c>
      <c r="V114" s="44">
        <f t="shared" si="60"/>
        <v>5.4</v>
      </c>
      <c r="W114" s="44">
        <f t="shared" si="60"/>
        <v>5.4</v>
      </c>
      <c r="X114" s="44">
        <f t="shared" si="60"/>
        <v>5.4</v>
      </c>
      <c r="Y114" s="44">
        <f t="shared" si="60"/>
        <v>5.4</v>
      </c>
      <c r="Z114" s="44">
        <f t="shared" si="60"/>
        <v>5.4</v>
      </c>
      <c r="AA114" s="44">
        <f t="shared" si="60"/>
        <v>5.4</v>
      </c>
      <c r="AB114" s="44">
        <f t="shared" si="60"/>
        <v>5.4</v>
      </c>
      <c r="AC114" s="44">
        <f t="shared" si="60"/>
        <v>5.4</v>
      </c>
      <c r="AD114" s="44">
        <f t="shared" si="60"/>
        <v>5.4</v>
      </c>
      <c r="AE114" s="44">
        <f t="shared" si="60"/>
        <v>5.4</v>
      </c>
      <c r="AF114" s="44">
        <f t="shared" si="60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58"/>
        <v>6.57</v>
      </c>
      <c r="C115" s="55">
        <v>6.57</v>
      </c>
      <c r="D115" s="44">
        <f t="shared" si="59"/>
        <v>6.57</v>
      </c>
      <c r="E115" s="44">
        <f t="shared" si="59"/>
        <v>6.57</v>
      </c>
      <c r="F115" s="44">
        <f t="shared" si="59"/>
        <v>6.57</v>
      </c>
      <c r="G115" s="44">
        <f t="shared" si="59"/>
        <v>6.57</v>
      </c>
      <c r="H115" s="44">
        <f t="shared" si="59"/>
        <v>6.57</v>
      </c>
      <c r="I115" s="44">
        <f t="shared" si="59"/>
        <v>6.57</v>
      </c>
      <c r="J115" s="44">
        <f t="shared" si="59"/>
        <v>6.57</v>
      </c>
      <c r="K115" s="44">
        <f t="shared" si="59"/>
        <v>6.57</v>
      </c>
      <c r="L115" s="44">
        <f t="shared" si="59"/>
        <v>6.57</v>
      </c>
      <c r="M115" s="44">
        <f t="shared" si="59"/>
        <v>6.57</v>
      </c>
      <c r="N115" s="44">
        <f t="shared" si="59"/>
        <v>6.57</v>
      </c>
      <c r="O115" s="44">
        <f t="shared" si="59"/>
        <v>6.57</v>
      </c>
      <c r="P115" s="44">
        <f t="shared" si="59"/>
        <v>6.57</v>
      </c>
      <c r="Q115" s="44">
        <f t="shared" si="59"/>
        <v>6.57</v>
      </c>
      <c r="R115" s="44">
        <f t="shared" si="59"/>
        <v>6.57</v>
      </c>
      <c r="S115" s="44">
        <f t="shared" si="59"/>
        <v>6.57</v>
      </c>
      <c r="T115" s="44">
        <f t="shared" si="60"/>
        <v>6.57</v>
      </c>
      <c r="U115" s="44">
        <f t="shared" si="60"/>
        <v>6.57</v>
      </c>
      <c r="V115" s="44">
        <f t="shared" si="60"/>
        <v>6.57</v>
      </c>
      <c r="W115" s="44">
        <f t="shared" si="60"/>
        <v>6.57</v>
      </c>
      <c r="X115" s="44">
        <f t="shared" si="60"/>
        <v>6.57</v>
      </c>
      <c r="Y115" s="44">
        <f t="shared" si="60"/>
        <v>6.57</v>
      </c>
      <c r="Z115" s="44">
        <f t="shared" si="60"/>
        <v>6.57</v>
      </c>
      <c r="AA115" s="44">
        <f t="shared" si="60"/>
        <v>6.57</v>
      </c>
      <c r="AB115" s="44">
        <f t="shared" si="60"/>
        <v>6.57</v>
      </c>
      <c r="AC115" s="44">
        <f t="shared" si="60"/>
        <v>6.57</v>
      </c>
      <c r="AD115" s="44">
        <f t="shared" si="60"/>
        <v>6.57</v>
      </c>
      <c r="AE115" s="44">
        <f t="shared" si="60"/>
        <v>6.57</v>
      </c>
      <c r="AF115" s="44">
        <f t="shared" si="60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58"/>
        <v>3.43</v>
      </c>
      <c r="C116" s="55">
        <v>3.43</v>
      </c>
      <c r="D116" s="44">
        <f t="shared" si="59"/>
        <v>3.43</v>
      </c>
      <c r="E116" s="44">
        <f t="shared" si="59"/>
        <v>3.43</v>
      </c>
      <c r="F116" s="44">
        <f t="shared" si="59"/>
        <v>3.43</v>
      </c>
      <c r="G116" s="44">
        <f t="shared" si="59"/>
        <v>3.43</v>
      </c>
      <c r="H116" s="44">
        <f t="shared" si="59"/>
        <v>3.43</v>
      </c>
      <c r="I116" s="44">
        <f t="shared" si="59"/>
        <v>3.43</v>
      </c>
      <c r="J116" s="44">
        <f t="shared" si="59"/>
        <v>3.43</v>
      </c>
      <c r="K116" s="44">
        <f t="shared" si="59"/>
        <v>3.43</v>
      </c>
      <c r="L116" s="44">
        <f t="shared" si="59"/>
        <v>3.43</v>
      </c>
      <c r="M116" s="44">
        <f t="shared" si="59"/>
        <v>3.43</v>
      </c>
      <c r="N116" s="44">
        <f t="shared" si="59"/>
        <v>3.43</v>
      </c>
      <c r="O116" s="44">
        <f t="shared" si="59"/>
        <v>3.43</v>
      </c>
      <c r="P116" s="44">
        <f t="shared" si="59"/>
        <v>3.43</v>
      </c>
      <c r="Q116" s="44">
        <f t="shared" si="59"/>
        <v>3.43</v>
      </c>
      <c r="R116" s="44">
        <f t="shared" si="59"/>
        <v>3.43</v>
      </c>
      <c r="S116" s="44">
        <f t="shared" si="59"/>
        <v>3.43</v>
      </c>
      <c r="T116" s="44">
        <f t="shared" si="60"/>
        <v>3.43</v>
      </c>
      <c r="U116" s="44">
        <f t="shared" si="60"/>
        <v>3.43</v>
      </c>
      <c r="V116" s="44">
        <f t="shared" si="60"/>
        <v>3.43</v>
      </c>
      <c r="W116" s="44">
        <f t="shared" si="60"/>
        <v>3.43</v>
      </c>
      <c r="X116" s="44">
        <f t="shared" si="60"/>
        <v>3.43</v>
      </c>
      <c r="Y116" s="44">
        <f t="shared" si="60"/>
        <v>3.43</v>
      </c>
      <c r="Z116" s="44">
        <f t="shared" si="60"/>
        <v>3.43</v>
      </c>
      <c r="AA116" s="44">
        <f t="shared" si="60"/>
        <v>3.43</v>
      </c>
      <c r="AB116" s="44">
        <f t="shared" si="60"/>
        <v>3.43</v>
      </c>
      <c r="AC116" s="44">
        <f t="shared" si="60"/>
        <v>3.43</v>
      </c>
      <c r="AD116" s="44">
        <f t="shared" si="60"/>
        <v>3.43</v>
      </c>
      <c r="AE116" s="44">
        <f t="shared" si="60"/>
        <v>3.43</v>
      </c>
      <c r="AF116" s="44">
        <f t="shared" si="60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58"/>
        <v>2.96</v>
      </c>
      <c r="C117" s="55">
        <v>2.96</v>
      </c>
      <c r="D117" s="44">
        <f t="shared" si="59"/>
        <v>2.96</v>
      </c>
      <c r="E117" s="44">
        <f t="shared" si="59"/>
        <v>2.96</v>
      </c>
      <c r="F117" s="44">
        <f t="shared" si="59"/>
        <v>2.96</v>
      </c>
      <c r="G117" s="44">
        <f t="shared" si="59"/>
        <v>2.96</v>
      </c>
      <c r="H117" s="44">
        <f t="shared" si="59"/>
        <v>2.96</v>
      </c>
      <c r="I117" s="44">
        <f t="shared" si="59"/>
        <v>2.96</v>
      </c>
      <c r="J117" s="44">
        <f t="shared" si="59"/>
        <v>2.96</v>
      </c>
      <c r="K117" s="44">
        <f t="shared" si="59"/>
        <v>2.96</v>
      </c>
      <c r="L117" s="44">
        <f t="shared" si="59"/>
        <v>2.96</v>
      </c>
      <c r="M117" s="44">
        <f t="shared" si="59"/>
        <v>2.96</v>
      </c>
      <c r="N117" s="44">
        <f t="shared" si="59"/>
        <v>2.96</v>
      </c>
      <c r="O117" s="44">
        <f t="shared" si="59"/>
        <v>2.96</v>
      </c>
      <c r="P117" s="44">
        <f t="shared" si="59"/>
        <v>2.96</v>
      </c>
      <c r="Q117" s="44">
        <f t="shared" si="59"/>
        <v>2.96</v>
      </c>
      <c r="R117" s="44">
        <f t="shared" si="59"/>
        <v>2.96</v>
      </c>
      <c r="S117" s="44">
        <f t="shared" si="59"/>
        <v>2.96</v>
      </c>
      <c r="T117" s="44">
        <f t="shared" si="60"/>
        <v>2.96</v>
      </c>
      <c r="U117" s="44">
        <f t="shared" si="60"/>
        <v>2.96</v>
      </c>
      <c r="V117" s="44">
        <f t="shared" si="60"/>
        <v>2.96</v>
      </c>
      <c r="W117" s="44">
        <f t="shared" si="60"/>
        <v>2.96</v>
      </c>
      <c r="X117" s="44">
        <f t="shared" si="60"/>
        <v>2.96</v>
      </c>
      <c r="Y117" s="44">
        <f t="shared" si="60"/>
        <v>2.96</v>
      </c>
      <c r="Z117" s="44">
        <f t="shared" si="60"/>
        <v>2.96</v>
      </c>
      <c r="AA117" s="44">
        <f t="shared" si="60"/>
        <v>2.96</v>
      </c>
      <c r="AB117" s="44">
        <f t="shared" si="60"/>
        <v>2.96</v>
      </c>
      <c r="AC117" s="44">
        <f t="shared" si="60"/>
        <v>2.96</v>
      </c>
      <c r="AD117" s="44">
        <f t="shared" si="60"/>
        <v>2.96</v>
      </c>
      <c r="AE117" s="44">
        <f t="shared" si="60"/>
        <v>2.96</v>
      </c>
      <c r="AF117" s="44">
        <f t="shared" si="60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58"/>
        <v>8</v>
      </c>
      <c r="C118" s="55">
        <v>8</v>
      </c>
      <c r="D118" s="44">
        <f t="shared" si="59"/>
        <v>8</v>
      </c>
      <c r="E118" s="44">
        <f t="shared" si="59"/>
        <v>8</v>
      </c>
      <c r="F118" s="44">
        <f t="shared" si="59"/>
        <v>8</v>
      </c>
      <c r="G118" s="44">
        <f t="shared" si="59"/>
        <v>8</v>
      </c>
      <c r="H118" s="44">
        <f t="shared" si="59"/>
        <v>8</v>
      </c>
      <c r="I118" s="44">
        <f t="shared" si="59"/>
        <v>8</v>
      </c>
      <c r="J118" s="44">
        <f t="shared" si="59"/>
        <v>8</v>
      </c>
      <c r="K118" s="44">
        <f t="shared" si="59"/>
        <v>8</v>
      </c>
      <c r="L118" s="44">
        <f t="shared" si="59"/>
        <v>8</v>
      </c>
      <c r="M118" s="44">
        <f t="shared" si="59"/>
        <v>8</v>
      </c>
      <c r="N118" s="44">
        <f t="shared" si="59"/>
        <v>8</v>
      </c>
      <c r="O118" s="44">
        <f t="shared" si="59"/>
        <v>8</v>
      </c>
      <c r="P118" s="44">
        <f t="shared" si="59"/>
        <v>8</v>
      </c>
      <c r="Q118" s="44">
        <f t="shared" si="59"/>
        <v>8</v>
      </c>
      <c r="R118" s="44">
        <f t="shared" si="59"/>
        <v>8</v>
      </c>
      <c r="S118" s="44">
        <f t="shared" si="59"/>
        <v>8</v>
      </c>
      <c r="T118" s="44">
        <f t="shared" si="60"/>
        <v>8</v>
      </c>
      <c r="U118" s="44">
        <f t="shared" si="60"/>
        <v>8</v>
      </c>
      <c r="V118" s="44">
        <f t="shared" si="60"/>
        <v>8</v>
      </c>
      <c r="W118" s="44">
        <f t="shared" si="60"/>
        <v>8</v>
      </c>
      <c r="X118" s="44">
        <f t="shared" si="60"/>
        <v>8</v>
      </c>
      <c r="Y118" s="44">
        <f t="shared" si="60"/>
        <v>8</v>
      </c>
      <c r="Z118" s="44">
        <f t="shared" si="60"/>
        <v>8</v>
      </c>
      <c r="AA118" s="44">
        <f t="shared" si="60"/>
        <v>8</v>
      </c>
      <c r="AB118" s="44">
        <f t="shared" si="60"/>
        <v>8</v>
      </c>
      <c r="AC118" s="44">
        <f t="shared" si="60"/>
        <v>8</v>
      </c>
      <c r="AD118" s="44">
        <f t="shared" si="60"/>
        <v>8</v>
      </c>
      <c r="AE118" s="44">
        <f t="shared" si="60"/>
        <v>8</v>
      </c>
      <c r="AF118" s="44">
        <f t="shared" si="60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58"/>
        <v>7</v>
      </c>
      <c r="C119" s="55">
        <v>7</v>
      </c>
      <c r="D119" s="44">
        <f>C119</f>
        <v>7</v>
      </c>
      <c r="E119" s="44">
        <f t="shared" si="59"/>
        <v>7</v>
      </c>
      <c r="F119" s="44">
        <f t="shared" si="59"/>
        <v>7</v>
      </c>
      <c r="G119" s="44">
        <f t="shared" si="59"/>
        <v>7</v>
      </c>
      <c r="H119" s="44">
        <f t="shared" si="59"/>
        <v>7</v>
      </c>
      <c r="I119" s="44">
        <f t="shared" si="59"/>
        <v>7</v>
      </c>
      <c r="J119" s="44">
        <f t="shared" si="59"/>
        <v>7</v>
      </c>
      <c r="K119" s="44">
        <f t="shared" si="59"/>
        <v>7</v>
      </c>
      <c r="L119" s="44">
        <f t="shared" si="59"/>
        <v>7</v>
      </c>
      <c r="M119" s="44">
        <f t="shared" si="59"/>
        <v>7</v>
      </c>
      <c r="N119" s="44">
        <f t="shared" si="59"/>
        <v>7</v>
      </c>
      <c r="O119" s="44">
        <f t="shared" si="59"/>
        <v>7</v>
      </c>
      <c r="P119" s="44">
        <f t="shared" si="59"/>
        <v>7</v>
      </c>
      <c r="Q119" s="44">
        <f t="shared" si="59"/>
        <v>7</v>
      </c>
      <c r="R119" s="44">
        <f t="shared" si="59"/>
        <v>7</v>
      </c>
      <c r="S119" s="44">
        <f t="shared" si="59"/>
        <v>7</v>
      </c>
      <c r="T119" s="44">
        <f t="shared" si="60"/>
        <v>7</v>
      </c>
      <c r="U119" s="44">
        <f t="shared" si="60"/>
        <v>7</v>
      </c>
      <c r="V119" s="44">
        <f t="shared" si="60"/>
        <v>7</v>
      </c>
      <c r="W119" s="44">
        <f t="shared" si="60"/>
        <v>7</v>
      </c>
      <c r="X119" s="44">
        <f t="shared" si="60"/>
        <v>7</v>
      </c>
      <c r="Y119" s="44">
        <f t="shared" si="60"/>
        <v>7</v>
      </c>
      <c r="Z119" s="44">
        <f t="shared" si="60"/>
        <v>7</v>
      </c>
      <c r="AA119" s="44">
        <f t="shared" si="60"/>
        <v>7</v>
      </c>
      <c r="AB119" s="44">
        <f t="shared" si="60"/>
        <v>7</v>
      </c>
      <c r="AC119" s="44">
        <f t="shared" si="60"/>
        <v>7</v>
      </c>
      <c r="AD119" s="44">
        <f t="shared" si="60"/>
        <v>7</v>
      </c>
      <c r="AE119" s="44">
        <f t="shared" si="60"/>
        <v>7</v>
      </c>
      <c r="AF119" s="44">
        <f t="shared" si="60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58"/>
        <v>3.47</v>
      </c>
      <c r="C120" s="55">
        <v>3.47</v>
      </c>
      <c r="D120" s="44">
        <f t="shared" ref="D120:S129" si="61">C120</f>
        <v>3.47</v>
      </c>
      <c r="E120" s="44">
        <f t="shared" si="61"/>
        <v>3.47</v>
      </c>
      <c r="F120" s="44">
        <f t="shared" si="61"/>
        <v>3.47</v>
      </c>
      <c r="G120" s="44">
        <f t="shared" si="61"/>
        <v>3.47</v>
      </c>
      <c r="H120" s="44">
        <f t="shared" si="61"/>
        <v>3.47</v>
      </c>
      <c r="I120" s="44">
        <f t="shared" si="61"/>
        <v>3.47</v>
      </c>
      <c r="J120" s="44">
        <f t="shared" si="61"/>
        <v>3.47</v>
      </c>
      <c r="K120" s="44">
        <f t="shared" si="61"/>
        <v>3.47</v>
      </c>
      <c r="L120" s="44">
        <f t="shared" si="61"/>
        <v>3.47</v>
      </c>
      <c r="M120" s="44">
        <f t="shared" si="61"/>
        <v>3.47</v>
      </c>
      <c r="N120" s="44">
        <f t="shared" si="61"/>
        <v>3.47</v>
      </c>
      <c r="O120" s="44">
        <f t="shared" si="61"/>
        <v>3.47</v>
      </c>
      <c r="P120" s="44">
        <f t="shared" si="61"/>
        <v>3.47</v>
      </c>
      <c r="Q120" s="44">
        <f t="shared" si="61"/>
        <v>3.47</v>
      </c>
      <c r="R120" s="44">
        <f t="shared" si="61"/>
        <v>3.47</v>
      </c>
      <c r="S120" s="44">
        <f t="shared" si="61"/>
        <v>3.47</v>
      </c>
      <c r="T120" s="44">
        <f t="shared" si="60"/>
        <v>3.47</v>
      </c>
      <c r="U120" s="44">
        <f t="shared" si="60"/>
        <v>3.47</v>
      </c>
      <c r="V120" s="44">
        <f t="shared" si="60"/>
        <v>3.47</v>
      </c>
      <c r="W120" s="44">
        <f t="shared" si="60"/>
        <v>3.47</v>
      </c>
      <c r="X120" s="44">
        <f t="shared" si="60"/>
        <v>3.47</v>
      </c>
      <c r="Y120" s="44">
        <f t="shared" si="60"/>
        <v>3.47</v>
      </c>
      <c r="Z120" s="44">
        <f t="shared" si="60"/>
        <v>3.47</v>
      </c>
      <c r="AA120" s="44">
        <f t="shared" si="60"/>
        <v>3.47</v>
      </c>
      <c r="AB120" s="44">
        <f t="shared" si="60"/>
        <v>3.47</v>
      </c>
      <c r="AC120" s="44">
        <f t="shared" si="60"/>
        <v>3.47</v>
      </c>
      <c r="AD120" s="44">
        <f t="shared" si="60"/>
        <v>3.47</v>
      </c>
      <c r="AE120" s="44">
        <f t="shared" si="60"/>
        <v>3.47</v>
      </c>
      <c r="AF120" s="44">
        <f t="shared" si="60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58"/>
        <v>2.1</v>
      </c>
      <c r="C121" s="55">
        <v>2.1</v>
      </c>
      <c r="D121" s="44">
        <f t="shared" si="61"/>
        <v>2.1</v>
      </c>
      <c r="E121" s="44">
        <f t="shared" si="61"/>
        <v>2.1</v>
      </c>
      <c r="F121" s="44">
        <f t="shared" si="61"/>
        <v>2.1</v>
      </c>
      <c r="G121" s="44">
        <f t="shared" si="61"/>
        <v>2.1</v>
      </c>
      <c r="H121" s="44">
        <f t="shared" si="61"/>
        <v>2.1</v>
      </c>
      <c r="I121" s="44">
        <f t="shared" si="61"/>
        <v>2.1</v>
      </c>
      <c r="J121" s="44">
        <f t="shared" si="61"/>
        <v>2.1</v>
      </c>
      <c r="K121" s="44">
        <f t="shared" si="61"/>
        <v>2.1</v>
      </c>
      <c r="L121" s="44">
        <f t="shared" si="61"/>
        <v>2.1</v>
      </c>
      <c r="M121" s="44">
        <f t="shared" si="61"/>
        <v>2.1</v>
      </c>
      <c r="N121" s="44">
        <f t="shared" si="61"/>
        <v>2.1</v>
      </c>
      <c r="O121" s="44">
        <f t="shared" si="61"/>
        <v>2.1</v>
      </c>
      <c r="P121" s="44">
        <f t="shared" si="61"/>
        <v>2.1</v>
      </c>
      <c r="Q121" s="44">
        <f t="shared" si="61"/>
        <v>2.1</v>
      </c>
      <c r="R121" s="44">
        <f t="shared" si="61"/>
        <v>2.1</v>
      </c>
      <c r="S121" s="44">
        <f t="shared" si="61"/>
        <v>2.1</v>
      </c>
      <c r="T121" s="44">
        <f t="shared" si="60"/>
        <v>2.1</v>
      </c>
      <c r="U121" s="44">
        <f t="shared" si="60"/>
        <v>2.1</v>
      </c>
      <c r="V121" s="44">
        <f t="shared" si="60"/>
        <v>2.1</v>
      </c>
      <c r="W121" s="44">
        <f t="shared" si="60"/>
        <v>2.1</v>
      </c>
      <c r="X121" s="44">
        <f t="shared" si="60"/>
        <v>2.1</v>
      </c>
      <c r="Y121" s="44">
        <f t="shared" si="60"/>
        <v>2.1</v>
      </c>
      <c r="Z121" s="44">
        <f t="shared" si="60"/>
        <v>2.1</v>
      </c>
      <c r="AA121" s="44">
        <f t="shared" si="60"/>
        <v>2.1</v>
      </c>
      <c r="AB121" s="44">
        <f t="shared" si="60"/>
        <v>2.1</v>
      </c>
      <c r="AC121" s="44">
        <f t="shared" si="60"/>
        <v>2.1</v>
      </c>
      <c r="AD121" s="44">
        <f t="shared" si="60"/>
        <v>2.1</v>
      </c>
      <c r="AE121" s="44">
        <f t="shared" si="60"/>
        <v>2.1</v>
      </c>
      <c r="AF121" s="44">
        <f t="shared" si="60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58"/>
        <v>9.3000000000000007</v>
      </c>
      <c r="C122" s="55">
        <v>9.3000000000000007</v>
      </c>
      <c r="D122" s="44">
        <f t="shared" si="61"/>
        <v>9.3000000000000007</v>
      </c>
      <c r="E122" s="44">
        <f t="shared" si="61"/>
        <v>9.3000000000000007</v>
      </c>
      <c r="F122" s="44">
        <f t="shared" si="61"/>
        <v>9.3000000000000007</v>
      </c>
      <c r="G122" s="44">
        <f t="shared" si="61"/>
        <v>9.3000000000000007</v>
      </c>
      <c r="H122" s="44">
        <f t="shared" si="61"/>
        <v>9.3000000000000007</v>
      </c>
      <c r="I122" s="44">
        <f t="shared" si="61"/>
        <v>9.3000000000000007</v>
      </c>
      <c r="J122" s="44">
        <f t="shared" si="61"/>
        <v>9.3000000000000007</v>
      </c>
      <c r="K122" s="44">
        <f t="shared" si="61"/>
        <v>9.3000000000000007</v>
      </c>
      <c r="L122" s="44">
        <f t="shared" si="61"/>
        <v>9.3000000000000007</v>
      </c>
      <c r="M122" s="44">
        <f t="shared" si="61"/>
        <v>9.3000000000000007</v>
      </c>
      <c r="N122" s="44">
        <f t="shared" si="61"/>
        <v>9.3000000000000007</v>
      </c>
      <c r="O122" s="44">
        <f t="shared" si="61"/>
        <v>9.3000000000000007</v>
      </c>
      <c r="P122" s="44">
        <f t="shared" si="61"/>
        <v>9.3000000000000007</v>
      </c>
      <c r="Q122" s="44">
        <f t="shared" si="61"/>
        <v>9.3000000000000007</v>
      </c>
      <c r="R122" s="44">
        <f t="shared" si="61"/>
        <v>9.3000000000000007</v>
      </c>
      <c r="S122" s="44">
        <f t="shared" si="61"/>
        <v>9.3000000000000007</v>
      </c>
      <c r="T122" s="44">
        <f t="shared" si="60"/>
        <v>9.3000000000000007</v>
      </c>
      <c r="U122" s="44">
        <f t="shared" si="60"/>
        <v>9.3000000000000007</v>
      </c>
      <c r="V122" s="44">
        <f t="shared" si="60"/>
        <v>9.3000000000000007</v>
      </c>
      <c r="W122" s="44">
        <f t="shared" si="60"/>
        <v>9.3000000000000007</v>
      </c>
      <c r="X122" s="44">
        <f t="shared" si="60"/>
        <v>9.3000000000000007</v>
      </c>
      <c r="Y122" s="44">
        <f t="shared" si="60"/>
        <v>9.3000000000000007</v>
      </c>
      <c r="Z122" s="44">
        <f t="shared" si="60"/>
        <v>9.3000000000000007</v>
      </c>
      <c r="AA122" s="44">
        <f t="shared" si="60"/>
        <v>9.3000000000000007</v>
      </c>
      <c r="AB122" s="44">
        <f t="shared" si="60"/>
        <v>9.3000000000000007</v>
      </c>
      <c r="AC122" s="44">
        <f t="shared" si="60"/>
        <v>9.3000000000000007</v>
      </c>
      <c r="AD122" s="44">
        <f t="shared" si="60"/>
        <v>9.3000000000000007</v>
      </c>
      <c r="AE122" s="44">
        <f t="shared" si="60"/>
        <v>9.3000000000000007</v>
      </c>
      <c r="AF122" s="44">
        <f t="shared" si="60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58"/>
        <v>0</v>
      </c>
      <c r="C123" s="55">
        <v>0</v>
      </c>
      <c r="D123" s="44">
        <f t="shared" si="61"/>
        <v>0</v>
      </c>
      <c r="E123" s="44">
        <f t="shared" si="61"/>
        <v>0</v>
      </c>
      <c r="F123" s="44">
        <f t="shared" si="61"/>
        <v>0</v>
      </c>
      <c r="G123" s="44">
        <f t="shared" si="61"/>
        <v>0</v>
      </c>
      <c r="H123" s="44">
        <f t="shared" si="61"/>
        <v>0</v>
      </c>
      <c r="I123" s="44">
        <f t="shared" si="61"/>
        <v>0</v>
      </c>
      <c r="J123" s="44">
        <f t="shared" si="61"/>
        <v>0</v>
      </c>
      <c r="K123" s="44">
        <f t="shared" si="61"/>
        <v>0</v>
      </c>
      <c r="L123" s="44">
        <f t="shared" si="61"/>
        <v>0</v>
      </c>
      <c r="M123" s="44">
        <f t="shared" si="61"/>
        <v>0</v>
      </c>
      <c r="N123" s="44">
        <f t="shared" si="61"/>
        <v>0</v>
      </c>
      <c r="O123" s="44">
        <f t="shared" si="61"/>
        <v>0</v>
      </c>
      <c r="P123" s="44">
        <f t="shared" si="61"/>
        <v>0</v>
      </c>
      <c r="Q123" s="44">
        <f t="shared" si="61"/>
        <v>0</v>
      </c>
      <c r="R123" s="44">
        <f t="shared" si="61"/>
        <v>0</v>
      </c>
      <c r="S123" s="44">
        <f t="shared" si="61"/>
        <v>0</v>
      </c>
      <c r="T123" s="44">
        <f t="shared" si="60"/>
        <v>0</v>
      </c>
      <c r="U123" s="44">
        <f t="shared" si="60"/>
        <v>0</v>
      </c>
      <c r="V123" s="44">
        <f t="shared" si="60"/>
        <v>0</v>
      </c>
      <c r="W123" s="44">
        <f t="shared" si="60"/>
        <v>0</v>
      </c>
      <c r="X123" s="44">
        <f t="shared" si="60"/>
        <v>0</v>
      </c>
      <c r="Y123" s="44">
        <f t="shared" si="60"/>
        <v>0</v>
      </c>
      <c r="Z123" s="44">
        <f t="shared" si="60"/>
        <v>0</v>
      </c>
      <c r="AA123" s="44">
        <f t="shared" si="60"/>
        <v>0</v>
      </c>
      <c r="AB123" s="44">
        <f t="shared" si="60"/>
        <v>0</v>
      </c>
      <c r="AC123" s="44">
        <f t="shared" si="60"/>
        <v>0</v>
      </c>
      <c r="AD123" s="44">
        <f t="shared" si="60"/>
        <v>0</v>
      </c>
      <c r="AE123" s="44">
        <f t="shared" si="60"/>
        <v>0</v>
      </c>
      <c r="AF123" s="44">
        <f t="shared" si="60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58"/>
        <v>0</v>
      </c>
      <c r="C124" s="55">
        <v>0</v>
      </c>
      <c r="D124" s="44">
        <f t="shared" si="61"/>
        <v>0</v>
      </c>
      <c r="E124" s="44">
        <f t="shared" si="61"/>
        <v>0</v>
      </c>
      <c r="F124" s="44">
        <f t="shared" si="61"/>
        <v>0</v>
      </c>
      <c r="G124" s="44">
        <f t="shared" si="61"/>
        <v>0</v>
      </c>
      <c r="H124" s="44">
        <f t="shared" si="61"/>
        <v>0</v>
      </c>
      <c r="I124" s="44">
        <f t="shared" si="61"/>
        <v>0</v>
      </c>
      <c r="J124" s="44">
        <f t="shared" si="61"/>
        <v>0</v>
      </c>
      <c r="K124" s="44">
        <f t="shared" si="61"/>
        <v>0</v>
      </c>
      <c r="L124" s="44">
        <f t="shared" si="61"/>
        <v>0</v>
      </c>
      <c r="M124" s="44">
        <f t="shared" si="61"/>
        <v>0</v>
      </c>
      <c r="N124" s="44">
        <f t="shared" si="61"/>
        <v>0</v>
      </c>
      <c r="O124" s="44">
        <f t="shared" si="61"/>
        <v>0</v>
      </c>
      <c r="P124" s="44">
        <f t="shared" si="61"/>
        <v>0</v>
      </c>
      <c r="Q124" s="44">
        <f t="shared" si="61"/>
        <v>0</v>
      </c>
      <c r="R124" s="44">
        <f t="shared" si="61"/>
        <v>0</v>
      </c>
      <c r="S124" s="44">
        <f t="shared" si="61"/>
        <v>0</v>
      </c>
      <c r="T124" s="44">
        <f t="shared" si="60"/>
        <v>0</v>
      </c>
      <c r="U124" s="44">
        <f t="shared" si="60"/>
        <v>0</v>
      </c>
      <c r="V124" s="44">
        <f t="shared" si="60"/>
        <v>0</v>
      </c>
      <c r="W124" s="44">
        <f t="shared" si="60"/>
        <v>0</v>
      </c>
      <c r="X124" s="44">
        <f t="shared" si="60"/>
        <v>0</v>
      </c>
      <c r="Y124" s="44">
        <f t="shared" si="60"/>
        <v>0</v>
      </c>
      <c r="Z124" s="44">
        <f t="shared" si="60"/>
        <v>0</v>
      </c>
      <c r="AA124" s="44">
        <f t="shared" si="60"/>
        <v>0</v>
      </c>
      <c r="AB124" s="44">
        <f t="shared" si="60"/>
        <v>0</v>
      </c>
      <c r="AC124" s="44">
        <f t="shared" si="60"/>
        <v>0</v>
      </c>
      <c r="AD124" s="44">
        <f t="shared" si="60"/>
        <v>0</v>
      </c>
      <c r="AE124" s="44">
        <f t="shared" si="60"/>
        <v>0</v>
      </c>
      <c r="AF124" s="44">
        <f t="shared" si="60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58"/>
        <v>5</v>
      </c>
      <c r="C125" s="55">
        <v>5</v>
      </c>
      <c r="D125" s="44">
        <f t="shared" si="61"/>
        <v>5</v>
      </c>
      <c r="E125" s="44">
        <f t="shared" si="61"/>
        <v>5</v>
      </c>
      <c r="F125" s="44">
        <f t="shared" si="61"/>
        <v>5</v>
      </c>
      <c r="G125" s="44">
        <f t="shared" si="61"/>
        <v>5</v>
      </c>
      <c r="H125" s="44">
        <f t="shared" si="61"/>
        <v>5</v>
      </c>
      <c r="I125" s="44">
        <f t="shared" si="61"/>
        <v>5</v>
      </c>
      <c r="J125" s="44">
        <f t="shared" si="61"/>
        <v>5</v>
      </c>
      <c r="K125" s="44">
        <f t="shared" si="61"/>
        <v>5</v>
      </c>
      <c r="L125" s="44">
        <f t="shared" si="61"/>
        <v>5</v>
      </c>
      <c r="M125" s="44">
        <f t="shared" si="61"/>
        <v>5</v>
      </c>
      <c r="N125" s="44">
        <f t="shared" si="61"/>
        <v>5</v>
      </c>
      <c r="O125" s="44">
        <f t="shared" si="61"/>
        <v>5</v>
      </c>
      <c r="P125" s="44">
        <f t="shared" si="61"/>
        <v>5</v>
      </c>
      <c r="Q125" s="44">
        <f t="shared" si="61"/>
        <v>5</v>
      </c>
      <c r="R125" s="44">
        <f t="shared" si="61"/>
        <v>5</v>
      </c>
      <c r="S125" s="44">
        <f t="shared" si="61"/>
        <v>5</v>
      </c>
      <c r="T125" s="44">
        <f t="shared" si="60"/>
        <v>5</v>
      </c>
      <c r="U125" s="44">
        <f t="shared" si="60"/>
        <v>5</v>
      </c>
      <c r="V125" s="44">
        <f t="shared" si="60"/>
        <v>5</v>
      </c>
      <c r="W125" s="44">
        <f t="shared" si="60"/>
        <v>5</v>
      </c>
      <c r="X125" s="44">
        <f t="shared" si="60"/>
        <v>5</v>
      </c>
      <c r="Y125" s="44">
        <f t="shared" si="60"/>
        <v>5</v>
      </c>
      <c r="Z125" s="44">
        <f t="shared" si="60"/>
        <v>5</v>
      </c>
      <c r="AA125" s="44">
        <f t="shared" si="60"/>
        <v>5</v>
      </c>
      <c r="AB125" s="44">
        <f t="shared" si="60"/>
        <v>5</v>
      </c>
      <c r="AC125" s="44">
        <f t="shared" si="60"/>
        <v>5</v>
      </c>
      <c r="AD125" s="44">
        <f t="shared" si="60"/>
        <v>5</v>
      </c>
      <c r="AE125" s="44">
        <f t="shared" si="60"/>
        <v>5</v>
      </c>
      <c r="AF125" s="44">
        <f t="shared" si="60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58"/>
        <v>1</v>
      </c>
      <c r="C126" s="55">
        <v>1</v>
      </c>
      <c r="D126" s="44">
        <f t="shared" si="61"/>
        <v>1</v>
      </c>
      <c r="E126" s="44">
        <f t="shared" si="61"/>
        <v>1</v>
      </c>
      <c r="F126" s="44">
        <f t="shared" si="61"/>
        <v>1</v>
      </c>
      <c r="G126" s="44">
        <f t="shared" si="61"/>
        <v>1</v>
      </c>
      <c r="H126" s="44">
        <f t="shared" si="61"/>
        <v>1</v>
      </c>
      <c r="I126" s="44">
        <f t="shared" si="61"/>
        <v>1</v>
      </c>
      <c r="J126" s="44">
        <f t="shared" si="61"/>
        <v>1</v>
      </c>
      <c r="K126" s="44">
        <f t="shared" si="61"/>
        <v>1</v>
      </c>
      <c r="L126" s="44">
        <f t="shared" si="61"/>
        <v>1</v>
      </c>
      <c r="M126" s="44">
        <f t="shared" si="61"/>
        <v>1</v>
      </c>
      <c r="N126" s="44">
        <f t="shared" si="61"/>
        <v>1</v>
      </c>
      <c r="O126" s="44">
        <f t="shared" si="61"/>
        <v>1</v>
      </c>
      <c r="P126" s="44">
        <f t="shared" si="61"/>
        <v>1</v>
      </c>
      <c r="Q126" s="44">
        <f t="shared" si="61"/>
        <v>1</v>
      </c>
      <c r="R126" s="44">
        <f t="shared" si="61"/>
        <v>1</v>
      </c>
      <c r="S126" s="44">
        <f t="shared" si="61"/>
        <v>1</v>
      </c>
      <c r="T126" s="44">
        <f t="shared" si="60"/>
        <v>1</v>
      </c>
      <c r="U126" s="44">
        <f t="shared" si="60"/>
        <v>1</v>
      </c>
      <c r="V126" s="44">
        <f t="shared" si="60"/>
        <v>1</v>
      </c>
      <c r="W126" s="44">
        <f t="shared" si="60"/>
        <v>1</v>
      </c>
      <c r="X126" s="44">
        <f t="shared" si="60"/>
        <v>1</v>
      </c>
      <c r="Y126" s="44">
        <f t="shared" si="60"/>
        <v>1</v>
      </c>
      <c r="Z126" s="44">
        <f t="shared" si="60"/>
        <v>1</v>
      </c>
      <c r="AA126" s="44">
        <f t="shared" si="60"/>
        <v>1</v>
      </c>
      <c r="AB126" s="44">
        <f t="shared" si="60"/>
        <v>1</v>
      </c>
      <c r="AC126" s="44">
        <f t="shared" si="60"/>
        <v>1</v>
      </c>
      <c r="AD126" s="44">
        <f t="shared" si="60"/>
        <v>1</v>
      </c>
      <c r="AE126" s="44">
        <f t="shared" si="60"/>
        <v>1</v>
      </c>
      <c r="AF126" s="44">
        <f t="shared" si="60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58"/>
        <v>1.58</v>
      </c>
      <c r="C127" s="55">
        <v>1.58</v>
      </c>
      <c r="D127" s="44">
        <f t="shared" si="61"/>
        <v>1.58</v>
      </c>
      <c r="E127" s="44">
        <f t="shared" si="61"/>
        <v>1.58</v>
      </c>
      <c r="F127" s="44">
        <f t="shared" si="61"/>
        <v>1.58</v>
      </c>
      <c r="G127" s="44">
        <f t="shared" si="61"/>
        <v>1.58</v>
      </c>
      <c r="H127" s="44">
        <f t="shared" si="61"/>
        <v>1.58</v>
      </c>
      <c r="I127" s="44">
        <f t="shared" si="61"/>
        <v>1.58</v>
      </c>
      <c r="J127" s="44">
        <f t="shared" si="61"/>
        <v>1.58</v>
      </c>
      <c r="K127" s="44">
        <f t="shared" si="61"/>
        <v>1.58</v>
      </c>
      <c r="L127" s="44">
        <f t="shared" si="61"/>
        <v>1.58</v>
      </c>
      <c r="M127" s="44">
        <f t="shared" si="61"/>
        <v>1.58</v>
      </c>
      <c r="N127" s="44">
        <f t="shared" si="61"/>
        <v>1.58</v>
      </c>
      <c r="O127" s="44">
        <f t="shared" si="61"/>
        <v>1.58</v>
      </c>
      <c r="P127" s="44">
        <f t="shared" si="61"/>
        <v>1.58</v>
      </c>
      <c r="Q127" s="44">
        <f t="shared" si="61"/>
        <v>1.58</v>
      </c>
      <c r="R127" s="44">
        <f t="shared" si="61"/>
        <v>1.58</v>
      </c>
      <c r="S127" s="44">
        <f t="shared" si="61"/>
        <v>1.58</v>
      </c>
      <c r="T127" s="44">
        <f t="shared" si="60"/>
        <v>1.58</v>
      </c>
      <c r="U127" s="44">
        <f t="shared" si="60"/>
        <v>1.58</v>
      </c>
      <c r="V127" s="44">
        <f t="shared" si="60"/>
        <v>1.58</v>
      </c>
      <c r="W127" s="44">
        <f t="shared" si="60"/>
        <v>1.58</v>
      </c>
      <c r="X127" s="44">
        <f t="shared" si="60"/>
        <v>1.58</v>
      </c>
      <c r="Y127" s="44">
        <f t="shared" si="60"/>
        <v>1.58</v>
      </c>
      <c r="Z127" s="44">
        <f t="shared" si="60"/>
        <v>1.58</v>
      </c>
      <c r="AA127" s="44">
        <f t="shared" si="60"/>
        <v>1.58</v>
      </c>
      <c r="AB127" s="44">
        <f t="shared" si="60"/>
        <v>1.58</v>
      </c>
      <c r="AC127" s="44">
        <f t="shared" si="60"/>
        <v>1.58</v>
      </c>
      <c r="AD127" s="44">
        <f t="shared" si="60"/>
        <v>1.58</v>
      </c>
      <c r="AE127" s="44">
        <f t="shared" si="60"/>
        <v>1.58</v>
      </c>
      <c r="AF127" s="44">
        <f t="shared" si="60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58"/>
        <v>1.46</v>
      </c>
      <c r="C128" s="55">
        <v>1.46</v>
      </c>
      <c r="D128" s="44">
        <f t="shared" si="61"/>
        <v>1.46</v>
      </c>
      <c r="E128" s="44">
        <f t="shared" si="61"/>
        <v>1.46</v>
      </c>
      <c r="F128" s="44">
        <f t="shared" si="61"/>
        <v>1.46</v>
      </c>
      <c r="G128" s="44">
        <f t="shared" si="61"/>
        <v>1.46</v>
      </c>
      <c r="H128" s="44">
        <f t="shared" si="61"/>
        <v>1.46</v>
      </c>
      <c r="I128" s="44">
        <f t="shared" si="61"/>
        <v>1.46</v>
      </c>
      <c r="J128" s="44">
        <f t="shared" si="61"/>
        <v>1.46</v>
      </c>
      <c r="K128" s="44">
        <f t="shared" si="61"/>
        <v>1.46</v>
      </c>
      <c r="L128" s="44">
        <f t="shared" si="61"/>
        <v>1.46</v>
      </c>
      <c r="M128" s="44">
        <f t="shared" si="61"/>
        <v>1.46</v>
      </c>
      <c r="N128" s="44">
        <f t="shared" si="61"/>
        <v>1.46</v>
      </c>
      <c r="O128" s="44">
        <f t="shared" si="61"/>
        <v>1.46</v>
      </c>
      <c r="P128" s="44">
        <f t="shared" si="61"/>
        <v>1.46</v>
      </c>
      <c r="Q128" s="44">
        <f t="shared" si="61"/>
        <v>1.46</v>
      </c>
      <c r="R128" s="44">
        <f t="shared" si="61"/>
        <v>1.46</v>
      </c>
      <c r="S128" s="44">
        <f t="shared" si="61"/>
        <v>1.46</v>
      </c>
      <c r="T128" s="44">
        <f t="shared" ref="T128:AF129" si="62">S128</f>
        <v>1.46</v>
      </c>
      <c r="U128" s="44">
        <f t="shared" si="62"/>
        <v>1.46</v>
      </c>
      <c r="V128" s="44">
        <f t="shared" si="62"/>
        <v>1.46</v>
      </c>
      <c r="W128" s="44">
        <f t="shared" si="62"/>
        <v>1.46</v>
      </c>
      <c r="X128" s="44">
        <f t="shared" si="62"/>
        <v>1.46</v>
      </c>
      <c r="Y128" s="44">
        <f t="shared" si="62"/>
        <v>1.46</v>
      </c>
      <c r="Z128" s="44">
        <f t="shared" si="62"/>
        <v>1.46</v>
      </c>
      <c r="AA128" s="44">
        <f t="shared" si="62"/>
        <v>1.46</v>
      </c>
      <c r="AB128" s="44">
        <f t="shared" si="62"/>
        <v>1.46</v>
      </c>
      <c r="AC128" s="44">
        <f t="shared" si="62"/>
        <v>1.46</v>
      </c>
      <c r="AD128" s="44">
        <f t="shared" si="62"/>
        <v>1.46</v>
      </c>
      <c r="AE128" s="44">
        <f t="shared" si="62"/>
        <v>1.46</v>
      </c>
      <c r="AF128" s="44">
        <f t="shared" si="62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58"/>
        <v>1.48</v>
      </c>
      <c r="C129" s="55">
        <v>1.48</v>
      </c>
      <c r="D129" s="44">
        <f t="shared" si="61"/>
        <v>1.48</v>
      </c>
      <c r="E129" s="44">
        <f t="shared" si="61"/>
        <v>1.48</v>
      </c>
      <c r="F129" s="44">
        <f t="shared" si="61"/>
        <v>1.48</v>
      </c>
      <c r="G129" s="44">
        <f t="shared" si="61"/>
        <v>1.48</v>
      </c>
      <c r="H129" s="44">
        <f t="shared" si="61"/>
        <v>1.48</v>
      </c>
      <c r="I129" s="44">
        <f t="shared" si="61"/>
        <v>1.48</v>
      </c>
      <c r="J129" s="44">
        <f t="shared" si="61"/>
        <v>1.48</v>
      </c>
      <c r="K129" s="44">
        <f t="shared" si="61"/>
        <v>1.48</v>
      </c>
      <c r="L129" s="44">
        <f t="shared" si="61"/>
        <v>1.48</v>
      </c>
      <c r="M129" s="44">
        <f t="shared" si="61"/>
        <v>1.48</v>
      </c>
      <c r="N129" s="44">
        <f t="shared" si="61"/>
        <v>1.48</v>
      </c>
      <c r="O129" s="44">
        <f t="shared" si="61"/>
        <v>1.48</v>
      </c>
      <c r="P129" s="44">
        <f t="shared" si="61"/>
        <v>1.48</v>
      </c>
      <c r="Q129" s="44">
        <f t="shared" si="61"/>
        <v>1.48</v>
      </c>
      <c r="R129" s="44">
        <f t="shared" si="61"/>
        <v>1.48</v>
      </c>
      <c r="S129" s="44">
        <f t="shared" si="61"/>
        <v>1.48</v>
      </c>
      <c r="T129" s="44">
        <f t="shared" si="62"/>
        <v>1.48</v>
      </c>
      <c r="U129" s="44">
        <f t="shared" si="62"/>
        <v>1.48</v>
      </c>
      <c r="V129" s="44">
        <f t="shared" si="62"/>
        <v>1.48</v>
      </c>
      <c r="W129" s="44">
        <f t="shared" si="62"/>
        <v>1.48</v>
      </c>
      <c r="X129" s="44">
        <f t="shared" si="62"/>
        <v>1.48</v>
      </c>
      <c r="Y129" s="44">
        <f t="shared" si="62"/>
        <v>1.48</v>
      </c>
      <c r="Z129" s="44">
        <f t="shared" si="62"/>
        <v>1.48</v>
      </c>
      <c r="AA129" s="44">
        <f t="shared" si="62"/>
        <v>1.48</v>
      </c>
      <c r="AB129" s="44">
        <f t="shared" si="62"/>
        <v>1.48</v>
      </c>
      <c r="AC129" s="44">
        <f t="shared" si="62"/>
        <v>1.48</v>
      </c>
      <c r="AD129" s="44">
        <f t="shared" si="62"/>
        <v>1.48</v>
      </c>
      <c r="AE129" s="44">
        <f t="shared" si="62"/>
        <v>1.48</v>
      </c>
      <c r="AF129" s="44">
        <f t="shared" si="62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63">AF131</f>
        <v>2.2000000000000002</v>
      </c>
      <c r="C131" s="55">
        <v>2.2000000000000002</v>
      </c>
      <c r="D131" s="44">
        <f t="shared" ref="D131:S138" si="64">C131</f>
        <v>2.2000000000000002</v>
      </c>
      <c r="E131" s="44">
        <f t="shared" si="64"/>
        <v>2.2000000000000002</v>
      </c>
      <c r="F131" s="44">
        <f t="shared" si="64"/>
        <v>2.2000000000000002</v>
      </c>
      <c r="G131" s="44">
        <f t="shared" si="64"/>
        <v>2.2000000000000002</v>
      </c>
      <c r="H131" s="44">
        <f t="shared" si="64"/>
        <v>2.2000000000000002</v>
      </c>
      <c r="I131" s="44">
        <f t="shared" si="64"/>
        <v>2.2000000000000002</v>
      </c>
      <c r="J131" s="44">
        <f t="shared" si="64"/>
        <v>2.2000000000000002</v>
      </c>
      <c r="K131" s="44">
        <f t="shared" si="64"/>
        <v>2.2000000000000002</v>
      </c>
      <c r="L131" s="44">
        <f t="shared" si="64"/>
        <v>2.2000000000000002</v>
      </c>
      <c r="M131" s="44">
        <f t="shared" si="64"/>
        <v>2.2000000000000002</v>
      </c>
      <c r="N131" s="44">
        <f t="shared" si="64"/>
        <v>2.2000000000000002</v>
      </c>
      <c r="O131" s="44">
        <f t="shared" si="64"/>
        <v>2.2000000000000002</v>
      </c>
      <c r="P131" s="44">
        <f t="shared" si="64"/>
        <v>2.2000000000000002</v>
      </c>
      <c r="Q131" s="44">
        <f t="shared" si="64"/>
        <v>2.2000000000000002</v>
      </c>
      <c r="R131" s="44">
        <f t="shared" si="64"/>
        <v>2.2000000000000002</v>
      </c>
      <c r="S131" s="44">
        <f t="shared" si="64"/>
        <v>2.2000000000000002</v>
      </c>
      <c r="T131" s="44">
        <f t="shared" ref="T131:AF138" si="65">S131</f>
        <v>2.2000000000000002</v>
      </c>
      <c r="U131" s="44">
        <f t="shared" si="65"/>
        <v>2.2000000000000002</v>
      </c>
      <c r="V131" s="44">
        <f t="shared" si="65"/>
        <v>2.2000000000000002</v>
      </c>
      <c r="W131" s="44">
        <f t="shared" si="65"/>
        <v>2.2000000000000002</v>
      </c>
      <c r="X131" s="44">
        <f t="shared" si="65"/>
        <v>2.2000000000000002</v>
      </c>
      <c r="Y131" s="44">
        <f t="shared" si="65"/>
        <v>2.2000000000000002</v>
      </c>
      <c r="Z131" s="44">
        <f t="shared" si="65"/>
        <v>2.2000000000000002</v>
      </c>
      <c r="AA131" s="44">
        <f t="shared" si="65"/>
        <v>2.2000000000000002</v>
      </c>
      <c r="AB131" s="44">
        <f t="shared" si="65"/>
        <v>2.2000000000000002</v>
      </c>
      <c r="AC131" s="44">
        <f t="shared" si="65"/>
        <v>2.2000000000000002</v>
      </c>
      <c r="AD131" s="44">
        <f t="shared" si="65"/>
        <v>2.2000000000000002</v>
      </c>
      <c r="AE131" s="44">
        <f t="shared" si="65"/>
        <v>2.2000000000000002</v>
      </c>
      <c r="AF131" s="44">
        <f t="shared" si="65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63"/>
        <v>2</v>
      </c>
      <c r="C132" s="55">
        <v>2</v>
      </c>
      <c r="D132" s="44">
        <f t="shared" si="64"/>
        <v>2</v>
      </c>
      <c r="E132" s="44">
        <f t="shared" si="64"/>
        <v>2</v>
      </c>
      <c r="F132" s="44">
        <f t="shared" si="64"/>
        <v>2</v>
      </c>
      <c r="G132" s="44">
        <f t="shared" si="64"/>
        <v>2</v>
      </c>
      <c r="H132" s="44">
        <f t="shared" si="64"/>
        <v>2</v>
      </c>
      <c r="I132" s="44">
        <f t="shared" si="64"/>
        <v>2</v>
      </c>
      <c r="J132" s="44">
        <f t="shared" si="64"/>
        <v>2</v>
      </c>
      <c r="K132" s="44">
        <f t="shared" si="64"/>
        <v>2</v>
      </c>
      <c r="L132" s="44">
        <f t="shared" si="64"/>
        <v>2</v>
      </c>
      <c r="M132" s="44">
        <f t="shared" si="64"/>
        <v>2</v>
      </c>
      <c r="N132" s="44">
        <f t="shared" si="64"/>
        <v>2</v>
      </c>
      <c r="O132" s="44">
        <f t="shared" si="64"/>
        <v>2</v>
      </c>
      <c r="P132" s="44">
        <f t="shared" si="64"/>
        <v>2</v>
      </c>
      <c r="Q132" s="44">
        <f t="shared" si="64"/>
        <v>2</v>
      </c>
      <c r="R132" s="44">
        <f t="shared" si="64"/>
        <v>2</v>
      </c>
      <c r="S132" s="44">
        <f t="shared" si="64"/>
        <v>2</v>
      </c>
      <c r="T132" s="44">
        <f t="shared" si="65"/>
        <v>2</v>
      </c>
      <c r="U132" s="44">
        <f t="shared" si="65"/>
        <v>2</v>
      </c>
      <c r="V132" s="44">
        <f t="shared" si="65"/>
        <v>2</v>
      </c>
      <c r="W132" s="44">
        <f t="shared" si="65"/>
        <v>2</v>
      </c>
      <c r="X132" s="44">
        <f t="shared" si="65"/>
        <v>2</v>
      </c>
      <c r="Y132" s="44">
        <f t="shared" si="65"/>
        <v>2</v>
      </c>
      <c r="Z132" s="44">
        <f t="shared" si="65"/>
        <v>2</v>
      </c>
      <c r="AA132" s="44">
        <f t="shared" si="65"/>
        <v>2</v>
      </c>
      <c r="AB132" s="44">
        <f t="shared" si="65"/>
        <v>2</v>
      </c>
      <c r="AC132" s="44">
        <f t="shared" si="65"/>
        <v>2</v>
      </c>
      <c r="AD132" s="44">
        <f t="shared" si="65"/>
        <v>2</v>
      </c>
      <c r="AE132" s="44">
        <f t="shared" si="65"/>
        <v>2</v>
      </c>
      <c r="AF132" s="44">
        <f t="shared" si="65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63"/>
        <v>1.25</v>
      </c>
      <c r="C133" s="55">
        <v>1.25</v>
      </c>
      <c r="D133" s="44">
        <f t="shared" si="64"/>
        <v>1.25</v>
      </c>
      <c r="E133" s="44">
        <f t="shared" si="64"/>
        <v>1.25</v>
      </c>
      <c r="F133" s="44">
        <f t="shared" si="64"/>
        <v>1.25</v>
      </c>
      <c r="G133" s="44">
        <f t="shared" si="64"/>
        <v>1.25</v>
      </c>
      <c r="H133" s="44">
        <f t="shared" si="64"/>
        <v>1.25</v>
      </c>
      <c r="I133" s="44">
        <f t="shared" si="64"/>
        <v>1.25</v>
      </c>
      <c r="J133" s="44">
        <f t="shared" si="64"/>
        <v>1.25</v>
      </c>
      <c r="K133" s="44">
        <f t="shared" si="64"/>
        <v>1.25</v>
      </c>
      <c r="L133" s="44">
        <f t="shared" si="64"/>
        <v>1.25</v>
      </c>
      <c r="M133" s="44">
        <f t="shared" si="64"/>
        <v>1.25</v>
      </c>
      <c r="N133" s="44">
        <f t="shared" si="64"/>
        <v>1.25</v>
      </c>
      <c r="O133" s="44">
        <f t="shared" si="64"/>
        <v>1.25</v>
      </c>
      <c r="P133" s="44">
        <f t="shared" si="64"/>
        <v>1.25</v>
      </c>
      <c r="Q133" s="44">
        <f t="shared" si="64"/>
        <v>1.25</v>
      </c>
      <c r="R133" s="44">
        <f t="shared" si="64"/>
        <v>1.25</v>
      </c>
      <c r="S133" s="44">
        <f t="shared" si="64"/>
        <v>1.25</v>
      </c>
      <c r="T133" s="44">
        <f t="shared" si="65"/>
        <v>1.25</v>
      </c>
      <c r="U133" s="44">
        <f t="shared" si="65"/>
        <v>1.25</v>
      </c>
      <c r="V133" s="44">
        <f t="shared" si="65"/>
        <v>1.25</v>
      </c>
      <c r="W133" s="44">
        <f t="shared" si="65"/>
        <v>1.25</v>
      </c>
      <c r="X133" s="44">
        <f t="shared" si="65"/>
        <v>1.25</v>
      </c>
      <c r="Y133" s="44">
        <f t="shared" si="65"/>
        <v>1.25</v>
      </c>
      <c r="Z133" s="44">
        <f t="shared" si="65"/>
        <v>1.25</v>
      </c>
      <c r="AA133" s="44">
        <f t="shared" si="65"/>
        <v>1.25</v>
      </c>
      <c r="AB133" s="44">
        <f t="shared" si="65"/>
        <v>1.25</v>
      </c>
      <c r="AC133" s="44">
        <f t="shared" si="65"/>
        <v>1.25</v>
      </c>
      <c r="AD133" s="44">
        <f t="shared" si="65"/>
        <v>1.25</v>
      </c>
      <c r="AE133" s="44">
        <f t="shared" si="65"/>
        <v>1.25</v>
      </c>
      <c r="AF133" s="44">
        <f t="shared" si="65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63"/>
        <v>1.1499999999999999</v>
      </c>
      <c r="C134" s="55">
        <v>1.1499999999999999</v>
      </c>
      <c r="D134" s="44">
        <f t="shared" si="64"/>
        <v>1.1499999999999999</v>
      </c>
      <c r="E134" s="44">
        <f t="shared" si="64"/>
        <v>1.1499999999999999</v>
      </c>
      <c r="F134" s="44">
        <f t="shared" si="64"/>
        <v>1.1499999999999999</v>
      </c>
      <c r="G134" s="44">
        <f t="shared" si="64"/>
        <v>1.1499999999999999</v>
      </c>
      <c r="H134" s="44">
        <f t="shared" si="64"/>
        <v>1.1499999999999999</v>
      </c>
      <c r="I134" s="44">
        <f t="shared" si="64"/>
        <v>1.1499999999999999</v>
      </c>
      <c r="J134" s="44">
        <f t="shared" si="64"/>
        <v>1.1499999999999999</v>
      </c>
      <c r="K134" s="44">
        <f t="shared" si="64"/>
        <v>1.1499999999999999</v>
      </c>
      <c r="L134" s="44">
        <f t="shared" si="64"/>
        <v>1.1499999999999999</v>
      </c>
      <c r="M134" s="44">
        <f t="shared" si="64"/>
        <v>1.1499999999999999</v>
      </c>
      <c r="N134" s="44">
        <f t="shared" si="64"/>
        <v>1.1499999999999999</v>
      </c>
      <c r="O134" s="44">
        <f t="shared" si="64"/>
        <v>1.1499999999999999</v>
      </c>
      <c r="P134" s="44">
        <f t="shared" si="64"/>
        <v>1.1499999999999999</v>
      </c>
      <c r="Q134" s="44">
        <f t="shared" si="64"/>
        <v>1.1499999999999999</v>
      </c>
      <c r="R134" s="44">
        <f t="shared" si="64"/>
        <v>1.1499999999999999</v>
      </c>
      <c r="S134" s="44">
        <f t="shared" si="64"/>
        <v>1.1499999999999999</v>
      </c>
      <c r="T134" s="44">
        <f t="shared" si="65"/>
        <v>1.1499999999999999</v>
      </c>
      <c r="U134" s="44">
        <f t="shared" si="65"/>
        <v>1.1499999999999999</v>
      </c>
      <c r="V134" s="44">
        <f t="shared" si="65"/>
        <v>1.1499999999999999</v>
      </c>
      <c r="W134" s="44">
        <f t="shared" si="65"/>
        <v>1.1499999999999999</v>
      </c>
      <c r="X134" s="44">
        <f t="shared" si="65"/>
        <v>1.1499999999999999</v>
      </c>
      <c r="Y134" s="44">
        <f t="shared" si="65"/>
        <v>1.1499999999999999</v>
      </c>
      <c r="Z134" s="44">
        <f t="shared" si="65"/>
        <v>1.1499999999999999</v>
      </c>
      <c r="AA134" s="44">
        <f t="shared" si="65"/>
        <v>1.1499999999999999</v>
      </c>
      <c r="AB134" s="44">
        <f t="shared" si="65"/>
        <v>1.1499999999999999</v>
      </c>
      <c r="AC134" s="44">
        <f t="shared" si="65"/>
        <v>1.1499999999999999</v>
      </c>
      <c r="AD134" s="44">
        <f t="shared" si="65"/>
        <v>1.1499999999999999</v>
      </c>
      <c r="AE134" s="44">
        <f t="shared" si="65"/>
        <v>1.1499999999999999</v>
      </c>
      <c r="AF134" s="44">
        <f t="shared" si="65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63"/>
        <v>2.133</v>
      </c>
      <c r="C135" s="55">
        <v>2.133</v>
      </c>
      <c r="D135" s="44">
        <f t="shared" si="64"/>
        <v>2.133</v>
      </c>
      <c r="E135" s="44">
        <f t="shared" si="64"/>
        <v>2.133</v>
      </c>
      <c r="F135" s="44">
        <f t="shared" si="64"/>
        <v>2.133</v>
      </c>
      <c r="G135" s="44">
        <f t="shared" si="64"/>
        <v>2.133</v>
      </c>
      <c r="H135" s="44">
        <f t="shared" si="64"/>
        <v>2.133</v>
      </c>
      <c r="I135" s="44">
        <f t="shared" si="64"/>
        <v>2.133</v>
      </c>
      <c r="J135" s="44">
        <f t="shared" si="64"/>
        <v>2.133</v>
      </c>
      <c r="K135" s="44">
        <f t="shared" si="64"/>
        <v>2.133</v>
      </c>
      <c r="L135" s="44">
        <f t="shared" si="64"/>
        <v>2.133</v>
      </c>
      <c r="M135" s="44">
        <f t="shared" si="64"/>
        <v>2.133</v>
      </c>
      <c r="N135" s="44">
        <f t="shared" si="64"/>
        <v>2.133</v>
      </c>
      <c r="O135" s="44">
        <f t="shared" si="64"/>
        <v>2.133</v>
      </c>
      <c r="P135" s="44">
        <f t="shared" si="64"/>
        <v>2.133</v>
      </c>
      <c r="Q135" s="44">
        <f t="shared" si="64"/>
        <v>2.133</v>
      </c>
      <c r="R135" s="44">
        <f t="shared" si="64"/>
        <v>2.133</v>
      </c>
      <c r="S135" s="44">
        <f t="shared" si="64"/>
        <v>2.133</v>
      </c>
      <c r="T135" s="44">
        <f t="shared" si="65"/>
        <v>2.133</v>
      </c>
      <c r="U135" s="44">
        <f t="shared" si="65"/>
        <v>2.133</v>
      </c>
      <c r="V135" s="44">
        <f t="shared" si="65"/>
        <v>2.133</v>
      </c>
      <c r="W135" s="44">
        <f t="shared" si="65"/>
        <v>2.133</v>
      </c>
      <c r="X135" s="44">
        <f t="shared" si="65"/>
        <v>2.133</v>
      </c>
      <c r="Y135" s="44">
        <f t="shared" si="65"/>
        <v>2.133</v>
      </c>
      <c r="Z135" s="44">
        <f t="shared" si="65"/>
        <v>2.133</v>
      </c>
      <c r="AA135" s="44">
        <f t="shared" si="65"/>
        <v>2.133</v>
      </c>
      <c r="AB135" s="44">
        <f t="shared" si="65"/>
        <v>2.133</v>
      </c>
      <c r="AC135" s="44">
        <f t="shared" si="65"/>
        <v>2.133</v>
      </c>
      <c r="AD135" s="44">
        <f t="shared" si="65"/>
        <v>2.133</v>
      </c>
      <c r="AE135" s="44">
        <f t="shared" si="65"/>
        <v>2.133</v>
      </c>
      <c r="AF135" s="44">
        <f t="shared" si="65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63"/>
        <v>2.09</v>
      </c>
      <c r="C136" s="55">
        <v>2.09</v>
      </c>
      <c r="D136" s="44">
        <f t="shared" si="64"/>
        <v>2.09</v>
      </c>
      <c r="E136" s="44">
        <f t="shared" si="64"/>
        <v>2.09</v>
      </c>
      <c r="F136" s="44">
        <f t="shared" si="64"/>
        <v>2.09</v>
      </c>
      <c r="G136" s="44">
        <f t="shared" si="64"/>
        <v>2.09</v>
      </c>
      <c r="H136" s="44">
        <f t="shared" si="64"/>
        <v>2.09</v>
      </c>
      <c r="I136" s="44">
        <f t="shared" si="64"/>
        <v>2.09</v>
      </c>
      <c r="J136" s="44">
        <f t="shared" si="64"/>
        <v>2.09</v>
      </c>
      <c r="K136" s="44">
        <f t="shared" si="64"/>
        <v>2.09</v>
      </c>
      <c r="L136" s="44">
        <f t="shared" si="64"/>
        <v>2.09</v>
      </c>
      <c r="M136" s="44">
        <f t="shared" si="64"/>
        <v>2.09</v>
      </c>
      <c r="N136" s="44">
        <f t="shared" si="64"/>
        <v>2.09</v>
      </c>
      <c r="O136" s="44">
        <f t="shared" si="64"/>
        <v>2.09</v>
      </c>
      <c r="P136" s="44">
        <f t="shared" si="64"/>
        <v>2.09</v>
      </c>
      <c r="Q136" s="44">
        <f t="shared" si="64"/>
        <v>2.09</v>
      </c>
      <c r="R136" s="44">
        <f t="shared" si="64"/>
        <v>2.09</v>
      </c>
      <c r="S136" s="44">
        <f t="shared" si="64"/>
        <v>2.09</v>
      </c>
      <c r="T136" s="44">
        <f t="shared" si="65"/>
        <v>2.09</v>
      </c>
      <c r="U136" s="44">
        <f t="shared" si="65"/>
        <v>2.09</v>
      </c>
      <c r="V136" s="44">
        <f t="shared" si="65"/>
        <v>2.09</v>
      </c>
      <c r="W136" s="44">
        <f t="shared" si="65"/>
        <v>2.09</v>
      </c>
      <c r="X136" s="44">
        <f t="shared" si="65"/>
        <v>2.09</v>
      </c>
      <c r="Y136" s="44">
        <f t="shared" si="65"/>
        <v>2.09</v>
      </c>
      <c r="Z136" s="44">
        <f t="shared" si="65"/>
        <v>2.09</v>
      </c>
      <c r="AA136" s="44">
        <f t="shared" si="65"/>
        <v>2.09</v>
      </c>
      <c r="AB136" s="44">
        <f t="shared" si="65"/>
        <v>2.09</v>
      </c>
      <c r="AC136" s="44">
        <f t="shared" si="65"/>
        <v>2.09</v>
      </c>
      <c r="AD136" s="44">
        <f t="shared" si="65"/>
        <v>2.09</v>
      </c>
      <c r="AE136" s="44">
        <f t="shared" si="65"/>
        <v>2.09</v>
      </c>
      <c r="AF136" s="44">
        <f t="shared" si="65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63"/>
        <v>1.1399999999999999</v>
      </c>
      <c r="C137" s="55">
        <v>1.1399999999999999</v>
      </c>
      <c r="D137" s="44">
        <f t="shared" si="64"/>
        <v>1.1399999999999999</v>
      </c>
      <c r="E137" s="44">
        <f t="shared" si="64"/>
        <v>1.1399999999999999</v>
      </c>
      <c r="F137" s="44">
        <f t="shared" si="64"/>
        <v>1.1399999999999999</v>
      </c>
      <c r="G137" s="44">
        <f t="shared" si="64"/>
        <v>1.1399999999999999</v>
      </c>
      <c r="H137" s="44">
        <f t="shared" si="64"/>
        <v>1.1399999999999999</v>
      </c>
      <c r="I137" s="44">
        <f t="shared" si="64"/>
        <v>1.1399999999999999</v>
      </c>
      <c r="J137" s="44">
        <f t="shared" si="64"/>
        <v>1.1399999999999999</v>
      </c>
      <c r="K137" s="44">
        <f t="shared" si="64"/>
        <v>1.1399999999999999</v>
      </c>
      <c r="L137" s="44">
        <f t="shared" si="64"/>
        <v>1.1399999999999999</v>
      </c>
      <c r="M137" s="44">
        <f t="shared" si="64"/>
        <v>1.1399999999999999</v>
      </c>
      <c r="N137" s="44">
        <f t="shared" si="64"/>
        <v>1.1399999999999999</v>
      </c>
      <c r="O137" s="44">
        <f t="shared" si="64"/>
        <v>1.1399999999999999</v>
      </c>
      <c r="P137" s="44">
        <f t="shared" si="64"/>
        <v>1.1399999999999999</v>
      </c>
      <c r="Q137" s="44">
        <f t="shared" si="64"/>
        <v>1.1399999999999999</v>
      </c>
      <c r="R137" s="44">
        <f t="shared" si="64"/>
        <v>1.1399999999999999</v>
      </c>
      <c r="S137" s="44">
        <f t="shared" si="64"/>
        <v>1.1399999999999999</v>
      </c>
      <c r="T137" s="44">
        <f t="shared" si="65"/>
        <v>1.1399999999999999</v>
      </c>
      <c r="U137" s="44">
        <f t="shared" si="65"/>
        <v>1.1399999999999999</v>
      </c>
      <c r="V137" s="44">
        <f t="shared" si="65"/>
        <v>1.1399999999999999</v>
      </c>
      <c r="W137" s="44">
        <f t="shared" si="65"/>
        <v>1.1399999999999999</v>
      </c>
      <c r="X137" s="44">
        <f t="shared" si="65"/>
        <v>1.1399999999999999</v>
      </c>
      <c r="Y137" s="44">
        <f t="shared" si="65"/>
        <v>1.1399999999999999</v>
      </c>
      <c r="Z137" s="44">
        <f t="shared" si="65"/>
        <v>1.1399999999999999</v>
      </c>
      <c r="AA137" s="44">
        <f t="shared" si="65"/>
        <v>1.1399999999999999</v>
      </c>
      <c r="AB137" s="44">
        <f t="shared" si="65"/>
        <v>1.1399999999999999</v>
      </c>
      <c r="AC137" s="44">
        <f t="shared" si="65"/>
        <v>1.1399999999999999</v>
      </c>
      <c r="AD137" s="44">
        <f t="shared" si="65"/>
        <v>1.1399999999999999</v>
      </c>
      <c r="AE137" s="44">
        <f t="shared" si="65"/>
        <v>1.1399999999999999</v>
      </c>
      <c r="AF137" s="44">
        <f t="shared" si="65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63"/>
        <v>0.82</v>
      </c>
      <c r="C138" s="55">
        <v>0.82</v>
      </c>
      <c r="D138" s="44">
        <f t="shared" si="64"/>
        <v>0.82</v>
      </c>
      <c r="E138" s="44">
        <f t="shared" si="64"/>
        <v>0.82</v>
      </c>
      <c r="F138" s="44">
        <f t="shared" si="64"/>
        <v>0.82</v>
      </c>
      <c r="G138" s="44">
        <f t="shared" si="64"/>
        <v>0.82</v>
      </c>
      <c r="H138" s="44">
        <f t="shared" si="64"/>
        <v>0.82</v>
      </c>
      <c r="I138" s="44">
        <f t="shared" si="64"/>
        <v>0.82</v>
      </c>
      <c r="J138" s="44">
        <f t="shared" si="64"/>
        <v>0.82</v>
      </c>
      <c r="K138" s="44">
        <f t="shared" si="64"/>
        <v>0.82</v>
      </c>
      <c r="L138" s="44">
        <f t="shared" si="64"/>
        <v>0.82</v>
      </c>
      <c r="M138" s="44">
        <f t="shared" si="64"/>
        <v>0.82</v>
      </c>
      <c r="N138" s="44">
        <f t="shared" si="64"/>
        <v>0.82</v>
      </c>
      <c r="O138" s="44">
        <f t="shared" si="64"/>
        <v>0.82</v>
      </c>
      <c r="P138" s="44">
        <f t="shared" si="64"/>
        <v>0.82</v>
      </c>
      <c r="Q138" s="44">
        <f t="shared" si="64"/>
        <v>0.82</v>
      </c>
      <c r="R138" s="44">
        <f t="shared" si="64"/>
        <v>0.82</v>
      </c>
      <c r="S138" s="44">
        <f t="shared" si="64"/>
        <v>0.82</v>
      </c>
      <c r="T138" s="44">
        <f t="shared" si="65"/>
        <v>0.82</v>
      </c>
      <c r="U138" s="44">
        <f t="shared" si="65"/>
        <v>0.82</v>
      </c>
      <c r="V138" s="44">
        <f t="shared" si="65"/>
        <v>0.82</v>
      </c>
      <c r="W138" s="44">
        <f t="shared" si="65"/>
        <v>0.82</v>
      </c>
      <c r="X138" s="44">
        <f t="shared" si="65"/>
        <v>0.82</v>
      </c>
      <c r="Y138" s="44">
        <f t="shared" si="65"/>
        <v>0.82</v>
      </c>
      <c r="Z138" s="44">
        <f t="shared" si="65"/>
        <v>0.82</v>
      </c>
      <c r="AA138" s="44">
        <f t="shared" si="65"/>
        <v>0.82</v>
      </c>
      <c r="AB138" s="44">
        <f t="shared" si="65"/>
        <v>0.82</v>
      </c>
      <c r="AC138" s="44">
        <f t="shared" si="65"/>
        <v>0.82</v>
      </c>
      <c r="AD138" s="44">
        <f t="shared" si="65"/>
        <v>0.82</v>
      </c>
      <c r="AE138" s="44">
        <f t="shared" si="65"/>
        <v>0.82</v>
      </c>
      <c r="AF138" s="44">
        <f t="shared" si="65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66">AF140</f>
        <v>2</v>
      </c>
      <c r="C140" s="55">
        <v>2</v>
      </c>
      <c r="D140" s="44">
        <f t="shared" ref="D140:S146" si="67">C140</f>
        <v>2</v>
      </c>
      <c r="E140" s="44">
        <f t="shared" si="67"/>
        <v>2</v>
      </c>
      <c r="F140" s="44">
        <f t="shared" si="67"/>
        <v>2</v>
      </c>
      <c r="G140" s="44">
        <f t="shared" si="67"/>
        <v>2</v>
      </c>
      <c r="H140" s="44">
        <f t="shared" si="67"/>
        <v>2</v>
      </c>
      <c r="I140" s="44">
        <f t="shared" si="67"/>
        <v>2</v>
      </c>
      <c r="J140" s="44">
        <f t="shared" si="67"/>
        <v>2</v>
      </c>
      <c r="K140" s="44">
        <f t="shared" si="67"/>
        <v>2</v>
      </c>
      <c r="L140" s="44">
        <f t="shared" si="67"/>
        <v>2</v>
      </c>
      <c r="M140" s="44">
        <f t="shared" si="67"/>
        <v>2</v>
      </c>
      <c r="N140" s="44">
        <f t="shared" si="67"/>
        <v>2</v>
      </c>
      <c r="O140" s="44">
        <f t="shared" si="67"/>
        <v>2</v>
      </c>
      <c r="P140" s="44">
        <f t="shared" si="67"/>
        <v>2</v>
      </c>
      <c r="Q140" s="44">
        <f t="shared" si="67"/>
        <v>2</v>
      </c>
      <c r="R140" s="44">
        <f t="shared" si="67"/>
        <v>2</v>
      </c>
      <c r="S140" s="44">
        <f t="shared" si="67"/>
        <v>2</v>
      </c>
      <c r="T140" s="44">
        <f t="shared" ref="T140:AF146" si="68">S140</f>
        <v>2</v>
      </c>
      <c r="U140" s="44">
        <f t="shared" si="68"/>
        <v>2</v>
      </c>
      <c r="V140" s="44">
        <f t="shared" si="68"/>
        <v>2</v>
      </c>
      <c r="W140" s="44">
        <f t="shared" si="68"/>
        <v>2</v>
      </c>
      <c r="X140" s="44">
        <f t="shared" si="68"/>
        <v>2</v>
      </c>
      <c r="Y140" s="44">
        <f t="shared" si="68"/>
        <v>2</v>
      </c>
      <c r="Z140" s="44">
        <f t="shared" si="68"/>
        <v>2</v>
      </c>
      <c r="AA140" s="44">
        <f t="shared" si="68"/>
        <v>2</v>
      </c>
      <c r="AB140" s="44">
        <f t="shared" si="68"/>
        <v>2</v>
      </c>
      <c r="AC140" s="44">
        <f t="shared" si="68"/>
        <v>2</v>
      </c>
      <c r="AD140" s="44">
        <f t="shared" si="68"/>
        <v>2</v>
      </c>
      <c r="AE140" s="44">
        <f t="shared" si="68"/>
        <v>2</v>
      </c>
      <c r="AF140" s="44">
        <f t="shared" si="68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66"/>
        <v>5.61</v>
      </c>
      <c r="C141" s="55">
        <v>5.61</v>
      </c>
      <c r="D141" s="44">
        <f t="shared" si="67"/>
        <v>5.61</v>
      </c>
      <c r="E141" s="44">
        <f t="shared" si="67"/>
        <v>5.61</v>
      </c>
      <c r="F141" s="44">
        <f t="shared" si="67"/>
        <v>5.61</v>
      </c>
      <c r="G141" s="44">
        <f t="shared" si="67"/>
        <v>5.61</v>
      </c>
      <c r="H141" s="44">
        <f t="shared" si="67"/>
        <v>5.61</v>
      </c>
      <c r="I141" s="44">
        <f t="shared" si="67"/>
        <v>5.61</v>
      </c>
      <c r="J141" s="44">
        <f t="shared" si="67"/>
        <v>5.61</v>
      </c>
      <c r="K141" s="44">
        <f t="shared" si="67"/>
        <v>5.61</v>
      </c>
      <c r="L141" s="44">
        <f t="shared" si="67"/>
        <v>5.61</v>
      </c>
      <c r="M141" s="44">
        <f t="shared" si="67"/>
        <v>5.61</v>
      </c>
      <c r="N141" s="44">
        <f t="shared" si="67"/>
        <v>5.61</v>
      </c>
      <c r="O141" s="44">
        <f t="shared" si="67"/>
        <v>5.61</v>
      </c>
      <c r="P141" s="44">
        <f t="shared" si="67"/>
        <v>5.61</v>
      </c>
      <c r="Q141" s="44">
        <f t="shared" si="67"/>
        <v>5.61</v>
      </c>
      <c r="R141" s="44">
        <f t="shared" si="67"/>
        <v>5.61</v>
      </c>
      <c r="S141" s="44">
        <f t="shared" si="67"/>
        <v>5.61</v>
      </c>
      <c r="T141" s="44">
        <f t="shared" si="68"/>
        <v>5.61</v>
      </c>
      <c r="U141" s="44">
        <f t="shared" si="68"/>
        <v>5.61</v>
      </c>
      <c r="V141" s="44">
        <f t="shared" si="68"/>
        <v>5.61</v>
      </c>
      <c r="W141" s="44">
        <f t="shared" si="68"/>
        <v>5.61</v>
      </c>
      <c r="X141" s="44">
        <f t="shared" si="68"/>
        <v>5.61</v>
      </c>
      <c r="Y141" s="44">
        <f t="shared" si="68"/>
        <v>5.61</v>
      </c>
      <c r="Z141" s="44">
        <f t="shared" si="68"/>
        <v>5.61</v>
      </c>
      <c r="AA141" s="44">
        <f t="shared" si="68"/>
        <v>5.61</v>
      </c>
      <c r="AB141" s="44">
        <f t="shared" si="68"/>
        <v>5.61</v>
      </c>
      <c r="AC141" s="44">
        <f t="shared" si="68"/>
        <v>5.61</v>
      </c>
      <c r="AD141" s="44">
        <f t="shared" si="68"/>
        <v>5.61</v>
      </c>
      <c r="AE141" s="44">
        <f t="shared" si="68"/>
        <v>5.61</v>
      </c>
      <c r="AF141" s="44">
        <f t="shared" si="68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66"/>
        <v>1.25</v>
      </c>
      <c r="C142" s="55">
        <v>1.25</v>
      </c>
      <c r="D142" s="44">
        <f t="shared" si="67"/>
        <v>1.25</v>
      </c>
      <c r="E142" s="44">
        <f t="shared" si="67"/>
        <v>1.25</v>
      </c>
      <c r="F142" s="44">
        <f t="shared" si="67"/>
        <v>1.25</v>
      </c>
      <c r="G142" s="44">
        <f t="shared" si="67"/>
        <v>1.25</v>
      </c>
      <c r="H142" s="44">
        <f t="shared" si="67"/>
        <v>1.25</v>
      </c>
      <c r="I142" s="44">
        <f t="shared" si="67"/>
        <v>1.25</v>
      </c>
      <c r="J142" s="44">
        <f t="shared" si="67"/>
        <v>1.25</v>
      </c>
      <c r="K142" s="44">
        <f t="shared" si="67"/>
        <v>1.25</v>
      </c>
      <c r="L142" s="44">
        <f t="shared" si="67"/>
        <v>1.25</v>
      </c>
      <c r="M142" s="44">
        <f t="shared" si="67"/>
        <v>1.25</v>
      </c>
      <c r="N142" s="44">
        <f t="shared" si="67"/>
        <v>1.25</v>
      </c>
      <c r="O142" s="44">
        <f t="shared" si="67"/>
        <v>1.25</v>
      </c>
      <c r="P142" s="44">
        <f t="shared" si="67"/>
        <v>1.25</v>
      </c>
      <c r="Q142" s="44">
        <f t="shared" si="67"/>
        <v>1.25</v>
      </c>
      <c r="R142" s="44">
        <f t="shared" si="67"/>
        <v>1.25</v>
      </c>
      <c r="S142" s="44">
        <f t="shared" si="67"/>
        <v>1.25</v>
      </c>
      <c r="T142" s="44">
        <f t="shared" si="68"/>
        <v>1.25</v>
      </c>
      <c r="U142" s="44">
        <f t="shared" si="68"/>
        <v>1.25</v>
      </c>
      <c r="V142" s="44">
        <f t="shared" si="68"/>
        <v>1.25</v>
      </c>
      <c r="W142" s="44">
        <f t="shared" si="68"/>
        <v>1.25</v>
      </c>
      <c r="X142" s="44">
        <f t="shared" si="68"/>
        <v>1.25</v>
      </c>
      <c r="Y142" s="44">
        <f t="shared" si="68"/>
        <v>1.25</v>
      </c>
      <c r="Z142" s="44">
        <f t="shared" si="68"/>
        <v>1.25</v>
      </c>
      <c r="AA142" s="44">
        <f t="shared" si="68"/>
        <v>1.25</v>
      </c>
      <c r="AB142" s="44">
        <f t="shared" si="68"/>
        <v>1.25</v>
      </c>
      <c r="AC142" s="44">
        <f t="shared" si="68"/>
        <v>1.25</v>
      </c>
      <c r="AD142" s="44">
        <f t="shared" si="68"/>
        <v>1.25</v>
      </c>
      <c r="AE142" s="44">
        <f t="shared" si="68"/>
        <v>1.25</v>
      </c>
      <c r="AF142" s="44">
        <f t="shared" si="68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66"/>
        <v>1.25</v>
      </c>
      <c r="C143" s="55">
        <v>1.25</v>
      </c>
      <c r="D143" s="44">
        <f t="shared" si="67"/>
        <v>1.25</v>
      </c>
      <c r="E143" s="44">
        <f t="shared" si="67"/>
        <v>1.25</v>
      </c>
      <c r="F143" s="44">
        <f t="shared" si="67"/>
        <v>1.25</v>
      </c>
      <c r="G143" s="44">
        <f t="shared" si="67"/>
        <v>1.25</v>
      </c>
      <c r="H143" s="44">
        <f t="shared" si="67"/>
        <v>1.25</v>
      </c>
      <c r="I143" s="44">
        <f t="shared" si="67"/>
        <v>1.25</v>
      </c>
      <c r="J143" s="44">
        <f t="shared" si="67"/>
        <v>1.25</v>
      </c>
      <c r="K143" s="44">
        <f t="shared" si="67"/>
        <v>1.25</v>
      </c>
      <c r="L143" s="44">
        <f t="shared" si="67"/>
        <v>1.25</v>
      </c>
      <c r="M143" s="44">
        <f t="shared" si="67"/>
        <v>1.25</v>
      </c>
      <c r="N143" s="44">
        <f t="shared" si="67"/>
        <v>1.25</v>
      </c>
      <c r="O143" s="44">
        <f t="shared" si="67"/>
        <v>1.25</v>
      </c>
      <c r="P143" s="44">
        <f t="shared" si="67"/>
        <v>1.25</v>
      </c>
      <c r="Q143" s="44">
        <f t="shared" si="67"/>
        <v>1.25</v>
      </c>
      <c r="R143" s="44">
        <f t="shared" si="67"/>
        <v>1.25</v>
      </c>
      <c r="S143" s="44">
        <f t="shared" si="67"/>
        <v>1.25</v>
      </c>
      <c r="T143" s="44">
        <f t="shared" si="68"/>
        <v>1.25</v>
      </c>
      <c r="U143" s="44">
        <f t="shared" si="68"/>
        <v>1.25</v>
      </c>
      <c r="V143" s="44">
        <f t="shared" si="68"/>
        <v>1.25</v>
      </c>
      <c r="W143" s="44">
        <f t="shared" si="68"/>
        <v>1.25</v>
      </c>
      <c r="X143" s="44">
        <f t="shared" si="68"/>
        <v>1.25</v>
      </c>
      <c r="Y143" s="44">
        <f t="shared" si="68"/>
        <v>1.25</v>
      </c>
      <c r="Z143" s="44">
        <f t="shared" si="68"/>
        <v>1.25</v>
      </c>
      <c r="AA143" s="44">
        <f t="shared" si="68"/>
        <v>1.25</v>
      </c>
      <c r="AB143" s="44">
        <f t="shared" si="68"/>
        <v>1.25</v>
      </c>
      <c r="AC143" s="44">
        <f t="shared" si="68"/>
        <v>1.25</v>
      </c>
      <c r="AD143" s="44">
        <f t="shared" si="68"/>
        <v>1.25</v>
      </c>
      <c r="AE143" s="44">
        <f t="shared" si="68"/>
        <v>1.25</v>
      </c>
      <c r="AF143" s="44">
        <f t="shared" si="68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66"/>
        <v>1.46</v>
      </c>
      <c r="C144" s="55">
        <v>1.46</v>
      </c>
      <c r="D144" s="44">
        <f t="shared" si="67"/>
        <v>1.46</v>
      </c>
      <c r="E144" s="44">
        <f t="shared" si="67"/>
        <v>1.46</v>
      </c>
      <c r="F144" s="44">
        <f t="shared" si="67"/>
        <v>1.46</v>
      </c>
      <c r="G144" s="44">
        <f t="shared" si="67"/>
        <v>1.46</v>
      </c>
      <c r="H144" s="44">
        <f t="shared" si="67"/>
        <v>1.46</v>
      </c>
      <c r="I144" s="44">
        <f t="shared" si="67"/>
        <v>1.46</v>
      </c>
      <c r="J144" s="44">
        <f t="shared" si="67"/>
        <v>1.46</v>
      </c>
      <c r="K144" s="44">
        <f t="shared" si="67"/>
        <v>1.46</v>
      </c>
      <c r="L144" s="44">
        <f t="shared" si="67"/>
        <v>1.46</v>
      </c>
      <c r="M144" s="44">
        <f t="shared" si="67"/>
        <v>1.46</v>
      </c>
      <c r="N144" s="44">
        <f t="shared" si="67"/>
        <v>1.46</v>
      </c>
      <c r="O144" s="44">
        <f t="shared" si="67"/>
        <v>1.46</v>
      </c>
      <c r="P144" s="44">
        <f t="shared" si="67"/>
        <v>1.46</v>
      </c>
      <c r="Q144" s="44">
        <f t="shared" si="67"/>
        <v>1.46</v>
      </c>
      <c r="R144" s="44">
        <f t="shared" si="67"/>
        <v>1.46</v>
      </c>
      <c r="S144" s="44">
        <f t="shared" si="67"/>
        <v>1.46</v>
      </c>
      <c r="T144" s="44">
        <f t="shared" si="68"/>
        <v>1.46</v>
      </c>
      <c r="U144" s="44">
        <f t="shared" si="68"/>
        <v>1.46</v>
      </c>
      <c r="V144" s="44">
        <f t="shared" si="68"/>
        <v>1.46</v>
      </c>
      <c r="W144" s="44">
        <f t="shared" si="68"/>
        <v>1.46</v>
      </c>
      <c r="X144" s="44">
        <f t="shared" si="68"/>
        <v>1.46</v>
      </c>
      <c r="Y144" s="44">
        <f t="shared" si="68"/>
        <v>1.46</v>
      </c>
      <c r="Z144" s="44">
        <f t="shared" si="68"/>
        <v>1.46</v>
      </c>
      <c r="AA144" s="44">
        <f t="shared" si="68"/>
        <v>1.46</v>
      </c>
      <c r="AB144" s="44">
        <f t="shared" si="68"/>
        <v>1.46</v>
      </c>
      <c r="AC144" s="44">
        <f t="shared" si="68"/>
        <v>1.46</v>
      </c>
      <c r="AD144" s="44">
        <f t="shared" si="68"/>
        <v>1.46</v>
      </c>
      <c r="AE144" s="44">
        <f t="shared" si="68"/>
        <v>1.46</v>
      </c>
      <c r="AF144" s="44">
        <f t="shared" si="68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66"/>
        <v>3</v>
      </c>
      <c r="C145" s="55">
        <v>3</v>
      </c>
      <c r="D145" s="44">
        <f t="shared" si="67"/>
        <v>3</v>
      </c>
      <c r="E145" s="44">
        <f t="shared" si="67"/>
        <v>3</v>
      </c>
      <c r="F145" s="44">
        <f t="shared" si="67"/>
        <v>3</v>
      </c>
      <c r="G145" s="44">
        <f t="shared" si="67"/>
        <v>3</v>
      </c>
      <c r="H145" s="44">
        <f t="shared" si="67"/>
        <v>3</v>
      </c>
      <c r="I145" s="44">
        <f t="shared" si="67"/>
        <v>3</v>
      </c>
      <c r="J145" s="44">
        <f t="shared" si="67"/>
        <v>3</v>
      </c>
      <c r="K145" s="44">
        <f t="shared" si="67"/>
        <v>3</v>
      </c>
      <c r="L145" s="44">
        <f t="shared" si="67"/>
        <v>3</v>
      </c>
      <c r="M145" s="44">
        <f t="shared" si="67"/>
        <v>3</v>
      </c>
      <c r="N145" s="44">
        <f t="shared" si="67"/>
        <v>3</v>
      </c>
      <c r="O145" s="44">
        <f t="shared" si="67"/>
        <v>3</v>
      </c>
      <c r="P145" s="44">
        <f t="shared" si="67"/>
        <v>3</v>
      </c>
      <c r="Q145" s="44">
        <f t="shared" si="67"/>
        <v>3</v>
      </c>
      <c r="R145" s="44">
        <f t="shared" si="67"/>
        <v>3</v>
      </c>
      <c r="S145" s="44">
        <f t="shared" si="67"/>
        <v>3</v>
      </c>
      <c r="T145" s="44">
        <f t="shared" si="68"/>
        <v>3</v>
      </c>
      <c r="U145" s="44">
        <f t="shared" si="68"/>
        <v>3</v>
      </c>
      <c r="V145" s="44">
        <f t="shared" si="68"/>
        <v>3</v>
      </c>
      <c r="W145" s="44">
        <f t="shared" si="68"/>
        <v>3</v>
      </c>
      <c r="X145" s="44">
        <f t="shared" si="68"/>
        <v>3</v>
      </c>
      <c r="Y145" s="44">
        <f t="shared" si="68"/>
        <v>3</v>
      </c>
      <c r="Z145" s="44">
        <f t="shared" si="68"/>
        <v>3</v>
      </c>
      <c r="AA145" s="44">
        <f t="shared" si="68"/>
        <v>3</v>
      </c>
      <c r="AB145" s="44">
        <f t="shared" si="68"/>
        <v>3</v>
      </c>
      <c r="AC145" s="44">
        <f t="shared" si="68"/>
        <v>3</v>
      </c>
      <c r="AD145" s="44">
        <f t="shared" si="68"/>
        <v>3</v>
      </c>
      <c r="AE145" s="44">
        <f t="shared" si="68"/>
        <v>3</v>
      </c>
      <c r="AF145" s="44">
        <f t="shared" si="68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66"/>
        <v>3.3</v>
      </c>
      <c r="C146" s="55">
        <v>3.3</v>
      </c>
      <c r="D146" s="44">
        <f t="shared" si="67"/>
        <v>3.3</v>
      </c>
      <c r="E146" s="44">
        <f t="shared" si="67"/>
        <v>3.3</v>
      </c>
      <c r="F146" s="44">
        <f t="shared" si="67"/>
        <v>3.3</v>
      </c>
      <c r="G146" s="44">
        <f t="shared" si="67"/>
        <v>3.3</v>
      </c>
      <c r="H146" s="44">
        <f t="shared" si="67"/>
        <v>3.3</v>
      </c>
      <c r="I146" s="44">
        <f t="shared" si="67"/>
        <v>3.3</v>
      </c>
      <c r="J146" s="44">
        <f t="shared" si="67"/>
        <v>3.3</v>
      </c>
      <c r="K146" s="44">
        <f t="shared" si="67"/>
        <v>3.3</v>
      </c>
      <c r="L146" s="44">
        <f t="shared" si="67"/>
        <v>3.3</v>
      </c>
      <c r="M146" s="44">
        <f t="shared" si="67"/>
        <v>3.3</v>
      </c>
      <c r="N146" s="44">
        <f t="shared" si="67"/>
        <v>3.3</v>
      </c>
      <c r="O146" s="44">
        <f t="shared" si="67"/>
        <v>3.3</v>
      </c>
      <c r="P146" s="44">
        <f t="shared" si="67"/>
        <v>3.3</v>
      </c>
      <c r="Q146" s="44">
        <f t="shared" si="67"/>
        <v>3.3</v>
      </c>
      <c r="R146" s="44">
        <f t="shared" si="67"/>
        <v>3.3</v>
      </c>
      <c r="S146" s="44">
        <f t="shared" si="67"/>
        <v>3.3</v>
      </c>
      <c r="T146" s="44">
        <f t="shared" si="68"/>
        <v>3.3</v>
      </c>
      <c r="U146" s="44">
        <f t="shared" si="68"/>
        <v>3.3</v>
      </c>
      <c r="V146" s="44">
        <f t="shared" si="68"/>
        <v>3.3</v>
      </c>
      <c r="W146" s="44">
        <f t="shared" si="68"/>
        <v>3.3</v>
      </c>
      <c r="X146" s="44">
        <f t="shared" si="68"/>
        <v>3.3</v>
      </c>
      <c r="Y146" s="44">
        <f t="shared" si="68"/>
        <v>3.3</v>
      </c>
      <c r="Z146" s="44">
        <f t="shared" si="68"/>
        <v>3.3</v>
      </c>
      <c r="AA146" s="44">
        <f t="shared" si="68"/>
        <v>3.3</v>
      </c>
      <c r="AB146" s="44">
        <f t="shared" si="68"/>
        <v>3.3</v>
      </c>
      <c r="AC146" s="44">
        <f t="shared" si="68"/>
        <v>3.3</v>
      </c>
      <c r="AD146" s="44">
        <f t="shared" si="68"/>
        <v>3.3</v>
      </c>
      <c r="AE146" s="44">
        <f t="shared" si="68"/>
        <v>3.3</v>
      </c>
      <c r="AF146" s="44">
        <f t="shared" si="68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69">C148</f>
        <v>1.76</v>
      </c>
      <c r="E148" s="44">
        <f t="shared" si="69"/>
        <v>1.76</v>
      </c>
      <c r="F148" s="44">
        <f t="shared" si="69"/>
        <v>1.76</v>
      </c>
      <c r="G148" s="44">
        <f t="shared" si="69"/>
        <v>1.76</v>
      </c>
      <c r="H148" s="44">
        <f t="shared" si="69"/>
        <v>1.76</v>
      </c>
      <c r="I148" s="44">
        <f t="shared" si="69"/>
        <v>1.76</v>
      </c>
      <c r="J148" s="44">
        <f t="shared" si="69"/>
        <v>1.76</v>
      </c>
      <c r="K148" s="44">
        <f t="shared" si="69"/>
        <v>1.76</v>
      </c>
      <c r="L148" s="44">
        <f t="shared" si="69"/>
        <v>1.76</v>
      </c>
      <c r="M148" s="44">
        <f t="shared" si="69"/>
        <v>1.76</v>
      </c>
      <c r="N148" s="44">
        <f t="shared" si="69"/>
        <v>1.76</v>
      </c>
      <c r="O148" s="44">
        <f t="shared" si="69"/>
        <v>1.76</v>
      </c>
      <c r="P148" s="44">
        <f t="shared" si="69"/>
        <v>1.76</v>
      </c>
      <c r="Q148" s="44">
        <f t="shared" si="69"/>
        <v>1.76</v>
      </c>
      <c r="R148" s="44">
        <f t="shared" si="69"/>
        <v>1.76</v>
      </c>
      <c r="S148" s="44">
        <f t="shared" si="69"/>
        <v>1.76</v>
      </c>
      <c r="T148" s="44">
        <f t="shared" ref="T148:AF149" si="70">S148</f>
        <v>1.76</v>
      </c>
      <c r="U148" s="44">
        <f t="shared" si="70"/>
        <v>1.76</v>
      </c>
      <c r="V148" s="44">
        <f t="shared" si="70"/>
        <v>1.76</v>
      </c>
      <c r="W148" s="44">
        <f t="shared" si="70"/>
        <v>1.76</v>
      </c>
      <c r="X148" s="44">
        <f t="shared" si="70"/>
        <v>1.76</v>
      </c>
      <c r="Y148" s="44">
        <f t="shared" si="70"/>
        <v>1.76</v>
      </c>
      <c r="Z148" s="44">
        <f t="shared" si="70"/>
        <v>1.76</v>
      </c>
      <c r="AA148" s="44">
        <f t="shared" si="70"/>
        <v>1.76</v>
      </c>
      <c r="AB148" s="44">
        <f t="shared" si="70"/>
        <v>1.76</v>
      </c>
      <c r="AC148" s="44">
        <f t="shared" si="70"/>
        <v>1.76</v>
      </c>
      <c r="AD148" s="44">
        <f t="shared" si="70"/>
        <v>1.76</v>
      </c>
      <c r="AE148" s="44">
        <f t="shared" si="70"/>
        <v>1.76</v>
      </c>
      <c r="AF148" s="44">
        <f t="shared" si="70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69"/>
        <v>0</v>
      </c>
      <c r="E149" s="44">
        <f t="shared" si="69"/>
        <v>0</v>
      </c>
      <c r="F149" s="44">
        <f t="shared" si="69"/>
        <v>0</v>
      </c>
      <c r="G149" s="44">
        <f t="shared" si="69"/>
        <v>0</v>
      </c>
      <c r="H149" s="44">
        <f t="shared" si="69"/>
        <v>0</v>
      </c>
      <c r="I149" s="44">
        <f t="shared" si="69"/>
        <v>0</v>
      </c>
      <c r="J149" s="44">
        <f t="shared" si="69"/>
        <v>0</v>
      </c>
      <c r="K149" s="44">
        <f t="shared" si="69"/>
        <v>0</v>
      </c>
      <c r="L149" s="44">
        <f t="shared" si="69"/>
        <v>0</v>
      </c>
      <c r="M149" s="44">
        <f t="shared" si="69"/>
        <v>0</v>
      </c>
      <c r="N149" s="44">
        <f t="shared" si="69"/>
        <v>0</v>
      </c>
      <c r="O149" s="44">
        <f t="shared" si="69"/>
        <v>0</v>
      </c>
      <c r="P149" s="44">
        <f t="shared" si="69"/>
        <v>0</v>
      </c>
      <c r="Q149" s="44">
        <f t="shared" si="69"/>
        <v>0</v>
      </c>
      <c r="R149" s="44">
        <f t="shared" si="69"/>
        <v>0</v>
      </c>
      <c r="S149" s="44">
        <f t="shared" si="69"/>
        <v>0</v>
      </c>
      <c r="T149" s="44">
        <f t="shared" si="70"/>
        <v>0</v>
      </c>
      <c r="U149" s="44">
        <f t="shared" si="70"/>
        <v>0</v>
      </c>
      <c r="V149" s="44">
        <f t="shared" si="70"/>
        <v>0</v>
      </c>
      <c r="W149" s="44">
        <f t="shared" si="70"/>
        <v>0</v>
      </c>
      <c r="X149" s="44">
        <f t="shared" si="70"/>
        <v>0</v>
      </c>
      <c r="Y149" s="44">
        <f t="shared" si="70"/>
        <v>0</v>
      </c>
      <c r="Z149" s="44">
        <f t="shared" si="70"/>
        <v>0</v>
      </c>
      <c r="AA149" s="44">
        <f t="shared" si="70"/>
        <v>0</v>
      </c>
      <c r="AB149" s="44">
        <f t="shared" si="70"/>
        <v>0</v>
      </c>
      <c r="AC149" s="44">
        <f t="shared" si="70"/>
        <v>0</v>
      </c>
      <c r="AD149" s="44">
        <f t="shared" si="70"/>
        <v>0</v>
      </c>
      <c r="AE149" s="44">
        <f t="shared" si="70"/>
        <v>0</v>
      </c>
      <c r="AF149" s="44">
        <f t="shared" si="70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71">C151</f>
        <v>0.1</v>
      </c>
      <c r="E151" s="44">
        <f t="shared" si="71"/>
        <v>0.1</v>
      </c>
      <c r="F151" s="44">
        <f t="shared" si="71"/>
        <v>0.1</v>
      </c>
      <c r="G151" s="44">
        <f t="shared" si="71"/>
        <v>0.1</v>
      </c>
      <c r="H151" s="44">
        <f t="shared" si="71"/>
        <v>0.1</v>
      </c>
      <c r="I151" s="44">
        <f t="shared" si="71"/>
        <v>0.1</v>
      </c>
      <c r="J151" s="44">
        <f t="shared" si="71"/>
        <v>0.1</v>
      </c>
      <c r="K151" s="44">
        <f t="shared" si="71"/>
        <v>0.1</v>
      </c>
      <c r="L151" s="44">
        <f t="shared" si="71"/>
        <v>0.1</v>
      </c>
      <c r="M151" s="44">
        <f t="shared" si="71"/>
        <v>0.1</v>
      </c>
      <c r="N151" s="44">
        <f t="shared" si="71"/>
        <v>0.1</v>
      </c>
      <c r="O151" s="44">
        <f t="shared" si="71"/>
        <v>0.1</v>
      </c>
      <c r="P151" s="44">
        <f t="shared" si="71"/>
        <v>0.1</v>
      </c>
      <c r="Q151" s="44">
        <f t="shared" si="71"/>
        <v>0.1</v>
      </c>
      <c r="R151" s="44">
        <f t="shared" si="71"/>
        <v>0.1</v>
      </c>
      <c r="S151" s="44">
        <f t="shared" si="71"/>
        <v>0.1</v>
      </c>
      <c r="T151" s="44">
        <f t="shared" ref="T151:AF154" si="72">S151</f>
        <v>0.1</v>
      </c>
      <c r="U151" s="44">
        <f t="shared" si="72"/>
        <v>0.1</v>
      </c>
      <c r="V151" s="44">
        <f t="shared" si="72"/>
        <v>0.1</v>
      </c>
      <c r="W151" s="44">
        <f t="shared" si="72"/>
        <v>0.1</v>
      </c>
      <c r="X151" s="44">
        <f t="shared" si="72"/>
        <v>0.1</v>
      </c>
      <c r="Y151" s="44">
        <f t="shared" si="72"/>
        <v>0.1</v>
      </c>
      <c r="Z151" s="44">
        <f t="shared" si="72"/>
        <v>0.1</v>
      </c>
      <c r="AA151" s="44">
        <f t="shared" si="72"/>
        <v>0.1</v>
      </c>
      <c r="AB151" s="44">
        <f t="shared" si="72"/>
        <v>0.1</v>
      </c>
      <c r="AC151" s="44">
        <f t="shared" si="72"/>
        <v>0.1</v>
      </c>
      <c r="AD151" s="44">
        <f t="shared" si="72"/>
        <v>0.1</v>
      </c>
      <c r="AE151" s="44">
        <f t="shared" si="72"/>
        <v>0.1</v>
      </c>
      <c r="AF151" s="44">
        <f t="shared" si="72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71"/>
        <v>2.0499999999999998</v>
      </c>
      <c r="E152" s="44">
        <f t="shared" si="71"/>
        <v>2.0499999999999998</v>
      </c>
      <c r="F152" s="44">
        <f t="shared" si="71"/>
        <v>2.0499999999999998</v>
      </c>
      <c r="G152" s="44">
        <f t="shared" si="71"/>
        <v>2.0499999999999998</v>
      </c>
      <c r="H152" s="44">
        <f t="shared" si="71"/>
        <v>2.0499999999999998</v>
      </c>
      <c r="I152" s="44">
        <f t="shared" si="71"/>
        <v>2.0499999999999998</v>
      </c>
      <c r="J152" s="44">
        <f t="shared" si="71"/>
        <v>2.0499999999999998</v>
      </c>
      <c r="K152" s="44">
        <f t="shared" si="71"/>
        <v>2.0499999999999998</v>
      </c>
      <c r="L152" s="44">
        <f t="shared" si="71"/>
        <v>2.0499999999999998</v>
      </c>
      <c r="M152" s="44">
        <f t="shared" si="71"/>
        <v>2.0499999999999998</v>
      </c>
      <c r="N152" s="44">
        <f t="shared" si="71"/>
        <v>2.0499999999999998</v>
      </c>
      <c r="O152" s="44">
        <f t="shared" si="71"/>
        <v>2.0499999999999998</v>
      </c>
      <c r="P152" s="44">
        <f t="shared" si="71"/>
        <v>2.0499999999999998</v>
      </c>
      <c r="Q152" s="44">
        <f t="shared" si="71"/>
        <v>2.0499999999999998</v>
      </c>
      <c r="R152" s="44">
        <f t="shared" si="71"/>
        <v>2.0499999999999998</v>
      </c>
      <c r="S152" s="44">
        <f t="shared" si="71"/>
        <v>2.0499999999999998</v>
      </c>
      <c r="T152" s="44">
        <f t="shared" si="72"/>
        <v>2.0499999999999998</v>
      </c>
      <c r="U152" s="44">
        <f t="shared" si="72"/>
        <v>2.0499999999999998</v>
      </c>
      <c r="V152" s="44">
        <f t="shared" si="72"/>
        <v>2.0499999999999998</v>
      </c>
      <c r="W152" s="44">
        <f t="shared" si="72"/>
        <v>2.0499999999999998</v>
      </c>
      <c r="X152" s="44">
        <f t="shared" si="72"/>
        <v>2.0499999999999998</v>
      </c>
      <c r="Y152" s="44">
        <f t="shared" si="72"/>
        <v>2.0499999999999998</v>
      </c>
      <c r="Z152" s="44">
        <f t="shared" si="72"/>
        <v>2.0499999999999998</v>
      </c>
      <c r="AA152" s="44">
        <f t="shared" si="72"/>
        <v>2.0499999999999998</v>
      </c>
      <c r="AB152" s="44">
        <f t="shared" si="72"/>
        <v>2.0499999999999998</v>
      </c>
      <c r="AC152" s="44">
        <f t="shared" si="72"/>
        <v>2.0499999999999998</v>
      </c>
      <c r="AD152" s="44">
        <f t="shared" si="72"/>
        <v>2.0499999999999998</v>
      </c>
      <c r="AE152" s="44">
        <f t="shared" si="72"/>
        <v>2.0499999999999998</v>
      </c>
      <c r="AF152" s="44">
        <f t="shared" si="72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71"/>
        <v>2.7</v>
      </c>
      <c r="E153" s="44">
        <f t="shared" si="71"/>
        <v>2.7</v>
      </c>
      <c r="F153" s="44">
        <f t="shared" si="71"/>
        <v>2.7</v>
      </c>
      <c r="G153" s="44">
        <f t="shared" si="71"/>
        <v>2.7</v>
      </c>
      <c r="H153" s="44">
        <f t="shared" si="71"/>
        <v>2.7</v>
      </c>
      <c r="I153" s="44">
        <f t="shared" si="71"/>
        <v>2.7</v>
      </c>
      <c r="J153" s="44">
        <f t="shared" si="71"/>
        <v>2.7</v>
      </c>
      <c r="K153" s="44">
        <f t="shared" si="71"/>
        <v>2.7</v>
      </c>
      <c r="L153" s="44">
        <f t="shared" si="71"/>
        <v>2.7</v>
      </c>
      <c r="M153" s="44">
        <f t="shared" si="71"/>
        <v>2.7</v>
      </c>
      <c r="N153" s="44">
        <f t="shared" si="71"/>
        <v>2.7</v>
      </c>
      <c r="O153" s="44">
        <f t="shared" si="71"/>
        <v>2.7</v>
      </c>
      <c r="P153" s="44">
        <f t="shared" si="71"/>
        <v>2.7</v>
      </c>
      <c r="Q153" s="44">
        <f t="shared" si="71"/>
        <v>2.7</v>
      </c>
      <c r="R153" s="44">
        <f t="shared" si="71"/>
        <v>2.7</v>
      </c>
      <c r="S153" s="44">
        <f t="shared" si="71"/>
        <v>2.7</v>
      </c>
      <c r="T153" s="44">
        <f t="shared" si="72"/>
        <v>2.7</v>
      </c>
      <c r="U153" s="44">
        <f t="shared" si="72"/>
        <v>2.7</v>
      </c>
      <c r="V153" s="44">
        <f t="shared" si="72"/>
        <v>2.7</v>
      </c>
      <c r="W153" s="44">
        <f t="shared" si="72"/>
        <v>2.7</v>
      </c>
      <c r="X153" s="44">
        <f t="shared" si="72"/>
        <v>2.7</v>
      </c>
      <c r="Y153" s="44">
        <f t="shared" si="72"/>
        <v>2.7</v>
      </c>
      <c r="Z153" s="44">
        <f t="shared" si="72"/>
        <v>2.7</v>
      </c>
      <c r="AA153" s="44">
        <f t="shared" si="72"/>
        <v>2.7</v>
      </c>
      <c r="AB153" s="44">
        <f t="shared" si="72"/>
        <v>2.7</v>
      </c>
      <c r="AC153" s="44">
        <f t="shared" si="72"/>
        <v>2.7</v>
      </c>
      <c r="AD153" s="44">
        <f t="shared" si="72"/>
        <v>2.7</v>
      </c>
      <c r="AE153" s="44">
        <f t="shared" si="72"/>
        <v>2.7</v>
      </c>
      <c r="AF153" s="44">
        <f t="shared" si="72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71"/>
        <v>2.15</v>
      </c>
      <c r="E154" s="44">
        <f t="shared" si="71"/>
        <v>2.15</v>
      </c>
      <c r="F154" s="44">
        <f t="shared" si="71"/>
        <v>2.15</v>
      </c>
      <c r="G154" s="44">
        <f t="shared" si="71"/>
        <v>2.15</v>
      </c>
      <c r="H154" s="44">
        <f t="shared" si="71"/>
        <v>2.15</v>
      </c>
      <c r="I154" s="44">
        <f t="shared" si="71"/>
        <v>2.15</v>
      </c>
      <c r="J154" s="44">
        <f t="shared" si="71"/>
        <v>2.15</v>
      </c>
      <c r="K154" s="44">
        <f t="shared" si="71"/>
        <v>2.15</v>
      </c>
      <c r="L154" s="44">
        <f t="shared" si="71"/>
        <v>2.15</v>
      </c>
      <c r="M154" s="44">
        <f t="shared" si="71"/>
        <v>2.15</v>
      </c>
      <c r="N154" s="44">
        <f t="shared" si="71"/>
        <v>2.15</v>
      </c>
      <c r="O154" s="44">
        <f t="shared" si="71"/>
        <v>2.15</v>
      </c>
      <c r="P154" s="44">
        <f t="shared" si="71"/>
        <v>2.15</v>
      </c>
      <c r="Q154" s="44">
        <f t="shared" si="71"/>
        <v>2.15</v>
      </c>
      <c r="R154" s="44">
        <f t="shared" si="71"/>
        <v>2.15</v>
      </c>
      <c r="S154" s="44">
        <f t="shared" si="71"/>
        <v>2.15</v>
      </c>
      <c r="T154" s="44">
        <f t="shared" si="72"/>
        <v>2.15</v>
      </c>
      <c r="U154" s="44">
        <f t="shared" si="72"/>
        <v>2.15</v>
      </c>
      <c r="V154" s="44">
        <f t="shared" si="72"/>
        <v>2.15</v>
      </c>
      <c r="W154" s="44">
        <f t="shared" si="72"/>
        <v>2.15</v>
      </c>
      <c r="X154" s="44">
        <f t="shared" si="72"/>
        <v>2.15</v>
      </c>
      <c r="Y154" s="44">
        <f t="shared" si="72"/>
        <v>2.15</v>
      </c>
      <c r="Z154" s="44">
        <f t="shared" si="72"/>
        <v>2.15</v>
      </c>
      <c r="AA154" s="44">
        <f t="shared" si="72"/>
        <v>2.15</v>
      </c>
      <c r="AB154" s="44">
        <f t="shared" si="72"/>
        <v>2.15</v>
      </c>
      <c r="AC154" s="44">
        <f t="shared" si="72"/>
        <v>2.15</v>
      </c>
      <c r="AD154" s="44">
        <f t="shared" si="72"/>
        <v>2.15</v>
      </c>
      <c r="AE154" s="44">
        <f t="shared" si="72"/>
        <v>2.15</v>
      </c>
      <c r="AF154" s="44">
        <f t="shared" si="72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73">AF156</f>
        <v>0.9</v>
      </c>
      <c r="C156" s="55">
        <v>0.9</v>
      </c>
      <c r="D156" s="44">
        <f t="shared" ref="D156:S168" si="74">C156</f>
        <v>0.9</v>
      </c>
      <c r="E156" s="44">
        <f t="shared" si="74"/>
        <v>0.9</v>
      </c>
      <c r="F156" s="44">
        <f t="shared" si="74"/>
        <v>0.9</v>
      </c>
      <c r="G156" s="44">
        <f t="shared" si="74"/>
        <v>0.9</v>
      </c>
      <c r="H156" s="44">
        <f t="shared" si="74"/>
        <v>0.9</v>
      </c>
      <c r="I156" s="44">
        <f t="shared" si="74"/>
        <v>0.9</v>
      </c>
      <c r="J156" s="44">
        <f t="shared" si="74"/>
        <v>0.9</v>
      </c>
      <c r="K156" s="44">
        <f t="shared" si="74"/>
        <v>0.9</v>
      </c>
      <c r="L156" s="44">
        <f t="shared" si="74"/>
        <v>0.9</v>
      </c>
      <c r="M156" s="44">
        <f t="shared" si="74"/>
        <v>0.9</v>
      </c>
      <c r="N156" s="44">
        <f t="shared" si="74"/>
        <v>0.9</v>
      </c>
      <c r="O156" s="44">
        <f t="shared" si="74"/>
        <v>0.9</v>
      </c>
      <c r="P156" s="44">
        <f t="shared" si="74"/>
        <v>0.9</v>
      </c>
      <c r="Q156" s="44">
        <f t="shared" si="74"/>
        <v>0.9</v>
      </c>
      <c r="R156" s="44">
        <f t="shared" si="74"/>
        <v>0.9</v>
      </c>
      <c r="S156" s="44">
        <f t="shared" si="74"/>
        <v>0.9</v>
      </c>
      <c r="T156" s="44">
        <f t="shared" ref="S156:AF168" si="75">S156</f>
        <v>0.9</v>
      </c>
      <c r="U156" s="44">
        <f t="shared" si="75"/>
        <v>0.9</v>
      </c>
      <c r="V156" s="44">
        <f t="shared" si="75"/>
        <v>0.9</v>
      </c>
      <c r="W156" s="44">
        <f t="shared" si="75"/>
        <v>0.9</v>
      </c>
      <c r="X156" s="44">
        <f t="shared" si="75"/>
        <v>0.9</v>
      </c>
      <c r="Y156" s="44">
        <f t="shared" si="75"/>
        <v>0.9</v>
      </c>
      <c r="Z156" s="44">
        <f t="shared" si="75"/>
        <v>0.9</v>
      </c>
      <c r="AA156" s="44">
        <f t="shared" si="75"/>
        <v>0.9</v>
      </c>
      <c r="AB156" s="44">
        <f t="shared" si="75"/>
        <v>0.9</v>
      </c>
      <c r="AC156" s="44">
        <f t="shared" si="75"/>
        <v>0.9</v>
      </c>
      <c r="AD156" s="44">
        <f t="shared" si="75"/>
        <v>0.9</v>
      </c>
      <c r="AE156" s="44">
        <f t="shared" si="75"/>
        <v>0.9</v>
      </c>
      <c r="AF156" s="44">
        <f t="shared" si="75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73"/>
        <v>1.08</v>
      </c>
      <c r="C157" s="55">
        <v>1.08</v>
      </c>
      <c r="D157" s="44">
        <f t="shared" si="74"/>
        <v>1.08</v>
      </c>
      <c r="E157" s="44">
        <f t="shared" si="74"/>
        <v>1.08</v>
      </c>
      <c r="F157" s="44">
        <f t="shared" si="74"/>
        <v>1.08</v>
      </c>
      <c r="G157" s="44">
        <f t="shared" si="74"/>
        <v>1.08</v>
      </c>
      <c r="H157" s="44">
        <f t="shared" si="74"/>
        <v>1.08</v>
      </c>
      <c r="I157" s="44">
        <f t="shared" si="74"/>
        <v>1.08</v>
      </c>
      <c r="J157" s="44">
        <f t="shared" si="74"/>
        <v>1.08</v>
      </c>
      <c r="K157" s="44">
        <f t="shared" si="74"/>
        <v>1.08</v>
      </c>
      <c r="L157" s="44">
        <f t="shared" si="74"/>
        <v>1.08</v>
      </c>
      <c r="M157" s="44">
        <f t="shared" si="74"/>
        <v>1.08</v>
      </c>
      <c r="N157" s="44">
        <f t="shared" si="74"/>
        <v>1.08</v>
      </c>
      <c r="O157" s="44">
        <f t="shared" si="74"/>
        <v>1.08</v>
      </c>
      <c r="P157" s="44">
        <f t="shared" si="74"/>
        <v>1.08</v>
      </c>
      <c r="Q157" s="44">
        <f t="shared" si="74"/>
        <v>1.08</v>
      </c>
      <c r="R157" s="44">
        <f t="shared" si="74"/>
        <v>1.08</v>
      </c>
      <c r="S157" s="44">
        <f t="shared" si="74"/>
        <v>1.08</v>
      </c>
      <c r="T157" s="44">
        <f t="shared" si="75"/>
        <v>1.08</v>
      </c>
      <c r="U157" s="44">
        <f t="shared" si="75"/>
        <v>1.08</v>
      </c>
      <c r="V157" s="44">
        <f t="shared" si="75"/>
        <v>1.08</v>
      </c>
      <c r="W157" s="44">
        <f t="shared" si="75"/>
        <v>1.08</v>
      </c>
      <c r="X157" s="44">
        <f t="shared" si="75"/>
        <v>1.08</v>
      </c>
      <c r="Y157" s="44">
        <f t="shared" si="75"/>
        <v>1.08</v>
      </c>
      <c r="Z157" s="44">
        <f t="shared" si="75"/>
        <v>1.08</v>
      </c>
      <c r="AA157" s="44">
        <f t="shared" si="75"/>
        <v>1.08</v>
      </c>
      <c r="AB157" s="44">
        <f t="shared" si="75"/>
        <v>1.08</v>
      </c>
      <c r="AC157" s="44">
        <f t="shared" si="75"/>
        <v>1.08</v>
      </c>
      <c r="AD157" s="44">
        <f t="shared" si="75"/>
        <v>1.08</v>
      </c>
      <c r="AE157" s="44">
        <f t="shared" si="75"/>
        <v>1.08</v>
      </c>
      <c r="AF157" s="44">
        <f t="shared" si="75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73"/>
        <v>2.37</v>
      </c>
      <c r="C158" s="55">
        <v>2.37</v>
      </c>
      <c r="D158" s="44">
        <f t="shared" si="74"/>
        <v>2.37</v>
      </c>
      <c r="E158" s="44">
        <f t="shared" si="74"/>
        <v>2.37</v>
      </c>
      <c r="F158" s="44">
        <f t="shared" si="74"/>
        <v>2.37</v>
      </c>
      <c r="G158" s="44">
        <f t="shared" si="74"/>
        <v>2.37</v>
      </c>
      <c r="H158" s="44">
        <f t="shared" si="74"/>
        <v>2.37</v>
      </c>
      <c r="I158" s="44">
        <f t="shared" si="74"/>
        <v>2.37</v>
      </c>
      <c r="J158" s="44">
        <f t="shared" si="74"/>
        <v>2.37</v>
      </c>
      <c r="K158" s="44">
        <f t="shared" si="74"/>
        <v>2.37</v>
      </c>
      <c r="L158" s="44">
        <f t="shared" si="74"/>
        <v>2.37</v>
      </c>
      <c r="M158" s="44">
        <f t="shared" si="74"/>
        <v>2.37</v>
      </c>
      <c r="N158" s="44">
        <f t="shared" si="74"/>
        <v>2.37</v>
      </c>
      <c r="O158" s="44">
        <f t="shared" si="74"/>
        <v>2.37</v>
      </c>
      <c r="P158" s="44">
        <f t="shared" si="74"/>
        <v>2.37</v>
      </c>
      <c r="Q158" s="44">
        <f t="shared" si="74"/>
        <v>2.37</v>
      </c>
      <c r="R158" s="44">
        <f t="shared" si="74"/>
        <v>2.37</v>
      </c>
      <c r="S158" s="44">
        <f t="shared" si="74"/>
        <v>2.37</v>
      </c>
      <c r="T158" s="44">
        <f t="shared" si="75"/>
        <v>2.37</v>
      </c>
      <c r="U158" s="44">
        <f t="shared" si="75"/>
        <v>2.37</v>
      </c>
      <c r="V158" s="44">
        <f t="shared" si="75"/>
        <v>2.37</v>
      </c>
      <c r="W158" s="44">
        <f t="shared" si="75"/>
        <v>2.37</v>
      </c>
      <c r="X158" s="44">
        <f t="shared" si="75"/>
        <v>2.37</v>
      </c>
      <c r="Y158" s="44">
        <f t="shared" si="75"/>
        <v>2.37</v>
      </c>
      <c r="Z158" s="44">
        <f t="shared" si="75"/>
        <v>2.37</v>
      </c>
      <c r="AA158" s="44">
        <f t="shared" si="75"/>
        <v>2.37</v>
      </c>
      <c r="AB158" s="44">
        <f t="shared" si="75"/>
        <v>2.37</v>
      </c>
      <c r="AC158" s="44">
        <f t="shared" si="75"/>
        <v>2.37</v>
      </c>
      <c r="AD158" s="44">
        <f t="shared" si="75"/>
        <v>2.37</v>
      </c>
      <c r="AE158" s="44">
        <f t="shared" si="75"/>
        <v>2.37</v>
      </c>
      <c r="AF158" s="44">
        <f t="shared" si="75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73"/>
        <v>1.81</v>
      </c>
      <c r="C159" s="55">
        <v>1.81</v>
      </c>
      <c r="D159" s="44">
        <f t="shared" si="74"/>
        <v>1.81</v>
      </c>
      <c r="E159" s="44">
        <f t="shared" si="74"/>
        <v>1.81</v>
      </c>
      <c r="F159" s="44">
        <f t="shared" si="74"/>
        <v>1.81</v>
      </c>
      <c r="G159" s="44">
        <f t="shared" si="74"/>
        <v>1.81</v>
      </c>
      <c r="H159" s="44">
        <f t="shared" si="74"/>
        <v>1.81</v>
      </c>
      <c r="I159" s="44">
        <f t="shared" si="74"/>
        <v>1.81</v>
      </c>
      <c r="J159" s="44">
        <f t="shared" si="74"/>
        <v>1.81</v>
      </c>
      <c r="K159" s="44">
        <f t="shared" si="74"/>
        <v>1.81</v>
      </c>
      <c r="L159" s="44">
        <f t="shared" si="74"/>
        <v>1.81</v>
      </c>
      <c r="M159" s="44">
        <f t="shared" si="74"/>
        <v>1.81</v>
      </c>
      <c r="N159" s="44">
        <f t="shared" si="74"/>
        <v>1.81</v>
      </c>
      <c r="O159" s="44">
        <f t="shared" si="74"/>
        <v>1.81</v>
      </c>
      <c r="P159" s="44">
        <f t="shared" si="74"/>
        <v>1.81</v>
      </c>
      <c r="Q159" s="44">
        <f t="shared" si="74"/>
        <v>1.81</v>
      </c>
      <c r="R159" s="44">
        <f t="shared" si="74"/>
        <v>1.81</v>
      </c>
      <c r="S159" s="44">
        <f t="shared" si="74"/>
        <v>1.81</v>
      </c>
      <c r="T159" s="44">
        <f t="shared" si="75"/>
        <v>1.81</v>
      </c>
      <c r="U159" s="44">
        <f t="shared" si="75"/>
        <v>1.81</v>
      </c>
      <c r="V159" s="44">
        <f t="shared" si="75"/>
        <v>1.81</v>
      </c>
      <c r="W159" s="44">
        <f t="shared" si="75"/>
        <v>1.81</v>
      </c>
      <c r="X159" s="44">
        <f t="shared" si="75"/>
        <v>1.81</v>
      </c>
      <c r="Y159" s="44">
        <f t="shared" si="75"/>
        <v>1.81</v>
      </c>
      <c r="Z159" s="44">
        <f t="shared" si="75"/>
        <v>1.81</v>
      </c>
      <c r="AA159" s="44">
        <f t="shared" si="75"/>
        <v>1.81</v>
      </c>
      <c r="AB159" s="44">
        <f t="shared" si="75"/>
        <v>1.81</v>
      </c>
      <c r="AC159" s="44">
        <f t="shared" si="75"/>
        <v>1.81</v>
      </c>
      <c r="AD159" s="44">
        <f t="shared" si="75"/>
        <v>1.81</v>
      </c>
      <c r="AE159" s="44">
        <f t="shared" si="75"/>
        <v>1.81</v>
      </c>
      <c r="AF159" s="44">
        <f t="shared" si="75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73"/>
        <v>1.0900000000000001</v>
      </c>
      <c r="C160" s="55">
        <v>1.0900000000000001</v>
      </c>
      <c r="D160" s="44">
        <f t="shared" si="74"/>
        <v>1.0900000000000001</v>
      </c>
      <c r="E160" s="44">
        <f t="shared" si="74"/>
        <v>1.0900000000000001</v>
      </c>
      <c r="F160" s="44">
        <f t="shared" si="74"/>
        <v>1.0900000000000001</v>
      </c>
      <c r="G160" s="44">
        <f t="shared" si="74"/>
        <v>1.0900000000000001</v>
      </c>
      <c r="H160" s="44">
        <f t="shared" si="74"/>
        <v>1.0900000000000001</v>
      </c>
      <c r="I160" s="44">
        <f t="shared" si="74"/>
        <v>1.0900000000000001</v>
      </c>
      <c r="J160" s="44">
        <f t="shared" si="74"/>
        <v>1.0900000000000001</v>
      </c>
      <c r="K160" s="44">
        <f t="shared" si="74"/>
        <v>1.0900000000000001</v>
      </c>
      <c r="L160" s="44">
        <f t="shared" si="74"/>
        <v>1.0900000000000001</v>
      </c>
      <c r="M160" s="44">
        <f t="shared" si="74"/>
        <v>1.0900000000000001</v>
      </c>
      <c r="N160" s="44">
        <f t="shared" si="74"/>
        <v>1.0900000000000001</v>
      </c>
      <c r="O160" s="44">
        <f t="shared" si="74"/>
        <v>1.0900000000000001</v>
      </c>
      <c r="P160" s="44">
        <f t="shared" si="74"/>
        <v>1.0900000000000001</v>
      </c>
      <c r="Q160" s="44">
        <f t="shared" si="74"/>
        <v>1.0900000000000001</v>
      </c>
      <c r="R160" s="44">
        <f t="shared" si="74"/>
        <v>1.0900000000000001</v>
      </c>
      <c r="S160" s="44">
        <f t="shared" si="74"/>
        <v>1.0900000000000001</v>
      </c>
      <c r="T160" s="44">
        <f t="shared" si="75"/>
        <v>1.0900000000000001</v>
      </c>
      <c r="U160" s="44">
        <f t="shared" si="75"/>
        <v>1.0900000000000001</v>
      </c>
      <c r="V160" s="44">
        <f t="shared" si="75"/>
        <v>1.0900000000000001</v>
      </c>
      <c r="W160" s="44">
        <f t="shared" si="75"/>
        <v>1.0900000000000001</v>
      </c>
      <c r="X160" s="44">
        <f t="shared" si="75"/>
        <v>1.0900000000000001</v>
      </c>
      <c r="Y160" s="44">
        <f t="shared" si="75"/>
        <v>1.0900000000000001</v>
      </c>
      <c r="Z160" s="44">
        <f t="shared" si="75"/>
        <v>1.0900000000000001</v>
      </c>
      <c r="AA160" s="44">
        <f t="shared" si="75"/>
        <v>1.0900000000000001</v>
      </c>
      <c r="AB160" s="44">
        <f t="shared" si="75"/>
        <v>1.0900000000000001</v>
      </c>
      <c r="AC160" s="44">
        <f t="shared" si="75"/>
        <v>1.0900000000000001</v>
      </c>
      <c r="AD160" s="44">
        <f t="shared" si="75"/>
        <v>1.0900000000000001</v>
      </c>
      <c r="AE160" s="44">
        <f t="shared" si="75"/>
        <v>1.0900000000000001</v>
      </c>
      <c r="AF160" s="44">
        <f t="shared" si="75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73"/>
        <v>1.58</v>
      </c>
      <c r="C161" s="55">
        <v>1.58</v>
      </c>
      <c r="D161" s="44">
        <f t="shared" si="74"/>
        <v>1.58</v>
      </c>
      <c r="E161" s="44">
        <f t="shared" si="74"/>
        <v>1.58</v>
      </c>
      <c r="F161" s="44">
        <f t="shared" si="74"/>
        <v>1.58</v>
      </c>
      <c r="G161" s="44">
        <f t="shared" si="74"/>
        <v>1.58</v>
      </c>
      <c r="H161" s="44">
        <f t="shared" si="74"/>
        <v>1.58</v>
      </c>
      <c r="I161" s="44">
        <f t="shared" si="74"/>
        <v>1.58</v>
      </c>
      <c r="J161" s="44">
        <f t="shared" si="74"/>
        <v>1.58</v>
      </c>
      <c r="K161" s="44">
        <f t="shared" si="74"/>
        <v>1.58</v>
      </c>
      <c r="L161" s="44">
        <f t="shared" si="74"/>
        <v>1.58</v>
      </c>
      <c r="M161" s="44">
        <f t="shared" si="74"/>
        <v>1.58</v>
      </c>
      <c r="N161" s="44">
        <f t="shared" si="74"/>
        <v>1.58</v>
      </c>
      <c r="O161" s="44">
        <f t="shared" si="74"/>
        <v>1.58</v>
      </c>
      <c r="P161" s="44">
        <f t="shared" si="74"/>
        <v>1.58</v>
      </c>
      <c r="Q161" s="44">
        <f t="shared" si="74"/>
        <v>1.58</v>
      </c>
      <c r="R161" s="44">
        <f t="shared" si="74"/>
        <v>1.58</v>
      </c>
      <c r="S161" s="44">
        <f t="shared" si="74"/>
        <v>1.58</v>
      </c>
      <c r="T161" s="44">
        <f t="shared" si="75"/>
        <v>1.58</v>
      </c>
      <c r="U161" s="44">
        <f t="shared" si="75"/>
        <v>1.58</v>
      </c>
      <c r="V161" s="44">
        <f t="shared" si="75"/>
        <v>1.58</v>
      </c>
      <c r="W161" s="44">
        <f t="shared" si="75"/>
        <v>1.58</v>
      </c>
      <c r="X161" s="44">
        <f t="shared" si="75"/>
        <v>1.58</v>
      </c>
      <c r="Y161" s="44">
        <f t="shared" si="75"/>
        <v>1.58</v>
      </c>
      <c r="Z161" s="44">
        <f t="shared" si="75"/>
        <v>1.58</v>
      </c>
      <c r="AA161" s="44">
        <f t="shared" si="75"/>
        <v>1.58</v>
      </c>
      <c r="AB161" s="44">
        <f t="shared" si="75"/>
        <v>1.58</v>
      </c>
      <c r="AC161" s="44">
        <f t="shared" si="75"/>
        <v>1.58</v>
      </c>
      <c r="AD161" s="44">
        <f t="shared" si="75"/>
        <v>1.58</v>
      </c>
      <c r="AE161" s="44">
        <f t="shared" si="75"/>
        <v>1.58</v>
      </c>
      <c r="AF161" s="44">
        <f t="shared" si="75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73"/>
        <v>2</v>
      </c>
      <c r="C162" s="55">
        <v>2</v>
      </c>
      <c r="D162" s="44">
        <f t="shared" si="74"/>
        <v>2</v>
      </c>
      <c r="E162" s="44">
        <f t="shared" si="74"/>
        <v>2</v>
      </c>
      <c r="F162" s="44">
        <f t="shared" si="74"/>
        <v>2</v>
      </c>
      <c r="G162" s="44">
        <f t="shared" si="74"/>
        <v>2</v>
      </c>
      <c r="H162" s="44">
        <f t="shared" si="74"/>
        <v>2</v>
      </c>
      <c r="I162" s="44">
        <f t="shared" si="74"/>
        <v>2</v>
      </c>
      <c r="J162" s="44">
        <f t="shared" si="74"/>
        <v>2</v>
      </c>
      <c r="K162" s="44">
        <f t="shared" si="74"/>
        <v>2</v>
      </c>
      <c r="L162" s="44">
        <f t="shared" si="74"/>
        <v>2</v>
      </c>
      <c r="M162" s="44">
        <f t="shared" si="74"/>
        <v>2</v>
      </c>
      <c r="N162" s="44">
        <f t="shared" si="74"/>
        <v>2</v>
      </c>
      <c r="O162" s="44">
        <f t="shared" si="74"/>
        <v>2</v>
      </c>
      <c r="P162" s="44">
        <f t="shared" si="74"/>
        <v>2</v>
      </c>
      <c r="Q162" s="44">
        <f t="shared" si="74"/>
        <v>2</v>
      </c>
      <c r="R162" s="44">
        <f t="shared" si="74"/>
        <v>2</v>
      </c>
      <c r="S162" s="44">
        <f t="shared" si="74"/>
        <v>2</v>
      </c>
      <c r="T162" s="44">
        <f t="shared" si="75"/>
        <v>2</v>
      </c>
      <c r="U162" s="44">
        <f t="shared" si="75"/>
        <v>2</v>
      </c>
      <c r="V162" s="44">
        <f t="shared" si="75"/>
        <v>2</v>
      </c>
      <c r="W162" s="44">
        <f t="shared" si="75"/>
        <v>2</v>
      </c>
      <c r="X162" s="44">
        <f t="shared" si="75"/>
        <v>2</v>
      </c>
      <c r="Y162" s="44">
        <f t="shared" si="75"/>
        <v>2</v>
      </c>
      <c r="Z162" s="44">
        <f t="shared" si="75"/>
        <v>2</v>
      </c>
      <c r="AA162" s="44">
        <f t="shared" si="75"/>
        <v>2</v>
      </c>
      <c r="AB162" s="44">
        <f t="shared" si="75"/>
        <v>2</v>
      </c>
      <c r="AC162" s="44">
        <f t="shared" si="75"/>
        <v>2</v>
      </c>
      <c r="AD162" s="44">
        <f t="shared" si="75"/>
        <v>2</v>
      </c>
      <c r="AE162" s="44">
        <f t="shared" si="75"/>
        <v>2</v>
      </c>
      <c r="AF162" s="44">
        <f t="shared" si="75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73"/>
        <v>0.47</v>
      </c>
      <c r="C163" s="55">
        <v>0.47</v>
      </c>
      <c r="D163" s="44">
        <f t="shared" si="74"/>
        <v>0.47</v>
      </c>
      <c r="E163" s="44">
        <f t="shared" si="74"/>
        <v>0.47</v>
      </c>
      <c r="F163" s="44">
        <f t="shared" si="74"/>
        <v>0.47</v>
      </c>
      <c r="G163" s="44">
        <f t="shared" si="74"/>
        <v>0.47</v>
      </c>
      <c r="H163" s="44">
        <f t="shared" si="74"/>
        <v>0.47</v>
      </c>
      <c r="I163" s="44">
        <f t="shared" si="74"/>
        <v>0.47</v>
      </c>
      <c r="J163" s="44">
        <f t="shared" si="74"/>
        <v>0.47</v>
      </c>
      <c r="K163" s="44">
        <f t="shared" si="74"/>
        <v>0.47</v>
      </c>
      <c r="L163" s="44">
        <f t="shared" si="74"/>
        <v>0.47</v>
      </c>
      <c r="M163" s="44">
        <f t="shared" si="74"/>
        <v>0.47</v>
      </c>
      <c r="N163" s="44">
        <f t="shared" si="74"/>
        <v>0.47</v>
      </c>
      <c r="O163" s="44">
        <f t="shared" si="74"/>
        <v>0.47</v>
      </c>
      <c r="P163" s="44">
        <f t="shared" si="74"/>
        <v>0.47</v>
      </c>
      <c r="Q163" s="44">
        <f t="shared" si="74"/>
        <v>0.47</v>
      </c>
      <c r="R163" s="44">
        <f t="shared" si="74"/>
        <v>0.47</v>
      </c>
      <c r="S163" s="44">
        <f t="shared" si="74"/>
        <v>0.47</v>
      </c>
      <c r="T163" s="44">
        <f t="shared" si="75"/>
        <v>0.47</v>
      </c>
      <c r="U163" s="44">
        <f t="shared" si="75"/>
        <v>0.47</v>
      </c>
      <c r="V163" s="44">
        <f t="shared" si="75"/>
        <v>0.47</v>
      </c>
      <c r="W163" s="44">
        <f t="shared" si="75"/>
        <v>0.47</v>
      </c>
      <c r="X163" s="44">
        <f t="shared" si="75"/>
        <v>0.47</v>
      </c>
      <c r="Y163" s="44">
        <f t="shared" si="75"/>
        <v>0.47</v>
      </c>
      <c r="Z163" s="44">
        <f t="shared" si="75"/>
        <v>0.47</v>
      </c>
      <c r="AA163" s="44">
        <f t="shared" si="75"/>
        <v>0.47</v>
      </c>
      <c r="AB163" s="44">
        <f t="shared" si="75"/>
        <v>0.47</v>
      </c>
      <c r="AC163" s="44">
        <f t="shared" si="75"/>
        <v>0.47</v>
      </c>
      <c r="AD163" s="44">
        <f t="shared" si="75"/>
        <v>0.47</v>
      </c>
      <c r="AE163" s="44">
        <f t="shared" si="75"/>
        <v>0.47</v>
      </c>
      <c r="AF163" s="44">
        <f t="shared" si="75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73"/>
        <v>0</v>
      </c>
      <c r="C164" s="55">
        <v>0</v>
      </c>
      <c r="D164" s="44">
        <f t="shared" si="74"/>
        <v>0</v>
      </c>
      <c r="E164" s="44">
        <f t="shared" si="74"/>
        <v>0</v>
      </c>
      <c r="F164" s="44">
        <f t="shared" si="74"/>
        <v>0</v>
      </c>
      <c r="G164" s="44">
        <f t="shared" si="74"/>
        <v>0</v>
      </c>
      <c r="H164" s="44">
        <f t="shared" si="74"/>
        <v>0</v>
      </c>
      <c r="I164" s="44">
        <f t="shared" si="74"/>
        <v>0</v>
      </c>
      <c r="J164" s="44">
        <f t="shared" si="74"/>
        <v>0</v>
      </c>
      <c r="K164" s="44">
        <f t="shared" si="74"/>
        <v>0</v>
      </c>
      <c r="L164" s="44">
        <f t="shared" si="74"/>
        <v>0</v>
      </c>
      <c r="M164" s="44">
        <f t="shared" si="74"/>
        <v>0</v>
      </c>
      <c r="N164" s="44">
        <f t="shared" si="74"/>
        <v>0</v>
      </c>
      <c r="O164" s="44">
        <f t="shared" si="74"/>
        <v>0</v>
      </c>
      <c r="P164" s="44">
        <f t="shared" si="74"/>
        <v>0</v>
      </c>
      <c r="Q164" s="44">
        <f t="shared" si="74"/>
        <v>0</v>
      </c>
      <c r="R164" s="44">
        <f t="shared" si="74"/>
        <v>0</v>
      </c>
      <c r="S164" s="44">
        <f t="shared" si="74"/>
        <v>0</v>
      </c>
      <c r="T164" s="44">
        <f t="shared" si="75"/>
        <v>0</v>
      </c>
      <c r="U164" s="44">
        <f t="shared" si="75"/>
        <v>0</v>
      </c>
      <c r="V164" s="44">
        <f t="shared" si="75"/>
        <v>0</v>
      </c>
      <c r="W164" s="44">
        <f t="shared" si="75"/>
        <v>0</v>
      </c>
      <c r="X164" s="44">
        <f t="shared" si="75"/>
        <v>0</v>
      </c>
      <c r="Y164" s="44">
        <f t="shared" si="75"/>
        <v>0</v>
      </c>
      <c r="Z164" s="44">
        <f t="shared" si="75"/>
        <v>0</v>
      </c>
      <c r="AA164" s="44">
        <f t="shared" si="75"/>
        <v>0</v>
      </c>
      <c r="AB164" s="44">
        <f t="shared" si="75"/>
        <v>0</v>
      </c>
      <c r="AC164" s="44">
        <f t="shared" si="75"/>
        <v>0</v>
      </c>
      <c r="AD164" s="44">
        <f t="shared" si="75"/>
        <v>0</v>
      </c>
      <c r="AE164" s="44">
        <f t="shared" si="75"/>
        <v>0</v>
      </c>
      <c r="AF164" s="44">
        <f t="shared" si="75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73"/>
        <v>0</v>
      </c>
      <c r="C165" s="55">
        <v>0</v>
      </c>
      <c r="D165" s="44">
        <f t="shared" si="74"/>
        <v>0</v>
      </c>
      <c r="E165" s="44">
        <f t="shared" si="74"/>
        <v>0</v>
      </c>
      <c r="F165" s="44">
        <f t="shared" si="74"/>
        <v>0</v>
      </c>
      <c r="G165" s="44">
        <f t="shared" si="74"/>
        <v>0</v>
      </c>
      <c r="H165" s="44">
        <f t="shared" si="74"/>
        <v>0</v>
      </c>
      <c r="I165" s="44">
        <f t="shared" si="74"/>
        <v>0</v>
      </c>
      <c r="J165" s="44">
        <f t="shared" si="74"/>
        <v>0</v>
      </c>
      <c r="K165" s="44">
        <f t="shared" si="74"/>
        <v>0</v>
      </c>
      <c r="L165" s="44">
        <f t="shared" si="74"/>
        <v>0</v>
      </c>
      <c r="M165" s="44">
        <f t="shared" si="74"/>
        <v>0</v>
      </c>
      <c r="N165" s="44">
        <f t="shared" si="74"/>
        <v>0</v>
      </c>
      <c r="O165" s="44">
        <f t="shared" si="74"/>
        <v>0</v>
      </c>
      <c r="P165" s="44">
        <f t="shared" si="74"/>
        <v>0</v>
      </c>
      <c r="Q165" s="44">
        <f t="shared" si="74"/>
        <v>0</v>
      </c>
      <c r="R165" s="44">
        <f t="shared" si="74"/>
        <v>0</v>
      </c>
      <c r="S165" s="44">
        <f t="shared" si="75"/>
        <v>0</v>
      </c>
      <c r="T165" s="44">
        <f t="shared" si="75"/>
        <v>0</v>
      </c>
      <c r="U165" s="44">
        <f t="shared" si="75"/>
        <v>0</v>
      </c>
      <c r="V165" s="44">
        <f t="shared" si="75"/>
        <v>0</v>
      </c>
      <c r="W165" s="44">
        <f t="shared" si="75"/>
        <v>0</v>
      </c>
      <c r="X165" s="44">
        <f t="shared" si="75"/>
        <v>0</v>
      </c>
      <c r="Y165" s="44">
        <f t="shared" si="75"/>
        <v>0</v>
      </c>
      <c r="Z165" s="44">
        <f t="shared" si="75"/>
        <v>0</v>
      </c>
      <c r="AA165" s="44">
        <f t="shared" si="75"/>
        <v>0</v>
      </c>
      <c r="AB165" s="44">
        <f t="shared" si="75"/>
        <v>0</v>
      </c>
      <c r="AC165" s="44">
        <f t="shared" si="75"/>
        <v>0</v>
      </c>
      <c r="AD165" s="44">
        <f t="shared" si="75"/>
        <v>0</v>
      </c>
      <c r="AE165" s="44">
        <f t="shared" si="75"/>
        <v>0</v>
      </c>
      <c r="AF165" s="44">
        <f t="shared" si="75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73"/>
        <v>0.8</v>
      </c>
      <c r="C166" s="55">
        <v>0.8</v>
      </c>
      <c r="D166" s="44">
        <f t="shared" si="74"/>
        <v>0.8</v>
      </c>
      <c r="E166" s="44">
        <f t="shared" si="74"/>
        <v>0.8</v>
      </c>
      <c r="F166" s="44">
        <f t="shared" si="74"/>
        <v>0.8</v>
      </c>
      <c r="G166" s="44">
        <f t="shared" si="74"/>
        <v>0.8</v>
      </c>
      <c r="H166" s="44">
        <f t="shared" si="74"/>
        <v>0.8</v>
      </c>
      <c r="I166" s="44">
        <f t="shared" si="74"/>
        <v>0.8</v>
      </c>
      <c r="J166" s="44">
        <f t="shared" si="74"/>
        <v>0.8</v>
      </c>
      <c r="K166" s="44">
        <f t="shared" si="74"/>
        <v>0.8</v>
      </c>
      <c r="L166" s="44">
        <f t="shared" si="74"/>
        <v>0.8</v>
      </c>
      <c r="M166" s="44">
        <f t="shared" si="74"/>
        <v>0.8</v>
      </c>
      <c r="N166" s="44">
        <f t="shared" si="74"/>
        <v>0.8</v>
      </c>
      <c r="O166" s="44">
        <f t="shared" si="74"/>
        <v>0.8</v>
      </c>
      <c r="P166" s="44">
        <f t="shared" si="74"/>
        <v>0.8</v>
      </c>
      <c r="Q166" s="44">
        <f t="shared" si="74"/>
        <v>0.8</v>
      </c>
      <c r="R166" s="44">
        <f t="shared" si="74"/>
        <v>0.8</v>
      </c>
      <c r="S166" s="44">
        <f t="shared" si="75"/>
        <v>0.8</v>
      </c>
      <c r="T166" s="44">
        <f t="shared" si="75"/>
        <v>0.8</v>
      </c>
      <c r="U166" s="44">
        <f t="shared" si="75"/>
        <v>0.8</v>
      </c>
      <c r="V166" s="44">
        <f t="shared" si="75"/>
        <v>0.8</v>
      </c>
      <c r="W166" s="44">
        <f t="shared" si="75"/>
        <v>0.8</v>
      </c>
      <c r="X166" s="44">
        <f t="shared" si="75"/>
        <v>0.8</v>
      </c>
      <c r="Y166" s="44">
        <f t="shared" si="75"/>
        <v>0.8</v>
      </c>
      <c r="Z166" s="44">
        <f t="shared" si="75"/>
        <v>0.8</v>
      </c>
      <c r="AA166" s="44">
        <f t="shared" si="75"/>
        <v>0.8</v>
      </c>
      <c r="AB166" s="44">
        <f t="shared" si="75"/>
        <v>0.8</v>
      </c>
      <c r="AC166" s="44">
        <f t="shared" si="75"/>
        <v>0.8</v>
      </c>
      <c r="AD166" s="44">
        <f t="shared" si="75"/>
        <v>0.8</v>
      </c>
      <c r="AE166" s="44">
        <f t="shared" si="75"/>
        <v>0.8</v>
      </c>
      <c r="AF166" s="44">
        <f t="shared" si="75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73"/>
        <v>1.5</v>
      </c>
      <c r="C167" s="55">
        <v>1.5</v>
      </c>
      <c r="D167" s="44">
        <f t="shared" si="74"/>
        <v>1.5</v>
      </c>
      <c r="E167" s="44">
        <f t="shared" si="74"/>
        <v>1.5</v>
      </c>
      <c r="F167" s="44">
        <f t="shared" si="74"/>
        <v>1.5</v>
      </c>
      <c r="G167" s="44">
        <f t="shared" si="74"/>
        <v>1.5</v>
      </c>
      <c r="H167" s="44">
        <f t="shared" si="74"/>
        <v>1.5</v>
      </c>
      <c r="I167" s="44">
        <f t="shared" si="74"/>
        <v>1.5</v>
      </c>
      <c r="J167" s="44">
        <f t="shared" si="74"/>
        <v>1.5</v>
      </c>
      <c r="K167" s="44">
        <f t="shared" si="74"/>
        <v>1.5</v>
      </c>
      <c r="L167" s="44">
        <f t="shared" si="74"/>
        <v>1.5</v>
      </c>
      <c r="M167" s="44">
        <f t="shared" si="74"/>
        <v>1.5</v>
      </c>
      <c r="N167" s="44">
        <f t="shared" si="74"/>
        <v>1.5</v>
      </c>
      <c r="O167" s="44">
        <f t="shared" si="74"/>
        <v>1.5</v>
      </c>
      <c r="P167" s="44">
        <f t="shared" si="74"/>
        <v>1.5</v>
      </c>
      <c r="Q167" s="44">
        <f t="shared" si="74"/>
        <v>1.5</v>
      </c>
      <c r="R167" s="44">
        <f t="shared" si="74"/>
        <v>1.5</v>
      </c>
      <c r="S167" s="44">
        <f t="shared" si="75"/>
        <v>1.5</v>
      </c>
      <c r="T167" s="44">
        <f t="shared" si="75"/>
        <v>1.5</v>
      </c>
      <c r="U167" s="44">
        <f t="shared" si="75"/>
        <v>1.5</v>
      </c>
      <c r="V167" s="44">
        <f t="shared" si="75"/>
        <v>1.5</v>
      </c>
      <c r="W167" s="44">
        <f t="shared" si="75"/>
        <v>1.5</v>
      </c>
      <c r="X167" s="44">
        <f t="shared" si="75"/>
        <v>1.5</v>
      </c>
      <c r="Y167" s="44">
        <f t="shared" si="75"/>
        <v>1.5</v>
      </c>
      <c r="Z167" s="44">
        <f t="shared" si="75"/>
        <v>1.5</v>
      </c>
      <c r="AA167" s="44">
        <f t="shared" si="75"/>
        <v>1.5</v>
      </c>
      <c r="AB167" s="44">
        <f t="shared" si="75"/>
        <v>1.5</v>
      </c>
      <c r="AC167" s="44">
        <f t="shared" si="75"/>
        <v>1.5</v>
      </c>
      <c r="AD167" s="44">
        <f t="shared" si="75"/>
        <v>1.5</v>
      </c>
      <c r="AE167" s="44">
        <f t="shared" si="75"/>
        <v>1.5</v>
      </c>
      <c r="AF167" s="44">
        <f t="shared" si="75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73"/>
        <v>1</v>
      </c>
      <c r="C168" s="55">
        <v>1</v>
      </c>
      <c r="D168" s="44">
        <f t="shared" si="74"/>
        <v>1</v>
      </c>
      <c r="E168" s="44">
        <f t="shared" si="74"/>
        <v>1</v>
      </c>
      <c r="F168" s="44">
        <f t="shared" si="74"/>
        <v>1</v>
      </c>
      <c r="G168" s="44">
        <f t="shared" si="74"/>
        <v>1</v>
      </c>
      <c r="H168" s="44">
        <f t="shared" si="74"/>
        <v>1</v>
      </c>
      <c r="I168" s="44">
        <f t="shared" si="74"/>
        <v>1</v>
      </c>
      <c r="J168" s="44">
        <f t="shared" si="74"/>
        <v>1</v>
      </c>
      <c r="K168" s="44">
        <f t="shared" si="74"/>
        <v>1</v>
      </c>
      <c r="L168" s="44">
        <f t="shared" si="74"/>
        <v>1</v>
      </c>
      <c r="M168" s="44">
        <f t="shared" si="74"/>
        <v>1</v>
      </c>
      <c r="N168" s="44">
        <f t="shared" si="74"/>
        <v>1</v>
      </c>
      <c r="O168" s="44">
        <f t="shared" si="74"/>
        <v>1</v>
      </c>
      <c r="P168" s="44">
        <f t="shared" si="74"/>
        <v>1</v>
      </c>
      <c r="Q168" s="44">
        <f t="shared" si="74"/>
        <v>1</v>
      </c>
      <c r="R168" s="44">
        <f t="shared" si="74"/>
        <v>1</v>
      </c>
      <c r="S168" s="44">
        <f t="shared" si="75"/>
        <v>1</v>
      </c>
      <c r="T168" s="44">
        <f t="shared" si="75"/>
        <v>1</v>
      </c>
      <c r="U168" s="44">
        <f t="shared" si="75"/>
        <v>1</v>
      </c>
      <c r="V168" s="44">
        <f t="shared" si="75"/>
        <v>1</v>
      </c>
      <c r="W168" s="44">
        <f t="shared" si="75"/>
        <v>1</v>
      </c>
      <c r="X168" s="44">
        <f t="shared" si="75"/>
        <v>1</v>
      </c>
      <c r="Y168" s="44">
        <f t="shared" si="75"/>
        <v>1</v>
      </c>
      <c r="Z168" s="44">
        <f t="shared" si="75"/>
        <v>1</v>
      </c>
      <c r="AA168" s="44">
        <f t="shared" si="75"/>
        <v>1</v>
      </c>
      <c r="AB168" s="44">
        <f t="shared" si="75"/>
        <v>1</v>
      </c>
      <c r="AC168" s="44">
        <f t="shared" si="75"/>
        <v>1</v>
      </c>
      <c r="AD168" s="44">
        <f t="shared" si="75"/>
        <v>1</v>
      </c>
      <c r="AE168" s="44">
        <f t="shared" si="75"/>
        <v>1</v>
      </c>
      <c r="AF168" s="44">
        <f t="shared" si="75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76">AF170</f>
        <v>1</v>
      </c>
      <c r="C170" s="55">
        <v>1</v>
      </c>
      <c r="D170" s="44">
        <f t="shared" ref="D170:S177" si="77">C170</f>
        <v>1</v>
      </c>
      <c r="E170" s="44">
        <f t="shared" si="77"/>
        <v>1</v>
      </c>
      <c r="F170" s="44">
        <f t="shared" si="77"/>
        <v>1</v>
      </c>
      <c r="G170" s="44">
        <f t="shared" si="77"/>
        <v>1</v>
      </c>
      <c r="H170" s="44">
        <f t="shared" si="77"/>
        <v>1</v>
      </c>
      <c r="I170" s="44">
        <f t="shared" si="77"/>
        <v>1</v>
      </c>
      <c r="J170" s="44">
        <f t="shared" si="77"/>
        <v>1</v>
      </c>
      <c r="K170" s="44">
        <f t="shared" si="77"/>
        <v>1</v>
      </c>
      <c r="L170" s="44">
        <f t="shared" si="77"/>
        <v>1</v>
      </c>
      <c r="M170" s="44">
        <f t="shared" si="77"/>
        <v>1</v>
      </c>
      <c r="N170" s="44">
        <f t="shared" si="77"/>
        <v>1</v>
      </c>
      <c r="O170" s="44">
        <f t="shared" si="77"/>
        <v>1</v>
      </c>
      <c r="P170" s="44">
        <f t="shared" si="77"/>
        <v>1</v>
      </c>
      <c r="Q170" s="44">
        <f t="shared" si="77"/>
        <v>1</v>
      </c>
      <c r="R170" s="44">
        <f t="shared" si="77"/>
        <v>1</v>
      </c>
      <c r="S170" s="44">
        <f t="shared" si="77"/>
        <v>1</v>
      </c>
      <c r="T170" s="44">
        <f t="shared" ref="S170:AF177" si="78">S170</f>
        <v>1</v>
      </c>
      <c r="U170" s="44">
        <f t="shared" si="78"/>
        <v>1</v>
      </c>
      <c r="V170" s="44">
        <f t="shared" si="78"/>
        <v>1</v>
      </c>
      <c r="W170" s="44">
        <f t="shared" si="78"/>
        <v>1</v>
      </c>
      <c r="X170" s="44">
        <f t="shared" si="78"/>
        <v>1</v>
      </c>
      <c r="Y170" s="44">
        <f t="shared" si="78"/>
        <v>1</v>
      </c>
      <c r="Z170" s="44">
        <f t="shared" si="78"/>
        <v>1</v>
      </c>
      <c r="AA170" s="44">
        <f t="shared" si="78"/>
        <v>1</v>
      </c>
      <c r="AB170" s="44">
        <f t="shared" si="78"/>
        <v>1</v>
      </c>
      <c r="AC170" s="44">
        <f t="shared" si="78"/>
        <v>1</v>
      </c>
      <c r="AD170" s="44">
        <f t="shared" si="78"/>
        <v>1</v>
      </c>
      <c r="AE170" s="44">
        <f t="shared" si="78"/>
        <v>1</v>
      </c>
      <c r="AF170" s="44">
        <f t="shared" si="78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76"/>
        <v>0.42</v>
      </c>
      <c r="C171" s="55">
        <v>0.42</v>
      </c>
      <c r="D171" s="44">
        <f t="shared" si="77"/>
        <v>0.42</v>
      </c>
      <c r="E171" s="44">
        <f t="shared" si="77"/>
        <v>0.42</v>
      </c>
      <c r="F171" s="44">
        <f t="shared" si="77"/>
        <v>0.42</v>
      </c>
      <c r="G171" s="44">
        <f t="shared" si="77"/>
        <v>0.42</v>
      </c>
      <c r="H171" s="44">
        <f t="shared" si="77"/>
        <v>0.42</v>
      </c>
      <c r="I171" s="44">
        <f t="shared" si="77"/>
        <v>0.42</v>
      </c>
      <c r="J171" s="44">
        <f t="shared" si="77"/>
        <v>0.42</v>
      </c>
      <c r="K171" s="44">
        <f t="shared" si="77"/>
        <v>0.42</v>
      </c>
      <c r="L171" s="44">
        <f t="shared" si="77"/>
        <v>0.42</v>
      </c>
      <c r="M171" s="44">
        <f t="shared" si="77"/>
        <v>0.42</v>
      </c>
      <c r="N171" s="44">
        <f t="shared" si="77"/>
        <v>0.42</v>
      </c>
      <c r="O171" s="44">
        <f t="shared" si="77"/>
        <v>0.42</v>
      </c>
      <c r="P171" s="44">
        <f t="shared" si="77"/>
        <v>0.42</v>
      </c>
      <c r="Q171" s="44">
        <f t="shared" si="77"/>
        <v>0.42</v>
      </c>
      <c r="R171" s="44">
        <f t="shared" si="77"/>
        <v>0.42</v>
      </c>
      <c r="S171" s="44">
        <f t="shared" si="78"/>
        <v>0.42</v>
      </c>
      <c r="T171" s="44">
        <f t="shared" si="78"/>
        <v>0.42</v>
      </c>
      <c r="U171" s="44">
        <f t="shared" si="78"/>
        <v>0.42</v>
      </c>
      <c r="V171" s="44">
        <f t="shared" si="78"/>
        <v>0.42</v>
      </c>
      <c r="W171" s="44">
        <f t="shared" si="78"/>
        <v>0.42</v>
      </c>
      <c r="X171" s="44">
        <f t="shared" si="78"/>
        <v>0.42</v>
      </c>
      <c r="Y171" s="44">
        <f t="shared" si="78"/>
        <v>0.42</v>
      </c>
      <c r="Z171" s="44">
        <f t="shared" si="78"/>
        <v>0.42</v>
      </c>
      <c r="AA171" s="44">
        <f t="shared" si="78"/>
        <v>0.42</v>
      </c>
      <c r="AB171" s="44">
        <f t="shared" si="78"/>
        <v>0.42</v>
      </c>
      <c r="AC171" s="44">
        <f t="shared" si="78"/>
        <v>0.42</v>
      </c>
      <c r="AD171" s="44">
        <f t="shared" si="78"/>
        <v>0.42</v>
      </c>
      <c r="AE171" s="44">
        <f t="shared" si="78"/>
        <v>0.42</v>
      </c>
      <c r="AF171" s="44">
        <f t="shared" si="78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76"/>
        <v>0.46</v>
      </c>
      <c r="C172" s="55">
        <v>0.46</v>
      </c>
      <c r="D172" s="44">
        <f t="shared" si="77"/>
        <v>0.46</v>
      </c>
      <c r="E172" s="44">
        <f t="shared" si="77"/>
        <v>0.46</v>
      </c>
      <c r="F172" s="44">
        <f t="shared" si="77"/>
        <v>0.46</v>
      </c>
      <c r="G172" s="44">
        <f t="shared" si="77"/>
        <v>0.46</v>
      </c>
      <c r="H172" s="44">
        <f t="shared" si="77"/>
        <v>0.46</v>
      </c>
      <c r="I172" s="44">
        <f t="shared" si="77"/>
        <v>0.46</v>
      </c>
      <c r="J172" s="44">
        <f t="shared" si="77"/>
        <v>0.46</v>
      </c>
      <c r="K172" s="44">
        <f t="shared" si="77"/>
        <v>0.46</v>
      </c>
      <c r="L172" s="44">
        <f t="shared" si="77"/>
        <v>0.46</v>
      </c>
      <c r="M172" s="44">
        <f t="shared" si="77"/>
        <v>0.46</v>
      </c>
      <c r="N172" s="44">
        <f t="shared" si="77"/>
        <v>0.46</v>
      </c>
      <c r="O172" s="44">
        <f t="shared" si="77"/>
        <v>0.46</v>
      </c>
      <c r="P172" s="44">
        <f t="shared" si="77"/>
        <v>0.46</v>
      </c>
      <c r="Q172" s="44">
        <f t="shared" si="77"/>
        <v>0.46</v>
      </c>
      <c r="R172" s="44">
        <f t="shared" si="77"/>
        <v>0.46</v>
      </c>
      <c r="S172" s="44">
        <f t="shared" si="78"/>
        <v>0.46</v>
      </c>
      <c r="T172" s="44">
        <f t="shared" si="78"/>
        <v>0.46</v>
      </c>
      <c r="U172" s="44">
        <f t="shared" si="78"/>
        <v>0.46</v>
      </c>
      <c r="V172" s="44">
        <f t="shared" si="78"/>
        <v>0.46</v>
      </c>
      <c r="W172" s="44">
        <f t="shared" si="78"/>
        <v>0.46</v>
      </c>
      <c r="X172" s="44">
        <f t="shared" si="78"/>
        <v>0.46</v>
      </c>
      <c r="Y172" s="44">
        <f t="shared" si="78"/>
        <v>0.46</v>
      </c>
      <c r="Z172" s="44">
        <f t="shared" si="78"/>
        <v>0.46</v>
      </c>
      <c r="AA172" s="44">
        <f t="shared" si="78"/>
        <v>0.46</v>
      </c>
      <c r="AB172" s="44">
        <f t="shared" si="78"/>
        <v>0.46</v>
      </c>
      <c r="AC172" s="44">
        <f t="shared" si="78"/>
        <v>0.46</v>
      </c>
      <c r="AD172" s="44">
        <f t="shared" si="78"/>
        <v>0.46</v>
      </c>
      <c r="AE172" s="44">
        <f t="shared" si="78"/>
        <v>0.46</v>
      </c>
      <c r="AF172" s="44">
        <f t="shared" si="78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76"/>
        <v>0.85</v>
      </c>
      <c r="C173" s="55">
        <v>0.85</v>
      </c>
      <c r="D173" s="44">
        <f t="shared" si="77"/>
        <v>0.85</v>
      </c>
      <c r="E173" s="44">
        <f t="shared" si="77"/>
        <v>0.85</v>
      </c>
      <c r="F173" s="44">
        <f t="shared" si="77"/>
        <v>0.85</v>
      </c>
      <c r="G173" s="44">
        <f t="shared" si="77"/>
        <v>0.85</v>
      </c>
      <c r="H173" s="44">
        <f t="shared" si="77"/>
        <v>0.85</v>
      </c>
      <c r="I173" s="44">
        <f t="shared" si="77"/>
        <v>0.85</v>
      </c>
      <c r="J173" s="44">
        <f t="shared" si="77"/>
        <v>0.85</v>
      </c>
      <c r="K173" s="44">
        <f t="shared" si="77"/>
        <v>0.85</v>
      </c>
      <c r="L173" s="44">
        <f t="shared" si="77"/>
        <v>0.85</v>
      </c>
      <c r="M173" s="44">
        <f t="shared" si="77"/>
        <v>0.85</v>
      </c>
      <c r="N173" s="44">
        <f t="shared" si="77"/>
        <v>0.85</v>
      </c>
      <c r="O173" s="44">
        <f t="shared" si="77"/>
        <v>0.85</v>
      </c>
      <c r="P173" s="44">
        <f t="shared" si="77"/>
        <v>0.85</v>
      </c>
      <c r="Q173" s="44">
        <f t="shared" si="77"/>
        <v>0.85</v>
      </c>
      <c r="R173" s="44">
        <f t="shared" si="77"/>
        <v>0.85</v>
      </c>
      <c r="S173" s="44">
        <f t="shared" si="78"/>
        <v>0.85</v>
      </c>
      <c r="T173" s="44">
        <f t="shared" si="78"/>
        <v>0.85</v>
      </c>
      <c r="U173" s="44">
        <f t="shared" si="78"/>
        <v>0.85</v>
      </c>
      <c r="V173" s="44">
        <f t="shared" si="78"/>
        <v>0.85</v>
      </c>
      <c r="W173" s="44">
        <f t="shared" si="78"/>
        <v>0.85</v>
      </c>
      <c r="X173" s="44">
        <f t="shared" si="78"/>
        <v>0.85</v>
      </c>
      <c r="Y173" s="44">
        <f t="shared" si="78"/>
        <v>0.85</v>
      </c>
      <c r="Z173" s="44">
        <f t="shared" si="78"/>
        <v>0.85</v>
      </c>
      <c r="AA173" s="44">
        <f t="shared" si="78"/>
        <v>0.85</v>
      </c>
      <c r="AB173" s="44">
        <f t="shared" si="78"/>
        <v>0.85</v>
      </c>
      <c r="AC173" s="44">
        <f t="shared" si="78"/>
        <v>0.85</v>
      </c>
      <c r="AD173" s="44">
        <f t="shared" si="78"/>
        <v>0.85</v>
      </c>
      <c r="AE173" s="44">
        <f t="shared" si="78"/>
        <v>0.85</v>
      </c>
      <c r="AF173" s="44">
        <f t="shared" si="78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76"/>
        <v>0.9</v>
      </c>
      <c r="C174" s="55">
        <v>0.9</v>
      </c>
      <c r="D174" s="44">
        <f t="shared" si="77"/>
        <v>0.9</v>
      </c>
      <c r="E174" s="44">
        <f t="shared" si="77"/>
        <v>0.9</v>
      </c>
      <c r="F174" s="44">
        <f t="shared" si="77"/>
        <v>0.9</v>
      </c>
      <c r="G174" s="44">
        <f t="shared" si="77"/>
        <v>0.9</v>
      </c>
      <c r="H174" s="44">
        <f t="shared" si="77"/>
        <v>0.9</v>
      </c>
      <c r="I174" s="44">
        <f t="shared" si="77"/>
        <v>0.9</v>
      </c>
      <c r="J174" s="44">
        <f t="shared" si="77"/>
        <v>0.9</v>
      </c>
      <c r="K174" s="44">
        <f t="shared" si="77"/>
        <v>0.9</v>
      </c>
      <c r="L174" s="44">
        <f t="shared" si="77"/>
        <v>0.9</v>
      </c>
      <c r="M174" s="44">
        <f t="shared" si="77"/>
        <v>0.9</v>
      </c>
      <c r="N174" s="44">
        <f t="shared" si="77"/>
        <v>0.9</v>
      </c>
      <c r="O174" s="44">
        <f t="shared" si="77"/>
        <v>0.9</v>
      </c>
      <c r="P174" s="44">
        <f t="shared" si="77"/>
        <v>0.9</v>
      </c>
      <c r="Q174" s="44">
        <f t="shared" si="77"/>
        <v>0.9</v>
      </c>
      <c r="R174" s="44">
        <f t="shared" si="77"/>
        <v>0.9</v>
      </c>
      <c r="S174" s="44">
        <f t="shared" si="78"/>
        <v>0.9</v>
      </c>
      <c r="T174" s="44">
        <f t="shared" si="78"/>
        <v>0.9</v>
      </c>
      <c r="U174" s="44">
        <f t="shared" si="78"/>
        <v>0.9</v>
      </c>
      <c r="V174" s="44">
        <f t="shared" si="78"/>
        <v>0.9</v>
      </c>
      <c r="W174" s="44">
        <f t="shared" si="78"/>
        <v>0.9</v>
      </c>
      <c r="X174" s="44">
        <f t="shared" si="78"/>
        <v>0.9</v>
      </c>
      <c r="Y174" s="44">
        <f t="shared" si="78"/>
        <v>0.9</v>
      </c>
      <c r="Z174" s="44">
        <f t="shared" si="78"/>
        <v>0.9</v>
      </c>
      <c r="AA174" s="44">
        <f t="shared" si="78"/>
        <v>0.9</v>
      </c>
      <c r="AB174" s="44">
        <f t="shared" si="78"/>
        <v>0.9</v>
      </c>
      <c r="AC174" s="44">
        <f t="shared" si="78"/>
        <v>0.9</v>
      </c>
      <c r="AD174" s="44">
        <f t="shared" si="78"/>
        <v>0.9</v>
      </c>
      <c r="AE174" s="44">
        <f t="shared" si="78"/>
        <v>0.9</v>
      </c>
      <c r="AF174" s="44">
        <f t="shared" si="78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76"/>
        <v>0.44</v>
      </c>
      <c r="C175" s="55">
        <v>0.44</v>
      </c>
      <c r="D175" s="44">
        <f t="shared" si="77"/>
        <v>0.44</v>
      </c>
      <c r="E175" s="44">
        <f t="shared" si="77"/>
        <v>0.44</v>
      </c>
      <c r="F175" s="44">
        <f t="shared" si="77"/>
        <v>0.44</v>
      </c>
      <c r="G175" s="44">
        <f t="shared" si="77"/>
        <v>0.44</v>
      </c>
      <c r="H175" s="44">
        <f t="shared" si="77"/>
        <v>0.44</v>
      </c>
      <c r="I175" s="44">
        <f t="shared" si="77"/>
        <v>0.44</v>
      </c>
      <c r="J175" s="44">
        <f t="shared" si="77"/>
        <v>0.44</v>
      </c>
      <c r="K175" s="44">
        <f t="shared" si="77"/>
        <v>0.44</v>
      </c>
      <c r="L175" s="44">
        <f t="shared" si="77"/>
        <v>0.44</v>
      </c>
      <c r="M175" s="44">
        <f t="shared" si="77"/>
        <v>0.44</v>
      </c>
      <c r="N175" s="44">
        <f t="shared" si="77"/>
        <v>0.44</v>
      </c>
      <c r="O175" s="44">
        <f t="shared" si="77"/>
        <v>0.44</v>
      </c>
      <c r="P175" s="44">
        <f t="shared" si="77"/>
        <v>0.44</v>
      </c>
      <c r="Q175" s="44">
        <f t="shared" si="77"/>
        <v>0.44</v>
      </c>
      <c r="R175" s="44">
        <f t="shared" si="77"/>
        <v>0.44</v>
      </c>
      <c r="S175" s="44">
        <f t="shared" si="78"/>
        <v>0.44</v>
      </c>
      <c r="T175" s="44">
        <f t="shared" si="78"/>
        <v>0.44</v>
      </c>
      <c r="U175" s="44">
        <f t="shared" si="78"/>
        <v>0.44</v>
      </c>
      <c r="V175" s="44">
        <f t="shared" si="78"/>
        <v>0.44</v>
      </c>
      <c r="W175" s="44">
        <f t="shared" si="78"/>
        <v>0.44</v>
      </c>
      <c r="X175" s="44">
        <f t="shared" si="78"/>
        <v>0.44</v>
      </c>
      <c r="Y175" s="44">
        <f t="shared" si="78"/>
        <v>0.44</v>
      </c>
      <c r="Z175" s="44">
        <f t="shared" si="78"/>
        <v>0.44</v>
      </c>
      <c r="AA175" s="44">
        <f t="shared" si="78"/>
        <v>0.44</v>
      </c>
      <c r="AB175" s="44">
        <f t="shared" si="78"/>
        <v>0.44</v>
      </c>
      <c r="AC175" s="44">
        <f t="shared" si="78"/>
        <v>0.44</v>
      </c>
      <c r="AD175" s="44">
        <f t="shared" si="78"/>
        <v>0.44</v>
      </c>
      <c r="AE175" s="44">
        <f t="shared" si="78"/>
        <v>0.44</v>
      </c>
      <c r="AF175" s="44">
        <f t="shared" si="78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76"/>
        <v>2.1</v>
      </c>
      <c r="C176" s="55">
        <v>2.1</v>
      </c>
      <c r="D176" s="44">
        <f t="shared" si="77"/>
        <v>2.1</v>
      </c>
      <c r="E176" s="44">
        <f t="shared" si="77"/>
        <v>2.1</v>
      </c>
      <c r="F176" s="44">
        <f t="shared" si="77"/>
        <v>2.1</v>
      </c>
      <c r="G176" s="44">
        <f t="shared" si="77"/>
        <v>2.1</v>
      </c>
      <c r="H176" s="44">
        <f t="shared" si="77"/>
        <v>2.1</v>
      </c>
      <c r="I176" s="44">
        <f t="shared" si="77"/>
        <v>2.1</v>
      </c>
      <c r="J176" s="44">
        <f t="shared" si="77"/>
        <v>2.1</v>
      </c>
      <c r="K176" s="44">
        <f t="shared" si="77"/>
        <v>2.1</v>
      </c>
      <c r="L176" s="44">
        <f t="shared" si="77"/>
        <v>2.1</v>
      </c>
      <c r="M176" s="44">
        <f t="shared" si="77"/>
        <v>2.1</v>
      </c>
      <c r="N176" s="44">
        <f t="shared" si="77"/>
        <v>2.1</v>
      </c>
      <c r="O176" s="44">
        <f t="shared" si="77"/>
        <v>2.1</v>
      </c>
      <c r="P176" s="44">
        <f t="shared" si="77"/>
        <v>2.1</v>
      </c>
      <c r="Q176" s="44">
        <f t="shared" si="77"/>
        <v>2.1</v>
      </c>
      <c r="R176" s="44">
        <f t="shared" si="77"/>
        <v>2.1</v>
      </c>
      <c r="S176" s="44">
        <f t="shared" si="78"/>
        <v>2.1</v>
      </c>
      <c r="T176" s="44">
        <f t="shared" si="78"/>
        <v>2.1</v>
      </c>
      <c r="U176" s="44">
        <f t="shared" si="78"/>
        <v>2.1</v>
      </c>
      <c r="V176" s="44">
        <f t="shared" si="78"/>
        <v>2.1</v>
      </c>
      <c r="W176" s="44">
        <f t="shared" si="78"/>
        <v>2.1</v>
      </c>
      <c r="X176" s="44">
        <f t="shared" si="78"/>
        <v>2.1</v>
      </c>
      <c r="Y176" s="44">
        <f t="shared" si="78"/>
        <v>2.1</v>
      </c>
      <c r="Z176" s="44">
        <f t="shared" si="78"/>
        <v>2.1</v>
      </c>
      <c r="AA176" s="44">
        <f t="shared" si="78"/>
        <v>2.1</v>
      </c>
      <c r="AB176" s="44">
        <f t="shared" si="78"/>
        <v>2.1</v>
      </c>
      <c r="AC176" s="44">
        <f t="shared" si="78"/>
        <v>2.1</v>
      </c>
      <c r="AD176" s="44">
        <f t="shared" si="78"/>
        <v>2.1</v>
      </c>
      <c r="AE176" s="44">
        <f t="shared" si="78"/>
        <v>2.1</v>
      </c>
      <c r="AF176" s="44">
        <f t="shared" si="78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76"/>
        <v>0.9</v>
      </c>
      <c r="C177" s="55">
        <v>0.9</v>
      </c>
      <c r="D177" s="44">
        <f t="shared" si="77"/>
        <v>0.9</v>
      </c>
      <c r="E177" s="44">
        <f t="shared" si="77"/>
        <v>0.9</v>
      </c>
      <c r="F177" s="44">
        <f t="shared" si="77"/>
        <v>0.9</v>
      </c>
      <c r="G177" s="44">
        <f t="shared" si="77"/>
        <v>0.9</v>
      </c>
      <c r="H177" s="44">
        <f t="shared" si="77"/>
        <v>0.9</v>
      </c>
      <c r="I177" s="44">
        <f t="shared" si="77"/>
        <v>0.9</v>
      </c>
      <c r="J177" s="44">
        <f t="shared" si="77"/>
        <v>0.9</v>
      </c>
      <c r="K177" s="44">
        <f t="shared" si="77"/>
        <v>0.9</v>
      </c>
      <c r="L177" s="44">
        <f t="shared" si="77"/>
        <v>0.9</v>
      </c>
      <c r="M177" s="44">
        <f t="shared" si="77"/>
        <v>0.9</v>
      </c>
      <c r="N177" s="44">
        <f t="shared" si="77"/>
        <v>0.9</v>
      </c>
      <c r="O177" s="44">
        <f t="shared" si="77"/>
        <v>0.9</v>
      </c>
      <c r="P177" s="44">
        <f t="shared" si="77"/>
        <v>0.9</v>
      </c>
      <c r="Q177" s="44">
        <f t="shared" si="77"/>
        <v>0.9</v>
      </c>
      <c r="R177" s="44">
        <f t="shared" si="77"/>
        <v>0.9</v>
      </c>
      <c r="S177" s="44">
        <f t="shared" si="78"/>
        <v>0.9</v>
      </c>
      <c r="T177" s="44">
        <f t="shared" si="78"/>
        <v>0.9</v>
      </c>
      <c r="U177" s="44">
        <f t="shared" si="78"/>
        <v>0.9</v>
      </c>
      <c r="V177" s="44">
        <f t="shared" si="78"/>
        <v>0.9</v>
      </c>
      <c r="W177" s="44">
        <f t="shared" si="78"/>
        <v>0.9</v>
      </c>
      <c r="X177" s="44">
        <f t="shared" si="78"/>
        <v>0.9</v>
      </c>
      <c r="Y177" s="44">
        <f t="shared" si="78"/>
        <v>0.9</v>
      </c>
      <c r="Z177" s="44">
        <f t="shared" si="78"/>
        <v>0.9</v>
      </c>
      <c r="AA177" s="44">
        <f t="shared" si="78"/>
        <v>0.9</v>
      </c>
      <c r="AB177" s="44">
        <f t="shared" si="78"/>
        <v>0.9</v>
      </c>
      <c r="AC177" s="44">
        <f t="shared" si="78"/>
        <v>0.9</v>
      </c>
      <c r="AD177" s="44">
        <f t="shared" si="78"/>
        <v>0.9</v>
      </c>
      <c r="AE177" s="44">
        <f t="shared" si="78"/>
        <v>0.9</v>
      </c>
      <c r="AF177" s="44">
        <f t="shared" si="78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79">AF179</f>
        <v>0.57999999999999996</v>
      </c>
      <c r="C179" s="55">
        <v>0.57999999999999996</v>
      </c>
      <c r="D179" s="44">
        <f t="shared" ref="D179:S191" si="80">C179</f>
        <v>0.57999999999999996</v>
      </c>
      <c r="E179" s="44">
        <f t="shared" si="80"/>
        <v>0.57999999999999996</v>
      </c>
      <c r="F179" s="44">
        <f t="shared" si="80"/>
        <v>0.57999999999999996</v>
      </c>
      <c r="G179" s="44">
        <f t="shared" si="80"/>
        <v>0.57999999999999996</v>
      </c>
      <c r="H179" s="44">
        <f t="shared" si="80"/>
        <v>0.57999999999999996</v>
      </c>
      <c r="I179" s="44">
        <f t="shared" si="80"/>
        <v>0.57999999999999996</v>
      </c>
      <c r="J179" s="44">
        <f t="shared" si="80"/>
        <v>0.57999999999999996</v>
      </c>
      <c r="K179" s="44">
        <f t="shared" si="80"/>
        <v>0.57999999999999996</v>
      </c>
      <c r="L179" s="44">
        <f t="shared" si="80"/>
        <v>0.57999999999999996</v>
      </c>
      <c r="M179" s="44">
        <f t="shared" si="80"/>
        <v>0.57999999999999996</v>
      </c>
      <c r="N179" s="44">
        <f t="shared" si="80"/>
        <v>0.57999999999999996</v>
      </c>
      <c r="O179" s="44">
        <f t="shared" si="80"/>
        <v>0.57999999999999996</v>
      </c>
      <c r="P179" s="44">
        <f t="shared" si="80"/>
        <v>0.57999999999999996</v>
      </c>
      <c r="Q179" s="44">
        <f t="shared" si="80"/>
        <v>0.57999999999999996</v>
      </c>
      <c r="R179" s="44">
        <f t="shared" si="80"/>
        <v>0.57999999999999996</v>
      </c>
      <c r="S179" s="44">
        <f t="shared" si="80"/>
        <v>0.57999999999999996</v>
      </c>
      <c r="T179" s="44">
        <f t="shared" ref="S179:AF191" si="81">S179</f>
        <v>0.57999999999999996</v>
      </c>
      <c r="U179" s="44">
        <f t="shared" si="81"/>
        <v>0.57999999999999996</v>
      </c>
      <c r="V179" s="44">
        <f t="shared" si="81"/>
        <v>0.57999999999999996</v>
      </c>
      <c r="W179" s="44">
        <f t="shared" si="81"/>
        <v>0.57999999999999996</v>
      </c>
      <c r="X179" s="44">
        <f t="shared" si="81"/>
        <v>0.57999999999999996</v>
      </c>
      <c r="Y179" s="44">
        <f t="shared" si="81"/>
        <v>0.57999999999999996</v>
      </c>
      <c r="Z179" s="44">
        <f t="shared" si="81"/>
        <v>0.57999999999999996</v>
      </c>
      <c r="AA179" s="44">
        <f t="shared" si="81"/>
        <v>0.57999999999999996</v>
      </c>
      <c r="AB179" s="44">
        <f t="shared" si="81"/>
        <v>0.57999999999999996</v>
      </c>
      <c r="AC179" s="44">
        <f t="shared" si="81"/>
        <v>0.57999999999999996</v>
      </c>
      <c r="AD179" s="44">
        <f t="shared" si="81"/>
        <v>0.57999999999999996</v>
      </c>
      <c r="AE179" s="44">
        <f t="shared" si="81"/>
        <v>0.57999999999999996</v>
      </c>
      <c r="AF179" s="44">
        <f t="shared" si="81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79"/>
        <v>0.8</v>
      </c>
      <c r="C180" s="55">
        <v>0.8</v>
      </c>
      <c r="D180" s="44">
        <f t="shared" si="80"/>
        <v>0.8</v>
      </c>
      <c r="E180" s="44">
        <f t="shared" si="80"/>
        <v>0.8</v>
      </c>
      <c r="F180" s="44">
        <f t="shared" si="80"/>
        <v>0.8</v>
      </c>
      <c r="G180" s="44">
        <f t="shared" si="80"/>
        <v>0.8</v>
      </c>
      <c r="H180" s="44">
        <f t="shared" si="80"/>
        <v>0.8</v>
      </c>
      <c r="I180" s="44">
        <f t="shared" si="80"/>
        <v>0.8</v>
      </c>
      <c r="J180" s="44">
        <f t="shared" si="80"/>
        <v>0.8</v>
      </c>
      <c r="K180" s="44">
        <f t="shared" si="80"/>
        <v>0.8</v>
      </c>
      <c r="L180" s="44">
        <f t="shared" si="80"/>
        <v>0.8</v>
      </c>
      <c r="M180" s="44">
        <f t="shared" si="80"/>
        <v>0.8</v>
      </c>
      <c r="N180" s="44">
        <f t="shared" si="80"/>
        <v>0.8</v>
      </c>
      <c r="O180" s="44">
        <f t="shared" si="80"/>
        <v>0.8</v>
      </c>
      <c r="P180" s="44">
        <f t="shared" si="80"/>
        <v>0.8</v>
      </c>
      <c r="Q180" s="44">
        <f t="shared" si="80"/>
        <v>0.8</v>
      </c>
      <c r="R180" s="44">
        <f t="shared" si="80"/>
        <v>0.8</v>
      </c>
      <c r="S180" s="44">
        <f t="shared" si="80"/>
        <v>0.8</v>
      </c>
      <c r="T180" s="44">
        <f t="shared" si="81"/>
        <v>0.8</v>
      </c>
      <c r="U180" s="44">
        <f t="shared" si="81"/>
        <v>0.8</v>
      </c>
      <c r="V180" s="44">
        <f t="shared" si="81"/>
        <v>0.8</v>
      </c>
      <c r="W180" s="44">
        <f t="shared" si="81"/>
        <v>0.8</v>
      </c>
      <c r="X180" s="44">
        <f t="shared" si="81"/>
        <v>0.8</v>
      </c>
      <c r="Y180" s="44">
        <f t="shared" si="81"/>
        <v>0.8</v>
      </c>
      <c r="Z180" s="44">
        <f t="shared" si="81"/>
        <v>0.8</v>
      </c>
      <c r="AA180" s="44">
        <f t="shared" si="81"/>
        <v>0.8</v>
      </c>
      <c r="AB180" s="44">
        <f t="shared" si="81"/>
        <v>0.8</v>
      </c>
      <c r="AC180" s="44">
        <f t="shared" si="81"/>
        <v>0.8</v>
      </c>
      <c r="AD180" s="44">
        <f t="shared" si="81"/>
        <v>0.8</v>
      </c>
      <c r="AE180" s="44">
        <f t="shared" si="81"/>
        <v>0.8</v>
      </c>
      <c r="AF180" s="44">
        <f t="shared" si="81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79"/>
        <v>0</v>
      </c>
      <c r="C181" s="55">
        <v>0</v>
      </c>
      <c r="D181" s="44">
        <f t="shared" si="80"/>
        <v>0</v>
      </c>
      <c r="E181" s="44">
        <f t="shared" si="80"/>
        <v>0</v>
      </c>
      <c r="F181" s="44">
        <f t="shared" si="80"/>
        <v>0</v>
      </c>
      <c r="G181" s="44">
        <f t="shared" si="80"/>
        <v>0</v>
      </c>
      <c r="H181" s="44">
        <f t="shared" si="80"/>
        <v>0</v>
      </c>
      <c r="I181" s="44">
        <f t="shared" si="80"/>
        <v>0</v>
      </c>
      <c r="J181" s="44">
        <f t="shared" si="80"/>
        <v>0</v>
      </c>
      <c r="K181" s="44">
        <f t="shared" si="80"/>
        <v>0</v>
      </c>
      <c r="L181" s="44">
        <f t="shared" si="80"/>
        <v>0</v>
      </c>
      <c r="M181" s="44">
        <f t="shared" si="80"/>
        <v>0</v>
      </c>
      <c r="N181" s="44">
        <f t="shared" si="80"/>
        <v>0</v>
      </c>
      <c r="O181" s="44">
        <f t="shared" si="80"/>
        <v>0</v>
      </c>
      <c r="P181" s="44">
        <f t="shared" si="80"/>
        <v>0</v>
      </c>
      <c r="Q181" s="44">
        <f t="shared" si="80"/>
        <v>0</v>
      </c>
      <c r="R181" s="44">
        <f t="shared" si="80"/>
        <v>0</v>
      </c>
      <c r="S181" s="44">
        <f t="shared" si="80"/>
        <v>0</v>
      </c>
      <c r="T181" s="44">
        <f t="shared" si="81"/>
        <v>0</v>
      </c>
      <c r="U181" s="44">
        <f t="shared" si="81"/>
        <v>0</v>
      </c>
      <c r="V181" s="44">
        <f t="shared" si="81"/>
        <v>0</v>
      </c>
      <c r="W181" s="44">
        <f t="shared" si="81"/>
        <v>0</v>
      </c>
      <c r="X181" s="44">
        <f t="shared" si="81"/>
        <v>0</v>
      </c>
      <c r="Y181" s="44">
        <f t="shared" si="81"/>
        <v>0</v>
      </c>
      <c r="Z181" s="44">
        <f t="shared" si="81"/>
        <v>0</v>
      </c>
      <c r="AA181" s="44">
        <f t="shared" si="81"/>
        <v>0</v>
      </c>
      <c r="AB181" s="44">
        <f t="shared" si="81"/>
        <v>0</v>
      </c>
      <c r="AC181" s="44">
        <f t="shared" si="81"/>
        <v>0</v>
      </c>
      <c r="AD181" s="44">
        <f t="shared" si="81"/>
        <v>0</v>
      </c>
      <c r="AE181" s="44">
        <f t="shared" si="81"/>
        <v>0</v>
      </c>
      <c r="AF181" s="44">
        <f t="shared" si="81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79"/>
        <v>0.6</v>
      </c>
      <c r="C182" s="55">
        <v>0.6</v>
      </c>
      <c r="D182" s="44">
        <f t="shared" si="80"/>
        <v>0.6</v>
      </c>
      <c r="E182" s="44">
        <f t="shared" si="80"/>
        <v>0.6</v>
      </c>
      <c r="F182" s="44">
        <f t="shared" si="80"/>
        <v>0.6</v>
      </c>
      <c r="G182" s="44">
        <f t="shared" si="80"/>
        <v>0.6</v>
      </c>
      <c r="H182" s="44">
        <f t="shared" si="80"/>
        <v>0.6</v>
      </c>
      <c r="I182" s="44">
        <f t="shared" si="80"/>
        <v>0.6</v>
      </c>
      <c r="J182" s="44">
        <f t="shared" si="80"/>
        <v>0.6</v>
      </c>
      <c r="K182" s="44">
        <f t="shared" si="80"/>
        <v>0.6</v>
      </c>
      <c r="L182" s="44">
        <f t="shared" si="80"/>
        <v>0.6</v>
      </c>
      <c r="M182" s="44">
        <f t="shared" si="80"/>
        <v>0.6</v>
      </c>
      <c r="N182" s="44">
        <f t="shared" si="80"/>
        <v>0.6</v>
      </c>
      <c r="O182" s="44">
        <f t="shared" si="80"/>
        <v>0.6</v>
      </c>
      <c r="P182" s="44">
        <f t="shared" si="80"/>
        <v>0.6</v>
      </c>
      <c r="Q182" s="44">
        <f t="shared" si="80"/>
        <v>0.6</v>
      </c>
      <c r="R182" s="44">
        <f t="shared" si="80"/>
        <v>0.6</v>
      </c>
      <c r="S182" s="44">
        <f t="shared" si="80"/>
        <v>0.6</v>
      </c>
      <c r="T182" s="44">
        <f t="shared" si="81"/>
        <v>0.6</v>
      </c>
      <c r="U182" s="44">
        <f t="shared" si="81"/>
        <v>0.6</v>
      </c>
      <c r="V182" s="44">
        <f t="shared" si="81"/>
        <v>0.6</v>
      </c>
      <c r="W182" s="44">
        <f t="shared" si="81"/>
        <v>0.6</v>
      </c>
      <c r="X182" s="44">
        <f t="shared" si="81"/>
        <v>0.6</v>
      </c>
      <c r="Y182" s="44">
        <f t="shared" si="81"/>
        <v>0.6</v>
      </c>
      <c r="Z182" s="44">
        <f t="shared" si="81"/>
        <v>0.6</v>
      </c>
      <c r="AA182" s="44">
        <f t="shared" si="81"/>
        <v>0.6</v>
      </c>
      <c r="AB182" s="44">
        <f t="shared" si="81"/>
        <v>0.6</v>
      </c>
      <c r="AC182" s="44">
        <f t="shared" si="81"/>
        <v>0.6</v>
      </c>
      <c r="AD182" s="44">
        <f t="shared" si="81"/>
        <v>0.6</v>
      </c>
      <c r="AE182" s="44">
        <f t="shared" si="81"/>
        <v>0.6</v>
      </c>
      <c r="AF182" s="44">
        <f t="shared" si="81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79"/>
        <v>0.6</v>
      </c>
      <c r="C183" s="55">
        <v>0.6</v>
      </c>
      <c r="D183" s="44">
        <f t="shared" si="80"/>
        <v>0.6</v>
      </c>
      <c r="E183" s="44">
        <f t="shared" si="80"/>
        <v>0.6</v>
      </c>
      <c r="F183" s="44">
        <f t="shared" si="80"/>
        <v>0.6</v>
      </c>
      <c r="G183" s="44">
        <f t="shared" si="80"/>
        <v>0.6</v>
      </c>
      <c r="H183" s="44">
        <f t="shared" si="80"/>
        <v>0.6</v>
      </c>
      <c r="I183" s="44">
        <f t="shared" si="80"/>
        <v>0.6</v>
      </c>
      <c r="J183" s="44">
        <f t="shared" si="80"/>
        <v>0.6</v>
      </c>
      <c r="K183" s="44">
        <f t="shared" si="80"/>
        <v>0.6</v>
      </c>
      <c r="L183" s="44">
        <f t="shared" si="80"/>
        <v>0.6</v>
      </c>
      <c r="M183" s="44">
        <f t="shared" si="80"/>
        <v>0.6</v>
      </c>
      <c r="N183" s="44">
        <f t="shared" si="80"/>
        <v>0.6</v>
      </c>
      <c r="O183" s="44">
        <f t="shared" si="80"/>
        <v>0.6</v>
      </c>
      <c r="P183" s="44">
        <f t="shared" si="80"/>
        <v>0.6</v>
      </c>
      <c r="Q183" s="44">
        <f t="shared" si="80"/>
        <v>0.6</v>
      </c>
      <c r="R183" s="44">
        <f t="shared" si="80"/>
        <v>0.6</v>
      </c>
      <c r="S183" s="44">
        <f t="shared" si="80"/>
        <v>0.6</v>
      </c>
      <c r="T183" s="44">
        <f t="shared" si="81"/>
        <v>0.6</v>
      </c>
      <c r="U183" s="44">
        <f t="shared" si="81"/>
        <v>0.6</v>
      </c>
      <c r="V183" s="44">
        <f t="shared" si="81"/>
        <v>0.6</v>
      </c>
      <c r="W183" s="44">
        <f t="shared" si="81"/>
        <v>0.6</v>
      </c>
      <c r="X183" s="44">
        <f t="shared" si="81"/>
        <v>0.6</v>
      </c>
      <c r="Y183" s="44">
        <f t="shared" si="81"/>
        <v>0.6</v>
      </c>
      <c r="Z183" s="44">
        <f t="shared" si="81"/>
        <v>0.6</v>
      </c>
      <c r="AA183" s="44">
        <f t="shared" si="81"/>
        <v>0.6</v>
      </c>
      <c r="AB183" s="44">
        <f t="shared" si="81"/>
        <v>0.6</v>
      </c>
      <c r="AC183" s="44">
        <f t="shared" si="81"/>
        <v>0.6</v>
      </c>
      <c r="AD183" s="44">
        <f t="shared" si="81"/>
        <v>0.6</v>
      </c>
      <c r="AE183" s="44">
        <f t="shared" si="81"/>
        <v>0.6</v>
      </c>
      <c r="AF183" s="44">
        <f t="shared" si="81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79"/>
        <v>0.35</v>
      </c>
      <c r="C184" s="55">
        <v>0.35</v>
      </c>
      <c r="D184" s="44">
        <f t="shared" si="80"/>
        <v>0.35</v>
      </c>
      <c r="E184" s="44">
        <f t="shared" si="80"/>
        <v>0.35</v>
      </c>
      <c r="F184" s="44">
        <f t="shared" si="80"/>
        <v>0.35</v>
      </c>
      <c r="G184" s="44">
        <f t="shared" si="80"/>
        <v>0.35</v>
      </c>
      <c r="H184" s="44">
        <f t="shared" si="80"/>
        <v>0.35</v>
      </c>
      <c r="I184" s="44">
        <f t="shared" si="80"/>
        <v>0.35</v>
      </c>
      <c r="J184" s="44">
        <f t="shared" si="80"/>
        <v>0.35</v>
      </c>
      <c r="K184" s="44">
        <f t="shared" si="80"/>
        <v>0.35</v>
      </c>
      <c r="L184" s="44">
        <f t="shared" si="80"/>
        <v>0.35</v>
      </c>
      <c r="M184" s="44">
        <f t="shared" si="80"/>
        <v>0.35</v>
      </c>
      <c r="N184" s="44">
        <f t="shared" si="80"/>
        <v>0.35</v>
      </c>
      <c r="O184" s="44">
        <f t="shared" si="80"/>
        <v>0.35</v>
      </c>
      <c r="P184" s="44">
        <f t="shared" si="80"/>
        <v>0.35</v>
      </c>
      <c r="Q184" s="44">
        <f t="shared" si="80"/>
        <v>0.35</v>
      </c>
      <c r="R184" s="44">
        <f t="shared" si="80"/>
        <v>0.35</v>
      </c>
      <c r="S184" s="44">
        <f t="shared" si="80"/>
        <v>0.35</v>
      </c>
      <c r="T184" s="44">
        <f t="shared" si="81"/>
        <v>0.35</v>
      </c>
      <c r="U184" s="44">
        <f t="shared" si="81"/>
        <v>0.35</v>
      </c>
      <c r="V184" s="44">
        <f t="shared" si="81"/>
        <v>0.35</v>
      </c>
      <c r="W184" s="44">
        <f t="shared" si="81"/>
        <v>0.35</v>
      </c>
      <c r="X184" s="44">
        <f t="shared" si="81"/>
        <v>0.35</v>
      </c>
      <c r="Y184" s="44">
        <f t="shared" si="81"/>
        <v>0.35</v>
      </c>
      <c r="Z184" s="44">
        <f t="shared" si="81"/>
        <v>0.35</v>
      </c>
      <c r="AA184" s="44">
        <f t="shared" si="81"/>
        <v>0.35</v>
      </c>
      <c r="AB184" s="44">
        <f t="shared" si="81"/>
        <v>0.35</v>
      </c>
      <c r="AC184" s="44">
        <f t="shared" si="81"/>
        <v>0.35</v>
      </c>
      <c r="AD184" s="44">
        <f t="shared" si="81"/>
        <v>0.35</v>
      </c>
      <c r="AE184" s="44">
        <f t="shared" si="81"/>
        <v>0.35</v>
      </c>
      <c r="AF184" s="44">
        <f t="shared" si="81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79"/>
        <v>0.28999999999999998</v>
      </c>
      <c r="C185" s="55">
        <v>0.28999999999999998</v>
      </c>
      <c r="D185" s="44">
        <f t="shared" si="80"/>
        <v>0.28999999999999998</v>
      </c>
      <c r="E185" s="44">
        <f t="shared" si="80"/>
        <v>0.28999999999999998</v>
      </c>
      <c r="F185" s="44">
        <f t="shared" si="80"/>
        <v>0.28999999999999998</v>
      </c>
      <c r="G185" s="44">
        <f t="shared" si="80"/>
        <v>0.28999999999999998</v>
      </c>
      <c r="H185" s="44">
        <f t="shared" si="80"/>
        <v>0.28999999999999998</v>
      </c>
      <c r="I185" s="44">
        <f t="shared" si="80"/>
        <v>0.28999999999999998</v>
      </c>
      <c r="J185" s="44">
        <f t="shared" si="80"/>
        <v>0.28999999999999998</v>
      </c>
      <c r="K185" s="44">
        <f t="shared" si="80"/>
        <v>0.28999999999999998</v>
      </c>
      <c r="L185" s="44">
        <f t="shared" si="80"/>
        <v>0.28999999999999998</v>
      </c>
      <c r="M185" s="44">
        <f t="shared" si="80"/>
        <v>0.28999999999999998</v>
      </c>
      <c r="N185" s="44">
        <f t="shared" si="80"/>
        <v>0.28999999999999998</v>
      </c>
      <c r="O185" s="44">
        <f t="shared" si="80"/>
        <v>0.28999999999999998</v>
      </c>
      <c r="P185" s="44">
        <f t="shared" si="80"/>
        <v>0.28999999999999998</v>
      </c>
      <c r="Q185" s="44">
        <f t="shared" si="80"/>
        <v>0.28999999999999998</v>
      </c>
      <c r="R185" s="44">
        <f t="shared" si="80"/>
        <v>0.28999999999999998</v>
      </c>
      <c r="S185" s="44">
        <f t="shared" si="80"/>
        <v>0.28999999999999998</v>
      </c>
      <c r="T185" s="44">
        <f t="shared" si="81"/>
        <v>0.28999999999999998</v>
      </c>
      <c r="U185" s="44">
        <f t="shared" si="81"/>
        <v>0.28999999999999998</v>
      </c>
      <c r="V185" s="44">
        <f t="shared" si="81"/>
        <v>0.28999999999999998</v>
      </c>
      <c r="W185" s="44">
        <f t="shared" si="81"/>
        <v>0.28999999999999998</v>
      </c>
      <c r="X185" s="44">
        <f t="shared" si="81"/>
        <v>0.28999999999999998</v>
      </c>
      <c r="Y185" s="44">
        <f t="shared" si="81"/>
        <v>0.28999999999999998</v>
      </c>
      <c r="Z185" s="44">
        <f t="shared" si="81"/>
        <v>0.28999999999999998</v>
      </c>
      <c r="AA185" s="44">
        <f t="shared" si="81"/>
        <v>0.28999999999999998</v>
      </c>
      <c r="AB185" s="44">
        <f t="shared" si="81"/>
        <v>0.28999999999999998</v>
      </c>
      <c r="AC185" s="44">
        <f t="shared" si="81"/>
        <v>0.28999999999999998</v>
      </c>
      <c r="AD185" s="44">
        <f t="shared" si="81"/>
        <v>0.28999999999999998</v>
      </c>
      <c r="AE185" s="44">
        <f t="shared" si="81"/>
        <v>0.28999999999999998</v>
      </c>
      <c r="AF185" s="44">
        <f t="shared" si="81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79"/>
        <v>0.06</v>
      </c>
      <c r="C186" s="55">
        <v>0.06</v>
      </c>
      <c r="D186" s="44">
        <f t="shared" si="80"/>
        <v>0.06</v>
      </c>
      <c r="E186" s="44">
        <f t="shared" si="80"/>
        <v>0.06</v>
      </c>
      <c r="F186" s="44">
        <f t="shared" si="80"/>
        <v>0.06</v>
      </c>
      <c r="G186" s="44">
        <f t="shared" si="80"/>
        <v>0.06</v>
      </c>
      <c r="H186" s="44">
        <f t="shared" si="80"/>
        <v>0.06</v>
      </c>
      <c r="I186" s="44">
        <f t="shared" si="80"/>
        <v>0.06</v>
      </c>
      <c r="J186" s="44">
        <f t="shared" si="80"/>
        <v>0.06</v>
      </c>
      <c r="K186" s="44">
        <f t="shared" si="80"/>
        <v>0.06</v>
      </c>
      <c r="L186" s="44">
        <f t="shared" si="80"/>
        <v>0.06</v>
      </c>
      <c r="M186" s="44">
        <f t="shared" si="80"/>
        <v>0.06</v>
      </c>
      <c r="N186" s="44">
        <f t="shared" si="80"/>
        <v>0.06</v>
      </c>
      <c r="O186" s="44">
        <f t="shared" si="80"/>
        <v>0.06</v>
      </c>
      <c r="P186" s="44">
        <f t="shared" si="80"/>
        <v>0.06</v>
      </c>
      <c r="Q186" s="44">
        <f t="shared" si="80"/>
        <v>0.06</v>
      </c>
      <c r="R186" s="44">
        <f t="shared" si="80"/>
        <v>0.06</v>
      </c>
      <c r="S186" s="44">
        <f t="shared" si="80"/>
        <v>0.06</v>
      </c>
      <c r="T186" s="44">
        <f t="shared" si="81"/>
        <v>0.06</v>
      </c>
      <c r="U186" s="44">
        <f t="shared" si="81"/>
        <v>0.06</v>
      </c>
      <c r="V186" s="44">
        <f t="shared" si="81"/>
        <v>0.06</v>
      </c>
      <c r="W186" s="44">
        <f t="shared" si="81"/>
        <v>0.06</v>
      </c>
      <c r="X186" s="44">
        <f t="shared" si="81"/>
        <v>0.06</v>
      </c>
      <c r="Y186" s="44">
        <f t="shared" si="81"/>
        <v>0.06</v>
      </c>
      <c r="Z186" s="44">
        <f t="shared" si="81"/>
        <v>0.06</v>
      </c>
      <c r="AA186" s="44">
        <f t="shared" si="81"/>
        <v>0.06</v>
      </c>
      <c r="AB186" s="44">
        <f t="shared" si="81"/>
        <v>0.06</v>
      </c>
      <c r="AC186" s="44">
        <f t="shared" si="81"/>
        <v>0.06</v>
      </c>
      <c r="AD186" s="44">
        <f t="shared" si="81"/>
        <v>0.06</v>
      </c>
      <c r="AE186" s="44">
        <f t="shared" si="81"/>
        <v>0.06</v>
      </c>
      <c r="AF186" s="44">
        <f t="shared" si="81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79"/>
        <v>0.11</v>
      </c>
      <c r="C187" s="55">
        <v>0.11</v>
      </c>
      <c r="D187" s="44">
        <f t="shared" si="80"/>
        <v>0.11</v>
      </c>
      <c r="E187" s="44">
        <f t="shared" si="80"/>
        <v>0.11</v>
      </c>
      <c r="F187" s="44">
        <f t="shared" si="80"/>
        <v>0.11</v>
      </c>
      <c r="G187" s="44">
        <f t="shared" si="80"/>
        <v>0.11</v>
      </c>
      <c r="H187" s="44">
        <f t="shared" si="80"/>
        <v>0.11</v>
      </c>
      <c r="I187" s="44">
        <f t="shared" si="80"/>
        <v>0.11</v>
      </c>
      <c r="J187" s="44">
        <f t="shared" si="80"/>
        <v>0.11</v>
      </c>
      <c r="K187" s="44">
        <f t="shared" si="80"/>
        <v>0.11</v>
      </c>
      <c r="L187" s="44">
        <f t="shared" si="80"/>
        <v>0.11</v>
      </c>
      <c r="M187" s="44">
        <f t="shared" si="80"/>
        <v>0.11</v>
      </c>
      <c r="N187" s="44">
        <f t="shared" si="80"/>
        <v>0.11</v>
      </c>
      <c r="O187" s="44">
        <f t="shared" si="80"/>
        <v>0.11</v>
      </c>
      <c r="P187" s="44">
        <f t="shared" si="80"/>
        <v>0.11</v>
      </c>
      <c r="Q187" s="44">
        <f t="shared" si="80"/>
        <v>0.11</v>
      </c>
      <c r="R187" s="44">
        <f t="shared" si="80"/>
        <v>0.11</v>
      </c>
      <c r="S187" s="44">
        <f t="shared" si="80"/>
        <v>0.11</v>
      </c>
      <c r="T187" s="44">
        <f t="shared" si="81"/>
        <v>0.11</v>
      </c>
      <c r="U187" s="44">
        <f t="shared" si="81"/>
        <v>0.11</v>
      </c>
      <c r="V187" s="44">
        <f t="shared" si="81"/>
        <v>0.11</v>
      </c>
      <c r="W187" s="44">
        <f t="shared" si="81"/>
        <v>0.11</v>
      </c>
      <c r="X187" s="44">
        <f t="shared" si="81"/>
        <v>0.11</v>
      </c>
      <c r="Y187" s="44">
        <f t="shared" si="81"/>
        <v>0.11</v>
      </c>
      <c r="Z187" s="44">
        <f t="shared" si="81"/>
        <v>0.11</v>
      </c>
      <c r="AA187" s="44">
        <f t="shared" si="81"/>
        <v>0.11</v>
      </c>
      <c r="AB187" s="44">
        <f t="shared" si="81"/>
        <v>0.11</v>
      </c>
      <c r="AC187" s="44">
        <f t="shared" si="81"/>
        <v>0.11</v>
      </c>
      <c r="AD187" s="44">
        <f t="shared" si="81"/>
        <v>0.11</v>
      </c>
      <c r="AE187" s="44">
        <f t="shared" si="81"/>
        <v>0.11</v>
      </c>
      <c r="AF187" s="44">
        <f t="shared" si="81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79"/>
        <v>0.1</v>
      </c>
      <c r="C188" s="55">
        <v>0.1</v>
      </c>
      <c r="D188" s="44">
        <f t="shared" si="80"/>
        <v>0.1</v>
      </c>
      <c r="E188" s="44">
        <f t="shared" si="80"/>
        <v>0.1</v>
      </c>
      <c r="F188" s="44">
        <f t="shared" si="80"/>
        <v>0.1</v>
      </c>
      <c r="G188" s="44">
        <f t="shared" si="80"/>
        <v>0.1</v>
      </c>
      <c r="H188" s="44">
        <f t="shared" si="80"/>
        <v>0.1</v>
      </c>
      <c r="I188" s="44">
        <f t="shared" si="80"/>
        <v>0.1</v>
      </c>
      <c r="J188" s="44">
        <f t="shared" si="80"/>
        <v>0.1</v>
      </c>
      <c r="K188" s="44">
        <f t="shared" si="80"/>
        <v>0.1</v>
      </c>
      <c r="L188" s="44">
        <f t="shared" si="80"/>
        <v>0.1</v>
      </c>
      <c r="M188" s="44">
        <f t="shared" si="80"/>
        <v>0.1</v>
      </c>
      <c r="N188" s="44">
        <f t="shared" si="80"/>
        <v>0.1</v>
      </c>
      <c r="O188" s="44">
        <f t="shared" si="80"/>
        <v>0.1</v>
      </c>
      <c r="P188" s="44">
        <f t="shared" si="80"/>
        <v>0.1</v>
      </c>
      <c r="Q188" s="44">
        <f t="shared" si="80"/>
        <v>0.1</v>
      </c>
      <c r="R188" s="44">
        <f t="shared" si="80"/>
        <v>0.1</v>
      </c>
      <c r="S188" s="44">
        <f t="shared" si="81"/>
        <v>0.1</v>
      </c>
      <c r="T188" s="44">
        <f t="shared" si="81"/>
        <v>0.1</v>
      </c>
      <c r="U188" s="44">
        <f t="shared" si="81"/>
        <v>0.1</v>
      </c>
      <c r="V188" s="44">
        <f t="shared" si="81"/>
        <v>0.1</v>
      </c>
      <c r="W188" s="44">
        <f t="shared" si="81"/>
        <v>0.1</v>
      </c>
      <c r="X188" s="44">
        <f t="shared" si="81"/>
        <v>0.1</v>
      </c>
      <c r="Y188" s="44">
        <f t="shared" si="81"/>
        <v>0.1</v>
      </c>
      <c r="Z188" s="44">
        <f t="shared" si="81"/>
        <v>0.1</v>
      </c>
      <c r="AA188" s="44">
        <f t="shared" si="81"/>
        <v>0.1</v>
      </c>
      <c r="AB188" s="44">
        <f t="shared" si="81"/>
        <v>0.1</v>
      </c>
      <c r="AC188" s="44">
        <f t="shared" si="81"/>
        <v>0.1</v>
      </c>
      <c r="AD188" s="44">
        <f t="shared" si="81"/>
        <v>0.1</v>
      </c>
      <c r="AE188" s="44">
        <f t="shared" si="81"/>
        <v>0.1</v>
      </c>
      <c r="AF188" s="44">
        <f t="shared" si="81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79"/>
        <v>0.09</v>
      </c>
      <c r="C189" s="55">
        <v>0.09</v>
      </c>
      <c r="D189" s="44">
        <f t="shared" si="80"/>
        <v>0.09</v>
      </c>
      <c r="E189" s="44">
        <f t="shared" si="80"/>
        <v>0.09</v>
      </c>
      <c r="F189" s="44">
        <f t="shared" si="80"/>
        <v>0.09</v>
      </c>
      <c r="G189" s="44">
        <f t="shared" si="80"/>
        <v>0.09</v>
      </c>
      <c r="H189" s="44">
        <f t="shared" si="80"/>
        <v>0.09</v>
      </c>
      <c r="I189" s="44">
        <f t="shared" si="80"/>
        <v>0.09</v>
      </c>
      <c r="J189" s="44">
        <f t="shared" si="80"/>
        <v>0.09</v>
      </c>
      <c r="K189" s="44">
        <f t="shared" si="80"/>
        <v>0.09</v>
      </c>
      <c r="L189" s="44">
        <f t="shared" si="80"/>
        <v>0.09</v>
      </c>
      <c r="M189" s="44">
        <f t="shared" si="80"/>
        <v>0.09</v>
      </c>
      <c r="N189" s="44">
        <f t="shared" si="80"/>
        <v>0.09</v>
      </c>
      <c r="O189" s="44">
        <f t="shared" si="80"/>
        <v>0.09</v>
      </c>
      <c r="P189" s="44">
        <f t="shared" si="80"/>
        <v>0.09</v>
      </c>
      <c r="Q189" s="44">
        <f t="shared" si="80"/>
        <v>0.09</v>
      </c>
      <c r="R189" s="44">
        <f t="shared" si="80"/>
        <v>0.09</v>
      </c>
      <c r="S189" s="44">
        <f t="shared" si="81"/>
        <v>0.09</v>
      </c>
      <c r="T189" s="44">
        <f t="shared" si="81"/>
        <v>0.09</v>
      </c>
      <c r="U189" s="44">
        <f t="shared" si="81"/>
        <v>0.09</v>
      </c>
      <c r="V189" s="44">
        <f t="shared" si="81"/>
        <v>0.09</v>
      </c>
      <c r="W189" s="44">
        <f t="shared" si="81"/>
        <v>0.09</v>
      </c>
      <c r="X189" s="44">
        <f t="shared" si="81"/>
        <v>0.09</v>
      </c>
      <c r="Y189" s="44">
        <f t="shared" si="81"/>
        <v>0.09</v>
      </c>
      <c r="Z189" s="44">
        <f t="shared" si="81"/>
        <v>0.09</v>
      </c>
      <c r="AA189" s="44">
        <f t="shared" si="81"/>
        <v>0.09</v>
      </c>
      <c r="AB189" s="44">
        <f t="shared" si="81"/>
        <v>0.09</v>
      </c>
      <c r="AC189" s="44">
        <f t="shared" si="81"/>
        <v>0.09</v>
      </c>
      <c r="AD189" s="44">
        <f t="shared" si="81"/>
        <v>0.09</v>
      </c>
      <c r="AE189" s="44">
        <f t="shared" si="81"/>
        <v>0.09</v>
      </c>
      <c r="AF189" s="44">
        <f t="shared" si="81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79"/>
        <v>0.04</v>
      </c>
      <c r="C190" s="54">
        <v>0.04</v>
      </c>
      <c r="D190" s="44">
        <f t="shared" si="80"/>
        <v>0.04</v>
      </c>
      <c r="E190" s="44">
        <f t="shared" si="80"/>
        <v>0.04</v>
      </c>
      <c r="F190" s="44">
        <f t="shared" si="80"/>
        <v>0.04</v>
      </c>
      <c r="G190" s="44">
        <f t="shared" si="80"/>
        <v>0.04</v>
      </c>
      <c r="H190" s="44">
        <f t="shared" si="80"/>
        <v>0.04</v>
      </c>
      <c r="I190" s="44">
        <f t="shared" si="80"/>
        <v>0.04</v>
      </c>
      <c r="J190" s="44">
        <f t="shared" si="80"/>
        <v>0.04</v>
      </c>
      <c r="K190" s="44">
        <f t="shared" si="80"/>
        <v>0.04</v>
      </c>
      <c r="L190" s="44">
        <f t="shared" si="80"/>
        <v>0.04</v>
      </c>
      <c r="M190" s="44">
        <f t="shared" si="80"/>
        <v>0.04</v>
      </c>
      <c r="N190" s="44">
        <f t="shared" si="80"/>
        <v>0.04</v>
      </c>
      <c r="O190" s="44">
        <f t="shared" si="80"/>
        <v>0.04</v>
      </c>
      <c r="P190" s="44">
        <f t="shared" si="80"/>
        <v>0.04</v>
      </c>
      <c r="Q190" s="44">
        <f t="shared" si="80"/>
        <v>0.04</v>
      </c>
      <c r="R190" s="44">
        <f t="shared" si="80"/>
        <v>0.04</v>
      </c>
      <c r="S190" s="44">
        <f t="shared" si="81"/>
        <v>0.04</v>
      </c>
      <c r="T190" s="44">
        <f t="shared" si="81"/>
        <v>0.04</v>
      </c>
      <c r="U190" s="44">
        <f t="shared" si="81"/>
        <v>0.04</v>
      </c>
      <c r="V190" s="44">
        <f t="shared" si="81"/>
        <v>0.04</v>
      </c>
      <c r="W190" s="44">
        <f t="shared" si="81"/>
        <v>0.04</v>
      </c>
      <c r="X190" s="44">
        <f t="shared" si="81"/>
        <v>0.04</v>
      </c>
      <c r="Y190" s="44">
        <f t="shared" si="81"/>
        <v>0.04</v>
      </c>
      <c r="Z190" s="44">
        <f t="shared" si="81"/>
        <v>0.04</v>
      </c>
      <c r="AA190" s="44">
        <f t="shared" si="81"/>
        <v>0.04</v>
      </c>
      <c r="AB190" s="44">
        <f t="shared" si="81"/>
        <v>0.04</v>
      </c>
      <c r="AC190" s="44">
        <f t="shared" si="81"/>
        <v>0.04</v>
      </c>
      <c r="AD190" s="44">
        <f t="shared" si="81"/>
        <v>0.04</v>
      </c>
      <c r="AE190" s="44">
        <f t="shared" si="81"/>
        <v>0.04</v>
      </c>
      <c r="AF190" s="44">
        <f t="shared" si="81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79"/>
        <v>2.3E-2</v>
      </c>
      <c r="C191" s="54">
        <v>2.3E-2</v>
      </c>
      <c r="D191" s="44">
        <f>C191</f>
        <v>2.3E-2</v>
      </c>
      <c r="E191" s="44">
        <f t="shared" si="80"/>
        <v>2.3E-2</v>
      </c>
      <c r="F191" s="44">
        <f t="shared" si="80"/>
        <v>2.3E-2</v>
      </c>
      <c r="G191" s="44">
        <f t="shared" si="80"/>
        <v>2.3E-2</v>
      </c>
      <c r="H191" s="44">
        <f t="shared" si="80"/>
        <v>2.3E-2</v>
      </c>
      <c r="I191" s="44">
        <f t="shared" si="80"/>
        <v>2.3E-2</v>
      </c>
      <c r="J191" s="44">
        <f t="shared" si="80"/>
        <v>2.3E-2</v>
      </c>
      <c r="K191" s="44">
        <f t="shared" si="80"/>
        <v>2.3E-2</v>
      </c>
      <c r="L191" s="44">
        <f t="shared" si="80"/>
        <v>2.3E-2</v>
      </c>
      <c r="M191" s="44">
        <f t="shared" si="80"/>
        <v>2.3E-2</v>
      </c>
      <c r="N191" s="44">
        <f t="shared" si="80"/>
        <v>2.3E-2</v>
      </c>
      <c r="O191" s="44">
        <f t="shared" si="80"/>
        <v>2.3E-2</v>
      </c>
      <c r="P191" s="44">
        <f t="shared" si="80"/>
        <v>2.3E-2</v>
      </c>
      <c r="Q191" s="44">
        <f t="shared" si="80"/>
        <v>2.3E-2</v>
      </c>
      <c r="R191" s="44">
        <f t="shared" si="80"/>
        <v>2.3E-2</v>
      </c>
      <c r="S191" s="44">
        <f t="shared" si="81"/>
        <v>2.3E-2</v>
      </c>
      <c r="T191" s="44">
        <f t="shared" si="81"/>
        <v>2.3E-2</v>
      </c>
      <c r="U191" s="44">
        <f t="shared" si="81"/>
        <v>2.3E-2</v>
      </c>
      <c r="V191" s="44">
        <f t="shared" si="81"/>
        <v>2.3E-2</v>
      </c>
      <c r="W191" s="44">
        <f t="shared" si="81"/>
        <v>2.3E-2</v>
      </c>
      <c r="X191" s="44">
        <f t="shared" si="81"/>
        <v>2.3E-2</v>
      </c>
      <c r="Y191" s="44">
        <f t="shared" si="81"/>
        <v>2.3E-2</v>
      </c>
      <c r="Z191" s="44">
        <f t="shared" si="81"/>
        <v>2.3E-2</v>
      </c>
      <c r="AA191" s="44">
        <f t="shared" si="81"/>
        <v>2.3E-2</v>
      </c>
      <c r="AB191" s="44">
        <f t="shared" si="81"/>
        <v>2.3E-2</v>
      </c>
      <c r="AC191" s="44">
        <f t="shared" si="81"/>
        <v>2.3E-2</v>
      </c>
      <c r="AD191" s="44">
        <f t="shared" si="81"/>
        <v>2.3E-2</v>
      </c>
      <c r="AE191" s="44">
        <f t="shared" si="81"/>
        <v>2.3E-2</v>
      </c>
      <c r="AF191" s="44">
        <f t="shared" si="81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82">SUM(C102:C191)</f>
        <v>194.70600000000002</v>
      </c>
      <c r="D192" s="51">
        <f t="shared" si="82"/>
        <v>194.70600000000002</v>
      </c>
      <c r="E192" s="51">
        <f t="shared" si="82"/>
        <v>194.70600000000002</v>
      </c>
      <c r="F192" s="51">
        <f t="shared" si="82"/>
        <v>194.70600000000002</v>
      </c>
      <c r="G192" s="51">
        <f t="shared" si="82"/>
        <v>194.70600000000002</v>
      </c>
      <c r="H192" s="51">
        <f t="shared" si="82"/>
        <v>194.70600000000002</v>
      </c>
      <c r="I192" s="51">
        <f t="shared" si="82"/>
        <v>194.70600000000002</v>
      </c>
      <c r="J192" s="51">
        <f t="shared" si="82"/>
        <v>192.10600000000005</v>
      </c>
      <c r="K192" s="51">
        <f t="shared" si="82"/>
        <v>192.10600000000005</v>
      </c>
      <c r="L192" s="51">
        <f t="shared" si="82"/>
        <v>192.10600000000005</v>
      </c>
      <c r="M192" s="51">
        <f t="shared" si="82"/>
        <v>192.10600000000005</v>
      </c>
      <c r="N192" s="51">
        <f t="shared" si="82"/>
        <v>192.10600000000005</v>
      </c>
      <c r="O192" s="51">
        <f t="shared" si="82"/>
        <v>192.10600000000005</v>
      </c>
      <c r="P192" s="51">
        <f t="shared" si="82"/>
        <v>192.10600000000005</v>
      </c>
      <c r="Q192" s="51">
        <f t="shared" si="82"/>
        <v>192.10600000000005</v>
      </c>
      <c r="R192" s="51">
        <f t="shared" si="82"/>
        <v>192.10600000000005</v>
      </c>
      <c r="S192" s="51">
        <f t="shared" si="82"/>
        <v>192.10600000000005</v>
      </c>
      <c r="T192" s="51">
        <f t="shared" si="82"/>
        <v>192.10600000000005</v>
      </c>
      <c r="U192" s="51">
        <f t="shared" si="82"/>
        <v>192.10600000000005</v>
      </c>
      <c r="V192" s="51">
        <f t="shared" si="82"/>
        <v>192.10600000000005</v>
      </c>
      <c r="W192" s="51">
        <f t="shared" si="82"/>
        <v>192.10600000000005</v>
      </c>
      <c r="X192" s="51">
        <f t="shared" si="82"/>
        <v>192.10600000000005</v>
      </c>
      <c r="Y192" s="51">
        <f t="shared" si="82"/>
        <v>192.10600000000005</v>
      </c>
      <c r="Z192" s="51">
        <f t="shared" si="82"/>
        <v>192.10600000000005</v>
      </c>
      <c r="AA192" s="51">
        <f t="shared" si="82"/>
        <v>192.10600000000005</v>
      </c>
      <c r="AB192" s="51">
        <f t="shared" si="82"/>
        <v>192.10600000000005</v>
      </c>
      <c r="AC192" s="51">
        <f t="shared" si="82"/>
        <v>192.10600000000005</v>
      </c>
      <c r="AD192" s="51">
        <f t="shared" si="82"/>
        <v>192.10600000000005</v>
      </c>
      <c r="AE192" s="51">
        <f t="shared" si="82"/>
        <v>192.10600000000005</v>
      </c>
      <c r="AF192" s="51">
        <f t="shared" si="82"/>
        <v>192.10600000000005</v>
      </c>
      <c r="AG192" s="50">
        <f t="shared" si="82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83">AF194</f>
        <v>0.3</v>
      </c>
      <c r="C194" s="47">
        <v>0.3</v>
      </c>
      <c r="D194" s="47">
        <f t="shared" ref="D194:S199" si="84">C194</f>
        <v>0.3</v>
      </c>
      <c r="E194" s="47">
        <f t="shared" si="84"/>
        <v>0.3</v>
      </c>
      <c r="F194" s="47">
        <f t="shared" si="84"/>
        <v>0.3</v>
      </c>
      <c r="G194" s="47">
        <f t="shared" si="84"/>
        <v>0.3</v>
      </c>
      <c r="H194" s="47">
        <f t="shared" si="84"/>
        <v>0.3</v>
      </c>
      <c r="I194" s="47">
        <f t="shared" si="84"/>
        <v>0.3</v>
      </c>
      <c r="J194" s="47">
        <f t="shared" si="84"/>
        <v>0.3</v>
      </c>
      <c r="K194" s="47">
        <f t="shared" si="84"/>
        <v>0.3</v>
      </c>
      <c r="L194" s="47">
        <f t="shared" si="84"/>
        <v>0.3</v>
      </c>
      <c r="M194" s="47">
        <f t="shared" si="84"/>
        <v>0.3</v>
      </c>
      <c r="N194" s="47">
        <f t="shared" si="84"/>
        <v>0.3</v>
      </c>
      <c r="O194" s="47">
        <f t="shared" si="84"/>
        <v>0.3</v>
      </c>
      <c r="P194" s="47">
        <f t="shared" si="84"/>
        <v>0.3</v>
      </c>
      <c r="Q194" s="47">
        <f t="shared" si="84"/>
        <v>0.3</v>
      </c>
      <c r="R194" s="47">
        <f t="shared" si="84"/>
        <v>0.3</v>
      </c>
      <c r="S194" s="47">
        <f t="shared" si="84"/>
        <v>0.3</v>
      </c>
      <c r="T194" s="47">
        <f t="shared" ref="T194:AF199" si="85">S194</f>
        <v>0.3</v>
      </c>
      <c r="U194" s="47">
        <f t="shared" si="85"/>
        <v>0.3</v>
      </c>
      <c r="V194" s="47">
        <f t="shared" si="85"/>
        <v>0.3</v>
      </c>
      <c r="W194" s="47">
        <f t="shared" si="85"/>
        <v>0.3</v>
      </c>
      <c r="X194" s="47">
        <f t="shared" si="85"/>
        <v>0.3</v>
      </c>
      <c r="Y194" s="47">
        <f t="shared" si="85"/>
        <v>0.3</v>
      </c>
      <c r="Z194" s="47">
        <f t="shared" si="85"/>
        <v>0.3</v>
      </c>
      <c r="AA194" s="47">
        <f t="shared" si="85"/>
        <v>0.3</v>
      </c>
      <c r="AB194" s="47">
        <f t="shared" si="85"/>
        <v>0.3</v>
      </c>
      <c r="AC194" s="47">
        <f t="shared" si="85"/>
        <v>0.3</v>
      </c>
      <c r="AD194" s="47">
        <f t="shared" si="85"/>
        <v>0.3</v>
      </c>
      <c r="AE194" s="47">
        <f t="shared" si="85"/>
        <v>0.3</v>
      </c>
      <c r="AF194" s="47">
        <f t="shared" si="85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83"/>
        <v>0.4</v>
      </c>
      <c r="C195" s="44">
        <v>0.4</v>
      </c>
      <c r="D195" s="44">
        <f t="shared" si="84"/>
        <v>0.4</v>
      </c>
      <c r="E195" s="44">
        <f t="shared" si="84"/>
        <v>0.4</v>
      </c>
      <c r="F195" s="44">
        <f t="shared" si="84"/>
        <v>0.4</v>
      </c>
      <c r="G195" s="44">
        <f t="shared" si="84"/>
        <v>0.4</v>
      </c>
      <c r="H195" s="44">
        <f t="shared" si="84"/>
        <v>0.4</v>
      </c>
      <c r="I195" s="44">
        <f t="shared" si="84"/>
        <v>0.4</v>
      </c>
      <c r="J195" s="44">
        <f t="shared" si="84"/>
        <v>0.4</v>
      </c>
      <c r="K195" s="44">
        <f t="shared" si="84"/>
        <v>0.4</v>
      </c>
      <c r="L195" s="44">
        <f t="shared" si="84"/>
        <v>0.4</v>
      </c>
      <c r="M195" s="44">
        <f t="shared" si="84"/>
        <v>0.4</v>
      </c>
      <c r="N195" s="44">
        <f t="shared" si="84"/>
        <v>0.4</v>
      </c>
      <c r="O195" s="44">
        <f t="shared" si="84"/>
        <v>0.4</v>
      </c>
      <c r="P195" s="44">
        <f t="shared" si="84"/>
        <v>0.4</v>
      </c>
      <c r="Q195" s="44">
        <f t="shared" si="84"/>
        <v>0.4</v>
      </c>
      <c r="R195" s="44">
        <f t="shared" si="84"/>
        <v>0.4</v>
      </c>
      <c r="S195" s="44">
        <f t="shared" si="84"/>
        <v>0.4</v>
      </c>
      <c r="T195" s="44">
        <f t="shared" si="85"/>
        <v>0.4</v>
      </c>
      <c r="U195" s="44">
        <f t="shared" si="85"/>
        <v>0.4</v>
      </c>
      <c r="V195" s="44">
        <f t="shared" si="85"/>
        <v>0.4</v>
      </c>
      <c r="W195" s="44">
        <f>V195</f>
        <v>0.4</v>
      </c>
      <c r="X195" s="44">
        <f>W195</f>
        <v>0.4</v>
      </c>
      <c r="Y195" s="44">
        <f t="shared" si="85"/>
        <v>0.4</v>
      </c>
      <c r="Z195" s="44">
        <f t="shared" si="85"/>
        <v>0.4</v>
      </c>
      <c r="AA195" s="44">
        <f t="shared" si="85"/>
        <v>0.4</v>
      </c>
      <c r="AB195" s="44">
        <f t="shared" si="85"/>
        <v>0.4</v>
      </c>
      <c r="AC195" s="44">
        <f t="shared" si="85"/>
        <v>0.4</v>
      </c>
      <c r="AD195" s="44">
        <f t="shared" si="85"/>
        <v>0.4</v>
      </c>
      <c r="AE195" s="44">
        <f t="shared" si="85"/>
        <v>0.4</v>
      </c>
      <c r="AF195" s="44">
        <f t="shared" si="85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83"/>
        <v>1.5</v>
      </c>
      <c r="C196" s="44">
        <v>1.5</v>
      </c>
      <c r="D196" s="44">
        <f t="shared" si="84"/>
        <v>1.5</v>
      </c>
      <c r="E196" s="44">
        <f t="shared" si="84"/>
        <v>1.5</v>
      </c>
      <c r="F196" s="44">
        <f t="shared" si="84"/>
        <v>1.5</v>
      </c>
      <c r="G196" s="44">
        <f t="shared" si="84"/>
        <v>1.5</v>
      </c>
      <c r="H196" s="44">
        <f t="shared" si="84"/>
        <v>1.5</v>
      </c>
      <c r="I196" s="44">
        <f t="shared" si="84"/>
        <v>1.5</v>
      </c>
      <c r="J196" s="44">
        <f t="shared" si="84"/>
        <v>1.5</v>
      </c>
      <c r="K196" s="44">
        <f t="shared" si="84"/>
        <v>1.5</v>
      </c>
      <c r="L196" s="44">
        <f t="shared" si="84"/>
        <v>1.5</v>
      </c>
      <c r="M196" s="44">
        <f t="shared" si="84"/>
        <v>1.5</v>
      </c>
      <c r="N196" s="44">
        <f t="shared" si="84"/>
        <v>1.5</v>
      </c>
      <c r="O196" s="44">
        <f t="shared" si="84"/>
        <v>1.5</v>
      </c>
      <c r="P196" s="44">
        <f t="shared" si="84"/>
        <v>1.5</v>
      </c>
      <c r="Q196" s="44">
        <f t="shared" si="84"/>
        <v>1.5</v>
      </c>
      <c r="R196" s="44">
        <f t="shared" si="84"/>
        <v>1.5</v>
      </c>
      <c r="S196" s="44">
        <f t="shared" si="84"/>
        <v>1.5</v>
      </c>
      <c r="T196" s="44">
        <f t="shared" si="85"/>
        <v>1.5</v>
      </c>
      <c r="U196" s="44">
        <f t="shared" si="85"/>
        <v>1.5</v>
      </c>
      <c r="V196" s="44">
        <f t="shared" si="85"/>
        <v>1.5</v>
      </c>
      <c r="W196" s="44">
        <f t="shared" si="85"/>
        <v>1.5</v>
      </c>
      <c r="X196" s="44">
        <f t="shared" si="85"/>
        <v>1.5</v>
      </c>
      <c r="Y196" s="44">
        <f t="shared" si="85"/>
        <v>1.5</v>
      </c>
      <c r="Z196" s="44">
        <f t="shared" si="85"/>
        <v>1.5</v>
      </c>
      <c r="AA196" s="44">
        <f t="shared" si="85"/>
        <v>1.5</v>
      </c>
      <c r="AB196" s="44">
        <f t="shared" si="85"/>
        <v>1.5</v>
      </c>
      <c r="AC196" s="44">
        <f t="shared" si="85"/>
        <v>1.5</v>
      </c>
      <c r="AD196" s="44">
        <f t="shared" si="85"/>
        <v>1.5</v>
      </c>
      <c r="AE196" s="44">
        <f t="shared" si="85"/>
        <v>1.5</v>
      </c>
      <c r="AF196" s="44">
        <f t="shared" si="85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83"/>
        <v>0.3</v>
      </c>
      <c r="C197" s="44">
        <v>0.3</v>
      </c>
      <c r="D197" s="44">
        <f t="shared" si="84"/>
        <v>0.3</v>
      </c>
      <c r="E197" s="44">
        <f t="shared" si="84"/>
        <v>0.3</v>
      </c>
      <c r="F197" s="44">
        <f t="shared" si="84"/>
        <v>0.3</v>
      </c>
      <c r="G197" s="44">
        <f t="shared" si="84"/>
        <v>0.3</v>
      </c>
      <c r="H197" s="44">
        <f t="shared" si="84"/>
        <v>0.3</v>
      </c>
      <c r="I197" s="44">
        <f t="shared" si="84"/>
        <v>0.3</v>
      </c>
      <c r="J197" s="44">
        <f t="shared" si="84"/>
        <v>0.3</v>
      </c>
      <c r="K197" s="44">
        <f t="shared" si="84"/>
        <v>0.3</v>
      </c>
      <c r="L197" s="44">
        <f t="shared" si="84"/>
        <v>0.3</v>
      </c>
      <c r="M197" s="44">
        <f t="shared" si="84"/>
        <v>0.3</v>
      </c>
      <c r="N197" s="44">
        <f t="shared" si="84"/>
        <v>0.3</v>
      </c>
      <c r="O197" s="44">
        <f t="shared" si="84"/>
        <v>0.3</v>
      </c>
      <c r="P197" s="44">
        <f t="shared" si="84"/>
        <v>0.3</v>
      </c>
      <c r="Q197" s="44">
        <f t="shared" si="84"/>
        <v>0.3</v>
      </c>
      <c r="R197" s="44">
        <f t="shared" si="84"/>
        <v>0.3</v>
      </c>
      <c r="S197" s="44">
        <f t="shared" si="84"/>
        <v>0.3</v>
      </c>
      <c r="T197" s="44">
        <f t="shared" si="85"/>
        <v>0.3</v>
      </c>
      <c r="U197" s="44">
        <f t="shared" si="85"/>
        <v>0.3</v>
      </c>
      <c r="V197" s="44">
        <f t="shared" si="85"/>
        <v>0.3</v>
      </c>
      <c r="W197" s="44">
        <f t="shared" si="85"/>
        <v>0.3</v>
      </c>
      <c r="X197" s="44">
        <f t="shared" si="85"/>
        <v>0.3</v>
      </c>
      <c r="Y197" s="44">
        <f t="shared" si="85"/>
        <v>0.3</v>
      </c>
      <c r="Z197" s="44">
        <f t="shared" si="85"/>
        <v>0.3</v>
      </c>
      <c r="AA197" s="44">
        <f t="shared" si="85"/>
        <v>0.3</v>
      </c>
      <c r="AB197" s="44">
        <f t="shared" si="85"/>
        <v>0.3</v>
      </c>
      <c r="AC197" s="44">
        <f t="shared" si="85"/>
        <v>0.3</v>
      </c>
      <c r="AD197" s="44">
        <f t="shared" si="85"/>
        <v>0.3</v>
      </c>
      <c r="AE197" s="44">
        <f t="shared" si="85"/>
        <v>0.3</v>
      </c>
      <c r="AF197" s="44">
        <f t="shared" si="85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83"/>
        <v>0.4</v>
      </c>
      <c r="C198" s="44">
        <v>0.4</v>
      </c>
      <c r="D198" s="44">
        <f t="shared" si="84"/>
        <v>0.4</v>
      </c>
      <c r="E198" s="44">
        <f t="shared" si="84"/>
        <v>0.4</v>
      </c>
      <c r="F198" s="44">
        <f t="shared" si="84"/>
        <v>0.4</v>
      </c>
      <c r="G198" s="44">
        <f t="shared" si="84"/>
        <v>0.4</v>
      </c>
      <c r="H198" s="44">
        <f t="shared" si="84"/>
        <v>0.4</v>
      </c>
      <c r="I198" s="44">
        <f t="shared" si="84"/>
        <v>0.4</v>
      </c>
      <c r="J198" s="44">
        <f t="shared" si="84"/>
        <v>0.4</v>
      </c>
      <c r="K198" s="44">
        <f t="shared" si="84"/>
        <v>0.4</v>
      </c>
      <c r="L198" s="44">
        <f t="shared" si="84"/>
        <v>0.4</v>
      </c>
      <c r="M198" s="44">
        <f t="shared" si="84"/>
        <v>0.4</v>
      </c>
      <c r="N198" s="44">
        <f t="shared" si="84"/>
        <v>0.4</v>
      </c>
      <c r="O198" s="44">
        <f t="shared" si="84"/>
        <v>0.4</v>
      </c>
      <c r="P198" s="44">
        <f t="shared" si="84"/>
        <v>0.4</v>
      </c>
      <c r="Q198" s="44">
        <f t="shared" si="84"/>
        <v>0.4</v>
      </c>
      <c r="R198" s="44">
        <f t="shared" si="84"/>
        <v>0.4</v>
      </c>
      <c r="S198" s="44">
        <f t="shared" si="84"/>
        <v>0.4</v>
      </c>
      <c r="T198" s="44">
        <f t="shared" si="85"/>
        <v>0.4</v>
      </c>
      <c r="U198" s="44">
        <f t="shared" si="85"/>
        <v>0.4</v>
      </c>
      <c r="V198" s="44">
        <f t="shared" si="85"/>
        <v>0.4</v>
      </c>
      <c r="W198" s="44">
        <f t="shared" si="85"/>
        <v>0.4</v>
      </c>
      <c r="X198" s="44">
        <f t="shared" si="85"/>
        <v>0.4</v>
      </c>
      <c r="Y198" s="44">
        <f t="shared" si="85"/>
        <v>0.4</v>
      </c>
      <c r="Z198" s="44">
        <f t="shared" si="85"/>
        <v>0.4</v>
      </c>
      <c r="AA198" s="44">
        <f t="shared" si="85"/>
        <v>0.4</v>
      </c>
      <c r="AB198" s="44">
        <f t="shared" si="85"/>
        <v>0.4</v>
      </c>
      <c r="AC198" s="44">
        <f t="shared" si="85"/>
        <v>0.4</v>
      </c>
      <c r="AD198" s="44">
        <f t="shared" si="85"/>
        <v>0.4</v>
      </c>
      <c r="AE198" s="44">
        <f t="shared" si="85"/>
        <v>0.4</v>
      </c>
      <c r="AF198" s="44">
        <f t="shared" si="85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83"/>
        <v>0.64</v>
      </c>
      <c r="C199" s="40">
        <v>0.64</v>
      </c>
      <c r="D199" s="40">
        <f t="shared" si="84"/>
        <v>0.64</v>
      </c>
      <c r="E199" s="40">
        <f t="shared" si="84"/>
        <v>0.64</v>
      </c>
      <c r="F199" s="40">
        <f t="shared" si="84"/>
        <v>0.64</v>
      </c>
      <c r="G199" s="40">
        <f t="shared" si="84"/>
        <v>0.64</v>
      </c>
      <c r="H199" s="40">
        <f t="shared" si="84"/>
        <v>0.64</v>
      </c>
      <c r="I199" s="40">
        <f t="shared" si="84"/>
        <v>0.64</v>
      </c>
      <c r="J199" s="40">
        <f t="shared" si="84"/>
        <v>0.64</v>
      </c>
      <c r="K199" s="40">
        <f t="shared" si="84"/>
        <v>0.64</v>
      </c>
      <c r="L199" s="40">
        <f t="shared" si="84"/>
        <v>0.64</v>
      </c>
      <c r="M199" s="40">
        <f t="shared" si="84"/>
        <v>0.64</v>
      </c>
      <c r="N199" s="40">
        <f t="shared" si="84"/>
        <v>0.64</v>
      </c>
      <c r="O199" s="40">
        <f t="shared" si="84"/>
        <v>0.64</v>
      </c>
      <c r="P199" s="40">
        <f t="shared" si="84"/>
        <v>0.64</v>
      </c>
      <c r="Q199" s="40">
        <f t="shared" si="84"/>
        <v>0.64</v>
      </c>
      <c r="R199" s="40">
        <f t="shared" si="84"/>
        <v>0.64</v>
      </c>
      <c r="S199" s="40">
        <f t="shared" si="84"/>
        <v>0.64</v>
      </c>
      <c r="T199" s="40">
        <f t="shared" si="85"/>
        <v>0.64</v>
      </c>
      <c r="U199" s="40">
        <f t="shared" si="85"/>
        <v>0.64</v>
      </c>
      <c r="V199" s="40">
        <f t="shared" si="85"/>
        <v>0.64</v>
      </c>
      <c r="W199" s="40">
        <f t="shared" si="85"/>
        <v>0.64</v>
      </c>
      <c r="X199" s="40">
        <f t="shared" si="85"/>
        <v>0.64</v>
      </c>
      <c r="Y199" s="40">
        <f t="shared" si="85"/>
        <v>0.64</v>
      </c>
      <c r="Z199" s="40">
        <f t="shared" si="85"/>
        <v>0.64</v>
      </c>
      <c r="AA199" s="40">
        <f t="shared" si="85"/>
        <v>0.64</v>
      </c>
      <c r="AB199" s="40">
        <f t="shared" si="85"/>
        <v>0.64</v>
      </c>
      <c r="AC199" s="40">
        <f t="shared" si="85"/>
        <v>0.64</v>
      </c>
      <c r="AD199" s="40">
        <f t="shared" si="85"/>
        <v>0.64</v>
      </c>
      <c r="AE199" s="40">
        <f t="shared" si="85"/>
        <v>0.64</v>
      </c>
      <c r="AF199" s="40">
        <f t="shared" si="85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86">SUM(D194:D199)</f>
        <v>3.54</v>
      </c>
      <c r="E200" s="37">
        <f t="shared" si="86"/>
        <v>3.54</v>
      </c>
      <c r="F200" s="37">
        <f t="shared" si="86"/>
        <v>3.54</v>
      </c>
      <c r="G200" s="37">
        <f t="shared" si="86"/>
        <v>3.54</v>
      </c>
      <c r="H200" s="37">
        <f t="shared" si="86"/>
        <v>3.54</v>
      </c>
      <c r="I200" s="37">
        <f t="shared" si="86"/>
        <v>3.54</v>
      </c>
      <c r="J200" s="37">
        <f t="shared" si="86"/>
        <v>3.54</v>
      </c>
      <c r="K200" s="37">
        <f t="shared" si="86"/>
        <v>3.54</v>
      </c>
      <c r="L200" s="37">
        <f t="shared" si="86"/>
        <v>3.54</v>
      </c>
      <c r="M200" s="37">
        <f>SUM(M194:M199)</f>
        <v>3.54</v>
      </c>
      <c r="N200" s="37">
        <f t="shared" ref="N200:S200" si="87">SUM(N194:N199)</f>
        <v>3.54</v>
      </c>
      <c r="O200" s="37">
        <f t="shared" si="87"/>
        <v>3.54</v>
      </c>
      <c r="P200" s="37">
        <f t="shared" si="87"/>
        <v>3.54</v>
      </c>
      <c r="Q200" s="37">
        <f t="shared" si="87"/>
        <v>3.54</v>
      </c>
      <c r="R200" s="37">
        <f t="shared" si="87"/>
        <v>3.54</v>
      </c>
      <c r="S200" s="37">
        <f t="shared" si="87"/>
        <v>3.54</v>
      </c>
      <c r="T200" s="37">
        <f>SUM(T194:T199)</f>
        <v>3.54</v>
      </c>
      <c r="U200" s="37">
        <f t="shared" ref="U200:AG200" si="88">SUM(U194:U199)</f>
        <v>3.54</v>
      </c>
      <c r="V200" s="37">
        <f t="shared" si="88"/>
        <v>3.54</v>
      </c>
      <c r="W200" s="37">
        <f t="shared" si="88"/>
        <v>3.54</v>
      </c>
      <c r="X200" s="37">
        <f t="shared" si="88"/>
        <v>3.54</v>
      </c>
      <c r="Y200" s="37">
        <f t="shared" si="88"/>
        <v>3.54</v>
      </c>
      <c r="Z200" s="37">
        <f t="shared" si="88"/>
        <v>3.54</v>
      </c>
      <c r="AA200" s="37">
        <f t="shared" si="88"/>
        <v>3.54</v>
      </c>
      <c r="AB200" s="37">
        <f t="shared" si="88"/>
        <v>3.54</v>
      </c>
      <c r="AC200" s="37">
        <f t="shared" si="88"/>
        <v>3.54</v>
      </c>
      <c r="AD200" s="37">
        <f t="shared" si="88"/>
        <v>3.54</v>
      </c>
      <c r="AE200" s="37">
        <f t="shared" si="88"/>
        <v>3.54</v>
      </c>
      <c r="AF200" s="37">
        <f t="shared" si="88"/>
        <v>3.54</v>
      </c>
      <c r="AG200" s="36">
        <f t="shared" si="88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1349.04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12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2078/12/12)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2078/12/12)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89">B75</f>
        <v>1229.24</v>
      </c>
      <c r="U214" s="9">
        <f t="shared" si="89"/>
        <v>1203.44</v>
      </c>
      <c r="V214" s="9">
        <f t="shared" si="89"/>
        <v>1198.94</v>
      </c>
      <c r="W214" s="9">
        <f t="shared" si="89"/>
        <v>1184.6399999999999</v>
      </c>
      <c r="X214" s="9">
        <f t="shared" si="89"/>
        <v>1188.3400000000001</v>
      </c>
      <c r="Y214" s="9">
        <f t="shared" si="89"/>
        <v>1180.54</v>
      </c>
      <c r="Z214" s="9">
        <f t="shared" si="89"/>
        <v>1247.7400000000002</v>
      </c>
      <c r="AA214" s="9">
        <f t="shared" si="89"/>
        <v>1235.8399999999999</v>
      </c>
      <c r="AB214" s="9">
        <f t="shared" si="89"/>
        <v>1273.8400000000001</v>
      </c>
      <c r="AC214" s="9">
        <f t="shared" si="89"/>
        <v>1313.54</v>
      </c>
      <c r="AD214" s="9">
        <f t="shared" si="89"/>
        <v>1346.74</v>
      </c>
      <c r="AE214" s="9">
        <f t="shared" si="89"/>
        <v>1349.04</v>
      </c>
      <c r="AF214" s="9">
        <f t="shared" si="89"/>
        <v>1325.74</v>
      </c>
      <c r="AG214" s="9">
        <f t="shared" si="89"/>
        <v>1270.97</v>
      </c>
      <c r="AH214" s="9">
        <f t="shared" si="89"/>
        <v>1216.24</v>
      </c>
      <c r="AI214" s="9">
        <f t="shared" si="89"/>
        <v>1214.8400000000001</v>
      </c>
      <c r="AJ214" s="9">
        <f t="shared" si="89"/>
        <v>1209.6400000000001</v>
      </c>
      <c r="AK214" s="9">
        <f t="shared" si="89"/>
        <v>1192.94</v>
      </c>
      <c r="AL214" s="9">
        <f t="shared" si="89"/>
        <v>1173.24</v>
      </c>
      <c r="AM214" s="9">
        <f t="shared" si="89"/>
        <v>1121.74</v>
      </c>
      <c r="AN214" s="9">
        <f t="shared" si="89"/>
        <v>1186.5000000000002</v>
      </c>
      <c r="AO214" s="9">
        <f t="shared" si="89"/>
        <v>1196.24</v>
      </c>
      <c r="AP214" s="9">
        <f t="shared" si="89"/>
        <v>1190.8400000000001</v>
      </c>
      <c r="AQ214" s="9">
        <f t="shared" si="89"/>
        <v>1263.0800000000002</v>
      </c>
      <c r="AR214" s="9">
        <f t="shared" si="89"/>
        <v>1533.84</v>
      </c>
      <c r="AS214" s="9">
        <f t="shared" si="89"/>
        <v>1499.74</v>
      </c>
      <c r="AT214" s="9">
        <f t="shared" si="89"/>
        <v>1427.36</v>
      </c>
      <c r="AU214" s="9">
        <f t="shared" si="89"/>
        <v>1410.34</v>
      </c>
      <c r="AV214" s="9">
        <f t="shared" si="89"/>
        <v>1371.94</v>
      </c>
      <c r="AW214" s="9">
        <f t="shared" si="89"/>
        <v>1220.04</v>
      </c>
      <c r="AX214" s="9">
        <f t="shared" si="89"/>
        <v>1126.94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90">C199</f>
        <v>0.64</v>
      </c>
      <c r="C235" s="4">
        <f t="shared" si="90"/>
        <v>0.64</v>
      </c>
      <c r="D235" s="4">
        <f t="shared" si="90"/>
        <v>0.64</v>
      </c>
      <c r="E235" s="4">
        <f t="shared" si="90"/>
        <v>0.64</v>
      </c>
      <c r="F235" s="4">
        <f t="shared" si="90"/>
        <v>0.64</v>
      </c>
      <c r="G235" s="4">
        <f t="shared" si="90"/>
        <v>0.64</v>
      </c>
      <c r="H235" s="4">
        <f t="shared" si="90"/>
        <v>0.64</v>
      </c>
      <c r="I235" s="4">
        <f t="shared" si="90"/>
        <v>0.64</v>
      </c>
      <c r="J235" s="4">
        <f t="shared" si="90"/>
        <v>0.64</v>
      </c>
      <c r="K235" s="4">
        <f t="shared" si="90"/>
        <v>0.64</v>
      </c>
      <c r="L235" s="4">
        <f t="shared" si="90"/>
        <v>0.64</v>
      </c>
      <c r="M235" s="4">
        <f t="shared" si="90"/>
        <v>0.64</v>
      </c>
      <c r="N235" s="4">
        <f t="shared" si="90"/>
        <v>0.64</v>
      </c>
      <c r="O235" s="4">
        <f t="shared" si="90"/>
        <v>0.64</v>
      </c>
      <c r="P235" s="4">
        <f t="shared" si="90"/>
        <v>0.64</v>
      </c>
      <c r="Q235" s="4">
        <f t="shared" si="90"/>
        <v>0.64</v>
      </c>
      <c r="R235" s="4">
        <f t="shared" si="90"/>
        <v>0.64</v>
      </c>
      <c r="S235" s="4">
        <f t="shared" si="90"/>
        <v>0.64</v>
      </c>
      <c r="T235" s="4">
        <f t="shared" si="90"/>
        <v>0.64</v>
      </c>
      <c r="U235" s="4">
        <f t="shared" si="90"/>
        <v>0.64</v>
      </c>
      <c r="V235" s="4">
        <f t="shared" si="90"/>
        <v>0.64</v>
      </c>
      <c r="W235" s="4">
        <f t="shared" si="90"/>
        <v>0.64</v>
      </c>
      <c r="X235" s="4">
        <f t="shared" si="90"/>
        <v>0.64</v>
      </c>
      <c r="Y235" s="4">
        <f t="shared" si="90"/>
        <v>0.64</v>
      </c>
      <c r="Z235" s="4">
        <f t="shared" si="90"/>
        <v>0.64</v>
      </c>
      <c r="AA235" s="4">
        <f t="shared" si="90"/>
        <v>0.64</v>
      </c>
      <c r="AB235" s="4">
        <f t="shared" si="90"/>
        <v>0.64</v>
      </c>
      <c r="AC235" s="4">
        <f t="shared" si="90"/>
        <v>0.64</v>
      </c>
      <c r="AD235" s="4">
        <f t="shared" si="90"/>
        <v>0.64</v>
      </c>
      <c r="AE235" s="4">
        <f t="shared" si="90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91">IF(C203&lt;100,"",C203-520)</f>
        <v/>
      </c>
      <c r="D236" s="3" t="str">
        <f t="shared" si="91"/>
        <v/>
      </c>
      <c r="E236" s="3" t="str">
        <f t="shared" si="91"/>
        <v/>
      </c>
      <c r="F236" s="3" t="str">
        <f t="shared" si="91"/>
        <v/>
      </c>
      <c r="G236" s="3" t="str">
        <f t="shared" si="91"/>
        <v/>
      </c>
      <c r="H236" s="3" t="str">
        <f t="shared" si="91"/>
        <v/>
      </c>
      <c r="I236" s="3" t="str">
        <f t="shared" si="91"/>
        <v/>
      </c>
      <c r="J236" s="3" t="str">
        <f t="shared" si="91"/>
        <v/>
      </c>
      <c r="K236" s="3" t="str">
        <f t="shared" si="91"/>
        <v/>
      </c>
      <c r="L236" s="3" t="str">
        <f t="shared" si="91"/>
        <v/>
      </c>
      <c r="M236" s="3" t="str">
        <f t="shared" si="91"/>
        <v/>
      </c>
      <c r="N236" s="3" t="str">
        <f t="shared" si="91"/>
        <v/>
      </c>
      <c r="O236" s="3" t="str">
        <f t="shared" si="91"/>
        <v/>
      </c>
      <c r="P236" s="3" t="str">
        <f t="shared" si="91"/>
        <v/>
      </c>
      <c r="Q236" s="3" t="str">
        <f t="shared" si="91"/>
        <v/>
      </c>
      <c r="R236" s="3" t="str">
        <f t="shared" si="91"/>
        <v/>
      </c>
      <c r="S236" s="3" t="str">
        <f t="shared" si="91"/>
        <v/>
      </c>
      <c r="T236" s="3" t="str">
        <f t="shared" si="91"/>
        <v/>
      </c>
      <c r="U236" s="3" t="str">
        <f t="shared" si="91"/>
        <v/>
      </c>
      <c r="V236" s="3" t="str">
        <f t="shared" si="91"/>
        <v/>
      </c>
      <c r="W236" s="3" t="str">
        <f t="shared" si="91"/>
        <v/>
      </c>
      <c r="X236" s="3" t="str">
        <f t="shared" si="91"/>
        <v/>
      </c>
      <c r="Y236" s="3" t="str">
        <f t="shared" si="91"/>
        <v/>
      </c>
      <c r="Z236" s="3" t="str">
        <f t="shared" si="91"/>
        <v/>
      </c>
      <c r="AA236" s="3" t="str">
        <f t="shared" si="91"/>
        <v/>
      </c>
      <c r="AB236" s="3" t="str">
        <f t="shared" si="91"/>
        <v/>
      </c>
      <c r="AC236" s="3" t="str">
        <f t="shared" si="91"/>
        <v/>
      </c>
      <c r="AD236" s="3" t="str">
        <f t="shared" si="91"/>
        <v/>
      </c>
      <c r="AE236" s="3" t="str">
        <f t="shared" si="91"/>
        <v/>
      </c>
      <c r="AF236" s="3" t="str">
        <f t="shared" si="91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92">IF(B204&lt;100,"",B204-620)</f>
        <v/>
      </c>
      <c r="C237" s="3" t="str">
        <f t="shared" si="92"/>
        <v/>
      </c>
      <c r="D237" s="3" t="str">
        <f t="shared" si="92"/>
        <v/>
      </c>
      <c r="E237" s="3" t="str">
        <f t="shared" si="92"/>
        <v/>
      </c>
      <c r="F237" s="3" t="str">
        <f t="shared" si="92"/>
        <v/>
      </c>
      <c r="G237" s="3" t="str">
        <f t="shared" si="92"/>
        <v/>
      </c>
      <c r="H237" s="3" t="str">
        <f t="shared" si="92"/>
        <v/>
      </c>
      <c r="I237" s="3" t="str">
        <f t="shared" si="92"/>
        <v/>
      </c>
      <c r="J237" s="3" t="str">
        <f t="shared" si="92"/>
        <v/>
      </c>
      <c r="K237" s="3" t="str">
        <f t="shared" si="92"/>
        <v/>
      </c>
      <c r="L237" s="3" t="str">
        <f t="shared" si="92"/>
        <v/>
      </c>
      <c r="M237" s="3" t="str">
        <f t="shared" si="92"/>
        <v/>
      </c>
      <c r="N237" s="3" t="str">
        <f t="shared" si="92"/>
        <v/>
      </c>
      <c r="O237" s="3" t="str">
        <f t="shared" si="92"/>
        <v/>
      </c>
      <c r="P237" s="3" t="str">
        <f t="shared" si="92"/>
        <v/>
      </c>
      <c r="Q237" s="3" t="str">
        <f t="shared" si="92"/>
        <v/>
      </c>
      <c r="R237" s="3" t="str">
        <f t="shared" si="92"/>
        <v/>
      </c>
      <c r="S237" s="3" t="str">
        <f t="shared" si="92"/>
        <v/>
      </c>
      <c r="T237" s="3" t="str">
        <f t="shared" si="92"/>
        <v/>
      </c>
      <c r="U237" s="3" t="str">
        <f t="shared" si="92"/>
        <v/>
      </c>
      <c r="V237" s="3" t="str">
        <f t="shared" si="92"/>
        <v/>
      </c>
      <c r="W237" s="3" t="str">
        <f t="shared" si="92"/>
        <v/>
      </c>
      <c r="X237" s="3" t="str">
        <f t="shared" si="92"/>
        <v/>
      </c>
      <c r="Y237" s="3" t="str">
        <f t="shared" si="92"/>
        <v/>
      </c>
      <c r="Z237" s="3" t="str">
        <f t="shared" si="92"/>
        <v/>
      </c>
      <c r="AA237" s="3" t="str">
        <f t="shared" si="92"/>
        <v/>
      </c>
      <c r="AB237" s="3" t="str">
        <f t="shared" si="92"/>
        <v/>
      </c>
      <c r="AC237" s="3" t="str">
        <f t="shared" si="92"/>
        <v/>
      </c>
      <c r="AD237" s="3" t="str">
        <f t="shared" si="92"/>
        <v/>
      </c>
      <c r="AE237" s="3" t="str">
        <f t="shared" si="92"/>
        <v/>
      </c>
      <c r="AF237" s="3" t="str">
        <f t="shared" si="92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93">IF(B205&lt;100,"",B205-330)</f>
        <v/>
      </c>
      <c r="C238" s="3" t="str">
        <f t="shared" si="93"/>
        <v/>
      </c>
      <c r="D238" s="3" t="str">
        <f t="shared" si="93"/>
        <v/>
      </c>
      <c r="E238" s="3" t="str">
        <f t="shared" si="93"/>
        <v/>
      </c>
      <c r="F238" s="3" t="str">
        <f t="shared" si="93"/>
        <v/>
      </c>
      <c r="G238" s="3" t="str">
        <f t="shared" si="93"/>
        <v/>
      </c>
      <c r="H238" s="3" t="str">
        <f t="shared" si="93"/>
        <v/>
      </c>
      <c r="I238" s="3" t="str">
        <f t="shared" si="93"/>
        <v/>
      </c>
      <c r="J238" s="3" t="str">
        <f t="shared" si="93"/>
        <v/>
      </c>
      <c r="K238" s="3" t="str">
        <f t="shared" si="93"/>
        <v/>
      </c>
      <c r="L238" s="3" t="str">
        <f t="shared" si="93"/>
        <v/>
      </c>
      <c r="M238" s="3" t="str">
        <f t="shared" si="93"/>
        <v/>
      </c>
      <c r="N238" s="3" t="str">
        <f t="shared" si="93"/>
        <v/>
      </c>
      <c r="O238" s="3" t="str">
        <f t="shared" si="93"/>
        <v/>
      </c>
      <c r="P238" s="3" t="str">
        <f t="shared" si="93"/>
        <v/>
      </c>
      <c r="Q238" s="3" t="str">
        <f t="shared" si="93"/>
        <v/>
      </c>
      <c r="R238" s="3" t="str">
        <f t="shared" si="93"/>
        <v/>
      </c>
      <c r="S238" s="3" t="str">
        <f t="shared" si="93"/>
        <v/>
      </c>
      <c r="T238" s="3" t="str">
        <f t="shared" si="93"/>
        <v/>
      </c>
      <c r="U238" s="3" t="str">
        <f t="shared" si="93"/>
        <v/>
      </c>
      <c r="V238" s="3" t="str">
        <f t="shared" si="93"/>
        <v/>
      </c>
      <c r="W238" s="3" t="str">
        <f t="shared" si="93"/>
        <v/>
      </c>
      <c r="X238" s="3" t="str">
        <f t="shared" si="93"/>
        <v/>
      </c>
      <c r="Y238" s="3" t="str">
        <f t="shared" si="93"/>
        <v/>
      </c>
      <c r="Z238" s="3" t="str">
        <f t="shared" si="93"/>
        <v/>
      </c>
      <c r="AA238" s="3" t="str">
        <f t="shared" si="93"/>
        <v/>
      </c>
      <c r="AB238" s="3" t="str">
        <f t="shared" si="93"/>
        <v/>
      </c>
      <c r="AC238" s="3" t="str">
        <f t="shared" si="93"/>
        <v/>
      </c>
      <c r="AD238" s="3" t="str">
        <f t="shared" si="93"/>
        <v/>
      </c>
      <c r="AE238" s="3" t="str">
        <f t="shared" si="93"/>
        <v/>
      </c>
      <c r="AF238" s="3" t="str">
        <f t="shared" si="93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94">IF(C206&lt;100,"",C206-1500)</f>
        <v/>
      </c>
      <c r="D239" s="3" t="str">
        <f t="shared" si="94"/>
        <v/>
      </c>
      <c r="E239" s="3" t="str">
        <f t="shared" si="94"/>
        <v/>
      </c>
      <c r="F239" s="3" t="str">
        <f t="shared" si="94"/>
        <v/>
      </c>
      <c r="G239" s="3" t="str">
        <f t="shared" si="94"/>
        <v/>
      </c>
      <c r="H239" s="3" t="str">
        <f t="shared" si="94"/>
        <v/>
      </c>
      <c r="I239" s="3" t="str">
        <f t="shared" si="94"/>
        <v/>
      </c>
      <c r="J239" s="3" t="str">
        <f t="shared" si="94"/>
        <v/>
      </c>
      <c r="K239" s="3" t="str">
        <f t="shared" si="94"/>
        <v/>
      </c>
      <c r="L239" s="3" t="str">
        <f t="shared" si="94"/>
        <v/>
      </c>
      <c r="M239" s="3" t="str">
        <f t="shared" si="94"/>
        <v/>
      </c>
      <c r="N239" s="3" t="str">
        <f t="shared" si="94"/>
        <v/>
      </c>
      <c r="O239" s="3" t="str">
        <f t="shared" si="94"/>
        <v/>
      </c>
      <c r="P239" s="3" t="str">
        <f t="shared" si="94"/>
        <v/>
      </c>
      <c r="Q239" s="3" t="str">
        <f t="shared" si="94"/>
        <v/>
      </c>
      <c r="R239" s="3" t="str">
        <f t="shared" si="94"/>
        <v/>
      </c>
      <c r="S239" s="3" t="str">
        <f t="shared" si="94"/>
        <v/>
      </c>
      <c r="T239" s="3" t="str">
        <f t="shared" si="94"/>
        <v/>
      </c>
      <c r="U239" s="3" t="str">
        <f t="shared" si="94"/>
        <v/>
      </c>
      <c r="V239" s="3" t="str">
        <f t="shared" si="94"/>
        <v/>
      </c>
      <c r="W239" s="3" t="str">
        <f t="shared" si="94"/>
        <v/>
      </c>
      <c r="X239" s="3" t="str">
        <f t="shared" si="94"/>
        <v/>
      </c>
      <c r="Y239" s="3" t="str">
        <f t="shared" si="94"/>
        <v/>
      </c>
      <c r="Z239" s="3" t="str">
        <f t="shared" si="94"/>
        <v/>
      </c>
      <c r="AA239" s="3" t="str">
        <f t="shared" si="94"/>
        <v/>
      </c>
      <c r="AB239" s="3" t="str">
        <f t="shared" si="94"/>
        <v/>
      </c>
      <c r="AC239" s="3" t="str">
        <f t="shared" si="94"/>
        <v/>
      </c>
      <c r="AD239" s="3" t="str">
        <f t="shared" si="94"/>
        <v/>
      </c>
      <c r="AE239" s="3" t="str">
        <f t="shared" si="94"/>
        <v/>
      </c>
      <c r="AF239" s="3" t="str">
        <f t="shared" si="94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M37 C57:L57 X85:AA91 AB81:AF81 C56:O56 D194:AF200 B194:B200 C68:O72 AB84:AF91 B84:B91 M53:O55 B9:AF10 B192:AF192 AF57:AF61 B53:B72 AG73 AB94:AF100 B94:B100 U213:AF213 C87:C91 E60:E61 C60:D67 C58:E59 B73:O83 B36:M36 E63:L67 S58:W59 M11:O14 M16:O32 N36:O37 N45:O48 M39:O42 F58:O61 S82:AF83 S40:T41 T11:AC11 U40:Y42 Z40:AE43 S53:AF56 Z12:AC14 Z16:AF31 Z36:AF36 AD11:AF14 S68:AF80">
    <cfRule type="expression" dxfId="5687" priority="401">
      <formula>B$9&gt;=20/24</formula>
    </cfRule>
    <cfRule type="expression" dxfId="5686" priority="402">
      <formula>AND(B$9&gt;=14/24,B$9&lt;20/24)</formula>
    </cfRule>
    <cfRule type="expression" dxfId="5685" priority="403">
      <formula>AND(B$9&gt;=8/24,B$9&lt;14/24)</formula>
    </cfRule>
    <cfRule type="expression" dxfId="5684" priority="404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M57:O57">
    <cfRule type="expression" dxfId="5683" priority="396">
      <formula>M$9&gt;=20/24</formula>
    </cfRule>
    <cfRule type="expression" dxfId="5682" priority="397">
      <formula>AND(M$9&gt;=14/24,M$9&lt;20/24)</formula>
    </cfRule>
    <cfRule type="expression" dxfId="5681" priority="398">
      <formula>AND(M$9&gt;=8/24,M$9&lt;14/24)</formula>
    </cfRule>
    <cfRule type="expression" dxfId="5680" priority="399">
      <formula>M$9&lt;8/24</formula>
    </cfRule>
  </conditionalFormatting>
  <conditionalFormatting sqref="M43:O43">
    <cfRule type="expression" dxfId="5679" priority="392">
      <formula>M$9&gt;=20/24</formula>
    </cfRule>
    <cfRule type="expression" dxfId="5678" priority="393">
      <formula>AND(M$9&gt;=14/24,M$9&lt;20/24)</formula>
    </cfRule>
    <cfRule type="expression" dxfId="5677" priority="394">
      <formula>AND(M$9&gt;=8/24,M$9&lt;14/24)</formula>
    </cfRule>
    <cfRule type="expression" dxfId="5676" priority="395">
      <formula>M$9&lt;8/24</formula>
    </cfRule>
  </conditionalFormatting>
  <conditionalFormatting sqref="Z32:AF32">
    <cfRule type="expression" dxfId="5675" priority="388">
      <formula>Z$9&gt;=20/24</formula>
    </cfRule>
    <cfRule type="expression" dxfId="5674" priority="389">
      <formula>AND(Z$9&gt;=14/24,Z$9&lt;20/24)</formula>
    </cfRule>
    <cfRule type="expression" dxfId="5673" priority="390">
      <formula>AND(Z$9&gt;=8/24,Z$9&lt;14/24)</formula>
    </cfRule>
    <cfRule type="expression" dxfId="5672" priority="391">
      <formula>Z$9&lt;8/24</formula>
    </cfRule>
  </conditionalFormatting>
  <conditionalFormatting sqref="S39:AE39">
    <cfRule type="expression" dxfId="5671" priority="384">
      <formula>S$9&gt;=20/24</formula>
    </cfRule>
    <cfRule type="expression" dxfId="5670" priority="385">
      <formula>AND(S$9&gt;=14/24,S$9&lt;20/24)</formula>
    </cfRule>
    <cfRule type="expression" dxfId="5669" priority="386">
      <formula>AND(S$9&gt;=8/24,S$9&lt;14/24)</formula>
    </cfRule>
    <cfRule type="expression" dxfId="5668" priority="387">
      <formula>S$9&lt;8/24</formula>
    </cfRule>
  </conditionalFormatting>
  <conditionalFormatting sqref="S57:AE57">
    <cfRule type="expression" dxfId="5667" priority="380">
      <formula>S$9&gt;=20/24</formula>
    </cfRule>
    <cfRule type="expression" dxfId="5666" priority="381">
      <formula>AND(S$9&gt;=14/24,S$9&lt;20/24)</formula>
    </cfRule>
    <cfRule type="expression" dxfId="5665" priority="382">
      <formula>AND(S$9&gt;=8/24,S$9&lt;14/24)</formula>
    </cfRule>
    <cfRule type="expression" dxfId="5664" priority="383">
      <formula>S$9&lt;8/24</formula>
    </cfRule>
  </conditionalFormatting>
  <conditionalFormatting sqref="S81:AA81">
    <cfRule type="expression" dxfId="5663" priority="376">
      <formula>S$9&gt;=20/24</formula>
    </cfRule>
    <cfRule type="expression" dxfId="5662" priority="377">
      <formula>AND(S$9&gt;=14/24,S$9&lt;20/24)</formula>
    </cfRule>
    <cfRule type="expression" dxfId="5661" priority="378">
      <formula>AND(S$9&gt;=8/24,S$9&lt;14/24)</formula>
    </cfRule>
    <cfRule type="expression" dxfId="5660" priority="379">
      <formula>S$9&lt;8/24</formula>
    </cfRule>
  </conditionalFormatting>
  <conditionalFormatting sqref="U84:AA84">
    <cfRule type="expression" dxfId="5659" priority="372">
      <formula>U$9&gt;=20/24</formula>
    </cfRule>
    <cfRule type="expression" dxfId="5658" priority="373">
      <formula>AND(U$9&gt;=14/24,U$9&lt;20/24)</formula>
    </cfRule>
    <cfRule type="expression" dxfId="5657" priority="374">
      <formula>AND(U$9&gt;=8/24,U$9&lt;14/24)</formula>
    </cfRule>
    <cfRule type="expression" dxfId="5656" priority="375">
      <formula>U$9&lt;8/24</formula>
    </cfRule>
  </conditionalFormatting>
  <conditionalFormatting sqref="M35:O35">
    <cfRule type="expression" dxfId="5655" priority="368">
      <formula>M$9&gt;=20/24</formula>
    </cfRule>
    <cfRule type="expression" dxfId="5654" priority="369">
      <formula>AND(M$9&gt;=14/24,M$9&lt;20/24)</formula>
    </cfRule>
    <cfRule type="expression" dxfId="5653" priority="370">
      <formula>AND(M$9&gt;=8/24,M$9&lt;14/24)</formula>
    </cfRule>
    <cfRule type="expression" dxfId="5652" priority="371">
      <formula>M$9&lt;8/24</formula>
    </cfRule>
  </conditionalFormatting>
  <conditionalFormatting sqref="M49:O49">
    <cfRule type="expression" dxfId="5651" priority="364">
      <formula>M$9&gt;=20/24</formula>
    </cfRule>
    <cfRule type="expression" dxfId="5650" priority="365">
      <formula>AND(M$9&gt;=14/24,M$9&lt;20/24)</formula>
    </cfRule>
    <cfRule type="expression" dxfId="5649" priority="366">
      <formula>AND(M$9&gt;=8/24,M$9&lt;14/24)</formula>
    </cfRule>
    <cfRule type="expression" dxfId="5648" priority="367">
      <formula>M$9&lt;8/24</formula>
    </cfRule>
  </conditionalFormatting>
  <conditionalFormatting sqref="M50:O50">
    <cfRule type="expression" dxfId="5647" priority="360">
      <formula>M$9&gt;=20/24</formula>
    </cfRule>
    <cfRule type="expression" dxfId="5646" priority="361">
      <formula>AND(M$9&gt;=14/24,M$9&lt;20/24)</formula>
    </cfRule>
    <cfRule type="expression" dxfId="5645" priority="362">
      <formula>AND(M$9&gt;=8/24,M$9&lt;14/24)</formula>
    </cfRule>
    <cfRule type="expression" dxfId="5644" priority="363">
      <formula>M$9&lt;8/24</formula>
    </cfRule>
  </conditionalFormatting>
  <conditionalFormatting sqref="M45:O48">
    <cfRule type="expression" dxfId="5643" priority="356">
      <formula>M$9&gt;=20/24</formula>
    </cfRule>
    <cfRule type="expression" dxfId="5642" priority="357">
      <formula>AND(M$9&gt;=14/24,M$9&lt;20/24)</formula>
    </cfRule>
    <cfRule type="expression" dxfId="5641" priority="358">
      <formula>AND(M$9&gt;=8/24,M$9&lt;14/24)</formula>
    </cfRule>
    <cfRule type="expression" dxfId="5640" priority="359">
      <formula>M$9&lt;8/24</formula>
    </cfRule>
  </conditionalFormatting>
  <conditionalFormatting sqref="S37:AF37">
    <cfRule type="expression" dxfId="5639" priority="352">
      <formula>S$9&gt;=20/24</formula>
    </cfRule>
    <cfRule type="expression" dxfId="5638" priority="353">
      <formula>AND(S$9&gt;=14/24,S$9&lt;20/24)</formula>
    </cfRule>
    <cfRule type="expression" dxfId="5637" priority="354">
      <formula>AND(S$9&gt;=8/24,S$9&lt;14/24)</formula>
    </cfRule>
    <cfRule type="expression" dxfId="5636" priority="355">
      <formula>S$9&lt;8/24</formula>
    </cfRule>
  </conditionalFormatting>
  <conditionalFormatting sqref="Z35:AF35">
    <cfRule type="expression" dxfId="5635" priority="348">
      <formula>Z$9&gt;=20/24</formula>
    </cfRule>
    <cfRule type="expression" dxfId="5634" priority="349">
      <formula>AND(Z$9&gt;=14/24,Z$9&lt;20/24)</formula>
    </cfRule>
    <cfRule type="expression" dxfId="5633" priority="350">
      <formula>AND(Z$9&gt;=8/24,Z$9&lt;14/24)</formula>
    </cfRule>
    <cfRule type="expression" dxfId="5632" priority="351">
      <formula>Z$9&lt;8/24</formula>
    </cfRule>
  </conditionalFormatting>
  <conditionalFormatting sqref="S42:T43 U43:Y43 Z45:AF48">
    <cfRule type="expression" dxfId="5631" priority="344">
      <formula>S$9&gt;=20/24</formula>
    </cfRule>
    <cfRule type="expression" dxfId="5630" priority="345">
      <formula>AND(S$9&gt;=14/24,S$9&lt;20/24)</formula>
    </cfRule>
    <cfRule type="expression" dxfId="5629" priority="346">
      <formula>AND(S$9&gt;=8/24,S$9&lt;14/24)</formula>
    </cfRule>
    <cfRule type="expression" dxfId="5628" priority="347">
      <formula>S$9&lt;8/24</formula>
    </cfRule>
  </conditionalFormatting>
  <conditionalFormatting sqref="Z49:AF49">
    <cfRule type="expression" dxfId="5627" priority="340">
      <formula>Z$9&gt;=20/24</formula>
    </cfRule>
    <cfRule type="expression" dxfId="5626" priority="341">
      <formula>AND(Z$9&gt;=14/24,Z$9&lt;20/24)</formula>
    </cfRule>
    <cfRule type="expression" dxfId="5625" priority="342">
      <formula>AND(Z$9&gt;=8/24,Z$9&lt;14/24)</formula>
    </cfRule>
    <cfRule type="expression" dxfId="5624" priority="343">
      <formula>Z$9&lt;8/24</formula>
    </cfRule>
  </conditionalFormatting>
  <conditionalFormatting sqref="Z50:AF50">
    <cfRule type="expression" dxfId="5623" priority="336">
      <formula>Z$9&gt;=20/24</formula>
    </cfRule>
    <cfRule type="expression" dxfId="5622" priority="337">
      <formula>AND(Z$9&gt;=14/24,Z$9&lt;20/24)</formula>
    </cfRule>
    <cfRule type="expression" dxfId="5621" priority="338">
      <formula>AND(Z$9&gt;=8/24,Z$9&lt;14/24)</formula>
    </cfRule>
    <cfRule type="expression" dxfId="5620" priority="339">
      <formula>Z$9&lt;8/24</formula>
    </cfRule>
  </conditionalFormatting>
  <conditionalFormatting sqref="S60:T61 X60:Z61 Z62:Z67 AA60:AE67 AF62:AF67">
    <cfRule type="expression" dxfId="5619" priority="332">
      <formula>S$9&gt;=20/24</formula>
    </cfRule>
    <cfRule type="expression" dxfId="5618" priority="333">
      <formula>AND(S$9&gt;=14/24,S$9&lt;20/24)</formula>
    </cfRule>
    <cfRule type="expression" dxfId="5617" priority="334">
      <formula>AND(S$9&gt;=8/24,S$9&lt;14/24)</formula>
    </cfRule>
    <cfRule type="expression" dxfId="5616" priority="335">
      <formula>S$9&lt;8/24</formula>
    </cfRule>
  </conditionalFormatting>
  <conditionalFormatting sqref="E62:L62">
    <cfRule type="expression" dxfId="5615" priority="328">
      <formula>E$9&gt;=20/24</formula>
    </cfRule>
    <cfRule type="expression" dxfId="5614" priority="329">
      <formula>AND(E$9&gt;=14/24,E$9&lt;20/24)</formula>
    </cfRule>
    <cfRule type="expression" dxfId="5613" priority="330">
      <formula>AND(E$9&gt;=8/24,E$9&lt;14/24)</formula>
    </cfRule>
    <cfRule type="expression" dxfId="5612" priority="331">
      <formula>E$9&lt;8/24</formula>
    </cfRule>
  </conditionalFormatting>
  <conditionalFormatting sqref="U94:AA97">
    <cfRule type="expression" dxfId="5611" priority="324">
      <formula>U$9&gt;=20/24</formula>
    </cfRule>
    <cfRule type="expression" dxfId="5610" priority="325">
      <formula>AND(U$9&gt;=14/24,U$9&lt;20/24)</formula>
    </cfRule>
    <cfRule type="expression" dxfId="5609" priority="326">
      <formula>AND(U$9&gt;=8/24,U$9&lt;14/24)</formula>
    </cfRule>
    <cfRule type="expression" dxfId="5608" priority="327">
      <formula>U$9&lt;8/24</formula>
    </cfRule>
  </conditionalFormatting>
  <conditionalFormatting sqref="AG51 B11:L32 M16:O32 M11:O14 B34:O56 S38:AF38 T11:AC11 S39:Y43 S51:AF56 Z34:AC36 Z12:AC32 S37:AC37 AD34:AF37 AD11:AF32 Z39:AF50">
    <cfRule type="expression" dxfId="5607" priority="323">
      <formula>B11&gt;$AG11</formula>
    </cfRule>
  </conditionalFormatting>
  <conditionalFormatting sqref="A101:A157 A84:A97 A11:A14 A16:A32 A45:A72 A80:A82 A74:A78 A35:A43 A170:A200">
    <cfRule type="expression" dxfId="5606" priority="322">
      <formula>$AH11=0</formula>
    </cfRule>
  </conditionalFormatting>
  <conditionalFormatting sqref="U98:AA98">
    <cfRule type="expression" dxfId="5605" priority="318">
      <formula>U$9&gt;=20/24</formula>
    </cfRule>
    <cfRule type="expression" dxfId="5604" priority="319">
      <formula>AND(U$9&gt;=14/24,U$9&lt;20/24)</formula>
    </cfRule>
    <cfRule type="expression" dxfId="5603" priority="320">
      <formula>AND(U$9&gt;=8/24,U$9&lt;14/24)</formula>
    </cfRule>
    <cfRule type="expression" dxfId="5602" priority="321">
      <formula>U$9&lt;8/24</formula>
    </cfRule>
  </conditionalFormatting>
  <conditionalFormatting sqref="A98">
    <cfRule type="expression" dxfId="5601" priority="317">
      <formula>$AH98=0</formula>
    </cfRule>
  </conditionalFormatting>
  <conditionalFormatting sqref="M62:O67">
    <cfRule type="expression" dxfId="5600" priority="305">
      <formula>M$9&gt;=20/24</formula>
    </cfRule>
    <cfRule type="expression" dxfId="5599" priority="306">
      <formula>AND(M$9&gt;=14/24,M$9&lt;20/24)</formula>
    </cfRule>
    <cfRule type="expression" dxfId="5598" priority="307">
      <formula>AND(M$9&gt;=8/24,M$9&lt;14/24)</formula>
    </cfRule>
    <cfRule type="expression" dxfId="5597" priority="308">
      <formula>M$9&lt;8/24</formula>
    </cfRule>
  </conditionalFormatting>
  <conditionalFormatting sqref="AL32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5596" priority="300">
      <formula>Z$9&gt;=20/24</formula>
    </cfRule>
    <cfRule type="expression" dxfId="5595" priority="301">
      <formula>AND(Z$9&gt;=14/24,Z$9&lt;20/24)</formula>
    </cfRule>
    <cfRule type="expression" dxfId="5594" priority="302">
      <formula>AND(Z$9&gt;=8/24,Z$9&lt;14/24)</formula>
    </cfRule>
    <cfRule type="expression" dxfId="5593" priority="303">
      <formula>Z$9&lt;8/24</formula>
    </cfRule>
  </conditionalFormatting>
  <conditionalFormatting sqref="M34:O34">
    <cfRule type="expression" dxfId="5592" priority="296">
      <formula>M$9&gt;=20/24</formula>
    </cfRule>
    <cfRule type="expression" dxfId="5591" priority="297">
      <formula>AND(M$9&gt;=14/24,M$9&lt;20/24)</formula>
    </cfRule>
    <cfRule type="expression" dxfId="5590" priority="298">
      <formula>AND(M$9&gt;=8/24,M$9&lt;14/24)</formula>
    </cfRule>
    <cfRule type="expression" dxfId="5589" priority="299">
      <formula>M$9&lt;8/24</formula>
    </cfRule>
  </conditionalFormatting>
  <conditionalFormatting sqref="A34">
    <cfRule type="expression" dxfId="5588" priority="291">
      <formula>$AH34=0</formula>
    </cfRule>
  </conditionalFormatting>
  <conditionalFormatting sqref="A83">
    <cfRule type="expression" dxfId="5587" priority="290">
      <formula>$AH83=0</formula>
    </cfRule>
  </conditionalFormatting>
  <conditionalFormatting sqref="Z15:AF15">
    <cfRule type="expression" dxfId="5586" priority="286">
      <formula>Z$9&gt;=20/24</formula>
    </cfRule>
    <cfRule type="expression" dxfId="5585" priority="287">
      <formula>AND(Z$9&gt;=14/24,Z$9&lt;20/24)</formula>
    </cfRule>
    <cfRule type="expression" dxfId="5584" priority="288">
      <formula>AND(Z$9&gt;=8/24,Z$9&lt;14/24)</formula>
    </cfRule>
    <cfRule type="expression" dxfId="5583" priority="289">
      <formula>Z$9&lt;8/24</formula>
    </cfRule>
  </conditionalFormatting>
  <conditionalFormatting sqref="M15:O15">
    <cfRule type="expression" dxfId="5582" priority="282">
      <formula>M$9&gt;=20/24</formula>
    </cfRule>
    <cfRule type="expression" dxfId="5581" priority="283">
      <formula>AND(M$9&gt;=14/24,M$9&lt;20/24)</formula>
    </cfRule>
    <cfRule type="expression" dxfId="5580" priority="284">
      <formula>AND(M$9&gt;=8/24,M$9&lt;14/24)</formula>
    </cfRule>
    <cfRule type="expression" dxfId="5579" priority="285">
      <formula>M$9&lt;8/24</formula>
    </cfRule>
  </conditionalFormatting>
  <conditionalFormatting sqref="M15:O15">
    <cfRule type="expression" dxfId="5578" priority="281">
      <formula>M15&gt;$AG15</formula>
    </cfRule>
  </conditionalFormatting>
  <conditionalFormatting sqref="A15">
    <cfRule type="expression" dxfId="5577" priority="280">
      <formula>$AH15=0</formula>
    </cfRule>
  </conditionalFormatting>
  <conditionalFormatting sqref="A164:A169">
    <cfRule type="expression" dxfId="5576" priority="279">
      <formula>$AH164=0</formula>
    </cfRule>
  </conditionalFormatting>
  <conditionalFormatting sqref="A158:A163">
    <cfRule type="expression" dxfId="5575" priority="278">
      <formula>$AH158=0</formula>
    </cfRule>
  </conditionalFormatting>
  <conditionalFormatting sqref="Z44:AE44">
    <cfRule type="expression" dxfId="5574" priority="274">
      <formula>Z$9&gt;=20/24</formula>
    </cfRule>
    <cfRule type="expression" dxfId="5573" priority="275">
      <formula>AND(Z$9&gt;=14/24,Z$9&lt;20/24)</formula>
    </cfRule>
    <cfRule type="expression" dxfId="5572" priority="276">
      <formula>AND(Z$9&gt;=8/24,Z$9&lt;14/24)</formula>
    </cfRule>
    <cfRule type="expression" dxfId="5571" priority="277">
      <formula>Z$9&lt;8/24</formula>
    </cfRule>
  </conditionalFormatting>
  <conditionalFormatting sqref="M44:O44">
    <cfRule type="expression" dxfId="5570" priority="270">
      <formula>M$9&gt;=20/24</formula>
    </cfRule>
    <cfRule type="expression" dxfId="5569" priority="271">
      <formula>AND(M$9&gt;=14/24,M$9&lt;20/24)</formula>
    </cfRule>
    <cfRule type="expression" dxfId="5568" priority="272">
      <formula>AND(M$9&gt;=8/24,M$9&lt;14/24)</formula>
    </cfRule>
    <cfRule type="expression" dxfId="5567" priority="273">
      <formula>M$9&lt;8/24</formula>
    </cfRule>
  </conditionalFormatting>
  <conditionalFormatting sqref="A44">
    <cfRule type="expression" dxfId="5566" priority="265">
      <formula>$AH44=0</formula>
    </cfRule>
  </conditionalFormatting>
  <conditionalFormatting sqref="A79">
    <cfRule type="expression" dxfId="5565" priority="264">
      <formula>$AH79=0</formula>
    </cfRule>
  </conditionalFormatting>
  <conditionalFormatting sqref="A73">
    <cfRule type="expression" dxfId="5564" priority="263">
      <formula>$AH73=0</formula>
    </cfRule>
  </conditionalFormatting>
  <conditionalFormatting sqref="AL34:AL35 AL7:AL31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5563" priority="259">
      <formula>U$9&gt;=20/24</formula>
    </cfRule>
    <cfRule type="expression" dxfId="5562" priority="260">
      <formula>AND(U$9&gt;=14/24,U$9&lt;20/24)</formula>
    </cfRule>
    <cfRule type="expression" dxfId="5561" priority="261">
      <formula>AND(U$9&gt;=8/24,U$9&lt;14/24)</formula>
    </cfRule>
    <cfRule type="expression" dxfId="5560" priority="262">
      <formula>U$9&lt;8/24</formula>
    </cfRule>
  </conditionalFormatting>
  <conditionalFormatting sqref="U85:W91">
    <cfRule type="expression" dxfId="5559" priority="255">
      <formula>U$9&gt;=20/24</formula>
    </cfRule>
    <cfRule type="expression" dxfId="5558" priority="256">
      <formula>AND(U$9&gt;=14/24,U$9&lt;20/24)</formula>
    </cfRule>
    <cfRule type="expression" dxfId="5557" priority="257">
      <formula>AND(U$9&gt;=8/24,U$9&lt;14/24)</formula>
    </cfRule>
    <cfRule type="expression" dxfId="5556" priority="258">
      <formula>U$9&lt;8/24</formula>
    </cfRule>
  </conditionalFormatting>
  <conditionalFormatting sqref="C84:N84 D87:D91 C85:D86 E85:N91 S85:T91 O84:O91">
    <cfRule type="expression" dxfId="5555" priority="251">
      <formula>C$9&gt;=20/24</formula>
    </cfRule>
    <cfRule type="expression" dxfId="5554" priority="252">
      <formula>AND(C$9&gt;=14/24,C$9&lt;20/24)</formula>
    </cfRule>
    <cfRule type="expression" dxfId="5553" priority="253">
      <formula>AND(C$9&gt;=8/24,C$9&lt;14/24)</formula>
    </cfRule>
    <cfRule type="expression" dxfId="5552" priority="254">
      <formula>C$9&lt;8/24</formula>
    </cfRule>
  </conditionalFormatting>
  <conditionalFormatting sqref="S84:T84">
    <cfRule type="expression" dxfId="5551" priority="247">
      <formula>S$9&gt;=20/24</formula>
    </cfRule>
    <cfRule type="expression" dxfId="5550" priority="248">
      <formula>AND(S$9&gt;=14/24,S$9&lt;20/24)</formula>
    </cfRule>
    <cfRule type="expression" dxfId="5549" priority="249">
      <formula>AND(S$9&gt;=8/24,S$9&lt;14/24)</formula>
    </cfRule>
    <cfRule type="expression" dxfId="5548" priority="250">
      <formula>S$9&lt;8/24</formula>
    </cfRule>
  </conditionalFormatting>
  <conditionalFormatting sqref="C95:M97 C94:F94">
    <cfRule type="expression" dxfId="5547" priority="243">
      <formula>C$9&gt;=20/24</formula>
    </cfRule>
    <cfRule type="expression" dxfId="5546" priority="244">
      <formula>AND(C$9&gt;=14/24,C$9&lt;20/24)</formula>
    </cfRule>
    <cfRule type="expression" dxfId="5545" priority="245">
      <formula>AND(C$9&gt;=8/24,C$9&lt;14/24)</formula>
    </cfRule>
    <cfRule type="expression" dxfId="5544" priority="246">
      <formula>C$9&lt;8/24</formula>
    </cfRule>
  </conditionalFormatting>
  <conditionalFormatting sqref="R94:R97 N95:O97">
    <cfRule type="expression" dxfId="5543" priority="239">
      <formula>N$9&gt;=20/24</formula>
    </cfRule>
    <cfRule type="expression" dxfId="5542" priority="240">
      <formula>AND(N$9&gt;=14/24,N$9&lt;20/24)</formula>
    </cfRule>
    <cfRule type="expression" dxfId="5541" priority="241">
      <formula>AND(N$9&gt;=8/24,N$9&lt;14/24)</formula>
    </cfRule>
    <cfRule type="expression" dxfId="5540" priority="242">
      <formula>N$9&lt;8/24</formula>
    </cfRule>
  </conditionalFormatting>
  <conditionalFormatting sqref="S94:T97">
    <cfRule type="expression" dxfId="5539" priority="235">
      <formula>S$9&gt;=20/24</formula>
    </cfRule>
    <cfRule type="expression" dxfId="5538" priority="236">
      <formula>AND(S$9&gt;=14/24,S$9&lt;20/24)</formula>
    </cfRule>
    <cfRule type="expression" dxfId="5537" priority="237">
      <formula>AND(S$9&gt;=8/24,S$9&lt;14/24)</formula>
    </cfRule>
    <cfRule type="expression" dxfId="5536" priority="238">
      <formula>S$9&lt;8/24</formula>
    </cfRule>
  </conditionalFormatting>
  <conditionalFormatting sqref="C98:M98">
    <cfRule type="expression" dxfId="5535" priority="231">
      <formula>C$9&gt;=20/24</formula>
    </cfRule>
    <cfRule type="expression" dxfId="5534" priority="232">
      <formula>AND(C$9&gt;=14/24,C$9&lt;20/24)</formula>
    </cfRule>
    <cfRule type="expression" dxfId="5533" priority="233">
      <formula>AND(C$9&gt;=8/24,C$9&lt;14/24)</formula>
    </cfRule>
    <cfRule type="expression" dxfId="5532" priority="234">
      <formula>C$9&lt;8/24</formula>
    </cfRule>
  </conditionalFormatting>
  <conditionalFormatting sqref="N98:O98 R98">
    <cfRule type="expression" dxfId="5531" priority="227">
      <formula>N$9&gt;=20/24</formula>
    </cfRule>
    <cfRule type="expression" dxfId="5530" priority="228">
      <formula>AND(N$9&gt;=14/24,N$9&lt;20/24)</formula>
    </cfRule>
    <cfRule type="expression" dxfId="5529" priority="229">
      <formula>AND(N$9&gt;=8/24,N$9&lt;14/24)</formula>
    </cfRule>
    <cfRule type="expression" dxfId="5528" priority="230">
      <formula>N$9&lt;8/24</formula>
    </cfRule>
  </conditionalFormatting>
  <conditionalFormatting sqref="S98:T98">
    <cfRule type="expression" dxfId="5527" priority="223">
      <formula>S$9&gt;=20/24</formula>
    </cfRule>
    <cfRule type="expression" dxfId="5526" priority="224">
      <formula>AND(S$9&gt;=14/24,S$9&lt;20/24)</formula>
    </cfRule>
    <cfRule type="expression" dxfId="5525" priority="225">
      <formula>AND(S$9&gt;=8/24,S$9&lt;14/24)</formula>
    </cfRule>
    <cfRule type="expression" dxfId="5524" priority="226">
      <formula>S$9&lt;8/24</formula>
    </cfRule>
  </conditionalFormatting>
  <conditionalFormatting sqref="M94:O94">
    <cfRule type="expression" dxfId="5523" priority="219">
      <formula>M$9&gt;=20/24</formula>
    </cfRule>
    <cfRule type="expression" dxfId="5522" priority="220">
      <formula>AND(M$9&gt;=14/24,M$9&lt;20/24)</formula>
    </cfRule>
    <cfRule type="expression" dxfId="5521" priority="221">
      <formula>AND(M$9&gt;=8/24,M$9&lt;14/24)</formula>
    </cfRule>
    <cfRule type="expression" dxfId="5520" priority="222">
      <formula>M$9&lt;8/24</formula>
    </cfRule>
  </conditionalFormatting>
  <conditionalFormatting sqref="G94:L94">
    <cfRule type="expression" dxfId="5519" priority="215">
      <formula>G$9&gt;=20/24</formula>
    </cfRule>
    <cfRule type="expression" dxfId="5518" priority="216">
      <formula>AND(G$9&gt;=14/24,G$9&lt;20/24)</formula>
    </cfRule>
    <cfRule type="expression" dxfId="5517" priority="217">
      <formula>AND(G$9&gt;=8/24,G$9&lt;14/24)</formula>
    </cfRule>
    <cfRule type="expression" dxfId="5516" priority="218">
      <formula>G$9&lt;8/24</formula>
    </cfRule>
  </conditionalFormatting>
  <conditionalFormatting sqref="U94:W94">
    <cfRule type="expression" dxfId="5515" priority="211">
      <formula>U$9&gt;=20/24</formula>
    </cfRule>
    <cfRule type="expression" dxfId="5514" priority="212">
      <formula>AND(U$9&gt;=14/24,U$9&lt;20/24)</formula>
    </cfRule>
    <cfRule type="expression" dxfId="5513" priority="213">
      <formula>AND(U$9&gt;=8/24,U$9&lt;14/24)</formula>
    </cfRule>
    <cfRule type="expression" dxfId="5512" priority="214">
      <formula>U$9&lt;8/24</formula>
    </cfRule>
  </conditionalFormatting>
  <conditionalFormatting sqref="N94:O94 R94:T94">
    <cfRule type="expression" dxfId="5511" priority="207">
      <formula>N$9&gt;=20/24</formula>
    </cfRule>
    <cfRule type="expression" dxfId="5510" priority="208">
      <formula>AND(N$9&gt;=14/24,N$9&lt;20/24)</formula>
    </cfRule>
    <cfRule type="expression" dxfId="5509" priority="209">
      <formula>AND(N$9&gt;=8/24,N$9&lt;14/24)</formula>
    </cfRule>
    <cfRule type="expression" dxfId="5508" priority="210">
      <formula>N$9&lt;8/24</formula>
    </cfRule>
  </conditionalFormatting>
  <conditionalFormatting sqref="U99:AA100">
    <cfRule type="expression" dxfId="5507" priority="203">
      <formula>U$9&gt;=20/24</formula>
    </cfRule>
    <cfRule type="expression" dxfId="5506" priority="204">
      <formula>AND(U$9&gt;=14/24,U$9&lt;20/24)</formula>
    </cfRule>
    <cfRule type="expression" dxfId="5505" priority="205">
      <formula>AND(U$9&gt;=8/24,U$9&lt;14/24)</formula>
    </cfRule>
    <cfRule type="expression" dxfId="5504" priority="206">
      <formula>U$9&lt;8/24</formula>
    </cfRule>
  </conditionalFormatting>
  <conditionalFormatting sqref="C99:M100">
    <cfRule type="expression" dxfId="5503" priority="199">
      <formula>C$9&gt;=20/24</formula>
    </cfRule>
    <cfRule type="expression" dxfId="5502" priority="200">
      <formula>AND(C$9&gt;=14/24,C$9&lt;20/24)</formula>
    </cfRule>
    <cfRule type="expression" dxfId="5501" priority="201">
      <formula>AND(C$9&gt;=8/24,C$9&lt;14/24)</formula>
    </cfRule>
    <cfRule type="expression" dxfId="5500" priority="202">
      <formula>C$9&lt;8/24</formula>
    </cfRule>
  </conditionalFormatting>
  <conditionalFormatting sqref="N99:O100 R99:R100">
    <cfRule type="expression" dxfId="5499" priority="195">
      <formula>N$9&gt;=20/24</formula>
    </cfRule>
    <cfRule type="expression" dxfId="5498" priority="196">
      <formula>AND(N$9&gt;=14/24,N$9&lt;20/24)</formula>
    </cfRule>
    <cfRule type="expression" dxfId="5497" priority="197">
      <formula>AND(N$9&gt;=8/24,N$9&lt;14/24)</formula>
    </cfRule>
    <cfRule type="expression" dxfId="5496" priority="198">
      <formula>N$9&lt;8/24</formula>
    </cfRule>
  </conditionalFormatting>
  <conditionalFormatting sqref="S99:T100">
    <cfRule type="expression" dxfId="5495" priority="191">
      <formula>S$9&gt;=20/24</formula>
    </cfRule>
    <cfRule type="expression" dxfId="5494" priority="192">
      <formula>AND(S$9&gt;=14/24,S$9&lt;20/24)</formula>
    </cfRule>
    <cfRule type="expression" dxfId="5493" priority="193">
      <formula>AND(S$9&gt;=8/24,S$9&lt;14/24)</formula>
    </cfRule>
    <cfRule type="expression" dxfId="5492" priority="194">
      <formula>S$9&lt;8/24</formula>
    </cfRule>
  </conditionalFormatting>
  <conditionalFormatting sqref="AB58:AE59">
    <cfRule type="expression" dxfId="5491" priority="175">
      <formula>AB$9&gt;=20/24</formula>
    </cfRule>
    <cfRule type="expression" dxfId="5490" priority="176">
      <formula>AND(AB$9&gt;=14/24,AB$9&lt;20/24)</formula>
    </cfRule>
    <cfRule type="expression" dxfId="5489" priority="177">
      <formula>AND(AB$9&gt;=8/24,AB$9&lt;14/24)</formula>
    </cfRule>
    <cfRule type="expression" dxfId="5488" priority="178">
      <formula>AB$9&lt;8/24</formula>
    </cfRule>
  </conditionalFormatting>
  <conditionalFormatting sqref="AL33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487" priority="408">
      <formula>C$9&gt;=20/24</formula>
    </cfRule>
    <cfRule type="expression" dxfId="5486" priority="409">
      <formula>AND(C$9&gt;=14/24,C$9&lt;20/24)</formula>
    </cfRule>
    <cfRule type="expression" dxfId="5485" priority="410">
      <formula>AND(C$9&gt;=8/24,C$9&lt;14/24)</formula>
    </cfRule>
    <cfRule type="expression" dxfId="5484" priority="411">
      <formula>C$9&lt;8/24</formula>
    </cfRule>
  </conditionalFormatting>
  <conditionalFormatting sqref="A201">
    <cfRule type="expression" dxfId="5483" priority="412">
      <formula>$AH201=0</formula>
    </cfRule>
  </conditionalFormatting>
  <conditionalFormatting sqref="AG213">
    <cfRule type="expression" dxfId="5482" priority="413">
      <formula>B$9&gt;=20/24</formula>
    </cfRule>
    <cfRule type="expression" dxfId="5481" priority="414">
      <formula>AND(B$9&gt;=14/24,B$9&lt;20/24)</formula>
    </cfRule>
    <cfRule type="expression" dxfId="5480" priority="415">
      <formula>AND(B$9&gt;=8/24,B$9&lt;14/24)</formula>
    </cfRule>
    <cfRule type="expression" dxfId="5479" priority="416">
      <formula>B$9&lt;8/24</formula>
    </cfRule>
  </conditionalFormatting>
  <conditionalFormatting sqref="S8">
    <cfRule type="expression" dxfId="5478" priority="169">
      <formula>U$9&gt;=20/24</formula>
    </cfRule>
    <cfRule type="expression" dxfId="5477" priority="170">
      <formula>AND(U$9&gt;=14/24,U$9&lt;20/24)</formula>
    </cfRule>
    <cfRule type="expression" dxfId="5476" priority="171">
      <formula>AND(U$9&gt;=8/24,U$9&lt;14/24)</formula>
    </cfRule>
    <cfRule type="expression" dxfId="5475" priority="172">
      <formula>U$9&lt;8/24</formula>
    </cfRule>
  </conditionalFormatting>
  <conditionalFormatting sqref="AB8">
    <cfRule type="expression" dxfId="5474" priority="165">
      <formula>AD$9&gt;=20/24</formula>
    </cfRule>
    <cfRule type="expression" dxfId="5473" priority="166">
      <formula>AND(AD$9&gt;=14/24,AD$9&lt;20/24)</formula>
    </cfRule>
    <cfRule type="expression" dxfId="5472" priority="167">
      <formula>AND(AD$9&gt;=8/24,AD$9&lt;14/24)</formula>
    </cfRule>
    <cfRule type="expression" dxfId="5471" priority="168">
      <formula>AD$9&lt;8/24</formula>
    </cfRule>
  </conditionalFormatting>
  <conditionalFormatting sqref="AH213:AX213">
    <cfRule type="expression" dxfId="5470" priority="417">
      <formula>AG$9&gt;=20/24</formula>
    </cfRule>
    <cfRule type="expression" dxfId="5469" priority="418">
      <formula>AND(AG$9&gt;=14/24,AG$9&lt;20/24)</formula>
    </cfRule>
    <cfRule type="expression" dxfId="5468" priority="419">
      <formula>AND(AG$9&gt;=8/24,AG$9&lt;14/24)</formula>
    </cfRule>
    <cfRule type="expression" dxfId="5467" priority="420">
      <formula>AG$9&lt;8/24</formula>
    </cfRule>
  </conditionalFormatting>
  <conditionalFormatting sqref="T213">
    <cfRule type="expression" dxfId="5466" priority="421">
      <formula>AX$9&gt;=20/24</formula>
    </cfRule>
    <cfRule type="expression" dxfId="5465" priority="422">
      <formula>AND(AX$9&gt;=14/24,AX$9&lt;20/24)</formula>
    </cfRule>
    <cfRule type="expression" dxfId="5464" priority="423">
      <formula>AND(AX$9&gt;=8/24,AX$9&lt;14/24)</formula>
    </cfRule>
    <cfRule type="expression" dxfId="5463" priority="424">
      <formula>AX$9&lt;8/24</formula>
    </cfRule>
  </conditionalFormatting>
  <conditionalFormatting sqref="A99:A100">
    <cfRule type="expression" dxfId="5462" priority="164">
      <formula>$AH99=0</formula>
    </cfRule>
  </conditionalFormatting>
  <conditionalFormatting sqref="M33:O33">
    <cfRule type="expression" dxfId="5461" priority="160">
      <formula>M$9&gt;=20/24</formula>
    </cfRule>
    <cfRule type="expression" dxfId="5460" priority="161">
      <formula>AND(M$9&gt;=14/24,M$9&lt;20/24)</formula>
    </cfRule>
    <cfRule type="expression" dxfId="5459" priority="162">
      <formula>AND(M$9&gt;=8/24,M$9&lt;14/24)</formula>
    </cfRule>
    <cfRule type="expression" dxfId="5458" priority="163">
      <formula>M$9&lt;8/24</formula>
    </cfRule>
  </conditionalFormatting>
  <conditionalFormatting sqref="Z33:AF33">
    <cfRule type="expression" dxfId="5457" priority="156">
      <formula>Z$9&gt;=20/24</formula>
    </cfRule>
    <cfRule type="expression" dxfId="5456" priority="157">
      <formula>AND(Z$9&gt;=14/24,Z$9&lt;20/24)</formula>
    </cfRule>
    <cfRule type="expression" dxfId="5455" priority="158">
      <formula>AND(Z$9&gt;=8/24,Z$9&lt;14/24)</formula>
    </cfRule>
    <cfRule type="expression" dxfId="5454" priority="159">
      <formula>Z$9&lt;8/24</formula>
    </cfRule>
  </conditionalFormatting>
  <conditionalFormatting sqref="B33:O33 Z33:AF33">
    <cfRule type="expression" dxfId="5453" priority="151">
      <formula>B33&gt;$AG33</formula>
    </cfRule>
  </conditionalFormatting>
  <conditionalFormatting sqref="P53:P56 P68:P83 P11:P14 P16:P32 P36:P37 P45:P48 P39:P42 P58:P61">
    <cfRule type="expression" dxfId="5452" priority="147">
      <formula>P$9&gt;=20/24</formula>
    </cfRule>
    <cfRule type="expression" dxfId="5451" priority="148">
      <formula>AND(P$9&gt;=14/24,P$9&lt;20/24)</formula>
    </cfRule>
    <cfRule type="expression" dxfId="5450" priority="149">
      <formula>AND(P$9&gt;=8/24,P$9&lt;14/24)</formula>
    </cfRule>
    <cfRule type="expression" dxfId="5449" priority="150">
      <formula>P$9&lt;8/24</formula>
    </cfRule>
  </conditionalFormatting>
  <conditionalFormatting sqref="P57">
    <cfRule type="expression" dxfId="5448" priority="143">
      <formula>P$9&gt;=20/24</formula>
    </cfRule>
    <cfRule type="expression" dxfId="5447" priority="144">
      <formula>AND(P$9&gt;=14/24,P$9&lt;20/24)</formula>
    </cfRule>
    <cfRule type="expression" dxfId="5446" priority="145">
      <formula>AND(P$9&gt;=8/24,P$9&lt;14/24)</formula>
    </cfRule>
    <cfRule type="expression" dxfId="5445" priority="146">
      <formula>P$9&lt;8/24</formula>
    </cfRule>
  </conditionalFormatting>
  <conditionalFormatting sqref="P43">
    <cfRule type="expression" dxfId="5444" priority="139">
      <formula>P$9&gt;=20/24</formula>
    </cfRule>
    <cfRule type="expression" dxfId="5443" priority="140">
      <formula>AND(P$9&gt;=14/24,P$9&lt;20/24)</formula>
    </cfRule>
    <cfRule type="expression" dxfId="5442" priority="141">
      <formula>AND(P$9&gt;=8/24,P$9&lt;14/24)</formula>
    </cfRule>
    <cfRule type="expression" dxfId="5441" priority="142">
      <formula>P$9&lt;8/24</formula>
    </cfRule>
  </conditionalFormatting>
  <conditionalFormatting sqref="P35">
    <cfRule type="expression" dxfId="5440" priority="135">
      <formula>P$9&gt;=20/24</formula>
    </cfRule>
    <cfRule type="expression" dxfId="5439" priority="136">
      <formula>AND(P$9&gt;=14/24,P$9&lt;20/24)</formula>
    </cfRule>
    <cfRule type="expression" dxfId="5438" priority="137">
      <formula>AND(P$9&gt;=8/24,P$9&lt;14/24)</formula>
    </cfRule>
    <cfRule type="expression" dxfId="5437" priority="138">
      <formula>P$9&lt;8/24</formula>
    </cfRule>
  </conditionalFormatting>
  <conditionalFormatting sqref="P49">
    <cfRule type="expression" dxfId="5436" priority="131">
      <formula>P$9&gt;=20/24</formula>
    </cfRule>
    <cfRule type="expression" dxfId="5435" priority="132">
      <formula>AND(P$9&gt;=14/24,P$9&lt;20/24)</formula>
    </cfRule>
    <cfRule type="expression" dxfId="5434" priority="133">
      <formula>AND(P$9&gt;=8/24,P$9&lt;14/24)</formula>
    </cfRule>
    <cfRule type="expression" dxfId="5433" priority="134">
      <formula>P$9&lt;8/24</formula>
    </cfRule>
  </conditionalFormatting>
  <conditionalFormatting sqref="P50">
    <cfRule type="expression" dxfId="5432" priority="127">
      <formula>P$9&gt;=20/24</formula>
    </cfRule>
    <cfRule type="expression" dxfId="5431" priority="128">
      <formula>AND(P$9&gt;=14/24,P$9&lt;20/24)</formula>
    </cfRule>
    <cfRule type="expression" dxfId="5430" priority="129">
      <formula>AND(P$9&gt;=8/24,P$9&lt;14/24)</formula>
    </cfRule>
    <cfRule type="expression" dxfId="5429" priority="130">
      <formula>P$9&lt;8/24</formula>
    </cfRule>
  </conditionalFormatting>
  <conditionalFormatting sqref="P45:P48">
    <cfRule type="expression" dxfId="5428" priority="123">
      <formula>P$9&gt;=20/24</formula>
    </cfRule>
    <cfRule type="expression" dxfId="5427" priority="124">
      <formula>AND(P$9&gt;=14/24,P$9&lt;20/24)</formula>
    </cfRule>
    <cfRule type="expression" dxfId="5426" priority="125">
      <formula>AND(P$9&gt;=8/24,P$9&lt;14/24)</formula>
    </cfRule>
    <cfRule type="expression" dxfId="5425" priority="126">
      <formula>P$9&lt;8/24</formula>
    </cfRule>
  </conditionalFormatting>
  <conditionalFormatting sqref="P16:P32 P11:P14 P34:P56">
    <cfRule type="expression" dxfId="5424" priority="122">
      <formula>P11&gt;$AG11</formula>
    </cfRule>
  </conditionalFormatting>
  <conditionalFormatting sqref="P62:P67">
    <cfRule type="expression" dxfId="5423" priority="118">
      <formula>P$9&gt;=20/24</formula>
    </cfRule>
    <cfRule type="expression" dxfId="5422" priority="119">
      <formula>AND(P$9&gt;=14/24,P$9&lt;20/24)</formula>
    </cfRule>
    <cfRule type="expression" dxfId="5421" priority="120">
      <formula>AND(P$9&gt;=8/24,P$9&lt;14/24)</formula>
    </cfRule>
    <cfRule type="expression" dxfId="5420" priority="121">
      <formula>P$9&lt;8/24</formula>
    </cfRule>
  </conditionalFormatting>
  <conditionalFormatting sqref="P34">
    <cfRule type="expression" dxfId="5419" priority="114">
      <formula>P$9&gt;=20/24</formula>
    </cfRule>
    <cfRule type="expression" dxfId="5418" priority="115">
      <formula>AND(P$9&gt;=14/24,P$9&lt;20/24)</formula>
    </cfRule>
    <cfRule type="expression" dxfId="5417" priority="116">
      <formula>AND(P$9&gt;=8/24,P$9&lt;14/24)</formula>
    </cfRule>
    <cfRule type="expression" dxfId="5416" priority="117">
      <formula>P$9&lt;8/24</formula>
    </cfRule>
  </conditionalFormatting>
  <conditionalFormatting sqref="P15">
    <cfRule type="expression" dxfId="5415" priority="110">
      <formula>P$9&gt;=20/24</formula>
    </cfRule>
    <cfRule type="expression" dxfId="5414" priority="111">
      <formula>AND(P$9&gt;=14/24,P$9&lt;20/24)</formula>
    </cfRule>
    <cfRule type="expression" dxfId="5413" priority="112">
      <formula>AND(P$9&gt;=8/24,P$9&lt;14/24)</formula>
    </cfRule>
    <cfRule type="expression" dxfId="5412" priority="113">
      <formula>P$9&lt;8/24</formula>
    </cfRule>
  </conditionalFormatting>
  <conditionalFormatting sqref="P15">
    <cfRule type="expression" dxfId="5411" priority="109">
      <formula>P15&gt;$AG15</formula>
    </cfRule>
  </conditionalFormatting>
  <conditionalFormatting sqref="P44">
    <cfRule type="expression" dxfId="5410" priority="105">
      <formula>P$9&gt;=20/24</formula>
    </cfRule>
    <cfRule type="expression" dxfId="5409" priority="106">
      <formula>AND(P$9&gt;=14/24,P$9&lt;20/24)</formula>
    </cfRule>
    <cfRule type="expression" dxfId="5408" priority="107">
      <formula>AND(P$9&gt;=8/24,P$9&lt;14/24)</formula>
    </cfRule>
    <cfRule type="expression" dxfId="5407" priority="108">
      <formula>P$9&lt;8/24</formula>
    </cfRule>
  </conditionalFormatting>
  <conditionalFormatting sqref="P84:P91">
    <cfRule type="expression" dxfId="5406" priority="101">
      <formula>P$9&gt;=20/24</formula>
    </cfRule>
    <cfRule type="expression" dxfId="5405" priority="102">
      <formula>AND(P$9&gt;=14/24,P$9&lt;20/24)</formula>
    </cfRule>
    <cfRule type="expression" dxfId="5404" priority="103">
      <formula>AND(P$9&gt;=8/24,P$9&lt;14/24)</formula>
    </cfRule>
    <cfRule type="expression" dxfId="5403" priority="104">
      <formula>P$9&lt;8/24</formula>
    </cfRule>
  </conditionalFormatting>
  <conditionalFormatting sqref="P33">
    <cfRule type="expression" dxfId="5402" priority="97">
      <formula>P$9&gt;=20/24</formula>
    </cfRule>
    <cfRule type="expression" dxfId="5401" priority="98">
      <formula>AND(P$9&gt;=14/24,P$9&lt;20/24)</formula>
    </cfRule>
    <cfRule type="expression" dxfId="5400" priority="99">
      <formula>AND(P$9&gt;=8/24,P$9&lt;14/24)</formula>
    </cfRule>
    <cfRule type="expression" dxfId="5399" priority="100">
      <formula>P$9&lt;8/24</formula>
    </cfRule>
  </conditionalFormatting>
  <conditionalFormatting sqref="P33">
    <cfRule type="expression" dxfId="5398" priority="96">
      <formula>P33&gt;$AG33</formula>
    </cfRule>
  </conditionalFormatting>
  <conditionalFormatting sqref="Q53:R56 Q68:R83 Q36:R37 Q39:R42 Q58:R61 Q11:S14 T12:Y14 Q16:Y32 S36:Y36 Q45:Y48">
    <cfRule type="expression" dxfId="5397" priority="92">
      <formula>Q$9&gt;=20/24</formula>
    </cfRule>
    <cfRule type="expression" dxfId="5396" priority="93">
      <formula>AND(Q$9&gt;=14/24,Q$9&lt;20/24)</formula>
    </cfRule>
    <cfRule type="expression" dxfId="5395" priority="94">
      <formula>AND(Q$9&gt;=8/24,Q$9&lt;14/24)</formula>
    </cfRule>
    <cfRule type="expression" dxfId="5394" priority="95">
      <formula>Q$9&lt;8/24</formula>
    </cfRule>
  </conditionalFormatting>
  <conditionalFormatting sqref="Q57:R57">
    <cfRule type="expression" dxfId="5393" priority="88">
      <formula>Q$9&gt;=20/24</formula>
    </cfRule>
    <cfRule type="expression" dxfId="5392" priority="89">
      <formula>AND(Q$9&gt;=14/24,Q$9&lt;20/24)</formula>
    </cfRule>
    <cfRule type="expression" dxfId="5391" priority="90">
      <formula>AND(Q$9&gt;=8/24,Q$9&lt;14/24)</formula>
    </cfRule>
    <cfRule type="expression" dxfId="5390" priority="91">
      <formula>Q$9&lt;8/24</formula>
    </cfRule>
  </conditionalFormatting>
  <conditionalFormatting sqref="Q43:R43">
    <cfRule type="expression" dxfId="5389" priority="84">
      <formula>Q$9&gt;=20/24</formula>
    </cfRule>
    <cfRule type="expression" dxfId="5388" priority="85">
      <formula>AND(Q$9&gt;=14/24,Q$9&lt;20/24)</formula>
    </cfRule>
    <cfRule type="expression" dxfId="5387" priority="86">
      <formula>AND(Q$9&gt;=8/24,Q$9&lt;14/24)</formula>
    </cfRule>
    <cfRule type="expression" dxfId="5386" priority="87">
      <formula>Q$9&lt;8/24</formula>
    </cfRule>
  </conditionalFormatting>
  <conditionalFormatting sqref="Q35:Y35">
    <cfRule type="expression" dxfId="5385" priority="80">
      <formula>Q$9&gt;=20/24</formula>
    </cfRule>
    <cfRule type="expression" dxfId="5384" priority="81">
      <formula>AND(Q$9&gt;=14/24,Q$9&lt;20/24)</formula>
    </cfRule>
    <cfRule type="expression" dxfId="5383" priority="82">
      <formula>AND(Q$9&gt;=8/24,Q$9&lt;14/24)</formula>
    </cfRule>
    <cfRule type="expression" dxfId="5382" priority="83">
      <formula>Q$9&lt;8/24</formula>
    </cfRule>
  </conditionalFormatting>
  <conditionalFormatting sqref="Q49:Y49">
    <cfRule type="expression" dxfId="5381" priority="76">
      <formula>Q$9&gt;=20/24</formula>
    </cfRule>
    <cfRule type="expression" dxfId="5380" priority="77">
      <formula>AND(Q$9&gt;=14/24,Q$9&lt;20/24)</formula>
    </cfRule>
    <cfRule type="expression" dxfId="5379" priority="78">
      <formula>AND(Q$9&gt;=8/24,Q$9&lt;14/24)</formula>
    </cfRule>
    <cfRule type="expression" dxfId="5378" priority="79">
      <formula>Q$9&lt;8/24</formula>
    </cfRule>
  </conditionalFormatting>
  <conditionalFormatting sqref="Q50:Y50">
    <cfRule type="expression" dxfId="5377" priority="72">
      <formula>Q$9&gt;=20/24</formula>
    </cfRule>
    <cfRule type="expression" dxfId="5376" priority="73">
      <formula>AND(Q$9&gt;=14/24,Q$9&lt;20/24)</formula>
    </cfRule>
    <cfRule type="expression" dxfId="5375" priority="74">
      <formula>AND(Q$9&gt;=8/24,Q$9&lt;14/24)</formula>
    </cfRule>
    <cfRule type="expression" dxfId="5374" priority="75">
      <formula>Q$9&lt;8/24</formula>
    </cfRule>
  </conditionalFormatting>
  <conditionalFormatting sqref="Q45:Y48">
    <cfRule type="expression" dxfId="5373" priority="68">
      <formula>Q$9&gt;=20/24</formula>
    </cfRule>
    <cfRule type="expression" dxfId="5372" priority="69">
      <formula>AND(Q$9&gt;=14/24,Q$9&lt;20/24)</formula>
    </cfRule>
    <cfRule type="expression" dxfId="5371" priority="70">
      <formula>AND(Q$9&gt;=8/24,Q$9&lt;14/24)</formula>
    </cfRule>
    <cfRule type="expression" dxfId="5370" priority="71">
      <formula>Q$9&lt;8/24</formula>
    </cfRule>
  </conditionalFormatting>
  <conditionalFormatting sqref="Q34:R56 Q11:S14 Q16:Y32 T12:Y14 S34:Y36 S44:Y50">
    <cfRule type="expression" dxfId="5369" priority="67">
      <formula>Q11&gt;$AG11</formula>
    </cfRule>
  </conditionalFormatting>
  <conditionalFormatting sqref="Q62:Y67">
    <cfRule type="expression" dxfId="5368" priority="63">
      <formula>Q$9&gt;=20/24</formula>
    </cfRule>
    <cfRule type="expression" dxfId="5367" priority="64">
      <formula>AND(Q$9&gt;=14/24,Q$9&lt;20/24)</formula>
    </cfRule>
    <cfRule type="expression" dxfId="5366" priority="65">
      <formula>AND(Q$9&gt;=8/24,Q$9&lt;14/24)</formula>
    </cfRule>
    <cfRule type="expression" dxfId="5365" priority="66">
      <formula>Q$9&lt;8/24</formula>
    </cfRule>
  </conditionalFormatting>
  <conditionalFormatting sqref="Q34:Y34">
    <cfRule type="expression" dxfId="5364" priority="59">
      <formula>Q$9&gt;=20/24</formula>
    </cfRule>
    <cfRule type="expression" dxfId="5363" priority="60">
      <formula>AND(Q$9&gt;=14/24,Q$9&lt;20/24)</formula>
    </cfRule>
    <cfRule type="expression" dxfId="5362" priority="61">
      <formula>AND(Q$9&gt;=8/24,Q$9&lt;14/24)</formula>
    </cfRule>
    <cfRule type="expression" dxfId="5361" priority="62">
      <formula>Q$9&lt;8/24</formula>
    </cfRule>
  </conditionalFormatting>
  <conditionalFormatting sqref="Q15:Y15">
    <cfRule type="expression" dxfId="5360" priority="55">
      <formula>Q$9&gt;=20/24</formula>
    </cfRule>
    <cfRule type="expression" dxfId="5359" priority="56">
      <formula>AND(Q$9&gt;=14/24,Q$9&lt;20/24)</formula>
    </cfRule>
    <cfRule type="expression" dxfId="5358" priority="57">
      <formula>AND(Q$9&gt;=8/24,Q$9&lt;14/24)</formula>
    </cfRule>
    <cfRule type="expression" dxfId="5357" priority="58">
      <formula>Q$9&lt;8/24</formula>
    </cfRule>
  </conditionalFormatting>
  <conditionalFormatting sqref="Q15:Y15">
    <cfRule type="expression" dxfId="5356" priority="54">
      <formula>Q15&gt;$AG15</formula>
    </cfRule>
  </conditionalFormatting>
  <conditionalFormatting sqref="Q44:Y44">
    <cfRule type="expression" dxfId="5355" priority="50">
      <formula>Q$9&gt;=20/24</formula>
    </cfRule>
    <cfRule type="expression" dxfId="5354" priority="51">
      <formula>AND(Q$9&gt;=14/24,Q$9&lt;20/24)</formula>
    </cfRule>
    <cfRule type="expression" dxfId="5353" priority="52">
      <formula>AND(Q$9&gt;=8/24,Q$9&lt;14/24)</formula>
    </cfRule>
    <cfRule type="expression" dxfId="5352" priority="53">
      <formula>Q$9&lt;8/24</formula>
    </cfRule>
  </conditionalFormatting>
  <conditionalFormatting sqref="Q84:R91">
    <cfRule type="expression" dxfId="5351" priority="46">
      <formula>Q$9&gt;=20/24</formula>
    </cfRule>
    <cfRule type="expression" dxfId="5350" priority="47">
      <formula>AND(Q$9&gt;=14/24,Q$9&lt;20/24)</formula>
    </cfRule>
    <cfRule type="expression" dxfId="5349" priority="48">
      <formula>AND(Q$9&gt;=8/24,Q$9&lt;14/24)</formula>
    </cfRule>
    <cfRule type="expression" dxfId="5348" priority="49">
      <formula>Q$9&lt;8/24</formula>
    </cfRule>
  </conditionalFormatting>
  <conditionalFormatting sqref="Q33:Y33">
    <cfRule type="expression" dxfId="5347" priority="42">
      <formula>Q$9&gt;=20/24</formula>
    </cfRule>
    <cfRule type="expression" dxfId="5346" priority="43">
      <formula>AND(Q$9&gt;=14/24,Q$9&lt;20/24)</formula>
    </cfRule>
    <cfRule type="expression" dxfId="5345" priority="44">
      <formula>AND(Q$9&gt;=8/24,Q$9&lt;14/24)</formula>
    </cfRule>
    <cfRule type="expression" dxfId="5344" priority="45">
      <formula>Q$9&lt;8/24</formula>
    </cfRule>
  </conditionalFormatting>
  <conditionalFormatting sqref="Q33:Y33">
    <cfRule type="expression" dxfId="5343" priority="41">
      <formula>Q33&gt;$AG33</formula>
    </cfRule>
  </conditionalFormatting>
  <conditionalFormatting sqref="P95:P97">
    <cfRule type="expression" dxfId="5342" priority="37">
      <formula>P$9&gt;=20/24</formula>
    </cfRule>
    <cfRule type="expression" dxfId="5341" priority="38">
      <formula>AND(P$9&gt;=14/24,P$9&lt;20/24)</formula>
    </cfRule>
    <cfRule type="expression" dxfId="5340" priority="39">
      <formula>AND(P$9&gt;=8/24,P$9&lt;14/24)</formula>
    </cfRule>
    <cfRule type="expression" dxfId="5339" priority="40">
      <formula>P$9&lt;8/24</formula>
    </cfRule>
  </conditionalFormatting>
  <conditionalFormatting sqref="P98">
    <cfRule type="expression" dxfId="5338" priority="33">
      <formula>P$9&gt;=20/24</formula>
    </cfRule>
    <cfRule type="expression" dxfId="5337" priority="34">
      <formula>AND(P$9&gt;=14/24,P$9&lt;20/24)</formula>
    </cfRule>
    <cfRule type="expression" dxfId="5336" priority="35">
      <formula>AND(P$9&gt;=8/24,P$9&lt;14/24)</formula>
    </cfRule>
    <cfRule type="expression" dxfId="5335" priority="36">
      <formula>P$9&lt;8/24</formula>
    </cfRule>
  </conditionalFormatting>
  <conditionalFormatting sqref="P94">
    <cfRule type="expression" dxfId="5334" priority="29">
      <formula>P$9&gt;=20/24</formula>
    </cfRule>
    <cfRule type="expression" dxfId="5333" priority="30">
      <formula>AND(P$9&gt;=14/24,P$9&lt;20/24)</formula>
    </cfRule>
    <cfRule type="expression" dxfId="5332" priority="31">
      <formula>AND(P$9&gt;=8/24,P$9&lt;14/24)</formula>
    </cfRule>
    <cfRule type="expression" dxfId="5331" priority="32">
      <formula>P$9&lt;8/24</formula>
    </cfRule>
  </conditionalFormatting>
  <conditionalFormatting sqref="P94">
    <cfRule type="expression" dxfId="5330" priority="25">
      <formula>P$9&gt;=20/24</formula>
    </cfRule>
    <cfRule type="expression" dxfId="5329" priority="26">
      <formula>AND(P$9&gt;=14/24,P$9&lt;20/24)</formula>
    </cfRule>
    <cfRule type="expression" dxfId="5328" priority="27">
      <formula>AND(P$9&gt;=8/24,P$9&lt;14/24)</formula>
    </cfRule>
    <cfRule type="expression" dxfId="5327" priority="28">
      <formula>P$9&lt;8/24</formula>
    </cfRule>
  </conditionalFormatting>
  <conditionalFormatting sqref="P99:P100">
    <cfRule type="expression" dxfId="5326" priority="21">
      <formula>P$9&gt;=20/24</formula>
    </cfRule>
    <cfRule type="expression" dxfId="5325" priority="22">
      <formula>AND(P$9&gt;=14/24,P$9&lt;20/24)</formula>
    </cfRule>
    <cfRule type="expression" dxfId="5324" priority="23">
      <formula>AND(P$9&gt;=8/24,P$9&lt;14/24)</formula>
    </cfRule>
    <cfRule type="expression" dxfId="5323" priority="24">
      <formula>P$9&lt;8/24</formula>
    </cfRule>
  </conditionalFormatting>
  <conditionalFormatting sqref="Q95:Q97">
    <cfRule type="expression" dxfId="5322" priority="17">
      <formula>Q$9&gt;=20/24</formula>
    </cfRule>
    <cfRule type="expression" dxfId="5321" priority="18">
      <formula>AND(Q$9&gt;=14/24,Q$9&lt;20/24)</formula>
    </cfRule>
    <cfRule type="expression" dxfId="5320" priority="19">
      <formula>AND(Q$9&gt;=8/24,Q$9&lt;14/24)</formula>
    </cfRule>
    <cfRule type="expression" dxfId="5319" priority="20">
      <formula>Q$9&lt;8/24</formula>
    </cfRule>
  </conditionalFormatting>
  <conditionalFormatting sqref="Q98">
    <cfRule type="expression" dxfId="5318" priority="13">
      <formula>Q$9&gt;=20/24</formula>
    </cfRule>
    <cfRule type="expression" dxfId="5317" priority="14">
      <formula>AND(Q$9&gt;=14/24,Q$9&lt;20/24)</formula>
    </cfRule>
    <cfRule type="expression" dxfId="5316" priority="15">
      <formula>AND(Q$9&gt;=8/24,Q$9&lt;14/24)</formula>
    </cfRule>
    <cfRule type="expression" dxfId="5315" priority="16">
      <formula>Q$9&lt;8/24</formula>
    </cfRule>
  </conditionalFormatting>
  <conditionalFormatting sqref="Q94">
    <cfRule type="expression" dxfId="5314" priority="9">
      <formula>Q$9&gt;=20/24</formula>
    </cfRule>
    <cfRule type="expression" dxfId="5313" priority="10">
      <formula>AND(Q$9&gt;=14/24,Q$9&lt;20/24)</formula>
    </cfRule>
    <cfRule type="expression" dxfId="5312" priority="11">
      <formula>AND(Q$9&gt;=8/24,Q$9&lt;14/24)</formula>
    </cfRule>
    <cfRule type="expression" dxfId="5311" priority="12">
      <formula>Q$9&lt;8/24</formula>
    </cfRule>
  </conditionalFormatting>
  <conditionalFormatting sqref="Q94">
    <cfRule type="expression" dxfId="5310" priority="5">
      <formula>Q$9&gt;=20/24</formula>
    </cfRule>
    <cfRule type="expression" dxfId="5309" priority="6">
      <formula>AND(Q$9&gt;=14/24,Q$9&lt;20/24)</formula>
    </cfRule>
    <cfRule type="expression" dxfId="5308" priority="7">
      <formula>AND(Q$9&gt;=8/24,Q$9&lt;14/24)</formula>
    </cfRule>
    <cfRule type="expression" dxfId="5307" priority="8">
      <formula>Q$9&lt;8/24</formula>
    </cfRule>
  </conditionalFormatting>
  <conditionalFormatting sqref="Q99:Q100">
    <cfRule type="expression" dxfId="5306" priority="1">
      <formula>Q$9&gt;=20/24</formula>
    </cfRule>
    <cfRule type="expression" dxfId="5305" priority="2">
      <formula>AND(Q$9&gt;=14/24,Q$9&lt;20/24)</formula>
    </cfRule>
    <cfRule type="expression" dxfId="5304" priority="3">
      <formula>AND(Q$9&gt;=8/24,Q$9&lt;14/24)</formula>
    </cfRule>
    <cfRule type="expression" dxfId="5303" priority="4">
      <formula>Q$9&lt;8/24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4" id="{23F3121D-7F9D-40E3-B894-7CF15BC4406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59" sqref="F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2078/12/13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176</v>
      </c>
      <c r="C5" s="157">
        <f t="shared" si="0"/>
        <v>179.5</v>
      </c>
      <c r="D5" s="157">
        <f t="shared" si="0"/>
        <v>265.89999999999998</v>
      </c>
      <c r="E5" s="157">
        <f t="shared" si="0"/>
        <v>301</v>
      </c>
      <c r="F5" s="157">
        <f t="shared" si="0"/>
        <v>319.7</v>
      </c>
      <c r="G5" s="157">
        <f t="shared" si="0"/>
        <v>352.70000000000005</v>
      </c>
      <c r="H5" s="157">
        <f t="shared" si="0"/>
        <v>353</v>
      </c>
      <c r="I5" s="157">
        <f t="shared" si="0"/>
        <v>369.8</v>
      </c>
      <c r="J5" s="157">
        <f t="shared" si="0"/>
        <v>417.40000000000003</v>
      </c>
      <c r="K5" s="157">
        <f t="shared" si="0"/>
        <v>417.5</v>
      </c>
      <c r="L5" s="157">
        <f t="shared" si="0"/>
        <v>417.4</v>
      </c>
      <c r="M5" s="157">
        <f t="shared" si="0"/>
        <v>409.19999999999993</v>
      </c>
      <c r="N5" s="157">
        <f t="shared" si="0"/>
        <v>445.90000000000003</v>
      </c>
      <c r="O5" s="157">
        <f t="shared" si="0"/>
        <v>476.5</v>
      </c>
      <c r="P5" s="157">
        <f t="shared" si="0"/>
        <v>460.20000000000005</v>
      </c>
      <c r="Q5" s="157">
        <f t="shared" si="0"/>
        <v>480.7</v>
      </c>
      <c r="R5" s="157">
        <f t="shared" si="0"/>
        <v>507.6</v>
      </c>
      <c r="S5" s="157">
        <f t="shared" si="0"/>
        <v>534.42999999999995</v>
      </c>
      <c r="T5" s="157">
        <f t="shared" si="0"/>
        <v>525.09999999999991</v>
      </c>
      <c r="U5" s="157">
        <f t="shared" si="0"/>
        <v>460.02000000000004</v>
      </c>
      <c r="V5" s="157">
        <f t="shared" si="0"/>
        <v>416.59999999999997</v>
      </c>
      <c r="W5" s="157">
        <f t="shared" si="0"/>
        <v>145</v>
      </c>
      <c r="X5" s="157">
        <f t="shared" si="0"/>
        <v>145</v>
      </c>
      <c r="Y5" s="157">
        <f t="shared" si="0"/>
        <v>197.3</v>
      </c>
      <c r="Z5" s="157">
        <f t="shared" si="0"/>
        <v>197.3</v>
      </c>
      <c r="AA5" s="157">
        <f t="shared" si="0"/>
        <v>242.89999999999998</v>
      </c>
      <c r="AB5" s="157">
        <f t="shared" si="0"/>
        <v>245.85</v>
      </c>
      <c r="AC5" s="157">
        <f t="shared" si="0"/>
        <v>255.79999999999998</v>
      </c>
      <c r="AD5" s="157">
        <f t="shared" si="0"/>
        <v>195.2</v>
      </c>
      <c r="AE5" s="157">
        <f t="shared" si="0"/>
        <v>155.69999999999999</v>
      </c>
      <c r="AF5" s="157">
        <f>B68</f>
        <v>175.6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1445MW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Load=1022</v>
      </c>
      <c r="B7" s="146">
        <f>B75</f>
        <v>1108.94</v>
      </c>
      <c r="C7" s="146">
        <f t="shared" ref="C7:AF7" si="1">C75</f>
        <v>1077.04</v>
      </c>
      <c r="D7" s="146">
        <f t="shared" si="1"/>
        <v>1048.1399999999999</v>
      </c>
      <c r="E7" s="146">
        <f t="shared" si="1"/>
        <v>1027.74</v>
      </c>
      <c r="F7" s="146">
        <f t="shared" si="1"/>
        <v>1022.44</v>
      </c>
      <c r="G7" s="146">
        <f t="shared" si="1"/>
        <v>1089.74</v>
      </c>
      <c r="H7" s="146">
        <f t="shared" si="1"/>
        <v>1173.44</v>
      </c>
      <c r="I7" s="146">
        <f t="shared" si="1"/>
        <v>1218.44</v>
      </c>
      <c r="J7" s="146">
        <f t="shared" si="1"/>
        <v>1281.5400000000002</v>
      </c>
      <c r="K7" s="146">
        <f t="shared" si="1"/>
        <v>1416.94</v>
      </c>
      <c r="L7" s="146">
        <f t="shared" si="1"/>
        <v>1436.1399999999999</v>
      </c>
      <c r="M7" s="146">
        <f t="shared" si="1"/>
        <v>1445.24</v>
      </c>
      <c r="N7" s="146">
        <f t="shared" si="1"/>
        <v>1400.54</v>
      </c>
      <c r="O7" s="146">
        <f t="shared" si="1"/>
        <v>1433.14</v>
      </c>
      <c r="P7" s="146">
        <f t="shared" si="1"/>
        <v>1425.24</v>
      </c>
      <c r="Q7" s="146">
        <f t="shared" si="1"/>
        <v>1446.94</v>
      </c>
      <c r="R7" s="146">
        <f t="shared" si="1"/>
        <v>1428.04</v>
      </c>
      <c r="S7" s="146">
        <f t="shared" si="1"/>
        <v>1411.3400000000001</v>
      </c>
      <c r="T7" s="146">
        <f t="shared" si="1"/>
        <v>1449.47</v>
      </c>
      <c r="U7" s="146">
        <f t="shared" si="1"/>
        <v>1502.14</v>
      </c>
      <c r="V7" s="146">
        <f t="shared" si="1"/>
        <v>1433.96</v>
      </c>
      <c r="W7" s="146">
        <f t="shared" si="1"/>
        <v>1442.04</v>
      </c>
      <c r="X7" s="146">
        <f t="shared" si="1"/>
        <v>1243.1400000000001</v>
      </c>
      <c r="Y7" s="146">
        <f t="shared" si="1"/>
        <v>1270.94</v>
      </c>
      <c r="Z7" s="146">
        <f t="shared" si="1"/>
        <v>1668.34</v>
      </c>
      <c r="AA7" s="146">
        <f t="shared" si="1"/>
        <v>1640.3400000000001</v>
      </c>
      <c r="AB7" s="146">
        <f t="shared" si="1"/>
        <v>1541.14</v>
      </c>
      <c r="AC7" s="146">
        <f t="shared" si="1"/>
        <v>1532.79</v>
      </c>
      <c r="AD7" s="146">
        <f t="shared" si="1"/>
        <v>1496.7400000000002</v>
      </c>
      <c r="AE7" s="146">
        <f t="shared" si="1"/>
        <v>1360.14</v>
      </c>
      <c r="AF7" s="146">
        <f t="shared" si="1"/>
        <v>1276.44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03">
        <v>60</v>
      </c>
      <c r="C11" s="103">
        <v>40</v>
      </c>
      <c r="D11" s="103">
        <v>10</v>
      </c>
      <c r="E11" s="127">
        <v>10</v>
      </c>
      <c r="F11" s="127">
        <v>10</v>
      </c>
      <c r="G11" s="127">
        <v>50</v>
      </c>
      <c r="H11" s="127">
        <v>72</v>
      </c>
      <c r="I11" s="127">
        <v>90</v>
      </c>
      <c r="J11" s="127">
        <v>120</v>
      </c>
      <c r="K11" s="127">
        <v>170</v>
      </c>
      <c r="L11" s="127">
        <v>170</v>
      </c>
      <c r="M11" s="103">
        <v>170</v>
      </c>
      <c r="N11" s="103">
        <v>120</v>
      </c>
      <c r="O11" s="103">
        <v>120</v>
      </c>
      <c r="P11" s="103">
        <v>130</v>
      </c>
      <c r="Q11" s="103">
        <v>150</v>
      </c>
      <c r="R11" s="135">
        <v>130</v>
      </c>
      <c r="S11" s="135">
        <v>120</v>
      </c>
      <c r="T11" s="135">
        <v>130</v>
      </c>
      <c r="U11" s="135">
        <v>150</v>
      </c>
      <c r="V11" s="135">
        <v>150</v>
      </c>
      <c r="W11" s="135">
        <v>150</v>
      </c>
      <c r="X11" s="135">
        <v>220</v>
      </c>
      <c r="Y11" s="103">
        <v>246</v>
      </c>
      <c r="Z11" s="179">
        <v>300</v>
      </c>
      <c r="AA11" s="179">
        <v>280</v>
      </c>
      <c r="AB11" s="179">
        <v>180</v>
      </c>
      <c r="AC11" s="179">
        <v>180</v>
      </c>
      <c r="AD11" s="179">
        <v>140</v>
      </c>
      <c r="AE11" s="103">
        <v>100</v>
      </c>
      <c r="AF11" s="127">
        <v>90</v>
      </c>
      <c r="AG11" s="54">
        <v>456</v>
      </c>
      <c r="AH11" s="21">
        <f>MAX(B11:AF11)</f>
        <v>300</v>
      </c>
      <c r="AI11" s="20">
        <f>MIN(B11:AF11)</f>
        <v>10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27</v>
      </c>
      <c r="C12" s="103">
        <v>27</v>
      </c>
      <c r="D12" s="103">
        <v>27</v>
      </c>
      <c r="E12" s="103">
        <v>27</v>
      </c>
      <c r="F12" s="103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16.8</v>
      </c>
      <c r="C13" s="103">
        <v>16.399999999999999</v>
      </c>
      <c r="D13" s="103">
        <v>16.399999999999999</v>
      </c>
      <c r="E13" s="103">
        <v>16.399999999999999</v>
      </c>
      <c r="F13" s="103">
        <v>16.399999999999999</v>
      </c>
      <c r="G13" s="127">
        <v>16.100000000000001</v>
      </c>
      <c r="H13" s="127">
        <v>16.100000000000001</v>
      </c>
      <c r="I13" s="127">
        <v>16.100000000000001</v>
      </c>
      <c r="J13" s="127">
        <v>16.100000000000001</v>
      </c>
      <c r="K13" s="127">
        <v>16.100000000000001</v>
      </c>
      <c r="L13" s="127">
        <v>16.100000000000001</v>
      </c>
      <c r="M13" s="127">
        <v>16.100000000000001</v>
      </c>
      <c r="N13" s="127">
        <v>16.100000000000001</v>
      </c>
      <c r="O13" s="127">
        <v>16.100000000000001</v>
      </c>
      <c r="P13" s="127">
        <v>16.100000000000001</v>
      </c>
      <c r="Q13" s="127">
        <v>15.3</v>
      </c>
      <c r="R13" s="127">
        <v>15.4</v>
      </c>
      <c r="S13" s="127">
        <v>15.4</v>
      </c>
      <c r="T13" s="127">
        <v>15.4</v>
      </c>
      <c r="U13" s="127">
        <v>15.4</v>
      </c>
      <c r="V13" s="127">
        <v>15.4</v>
      </c>
      <c r="W13" s="127">
        <v>15.4</v>
      </c>
      <c r="X13" s="127">
        <v>15.4</v>
      </c>
      <c r="Y13" s="127">
        <v>15.4</v>
      </c>
      <c r="Z13" s="103">
        <v>15.4</v>
      </c>
      <c r="AA13" s="103">
        <v>15.4</v>
      </c>
      <c r="AB13" s="103">
        <v>15.4</v>
      </c>
      <c r="AC13" s="103">
        <v>15.4</v>
      </c>
      <c r="AD13" s="103">
        <v>15.4</v>
      </c>
      <c r="AE13" s="103">
        <v>15.4</v>
      </c>
      <c r="AF13" s="103">
        <v>15.4</v>
      </c>
      <c r="AG13" s="134">
        <v>52.4</v>
      </c>
      <c r="AH13" s="21">
        <f t="shared" si="2"/>
        <v>16.8</v>
      </c>
      <c r="AI13" s="20">
        <f t="shared" si="3"/>
        <v>15.3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25.5</v>
      </c>
      <c r="C14" s="103">
        <v>25.2</v>
      </c>
      <c r="D14" s="103">
        <v>25.5</v>
      </c>
      <c r="E14" s="103">
        <v>25.5</v>
      </c>
      <c r="F14" s="103">
        <v>25.5</v>
      </c>
      <c r="G14" s="127">
        <v>25.2</v>
      </c>
      <c r="H14" s="127">
        <v>25.2</v>
      </c>
      <c r="I14" s="127">
        <v>25.2</v>
      </c>
      <c r="J14" s="127">
        <v>25.2</v>
      </c>
      <c r="K14" s="127">
        <v>25.2</v>
      </c>
      <c r="L14" s="127">
        <v>25.2</v>
      </c>
      <c r="M14" s="181">
        <v>25.1</v>
      </c>
      <c r="N14" s="181">
        <v>25.1</v>
      </c>
      <c r="O14" s="181">
        <v>25.1</v>
      </c>
      <c r="P14" s="181">
        <v>25.1</v>
      </c>
      <c r="Q14" s="181">
        <v>25.1</v>
      </c>
      <c r="R14" s="181">
        <v>25.1</v>
      </c>
      <c r="S14" s="181">
        <v>25.1</v>
      </c>
      <c r="T14" s="181">
        <v>25.1</v>
      </c>
      <c r="U14" s="181">
        <v>25.1</v>
      </c>
      <c r="V14" s="181">
        <v>25.1</v>
      </c>
      <c r="W14" s="181">
        <v>25.1</v>
      </c>
      <c r="X14" s="181">
        <v>25.1</v>
      </c>
      <c r="Y14" s="181">
        <v>25.1</v>
      </c>
      <c r="Z14" s="103">
        <v>25.1</v>
      </c>
      <c r="AA14" s="103">
        <v>25.1</v>
      </c>
      <c r="AB14" s="103">
        <v>25.1</v>
      </c>
      <c r="AC14" s="103">
        <v>25.1</v>
      </c>
      <c r="AD14" s="103">
        <v>25.1</v>
      </c>
      <c r="AE14" s="103">
        <v>25.1</v>
      </c>
      <c r="AF14" s="103">
        <v>25.1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22.9</v>
      </c>
      <c r="C15" s="103">
        <v>22.9</v>
      </c>
      <c r="D15" s="103">
        <v>22.9</v>
      </c>
      <c r="E15" s="103">
        <v>22.9</v>
      </c>
      <c r="F15" s="103">
        <v>22.9</v>
      </c>
      <c r="G15" s="123">
        <v>22.9</v>
      </c>
      <c r="H15" s="123">
        <v>22.9</v>
      </c>
      <c r="I15" s="123">
        <v>22.9</v>
      </c>
      <c r="J15" s="123">
        <v>22.9</v>
      </c>
      <c r="K15" s="123">
        <v>22.9</v>
      </c>
      <c r="L15" s="123">
        <v>22.9</v>
      </c>
      <c r="M15" s="182">
        <v>22.9</v>
      </c>
      <c r="N15" s="182">
        <v>22.9</v>
      </c>
      <c r="O15" s="182">
        <v>22.9</v>
      </c>
      <c r="P15" s="182">
        <v>22.9</v>
      </c>
      <c r="Q15" s="182">
        <v>22.9</v>
      </c>
      <c r="R15" s="182">
        <v>22.9</v>
      </c>
      <c r="S15" s="182">
        <v>22.8</v>
      </c>
      <c r="T15" s="182">
        <v>22.8</v>
      </c>
      <c r="U15" s="182">
        <v>22.8</v>
      </c>
      <c r="V15" s="182">
        <v>22.8</v>
      </c>
      <c r="W15" s="182">
        <v>22.8</v>
      </c>
      <c r="X15" s="182">
        <v>22.8</v>
      </c>
      <c r="Y15" s="182">
        <v>22.8</v>
      </c>
      <c r="Z15" s="103">
        <v>22.8</v>
      </c>
      <c r="AA15" s="103">
        <v>22.8</v>
      </c>
      <c r="AB15" s="103">
        <v>22.8</v>
      </c>
      <c r="AC15" s="103">
        <v>22.8</v>
      </c>
      <c r="AD15" s="103">
        <v>22.8</v>
      </c>
      <c r="AE15" s="103">
        <v>22.8</v>
      </c>
      <c r="AF15" s="103">
        <v>22.8</v>
      </c>
      <c r="AG15" s="108">
        <v>45</v>
      </c>
      <c r="AH15" s="21">
        <f t="shared" si="2"/>
        <v>22.9</v>
      </c>
      <c r="AI15" s="20">
        <f t="shared" si="3"/>
        <v>22.8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18</v>
      </c>
      <c r="C16" s="103">
        <v>18</v>
      </c>
      <c r="D16" s="103">
        <v>18</v>
      </c>
      <c r="E16" s="103">
        <v>18</v>
      </c>
      <c r="F16" s="103">
        <v>18</v>
      </c>
      <c r="G16" s="127">
        <v>18</v>
      </c>
      <c r="H16" s="127">
        <v>18</v>
      </c>
      <c r="I16" s="127">
        <v>18</v>
      </c>
      <c r="J16" s="127">
        <v>18</v>
      </c>
      <c r="K16" s="127">
        <v>18</v>
      </c>
      <c r="L16" s="127">
        <v>18</v>
      </c>
      <c r="M16" s="181">
        <v>18</v>
      </c>
      <c r="N16" s="181">
        <v>18</v>
      </c>
      <c r="O16" s="181">
        <v>18</v>
      </c>
      <c r="P16" s="181">
        <v>18</v>
      </c>
      <c r="Q16" s="181">
        <v>18</v>
      </c>
      <c r="R16" s="181">
        <v>18</v>
      </c>
      <c r="S16" s="181">
        <v>18</v>
      </c>
      <c r="T16" s="181">
        <v>18</v>
      </c>
      <c r="U16" s="181">
        <v>18</v>
      </c>
      <c r="V16" s="181">
        <v>18</v>
      </c>
      <c r="W16" s="181">
        <v>18</v>
      </c>
      <c r="X16" s="181">
        <v>18</v>
      </c>
      <c r="Y16" s="181">
        <v>18</v>
      </c>
      <c r="Z16" s="103">
        <v>18</v>
      </c>
      <c r="AA16" s="103">
        <v>18</v>
      </c>
      <c r="AB16" s="103">
        <v>18</v>
      </c>
      <c r="AC16" s="103">
        <v>18</v>
      </c>
      <c r="AD16" s="103">
        <v>18</v>
      </c>
      <c r="AE16" s="103">
        <v>18</v>
      </c>
      <c r="AF16" s="103">
        <v>18</v>
      </c>
      <c r="AG16" s="134">
        <v>45</v>
      </c>
      <c r="AH16" s="21">
        <f t="shared" si="2"/>
        <v>18</v>
      </c>
      <c r="AI16" s="20">
        <f t="shared" si="3"/>
        <v>18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6.5</v>
      </c>
      <c r="C17" s="103">
        <v>6.5</v>
      </c>
      <c r="D17" s="103">
        <v>6.5</v>
      </c>
      <c r="E17" s="103">
        <v>6.5</v>
      </c>
      <c r="F17" s="103">
        <v>6.5</v>
      </c>
      <c r="G17" s="103">
        <v>6.5</v>
      </c>
      <c r="H17" s="103">
        <v>6.5</v>
      </c>
      <c r="I17" s="103">
        <v>6.5</v>
      </c>
      <c r="J17" s="103">
        <v>6.5</v>
      </c>
      <c r="K17" s="103">
        <v>6.5</v>
      </c>
      <c r="L17" s="103">
        <v>6.5</v>
      </c>
      <c r="M17" s="181">
        <v>6.5</v>
      </c>
      <c r="N17" s="181">
        <v>6.5</v>
      </c>
      <c r="O17" s="181">
        <v>6.5</v>
      </c>
      <c r="P17" s="181">
        <v>6.5</v>
      </c>
      <c r="Q17" s="181">
        <v>6.5</v>
      </c>
      <c r="R17" s="181">
        <v>6.5</v>
      </c>
      <c r="S17" s="181">
        <v>6.5</v>
      </c>
      <c r="T17" s="181">
        <v>6.5</v>
      </c>
      <c r="U17" s="181">
        <v>6.5</v>
      </c>
      <c r="V17" s="181">
        <v>6.5</v>
      </c>
      <c r="W17" s="181">
        <v>6.5</v>
      </c>
      <c r="X17" s="181">
        <v>6.5</v>
      </c>
      <c r="Y17" s="181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03">
        <v>8</v>
      </c>
      <c r="M18" s="181">
        <v>8</v>
      </c>
      <c r="N18" s="181">
        <v>8</v>
      </c>
      <c r="O18" s="181">
        <v>8</v>
      </c>
      <c r="P18" s="181">
        <v>8</v>
      </c>
      <c r="Q18" s="181">
        <v>8</v>
      </c>
      <c r="R18" s="181">
        <v>8</v>
      </c>
      <c r="S18" s="181">
        <v>8</v>
      </c>
      <c r="T18" s="181">
        <v>8</v>
      </c>
      <c r="U18" s="181">
        <v>8</v>
      </c>
      <c r="V18" s="181">
        <v>8</v>
      </c>
      <c r="W18" s="181">
        <v>8</v>
      </c>
      <c r="X18" s="181">
        <v>8</v>
      </c>
      <c r="Y18" s="181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11.2</v>
      </c>
      <c r="C19" s="103">
        <v>11</v>
      </c>
      <c r="D19" s="103">
        <v>10.9</v>
      </c>
      <c r="E19" s="103">
        <v>10.9</v>
      </c>
      <c r="F19" s="103">
        <v>10.9</v>
      </c>
      <c r="G19" s="103">
        <v>10.9</v>
      </c>
      <c r="H19" s="103">
        <v>10.9</v>
      </c>
      <c r="I19" s="103">
        <v>10.9</v>
      </c>
      <c r="J19" s="103">
        <v>10.9</v>
      </c>
      <c r="K19" s="103">
        <v>10.9</v>
      </c>
      <c r="L19" s="103">
        <v>10.9</v>
      </c>
      <c r="M19" s="103">
        <v>10.9</v>
      </c>
      <c r="N19" s="103">
        <v>10.9</v>
      </c>
      <c r="O19" s="103">
        <v>10.9</v>
      </c>
      <c r="P19" s="103">
        <v>10.9</v>
      </c>
      <c r="Q19" s="103">
        <v>10.9</v>
      </c>
      <c r="R19" s="103">
        <v>10.9</v>
      </c>
      <c r="S19" s="103">
        <v>10.9</v>
      </c>
      <c r="T19" s="103">
        <v>10.9</v>
      </c>
      <c r="U19" s="103">
        <v>10.9</v>
      </c>
      <c r="V19" s="103">
        <v>10.9</v>
      </c>
      <c r="W19" s="103">
        <v>10.9</v>
      </c>
      <c r="X19" s="103">
        <v>10.9</v>
      </c>
      <c r="Y19" s="103">
        <v>10.9</v>
      </c>
      <c r="Z19" s="103">
        <v>10.9</v>
      </c>
      <c r="AA19" s="103">
        <v>10.9</v>
      </c>
      <c r="AB19" s="103">
        <v>10.9</v>
      </c>
      <c r="AC19" s="103">
        <v>10.9</v>
      </c>
      <c r="AD19" s="103">
        <v>10.9</v>
      </c>
      <c r="AE19" s="103">
        <v>10.9</v>
      </c>
      <c r="AF19" s="103">
        <v>10.9</v>
      </c>
      <c r="AG19" s="134">
        <v>30</v>
      </c>
      <c r="AH19" s="21">
        <f t="shared" si="2"/>
        <v>11.2</v>
      </c>
      <c r="AI19" s="20">
        <f t="shared" si="3"/>
        <v>10.9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7.2</v>
      </c>
      <c r="C20" s="103">
        <v>7.2</v>
      </c>
      <c r="D20" s="103">
        <v>7.2</v>
      </c>
      <c r="E20" s="103">
        <v>7.2</v>
      </c>
      <c r="F20" s="103">
        <v>7.2</v>
      </c>
      <c r="G20" s="103">
        <v>7.2</v>
      </c>
      <c r="H20" s="103">
        <v>7.2</v>
      </c>
      <c r="I20" s="103">
        <v>7.2</v>
      </c>
      <c r="J20" s="103">
        <v>7.2</v>
      </c>
      <c r="K20" s="103">
        <v>7.2</v>
      </c>
      <c r="L20" s="103">
        <v>7.2</v>
      </c>
      <c r="M20" s="103">
        <v>7.2</v>
      </c>
      <c r="N20" s="103">
        <v>7.2</v>
      </c>
      <c r="O20" s="103">
        <v>7.2</v>
      </c>
      <c r="P20" s="103">
        <v>7.2</v>
      </c>
      <c r="Q20" s="103">
        <v>7.2</v>
      </c>
      <c r="R20" s="103">
        <v>7.2</v>
      </c>
      <c r="S20" s="103">
        <v>7.2</v>
      </c>
      <c r="T20" s="103">
        <v>7.2</v>
      </c>
      <c r="U20" s="103">
        <v>7.2</v>
      </c>
      <c r="V20" s="103">
        <v>7.2</v>
      </c>
      <c r="W20" s="103">
        <v>7.2</v>
      </c>
      <c r="X20" s="103">
        <v>7.2</v>
      </c>
      <c r="Y20" s="103">
        <v>7.2</v>
      </c>
      <c r="Z20" s="103">
        <v>7.2</v>
      </c>
      <c r="AA20" s="103">
        <v>7.2</v>
      </c>
      <c r="AB20" s="103">
        <v>7.2</v>
      </c>
      <c r="AC20" s="103">
        <v>7.2</v>
      </c>
      <c r="AD20" s="103">
        <v>7.2</v>
      </c>
      <c r="AE20" s="103">
        <v>7.2</v>
      </c>
      <c r="AF20" s="103">
        <v>7.2</v>
      </c>
      <c r="AG20" s="134">
        <v>27</v>
      </c>
      <c r="AH20" s="21">
        <f t="shared" si="2"/>
        <v>7.2</v>
      </c>
      <c r="AI20" s="20">
        <f t="shared" si="3"/>
        <v>7.2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03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19.5</v>
      </c>
      <c r="C22" s="103">
        <v>16.3</v>
      </c>
      <c r="D22" s="103">
        <v>16.3</v>
      </c>
      <c r="E22" s="103">
        <v>16.3</v>
      </c>
      <c r="F22" s="103">
        <v>16.3</v>
      </c>
      <c r="G22" s="103">
        <v>16.3</v>
      </c>
      <c r="H22" s="103">
        <v>16.3</v>
      </c>
      <c r="I22" s="103">
        <v>16.3</v>
      </c>
      <c r="J22" s="103">
        <v>16.3</v>
      </c>
      <c r="K22" s="103">
        <v>16.3</v>
      </c>
      <c r="L22" s="103">
        <v>16.3</v>
      </c>
      <c r="M22" s="103">
        <v>16.3</v>
      </c>
      <c r="N22" s="103">
        <v>16.3</v>
      </c>
      <c r="O22" s="103">
        <v>16.3</v>
      </c>
      <c r="P22" s="103">
        <v>16.3</v>
      </c>
      <c r="Q22" s="103">
        <v>16.3</v>
      </c>
      <c r="R22" s="103">
        <v>16.3</v>
      </c>
      <c r="S22" s="103">
        <v>16.3</v>
      </c>
      <c r="T22" s="103">
        <v>16.3</v>
      </c>
      <c r="U22" s="103">
        <v>16.3</v>
      </c>
      <c r="V22" s="103">
        <v>16.3</v>
      </c>
      <c r="W22" s="103">
        <v>16.3</v>
      </c>
      <c r="X22" s="103">
        <v>16.3</v>
      </c>
      <c r="Y22" s="103">
        <v>16.3</v>
      </c>
      <c r="Z22" s="103">
        <v>16.3</v>
      </c>
      <c r="AA22" s="103">
        <v>16.3</v>
      </c>
      <c r="AB22" s="103">
        <v>16.3</v>
      </c>
      <c r="AC22" s="103">
        <v>16.3</v>
      </c>
      <c r="AD22" s="103">
        <v>16.3</v>
      </c>
      <c r="AE22" s="103">
        <v>16.3</v>
      </c>
      <c r="AF22" s="103">
        <v>16.3</v>
      </c>
      <c r="AG22" s="134">
        <v>25</v>
      </c>
      <c r="AH22" s="21">
        <f t="shared" si="2"/>
        <v>19.5</v>
      </c>
      <c r="AI22" s="20">
        <f t="shared" si="3"/>
        <v>16.3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4.8</v>
      </c>
      <c r="C23" s="103">
        <v>4.8</v>
      </c>
      <c r="D23" s="103">
        <v>4.8</v>
      </c>
      <c r="E23" s="103">
        <v>4.8</v>
      </c>
      <c r="F23" s="103">
        <v>4.8</v>
      </c>
      <c r="G23" s="103">
        <v>4.8</v>
      </c>
      <c r="H23" s="103">
        <v>4.8</v>
      </c>
      <c r="I23" s="103">
        <v>4.8</v>
      </c>
      <c r="J23" s="103">
        <v>4.8</v>
      </c>
      <c r="K23" s="103">
        <v>4.8</v>
      </c>
      <c r="L23" s="103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10.9</v>
      </c>
      <c r="C24" s="103">
        <v>11.4</v>
      </c>
      <c r="D24" s="103">
        <v>9.5</v>
      </c>
      <c r="E24" s="103">
        <v>9.5</v>
      </c>
      <c r="F24" s="103">
        <v>9.5</v>
      </c>
      <c r="G24" s="103">
        <v>9.1</v>
      </c>
      <c r="H24" s="103">
        <v>9.1</v>
      </c>
      <c r="I24" s="103">
        <v>9.1</v>
      </c>
      <c r="J24" s="103">
        <v>9.1</v>
      </c>
      <c r="K24" s="103">
        <v>9.1</v>
      </c>
      <c r="L24" s="103">
        <v>9.1</v>
      </c>
      <c r="M24" s="103">
        <v>9.1</v>
      </c>
      <c r="N24" s="103">
        <v>9.1</v>
      </c>
      <c r="O24" s="103">
        <v>9.1</v>
      </c>
      <c r="P24" s="103">
        <v>9.1</v>
      </c>
      <c r="Q24" s="103">
        <v>9.1</v>
      </c>
      <c r="R24" s="103">
        <v>9.1</v>
      </c>
      <c r="S24" s="103">
        <v>9.1</v>
      </c>
      <c r="T24" s="103">
        <v>9.1</v>
      </c>
      <c r="U24" s="103">
        <v>9.1</v>
      </c>
      <c r="V24" s="103">
        <v>9.1</v>
      </c>
      <c r="W24" s="103">
        <v>9.1</v>
      </c>
      <c r="X24" s="103">
        <v>9.1</v>
      </c>
      <c r="Y24" s="103">
        <v>9.1</v>
      </c>
      <c r="Z24" s="103">
        <v>9.1</v>
      </c>
      <c r="AA24" s="103">
        <v>9.1</v>
      </c>
      <c r="AB24" s="103">
        <v>9.1</v>
      </c>
      <c r="AC24" s="103">
        <v>9.1</v>
      </c>
      <c r="AD24" s="103">
        <v>9.1</v>
      </c>
      <c r="AE24" s="103">
        <v>9.1</v>
      </c>
      <c r="AF24" s="103">
        <v>9.1</v>
      </c>
      <c r="AG24" s="134">
        <v>25</v>
      </c>
      <c r="AH24" s="21">
        <f t="shared" si="2"/>
        <v>11.4</v>
      </c>
      <c r="AI24" s="20">
        <f t="shared" si="3"/>
        <v>9.1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03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6.7</v>
      </c>
      <c r="C26" s="103">
        <v>6.7</v>
      </c>
      <c r="D26" s="103">
        <v>6.7</v>
      </c>
      <c r="E26" s="103">
        <v>6.7</v>
      </c>
      <c r="F26" s="103">
        <v>6.7</v>
      </c>
      <c r="G26" s="103">
        <v>6.7</v>
      </c>
      <c r="H26" s="103">
        <v>6.7</v>
      </c>
      <c r="I26" s="103">
        <v>6.7</v>
      </c>
      <c r="J26" s="103">
        <v>6.7</v>
      </c>
      <c r="K26" s="103">
        <v>6.7</v>
      </c>
      <c r="L26" s="103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03">
        <v>2.5</v>
      </c>
      <c r="C27" s="103">
        <v>2.5</v>
      </c>
      <c r="D27" s="103">
        <v>2.5</v>
      </c>
      <c r="E27" s="103">
        <v>2.5</v>
      </c>
      <c r="F27" s="103">
        <v>2.5</v>
      </c>
      <c r="G27" s="103">
        <v>2.5</v>
      </c>
      <c r="H27" s="103">
        <v>2.5</v>
      </c>
      <c r="I27" s="103">
        <v>2.5</v>
      </c>
      <c r="J27" s="103">
        <v>2.5</v>
      </c>
      <c r="K27" s="103">
        <v>2.5</v>
      </c>
      <c r="L27" s="103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5.6</v>
      </c>
      <c r="C28" s="103">
        <v>5.6</v>
      </c>
      <c r="D28" s="103">
        <v>5.6</v>
      </c>
      <c r="E28" s="103">
        <v>5.6</v>
      </c>
      <c r="F28" s="103">
        <v>5.6</v>
      </c>
      <c r="G28" s="103">
        <v>5.6</v>
      </c>
      <c r="H28" s="103">
        <v>5.6</v>
      </c>
      <c r="I28" s="103">
        <v>5.6</v>
      </c>
      <c r="J28" s="103">
        <v>5.6</v>
      </c>
      <c r="K28" s="103">
        <v>5.6</v>
      </c>
      <c r="L28" s="103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03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03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0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03">
        <v>2.5</v>
      </c>
      <c r="L33" s="10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5</v>
      </c>
      <c r="N35" s="103">
        <v>5</v>
      </c>
      <c r="O35" s="103">
        <v>5</v>
      </c>
      <c r="P35" s="103">
        <v>5</v>
      </c>
      <c r="Q35" s="103">
        <v>5</v>
      </c>
      <c r="R35" s="103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f>14.3+25.2</f>
        <v>39.5</v>
      </c>
      <c r="C37" s="128">
        <f>14.1+24.5</f>
        <v>38.6</v>
      </c>
      <c r="D37" s="128">
        <f>14.8+24.5</f>
        <v>39.299999999999997</v>
      </c>
      <c r="E37" s="123">
        <f>13.6+21.9</f>
        <v>35.5</v>
      </c>
      <c r="F37" s="123">
        <f>14.2+23.9</f>
        <v>38.099999999999994</v>
      </c>
      <c r="G37" s="123">
        <f>12.8+22.2</f>
        <v>35</v>
      </c>
      <c r="H37" s="123">
        <f>13+22</f>
        <v>35</v>
      </c>
      <c r="I37" s="123">
        <f>13+21.6</f>
        <v>34.6</v>
      </c>
      <c r="J37" s="123">
        <f>13.5+22.1</f>
        <v>35.6</v>
      </c>
      <c r="K37" s="123">
        <f>13+20.9</f>
        <v>33.9</v>
      </c>
      <c r="L37" s="123">
        <f>12.9+21</f>
        <v>33.9</v>
      </c>
      <c r="M37" s="128">
        <v>31.2</v>
      </c>
      <c r="N37" s="128">
        <v>37.9</v>
      </c>
      <c r="O37" s="128">
        <v>39</v>
      </c>
      <c r="P37" s="128">
        <v>38.299999999999997</v>
      </c>
      <c r="Q37" s="128">
        <v>36.1</v>
      </c>
      <c r="R37" s="128">
        <v>36.299999999999997</v>
      </c>
      <c r="S37" s="128">
        <f>17.3+18.3</f>
        <v>35.6</v>
      </c>
      <c r="T37" s="128">
        <f>17+19.9</f>
        <v>36.9</v>
      </c>
      <c r="U37" s="128">
        <f>17+19.9</f>
        <v>36.9</v>
      </c>
      <c r="V37" s="128">
        <f>15.4+19.6</f>
        <v>35</v>
      </c>
      <c r="W37" s="128">
        <f>15.6+19.3</f>
        <v>34.9</v>
      </c>
      <c r="X37" s="128">
        <f>15+17.2</f>
        <v>32.200000000000003</v>
      </c>
      <c r="Y37" s="128">
        <f>14.5+15.8</f>
        <v>30.3</v>
      </c>
      <c r="Z37" s="128">
        <v>27.5</v>
      </c>
      <c r="AA37" s="128">
        <v>27.5</v>
      </c>
      <c r="AB37" s="128">
        <v>33</v>
      </c>
      <c r="AC37" s="128">
        <v>32</v>
      </c>
      <c r="AD37" s="128">
        <v>32</v>
      </c>
      <c r="AE37" s="128">
        <v>33.5</v>
      </c>
      <c r="AF37" s="123">
        <v>35</v>
      </c>
      <c r="AG37" s="106">
        <v>240</v>
      </c>
      <c r="AH37" s="21">
        <f t="shared" si="2"/>
        <v>39.5</v>
      </c>
      <c r="AI37" s="20">
        <f t="shared" si="3"/>
        <v>27.5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453.40000000000003</v>
      </c>
      <c r="C38" s="99">
        <f t="shared" ref="C38:AF38" si="5">SUM(C11:C36)</f>
        <v>429.8</v>
      </c>
      <c r="D38" s="99">
        <f t="shared" si="5"/>
        <v>398.1</v>
      </c>
      <c r="E38" s="99">
        <f t="shared" si="5"/>
        <v>398.1</v>
      </c>
      <c r="F38" s="99">
        <f t="shared" si="5"/>
        <v>398.1</v>
      </c>
      <c r="G38" s="99">
        <f t="shared" si="5"/>
        <v>437.09999999999997</v>
      </c>
      <c r="H38" s="99">
        <f t="shared" si="5"/>
        <v>459.1</v>
      </c>
      <c r="I38" s="99">
        <f t="shared" si="5"/>
        <v>477.1</v>
      </c>
      <c r="J38" s="99">
        <f t="shared" si="5"/>
        <v>507.10000000000008</v>
      </c>
      <c r="K38" s="99">
        <f t="shared" si="5"/>
        <v>557.1</v>
      </c>
      <c r="L38" s="99">
        <f t="shared" si="5"/>
        <v>557.1</v>
      </c>
      <c r="M38" s="99">
        <f t="shared" si="5"/>
        <v>562</v>
      </c>
      <c r="N38" s="99">
        <f t="shared" si="5"/>
        <v>512</v>
      </c>
      <c r="O38" s="99">
        <f t="shared" si="5"/>
        <v>512</v>
      </c>
      <c r="P38" s="99">
        <f t="shared" si="5"/>
        <v>522</v>
      </c>
      <c r="Q38" s="99">
        <f t="shared" si="5"/>
        <v>541.20000000000005</v>
      </c>
      <c r="R38" s="99">
        <f t="shared" si="5"/>
        <v>521.30000000000007</v>
      </c>
      <c r="S38" s="99">
        <f t="shared" si="5"/>
        <v>511.2000000000001</v>
      </c>
      <c r="T38" s="99">
        <f t="shared" si="5"/>
        <v>521.20000000000005</v>
      </c>
      <c r="U38" s="99">
        <f t="shared" si="5"/>
        <v>541.20000000000005</v>
      </c>
      <c r="V38" s="99">
        <f t="shared" si="5"/>
        <v>541.20000000000005</v>
      </c>
      <c r="W38" s="99">
        <f t="shared" si="5"/>
        <v>541.20000000000005</v>
      </c>
      <c r="X38" s="99">
        <f t="shared" si="5"/>
        <v>606.20000000000005</v>
      </c>
      <c r="Y38" s="99">
        <f t="shared" si="5"/>
        <v>632.20000000000005</v>
      </c>
      <c r="Z38" s="99">
        <f t="shared" si="5"/>
        <v>686.2</v>
      </c>
      <c r="AA38" s="99">
        <f t="shared" si="5"/>
        <v>666.2</v>
      </c>
      <c r="AB38" s="99">
        <f t="shared" si="5"/>
        <v>566.20000000000005</v>
      </c>
      <c r="AC38" s="99">
        <f t="shared" si="5"/>
        <v>566.20000000000005</v>
      </c>
      <c r="AD38" s="99">
        <f t="shared" si="5"/>
        <v>526.20000000000005</v>
      </c>
      <c r="AE38" s="99">
        <f t="shared" si="5"/>
        <v>486.20000000000005</v>
      </c>
      <c r="AF38" s="99">
        <f t="shared" si="5"/>
        <v>476.20000000000005</v>
      </c>
      <c r="AG38" s="106">
        <f>SUM(AG11:AG37)</f>
        <v>1492.8299999999997</v>
      </c>
      <c r="AH38" s="21">
        <f t="shared" si="2"/>
        <v>686.2</v>
      </c>
      <c r="AI38" s="20">
        <f t="shared" si="3"/>
        <v>398.1</v>
      </c>
      <c r="AK38" s="42"/>
    </row>
    <row r="39" spans="1:88" x14ac:dyDescent="0.25">
      <c r="A39" s="109" t="s">
        <v>172</v>
      </c>
      <c r="B39" s="127">
        <v>30.4</v>
      </c>
      <c r="C39" s="123">
        <v>30.6</v>
      </c>
      <c r="D39" s="123">
        <v>29.7</v>
      </c>
      <c r="E39" s="123">
        <v>0</v>
      </c>
      <c r="F39" s="123">
        <v>0</v>
      </c>
      <c r="G39" s="123">
        <v>0</v>
      </c>
      <c r="H39" s="123">
        <v>30.4</v>
      </c>
      <c r="I39" s="123">
        <v>70</v>
      </c>
      <c r="J39" s="123">
        <v>96.9</v>
      </c>
      <c r="K39" s="123">
        <v>96.6</v>
      </c>
      <c r="L39" s="123">
        <v>110</v>
      </c>
      <c r="M39" s="103">
        <v>109.5</v>
      </c>
      <c r="N39" s="103">
        <v>121</v>
      </c>
      <c r="O39" s="103">
        <v>113.5</v>
      </c>
      <c r="P39" s="103">
        <v>103</v>
      </c>
      <c r="Q39" s="103">
        <v>98.5</v>
      </c>
      <c r="R39" s="103">
        <v>96.8</v>
      </c>
      <c r="S39" s="103">
        <v>81.2</v>
      </c>
      <c r="T39" s="103">
        <v>80.900000000000006</v>
      </c>
      <c r="U39" s="103">
        <v>100</v>
      </c>
      <c r="V39" s="103">
        <v>100</v>
      </c>
      <c r="W39" s="103">
        <v>131.4</v>
      </c>
      <c r="X39" s="103">
        <v>146.1</v>
      </c>
      <c r="Y39" s="103">
        <v>145.4</v>
      </c>
      <c r="Z39" s="103">
        <v>145.19999999999999</v>
      </c>
      <c r="AA39" s="103">
        <v>145.19999999999999</v>
      </c>
      <c r="AB39" s="103">
        <v>131.30000000000001</v>
      </c>
      <c r="AC39" s="103">
        <v>131.30000000000001</v>
      </c>
      <c r="AD39" s="103">
        <v>131.30000000000001</v>
      </c>
      <c r="AE39" s="103">
        <v>100.9</v>
      </c>
      <c r="AF39" s="127">
        <v>91</v>
      </c>
      <c r="AG39" s="108">
        <v>144</v>
      </c>
      <c r="AH39" s="21">
        <f t="shared" si="2"/>
        <v>146.1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0</v>
      </c>
      <c r="C40" s="123">
        <v>0</v>
      </c>
      <c r="D40" s="123">
        <v>0</v>
      </c>
      <c r="E40" s="123">
        <v>0</v>
      </c>
      <c r="F40" s="123">
        <v>0</v>
      </c>
      <c r="G40" s="123">
        <v>59.7</v>
      </c>
      <c r="H40" s="123">
        <v>60.4</v>
      </c>
      <c r="I40" s="123">
        <v>59.1</v>
      </c>
      <c r="J40" s="123">
        <v>59.1</v>
      </c>
      <c r="K40" s="123">
        <v>69</v>
      </c>
      <c r="L40" s="123">
        <v>69.099999999999994</v>
      </c>
      <c r="M40" s="73">
        <v>69</v>
      </c>
      <c r="N40" s="73">
        <v>70.400000000000006</v>
      </c>
      <c r="O40" s="73">
        <v>70.599999999999994</v>
      </c>
      <c r="P40" s="73">
        <v>49.9</v>
      </c>
      <c r="Q40" s="73">
        <v>69.7</v>
      </c>
      <c r="R40" s="73">
        <v>60.4</v>
      </c>
      <c r="S40" s="73">
        <v>49.3</v>
      </c>
      <c r="T40" s="73">
        <v>50.3</v>
      </c>
      <c r="U40" s="73">
        <v>69.8</v>
      </c>
      <c r="V40" s="73">
        <v>54.7</v>
      </c>
      <c r="W40" s="73">
        <v>71.5</v>
      </c>
      <c r="X40" s="73">
        <v>67.8</v>
      </c>
      <c r="Y40" s="73">
        <v>71.2</v>
      </c>
      <c r="Z40" s="73">
        <v>70.599999999999994</v>
      </c>
      <c r="AA40" s="73">
        <v>70.599999999999994</v>
      </c>
      <c r="AB40" s="73">
        <v>54</v>
      </c>
      <c r="AC40" s="73">
        <v>45.1</v>
      </c>
      <c r="AD40" s="73">
        <v>45.1</v>
      </c>
      <c r="AE40" s="73">
        <v>45.1</v>
      </c>
      <c r="AF40" s="123">
        <v>23.2</v>
      </c>
      <c r="AG40" s="106">
        <v>70</v>
      </c>
      <c r="AH40" s="21">
        <f t="shared" si="2"/>
        <v>71.5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37.200000000000003</v>
      </c>
      <c r="C41" s="123">
        <v>37.200000000000003</v>
      </c>
      <c r="D41" s="123">
        <v>37.4</v>
      </c>
      <c r="E41" s="123">
        <v>37.4</v>
      </c>
      <c r="F41" s="123">
        <v>37.6</v>
      </c>
      <c r="G41" s="123">
        <v>37</v>
      </c>
      <c r="H41" s="123">
        <v>37</v>
      </c>
      <c r="I41" s="123">
        <v>36.799999999999997</v>
      </c>
      <c r="J41" s="123">
        <v>36.799999999999997</v>
      </c>
      <c r="K41" s="123">
        <v>46</v>
      </c>
      <c r="L41" s="123">
        <v>51.1</v>
      </c>
      <c r="M41" s="73">
        <v>51.7</v>
      </c>
      <c r="N41" s="73">
        <v>51.5</v>
      </c>
      <c r="O41" s="73">
        <v>62.7</v>
      </c>
      <c r="P41" s="73">
        <v>50</v>
      </c>
      <c r="Q41" s="73">
        <v>52.4</v>
      </c>
      <c r="R41" s="73">
        <v>48.1</v>
      </c>
      <c r="S41" s="73">
        <v>41.3</v>
      </c>
      <c r="T41" s="73">
        <v>41.6</v>
      </c>
      <c r="U41" s="73">
        <v>47.1</v>
      </c>
      <c r="V41" s="73">
        <v>64</v>
      </c>
      <c r="W41" s="73">
        <v>67.099999999999994</v>
      </c>
      <c r="X41" s="73">
        <v>68</v>
      </c>
      <c r="Y41" s="73">
        <v>66.8</v>
      </c>
      <c r="Z41" s="73">
        <v>67.400000000000006</v>
      </c>
      <c r="AA41" s="73">
        <v>67.400000000000006</v>
      </c>
      <c r="AB41" s="73">
        <v>62.2</v>
      </c>
      <c r="AC41" s="73">
        <v>62.2</v>
      </c>
      <c r="AD41" s="73">
        <v>56.2</v>
      </c>
      <c r="AE41" s="73">
        <v>50</v>
      </c>
      <c r="AF41" s="123">
        <v>46.4</v>
      </c>
      <c r="AG41" s="106">
        <v>69</v>
      </c>
      <c r="AH41" s="21">
        <f t="shared" si="2"/>
        <v>68</v>
      </c>
      <c r="AI41" s="20">
        <f t="shared" si="3"/>
        <v>36.799999999999997</v>
      </c>
      <c r="AK41" s="42"/>
    </row>
    <row r="42" spans="1:88" x14ac:dyDescent="0.25">
      <c r="A42" s="107" t="s">
        <v>169</v>
      </c>
      <c r="B42" s="123">
        <v>57</v>
      </c>
      <c r="C42" s="123">
        <v>57</v>
      </c>
      <c r="D42" s="123">
        <v>57.2</v>
      </c>
      <c r="E42" s="123">
        <v>57.4</v>
      </c>
      <c r="F42" s="123">
        <v>57.4</v>
      </c>
      <c r="G42" s="123">
        <v>57.4</v>
      </c>
      <c r="H42" s="123">
        <v>57.4</v>
      </c>
      <c r="I42" s="123">
        <v>57.4</v>
      </c>
      <c r="J42" s="123">
        <v>57.4</v>
      </c>
      <c r="K42" s="123">
        <v>57.4</v>
      </c>
      <c r="L42" s="123">
        <v>57.4</v>
      </c>
      <c r="M42" s="73">
        <v>57.4</v>
      </c>
      <c r="N42" s="73">
        <v>57.4</v>
      </c>
      <c r="O42" s="73">
        <v>57.4</v>
      </c>
      <c r="P42" s="73">
        <v>57.4</v>
      </c>
      <c r="Q42" s="73">
        <v>57.4</v>
      </c>
      <c r="R42" s="73">
        <v>57.4</v>
      </c>
      <c r="S42" s="73">
        <v>57.4</v>
      </c>
      <c r="T42" s="73">
        <v>57.4</v>
      </c>
      <c r="U42" s="73">
        <v>55.7</v>
      </c>
      <c r="V42" s="73">
        <v>55.7</v>
      </c>
      <c r="W42" s="73">
        <v>55.7</v>
      </c>
      <c r="X42" s="73">
        <v>55.7</v>
      </c>
      <c r="Y42" s="73">
        <v>57.2</v>
      </c>
      <c r="Z42" s="73">
        <v>57.2</v>
      </c>
      <c r="AA42" s="73">
        <v>57.2</v>
      </c>
      <c r="AB42" s="73">
        <v>55.4</v>
      </c>
      <c r="AC42" s="73">
        <v>55.4</v>
      </c>
      <c r="AD42" s="73">
        <v>55.4</v>
      </c>
      <c r="AE42" s="73">
        <v>56</v>
      </c>
      <c r="AF42" s="123">
        <v>57.2</v>
      </c>
      <c r="AG42" s="106">
        <v>60</v>
      </c>
      <c r="AH42" s="21">
        <f t="shared" si="2"/>
        <v>57.4</v>
      </c>
      <c r="AI42" s="20">
        <f t="shared" si="3"/>
        <v>55.4</v>
      </c>
      <c r="AK42" s="42"/>
    </row>
    <row r="43" spans="1:88" x14ac:dyDescent="0.25">
      <c r="A43" s="107" t="s">
        <v>168</v>
      </c>
      <c r="B43" s="123">
        <v>8.6</v>
      </c>
      <c r="C43" s="123">
        <v>0</v>
      </c>
      <c r="D43" s="123">
        <v>0</v>
      </c>
      <c r="E43" s="123">
        <v>9.6999999999999993</v>
      </c>
      <c r="F43" s="123">
        <v>15</v>
      </c>
      <c r="G43" s="123">
        <v>14.9</v>
      </c>
      <c r="H43" s="123">
        <v>20</v>
      </c>
      <c r="I43" s="123">
        <v>19</v>
      </c>
      <c r="J43" s="123">
        <v>19</v>
      </c>
      <c r="K43" s="123">
        <v>28.6</v>
      </c>
      <c r="L43" s="123">
        <v>28.5</v>
      </c>
      <c r="M43" s="103">
        <v>28.2</v>
      </c>
      <c r="N43" s="103">
        <v>28.1</v>
      </c>
      <c r="O43" s="103">
        <v>19.100000000000001</v>
      </c>
      <c r="P43" s="103">
        <v>13.9</v>
      </c>
      <c r="Q43" s="103">
        <v>12</v>
      </c>
      <c r="R43" s="103">
        <v>9</v>
      </c>
      <c r="S43" s="103">
        <v>9</v>
      </c>
      <c r="T43" s="103">
        <v>9</v>
      </c>
      <c r="U43" s="103">
        <v>9</v>
      </c>
      <c r="V43" s="103">
        <v>9</v>
      </c>
      <c r="W43" s="103">
        <v>9</v>
      </c>
      <c r="X43" s="103">
        <v>9</v>
      </c>
      <c r="Y43" s="103">
        <v>9</v>
      </c>
      <c r="Z43" s="73">
        <v>20</v>
      </c>
      <c r="AA43" s="73">
        <v>20</v>
      </c>
      <c r="AB43" s="73">
        <v>12.7</v>
      </c>
      <c r="AC43" s="73">
        <v>10.3</v>
      </c>
      <c r="AD43" s="73">
        <v>10.3</v>
      </c>
      <c r="AE43" s="73">
        <v>10.3</v>
      </c>
      <c r="AF43" s="73">
        <v>10.3</v>
      </c>
      <c r="AG43" s="106">
        <v>30</v>
      </c>
      <c r="AH43" s="21">
        <f t="shared" si="2"/>
        <v>28.6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5</v>
      </c>
      <c r="N44" s="103">
        <v>5</v>
      </c>
      <c r="O44" s="103">
        <v>7</v>
      </c>
      <c r="P44" s="103">
        <v>8</v>
      </c>
      <c r="Q44" s="103">
        <v>8</v>
      </c>
      <c r="R44" s="103">
        <v>8</v>
      </c>
      <c r="S44" s="103">
        <v>8</v>
      </c>
      <c r="T44" s="103">
        <v>8</v>
      </c>
      <c r="U44" s="103">
        <v>8</v>
      </c>
      <c r="V44" s="103">
        <v>3</v>
      </c>
      <c r="W44" s="103">
        <v>3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8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15.7</v>
      </c>
      <c r="C45" s="103">
        <v>15.7</v>
      </c>
      <c r="D45" s="103">
        <v>15.7</v>
      </c>
      <c r="E45" s="120">
        <v>14.3</v>
      </c>
      <c r="F45" s="120">
        <v>14.3</v>
      </c>
      <c r="G45" s="120">
        <v>14.4</v>
      </c>
      <c r="H45" s="120">
        <v>14.5</v>
      </c>
      <c r="I45" s="120">
        <v>14.5</v>
      </c>
      <c r="J45" s="120">
        <v>14.5</v>
      </c>
      <c r="K45" s="120">
        <v>15.2</v>
      </c>
      <c r="L45" s="120">
        <v>15.2</v>
      </c>
      <c r="M45" s="120">
        <v>15.2</v>
      </c>
      <c r="N45" s="103">
        <v>15.3</v>
      </c>
      <c r="O45" s="103">
        <v>15.3</v>
      </c>
      <c r="P45" s="103">
        <v>15.3</v>
      </c>
      <c r="Q45" s="103">
        <v>16</v>
      </c>
      <c r="R45" s="103">
        <v>15.9</v>
      </c>
      <c r="S45" s="103">
        <v>15.9</v>
      </c>
      <c r="T45" s="103">
        <v>15.9</v>
      </c>
      <c r="U45" s="103">
        <v>15.9</v>
      </c>
      <c r="V45" s="103">
        <v>15.9</v>
      </c>
      <c r="W45" s="103">
        <v>15.9</v>
      </c>
      <c r="X45" s="103">
        <v>15.9</v>
      </c>
      <c r="Y45" s="103">
        <v>15.9</v>
      </c>
      <c r="Z45" s="103">
        <v>15</v>
      </c>
      <c r="AA45" s="103">
        <v>15</v>
      </c>
      <c r="AB45" s="103">
        <v>15</v>
      </c>
      <c r="AC45" s="103">
        <v>15</v>
      </c>
      <c r="AD45" s="103">
        <v>15</v>
      </c>
      <c r="AE45" s="103">
        <v>15</v>
      </c>
      <c r="AF45" s="103">
        <v>15</v>
      </c>
      <c r="AG45" s="106">
        <v>24</v>
      </c>
      <c r="AH45" s="21">
        <f t="shared" si="2"/>
        <v>16</v>
      </c>
      <c r="AI45" s="20">
        <f t="shared" si="3"/>
        <v>14.3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</v>
      </c>
      <c r="C48" s="103">
        <v>7</v>
      </c>
      <c r="D48" s="103">
        <v>7</v>
      </c>
      <c r="E48" s="103">
        <v>7</v>
      </c>
      <c r="F48" s="103">
        <v>7</v>
      </c>
      <c r="G48" s="120">
        <v>6.3</v>
      </c>
      <c r="H48" s="120">
        <v>6.8</v>
      </c>
      <c r="I48" s="120">
        <v>6.8</v>
      </c>
      <c r="J48" s="120">
        <v>6.8</v>
      </c>
      <c r="K48" s="120">
        <v>6.8</v>
      </c>
      <c r="L48" s="120">
        <v>6.8</v>
      </c>
      <c r="M48" s="120">
        <v>6.8</v>
      </c>
      <c r="N48" s="120">
        <v>6.8</v>
      </c>
      <c r="O48" s="120">
        <v>6.8</v>
      </c>
      <c r="P48" s="120">
        <v>6.8</v>
      </c>
      <c r="Q48" s="120">
        <v>6.8</v>
      </c>
      <c r="R48" s="103">
        <v>6.8</v>
      </c>
      <c r="S48" s="103">
        <v>6.8</v>
      </c>
      <c r="T48" s="103">
        <v>6.8</v>
      </c>
      <c r="U48" s="103">
        <v>6.8</v>
      </c>
      <c r="V48" s="103">
        <v>6.8</v>
      </c>
      <c r="W48" s="103">
        <v>6.8</v>
      </c>
      <c r="X48" s="103">
        <v>6.8</v>
      </c>
      <c r="Y48" s="103">
        <v>6.8</v>
      </c>
      <c r="Z48" s="103">
        <v>6.8</v>
      </c>
      <c r="AA48" s="103">
        <v>6.8</v>
      </c>
      <c r="AB48" s="103">
        <v>6.8</v>
      </c>
      <c r="AC48" s="103">
        <v>6.8</v>
      </c>
      <c r="AD48" s="103">
        <v>6.8</v>
      </c>
      <c r="AE48" s="103">
        <v>6.8</v>
      </c>
      <c r="AF48" s="103">
        <v>6.8</v>
      </c>
      <c r="AG48" s="106">
        <v>14</v>
      </c>
      <c r="AH48" s="21">
        <f t="shared" si="2"/>
        <v>7</v>
      </c>
      <c r="AI48" s="20">
        <f t="shared" si="3"/>
        <v>6.3</v>
      </c>
      <c r="AK48" s="42"/>
    </row>
    <row r="49" spans="1:37" x14ac:dyDescent="0.25">
      <c r="A49" s="107" t="s">
        <v>162</v>
      </c>
      <c r="B49" s="103">
        <v>6.3</v>
      </c>
      <c r="C49" s="103">
        <v>6.3</v>
      </c>
      <c r="D49" s="103">
        <v>6.3</v>
      </c>
      <c r="E49" s="103">
        <v>6.3</v>
      </c>
      <c r="F49" s="103">
        <v>6.3</v>
      </c>
      <c r="G49" s="123">
        <v>6.3</v>
      </c>
      <c r="H49" s="123">
        <v>6.3</v>
      </c>
      <c r="I49" s="123">
        <v>6.3</v>
      </c>
      <c r="J49" s="123">
        <v>6.3</v>
      </c>
      <c r="K49" s="123">
        <v>6.3</v>
      </c>
      <c r="L49" s="123">
        <v>6.3</v>
      </c>
      <c r="M49" s="123">
        <v>6.3</v>
      </c>
      <c r="N49" s="123">
        <v>6.3</v>
      </c>
      <c r="O49" s="123">
        <v>6.3</v>
      </c>
      <c r="P49" s="123">
        <v>6.3</v>
      </c>
      <c r="Q49" s="123">
        <v>6.3</v>
      </c>
      <c r="R49" s="103">
        <v>6.3</v>
      </c>
      <c r="S49" s="103">
        <v>6.3</v>
      </c>
      <c r="T49" s="103">
        <v>6.3</v>
      </c>
      <c r="U49" s="103">
        <v>6.3</v>
      </c>
      <c r="V49" s="103">
        <v>6.3</v>
      </c>
      <c r="W49" s="103">
        <v>6.3</v>
      </c>
      <c r="X49" s="103">
        <v>6.3</v>
      </c>
      <c r="Y49" s="103">
        <v>6.3</v>
      </c>
      <c r="Z49" s="103">
        <v>6.3</v>
      </c>
      <c r="AA49" s="103">
        <v>6.3</v>
      </c>
      <c r="AB49" s="103">
        <v>6.3</v>
      </c>
      <c r="AC49" s="103">
        <v>6.3</v>
      </c>
      <c r="AD49" s="103">
        <v>6.3</v>
      </c>
      <c r="AE49" s="103">
        <v>6.3</v>
      </c>
      <c r="AF49" s="103">
        <v>6.3</v>
      </c>
      <c r="AG49" s="106">
        <v>10.050000000000001</v>
      </c>
      <c r="AH49" s="21">
        <f t="shared" si="2"/>
        <v>6.3</v>
      </c>
      <c r="AI49" s="20">
        <f t="shared" si="3"/>
        <v>6.3</v>
      </c>
      <c r="AK49" s="42"/>
    </row>
    <row r="50" spans="1:37" x14ac:dyDescent="0.25">
      <c r="A50" s="107" t="s">
        <v>161</v>
      </c>
      <c r="B50" s="103">
        <v>2.5</v>
      </c>
      <c r="C50" s="103">
        <v>2.5</v>
      </c>
      <c r="D50" s="103">
        <v>2.5</v>
      </c>
      <c r="E50" s="103">
        <v>2.5</v>
      </c>
      <c r="F50" s="10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180.23999999999998</v>
      </c>
      <c r="C52" s="99">
        <f t="shared" ref="C52:AF52" si="9">SUM(C39:C51)</f>
        <v>171.84</v>
      </c>
      <c r="D52" s="99">
        <f t="shared" si="9"/>
        <v>171.34</v>
      </c>
      <c r="E52" s="99">
        <f t="shared" si="9"/>
        <v>150.14000000000001</v>
      </c>
      <c r="F52" s="99">
        <f t="shared" si="9"/>
        <v>155.64000000000001</v>
      </c>
      <c r="G52" s="99">
        <f t="shared" si="9"/>
        <v>214.04000000000002</v>
      </c>
      <c r="H52" s="99">
        <f t="shared" si="9"/>
        <v>250.84</v>
      </c>
      <c r="I52" s="99">
        <f t="shared" si="9"/>
        <v>287.94</v>
      </c>
      <c r="J52" s="99">
        <f t="shared" si="9"/>
        <v>314.84000000000009</v>
      </c>
      <c r="K52" s="99">
        <f t="shared" si="9"/>
        <v>343.94000000000005</v>
      </c>
      <c r="L52" s="99">
        <f t="shared" si="9"/>
        <v>362.44</v>
      </c>
      <c r="M52" s="99">
        <f t="shared" si="9"/>
        <v>367.14</v>
      </c>
      <c r="N52" s="99">
        <f t="shared" si="9"/>
        <v>379.84000000000009</v>
      </c>
      <c r="O52" s="99">
        <f t="shared" si="9"/>
        <v>376.74000000000007</v>
      </c>
      <c r="P52" s="99">
        <f t="shared" si="9"/>
        <v>328.64000000000004</v>
      </c>
      <c r="Q52" s="99">
        <f t="shared" si="9"/>
        <v>345.14000000000004</v>
      </c>
      <c r="R52" s="99">
        <f t="shared" si="9"/>
        <v>326.74</v>
      </c>
      <c r="S52" s="99">
        <f t="shared" si="9"/>
        <v>293.24000000000007</v>
      </c>
      <c r="T52" s="99">
        <f t="shared" si="9"/>
        <v>294.24</v>
      </c>
      <c r="U52" s="99">
        <f t="shared" si="9"/>
        <v>336.64000000000004</v>
      </c>
      <c r="V52" s="99">
        <f t="shared" si="9"/>
        <v>333.44</v>
      </c>
      <c r="W52" s="99">
        <f t="shared" si="9"/>
        <v>384.74</v>
      </c>
      <c r="X52" s="99">
        <f t="shared" si="9"/>
        <v>393.64</v>
      </c>
      <c r="Y52" s="99">
        <f t="shared" si="9"/>
        <v>396.64000000000004</v>
      </c>
      <c r="Z52" s="99">
        <f t="shared" si="9"/>
        <v>406.54</v>
      </c>
      <c r="AA52" s="99">
        <f t="shared" si="9"/>
        <v>406.54</v>
      </c>
      <c r="AB52" s="99">
        <f t="shared" si="9"/>
        <v>361.74</v>
      </c>
      <c r="AC52" s="99">
        <f t="shared" si="9"/>
        <v>350.44000000000005</v>
      </c>
      <c r="AD52" s="99">
        <f t="shared" si="9"/>
        <v>344.44000000000005</v>
      </c>
      <c r="AE52" s="99">
        <f t="shared" si="9"/>
        <v>308.44000000000005</v>
      </c>
      <c r="AF52" s="99">
        <f t="shared" si="9"/>
        <v>274.24000000000007</v>
      </c>
      <c r="AG52" s="98">
        <f>SUM(AG39:AG51)</f>
        <v>489.91</v>
      </c>
      <c r="AH52" s="21">
        <f t="shared" si="2"/>
        <v>406.54</v>
      </c>
      <c r="AI52" s="20">
        <f t="shared" si="3"/>
        <v>150.14000000000001</v>
      </c>
      <c r="AK52" s="42"/>
    </row>
    <row r="53" spans="1:37" x14ac:dyDescent="0.25">
      <c r="A53" s="109" t="s">
        <v>159</v>
      </c>
      <c r="B53" s="103">
        <v>59.9</v>
      </c>
      <c r="C53" s="123">
        <v>59.5</v>
      </c>
      <c r="D53" s="123">
        <v>59.5</v>
      </c>
      <c r="E53" s="123">
        <v>40</v>
      </c>
      <c r="F53" s="123">
        <v>60</v>
      </c>
      <c r="G53" s="123">
        <v>54.5</v>
      </c>
      <c r="H53" s="123">
        <v>55</v>
      </c>
      <c r="I53" s="123">
        <v>54.7</v>
      </c>
      <c r="J53" s="123">
        <v>54.7</v>
      </c>
      <c r="K53" s="123">
        <v>60</v>
      </c>
      <c r="L53" s="123">
        <v>59.2</v>
      </c>
      <c r="M53" s="122">
        <v>59.5</v>
      </c>
      <c r="N53" s="122">
        <v>59.2</v>
      </c>
      <c r="O53" s="122">
        <v>59.5</v>
      </c>
      <c r="P53" s="122">
        <v>59.5</v>
      </c>
      <c r="Q53" s="103">
        <v>59.6</v>
      </c>
      <c r="R53" s="103">
        <v>59.7</v>
      </c>
      <c r="S53" s="103">
        <v>59.6</v>
      </c>
      <c r="T53" s="103">
        <v>59.9</v>
      </c>
      <c r="U53" s="103">
        <v>59.6</v>
      </c>
      <c r="V53" s="103">
        <v>59.5</v>
      </c>
      <c r="W53" s="103">
        <v>59.5</v>
      </c>
      <c r="X53" s="103">
        <v>59.7</v>
      </c>
      <c r="Y53" s="103">
        <v>59.8</v>
      </c>
      <c r="Z53" s="103">
        <v>59.7</v>
      </c>
      <c r="AA53" s="103">
        <v>59.7</v>
      </c>
      <c r="AB53" s="103">
        <v>59.7</v>
      </c>
      <c r="AC53" s="103">
        <v>59.7</v>
      </c>
      <c r="AD53" s="103">
        <v>59.7</v>
      </c>
      <c r="AE53" s="103">
        <v>59.7</v>
      </c>
      <c r="AF53" s="103">
        <v>59.7</v>
      </c>
      <c r="AG53" s="108">
        <v>60</v>
      </c>
      <c r="AH53" s="21">
        <f t="shared" si="2"/>
        <v>60</v>
      </c>
      <c r="AI53" s="20">
        <f t="shared" si="3"/>
        <v>40</v>
      </c>
      <c r="AK53" s="42"/>
    </row>
    <row r="54" spans="1:37" x14ac:dyDescent="0.25">
      <c r="A54" s="107" t="s">
        <v>158</v>
      </c>
      <c r="B54" s="73">
        <v>29.2</v>
      </c>
      <c r="C54" s="123">
        <v>29.2</v>
      </c>
      <c r="D54" s="123">
        <v>29.1</v>
      </c>
      <c r="E54" s="123">
        <v>17.3</v>
      </c>
      <c r="F54" s="123">
        <v>27.6</v>
      </c>
      <c r="G54" s="123">
        <v>25.2</v>
      </c>
      <c r="H54" s="123">
        <v>26.2</v>
      </c>
      <c r="I54" s="123">
        <v>26.2</v>
      </c>
      <c r="J54" s="123">
        <v>25.7</v>
      </c>
      <c r="K54" s="123">
        <v>28.2</v>
      </c>
      <c r="L54" s="123">
        <v>29.2</v>
      </c>
      <c r="M54" s="122">
        <v>28.7</v>
      </c>
      <c r="N54" s="122">
        <v>29.5</v>
      </c>
      <c r="O54" s="122">
        <v>28.6</v>
      </c>
      <c r="P54" s="122">
        <v>28.3</v>
      </c>
      <c r="Q54" s="73">
        <v>29.9</v>
      </c>
      <c r="R54" s="73">
        <v>29</v>
      </c>
      <c r="S54" s="103">
        <v>29.1</v>
      </c>
      <c r="T54" s="103">
        <v>29.1</v>
      </c>
      <c r="U54" s="103">
        <v>29</v>
      </c>
      <c r="V54" s="73">
        <v>29.2</v>
      </c>
      <c r="W54" s="73">
        <v>29.3</v>
      </c>
      <c r="X54" s="73">
        <v>28.2</v>
      </c>
      <c r="Y54" s="73">
        <v>27.3</v>
      </c>
      <c r="Z54" s="73">
        <v>29.7</v>
      </c>
      <c r="AA54" s="73">
        <v>29.7</v>
      </c>
      <c r="AB54" s="73">
        <v>29.7</v>
      </c>
      <c r="AC54" s="73">
        <v>29.7</v>
      </c>
      <c r="AD54" s="73">
        <v>29.7</v>
      </c>
      <c r="AE54" s="73">
        <v>29.7</v>
      </c>
      <c r="AF54" s="73">
        <v>29.7</v>
      </c>
      <c r="AG54" s="106">
        <v>32</v>
      </c>
      <c r="AH54" s="21">
        <f t="shared" si="2"/>
        <v>29.9</v>
      </c>
      <c r="AI54" s="20">
        <f t="shared" si="3"/>
        <v>17.3</v>
      </c>
      <c r="AK54" s="42"/>
    </row>
    <row r="55" spans="1:37" ht="15.75" thickBot="1" x14ac:dyDescent="0.3">
      <c r="A55" s="121" t="s">
        <v>157</v>
      </c>
      <c r="B55" s="118">
        <v>10.6</v>
      </c>
      <c r="C55" s="120">
        <v>10.7</v>
      </c>
      <c r="D55" s="120">
        <v>10.6</v>
      </c>
      <c r="E55" s="120">
        <v>6.3</v>
      </c>
      <c r="F55" s="120">
        <v>10.1</v>
      </c>
      <c r="G55" s="120">
        <v>9.1999999999999993</v>
      </c>
      <c r="H55" s="120">
        <v>9.6</v>
      </c>
      <c r="I55" s="120">
        <v>9.5</v>
      </c>
      <c r="J55" s="120">
        <v>9.4</v>
      </c>
      <c r="K55" s="120">
        <v>10.3</v>
      </c>
      <c r="L55" s="120">
        <v>10.7</v>
      </c>
      <c r="M55" s="119">
        <v>10.5</v>
      </c>
      <c r="N55" s="119">
        <v>10.8</v>
      </c>
      <c r="O55" s="119">
        <v>10.4</v>
      </c>
      <c r="P55" s="119">
        <v>10.3</v>
      </c>
      <c r="Q55" s="118">
        <v>10.9</v>
      </c>
      <c r="R55" s="118">
        <v>10.6</v>
      </c>
      <c r="S55" s="103">
        <v>10.6</v>
      </c>
      <c r="T55" s="103">
        <v>10.6</v>
      </c>
      <c r="U55" s="103">
        <v>10.6</v>
      </c>
      <c r="V55" s="118">
        <v>10.6</v>
      </c>
      <c r="W55" s="118">
        <v>10.7</v>
      </c>
      <c r="X55" s="118">
        <v>10.4</v>
      </c>
      <c r="Y55" s="118">
        <v>10</v>
      </c>
      <c r="Z55" s="118">
        <v>10.9</v>
      </c>
      <c r="AA55" s="118">
        <v>10.9</v>
      </c>
      <c r="AB55" s="118">
        <v>10.9</v>
      </c>
      <c r="AC55" s="118">
        <v>10.9</v>
      </c>
      <c r="AD55" s="118">
        <v>10.9</v>
      </c>
      <c r="AE55" s="118">
        <v>10.9</v>
      </c>
      <c r="AF55" s="118">
        <v>10.9</v>
      </c>
      <c r="AG55" s="117">
        <v>14</v>
      </c>
      <c r="AH55" s="21">
        <f t="shared" si="2"/>
        <v>10.9</v>
      </c>
      <c r="AI55" s="20">
        <f t="shared" si="3"/>
        <v>6.3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99.699999999999989</v>
      </c>
      <c r="C56" s="99">
        <f>SUM(C53:C55)</f>
        <v>99.4</v>
      </c>
      <c r="D56" s="99">
        <f t="shared" ref="D56:AF56" si="11">SUM(D53:D55)</f>
        <v>99.199999999999989</v>
      </c>
      <c r="E56" s="99">
        <f t="shared" si="11"/>
        <v>63.599999999999994</v>
      </c>
      <c r="F56" s="99">
        <f t="shared" si="11"/>
        <v>97.699999999999989</v>
      </c>
      <c r="G56" s="99">
        <f t="shared" si="11"/>
        <v>88.9</v>
      </c>
      <c r="H56" s="99">
        <f t="shared" si="11"/>
        <v>90.8</v>
      </c>
      <c r="I56" s="99">
        <f t="shared" si="11"/>
        <v>90.4</v>
      </c>
      <c r="J56" s="99">
        <f t="shared" si="11"/>
        <v>89.800000000000011</v>
      </c>
      <c r="K56" s="99">
        <f t="shared" si="11"/>
        <v>98.5</v>
      </c>
      <c r="L56" s="99">
        <f t="shared" si="11"/>
        <v>99.100000000000009</v>
      </c>
      <c r="M56" s="99">
        <f t="shared" si="11"/>
        <v>98.7</v>
      </c>
      <c r="N56" s="99">
        <f t="shared" si="11"/>
        <v>99.5</v>
      </c>
      <c r="O56" s="99">
        <f t="shared" si="11"/>
        <v>98.5</v>
      </c>
      <c r="P56" s="99">
        <f t="shared" si="11"/>
        <v>98.1</v>
      </c>
      <c r="Q56" s="99">
        <f t="shared" si="11"/>
        <v>100.4</v>
      </c>
      <c r="R56" s="99">
        <f t="shared" si="11"/>
        <v>99.3</v>
      </c>
      <c r="S56" s="99">
        <f t="shared" si="11"/>
        <v>99.3</v>
      </c>
      <c r="T56" s="99">
        <f t="shared" si="11"/>
        <v>99.6</v>
      </c>
      <c r="U56" s="99">
        <f t="shared" si="11"/>
        <v>99.199999999999989</v>
      </c>
      <c r="V56" s="99">
        <f t="shared" si="11"/>
        <v>99.3</v>
      </c>
      <c r="W56" s="99">
        <f t="shared" si="11"/>
        <v>99.5</v>
      </c>
      <c r="X56" s="99">
        <f t="shared" si="11"/>
        <v>98.300000000000011</v>
      </c>
      <c r="Y56" s="99">
        <f t="shared" si="11"/>
        <v>97.1</v>
      </c>
      <c r="Z56" s="99">
        <f t="shared" si="11"/>
        <v>100.30000000000001</v>
      </c>
      <c r="AA56" s="99">
        <f t="shared" si="11"/>
        <v>100.30000000000001</v>
      </c>
      <c r="AB56" s="99">
        <f t="shared" si="11"/>
        <v>100.30000000000001</v>
      </c>
      <c r="AC56" s="99">
        <f t="shared" si="11"/>
        <v>100.30000000000001</v>
      </c>
      <c r="AD56" s="99">
        <f t="shared" si="11"/>
        <v>100.30000000000001</v>
      </c>
      <c r="AE56" s="99">
        <f t="shared" si="11"/>
        <v>100.30000000000001</v>
      </c>
      <c r="AF56" s="99">
        <f t="shared" si="11"/>
        <v>100.30000000000001</v>
      </c>
      <c r="AG56" s="98">
        <f>SUM(AG53:AG55)</f>
        <v>106</v>
      </c>
      <c r="AH56" s="21">
        <f t="shared" si="2"/>
        <v>100.4</v>
      </c>
      <c r="AI56" s="20">
        <f t="shared" si="3"/>
        <v>63.599999999999994</v>
      </c>
      <c r="AK56" s="42"/>
    </row>
    <row r="57" spans="1:37" x14ac:dyDescent="0.25">
      <c r="A57" s="109" t="s">
        <v>135</v>
      </c>
      <c r="B57" s="103">
        <v>61.1</v>
      </c>
      <c r="C57" s="103">
        <v>64.099999999999994</v>
      </c>
      <c r="D57" s="103">
        <v>61.1</v>
      </c>
      <c r="E57" s="103">
        <v>62.9</v>
      </c>
      <c r="F57" s="103">
        <v>62.4</v>
      </c>
      <c r="G57" s="103">
        <v>68.8</v>
      </c>
      <c r="H57" s="103">
        <v>66</v>
      </c>
      <c r="I57" s="103">
        <v>66.3</v>
      </c>
      <c r="J57" s="103">
        <v>69.900000000000006</v>
      </c>
      <c r="K57" s="103">
        <v>63.3</v>
      </c>
      <c r="L57" s="103">
        <v>65</v>
      </c>
      <c r="M57" s="103">
        <v>66.900000000000006</v>
      </c>
      <c r="N57" s="103">
        <v>61.2</v>
      </c>
      <c r="O57" s="103">
        <v>53.3</v>
      </c>
      <c r="P57" s="103">
        <v>56.2</v>
      </c>
      <c r="Q57" s="103">
        <v>60.6</v>
      </c>
      <c r="R57" s="103">
        <v>64</v>
      </c>
      <c r="S57" s="103">
        <v>70.599999999999994</v>
      </c>
      <c r="T57" s="103">
        <v>70.53</v>
      </c>
      <c r="U57" s="103">
        <v>74.400000000000006</v>
      </c>
      <c r="V57" s="103">
        <v>73.22</v>
      </c>
      <c r="W57" s="103">
        <v>73.900000000000006</v>
      </c>
      <c r="X57" s="103">
        <v>66</v>
      </c>
      <c r="Y57" s="103">
        <v>66</v>
      </c>
      <c r="Z57" s="103">
        <v>70.3</v>
      </c>
      <c r="AA57" s="103">
        <v>70.3</v>
      </c>
      <c r="AB57" s="103">
        <v>63.3</v>
      </c>
      <c r="AC57" s="103">
        <v>64.75</v>
      </c>
      <c r="AD57" s="103">
        <v>62.1</v>
      </c>
      <c r="AE57" s="103">
        <v>53.2</v>
      </c>
      <c r="AF57" s="103">
        <v>47.6</v>
      </c>
      <c r="AG57" s="108"/>
      <c r="AH57" s="21">
        <f t="shared" si="2"/>
        <v>74.400000000000006</v>
      </c>
      <c r="AI57" s="20">
        <f t="shared" si="3"/>
        <v>47.6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52</v>
      </c>
      <c r="G58" s="73">
        <v>60</v>
      </c>
      <c r="H58" s="73">
        <v>70</v>
      </c>
      <c r="I58" s="73">
        <v>74</v>
      </c>
      <c r="J58" s="73">
        <v>82</v>
      </c>
      <c r="K58" s="73">
        <v>102</v>
      </c>
      <c r="L58" s="73">
        <v>104</v>
      </c>
      <c r="M58" s="103">
        <v>89.6</v>
      </c>
      <c r="N58" s="103">
        <v>180</v>
      </c>
      <c r="O58" s="103">
        <v>140</v>
      </c>
      <c r="P58" s="103">
        <v>137.19999999999999</v>
      </c>
      <c r="Q58" s="103">
        <v>134</v>
      </c>
      <c r="R58" s="103">
        <v>158.6</v>
      </c>
      <c r="S58" s="103">
        <f>126.5+40</f>
        <v>166.5</v>
      </c>
      <c r="T58" s="103">
        <f>128.9+35</f>
        <v>163.9</v>
      </c>
      <c r="U58" s="103">
        <f>118+40</f>
        <v>158</v>
      </c>
      <c r="V58" s="103">
        <f>108+60</f>
        <v>168</v>
      </c>
      <c r="W58" s="103">
        <f>104+50</f>
        <v>154</v>
      </c>
      <c r="X58" s="103">
        <v>0</v>
      </c>
      <c r="Y58" s="103">
        <v>0</v>
      </c>
      <c r="Z58" s="116">
        <v>0</v>
      </c>
      <c r="AA58" s="116">
        <v>0</v>
      </c>
      <c r="AB58" s="116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180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87.5</v>
      </c>
      <c r="C59" s="73">
        <v>84.9</v>
      </c>
      <c r="D59" s="73">
        <v>91.4</v>
      </c>
      <c r="E59" s="73">
        <v>176</v>
      </c>
      <c r="F59" s="73">
        <v>123.5</v>
      </c>
      <c r="G59" s="73">
        <v>68.5</v>
      </c>
      <c r="H59" s="103">
        <v>84.1</v>
      </c>
      <c r="I59" s="103">
        <v>75.099999999999994</v>
      </c>
      <c r="J59" s="103">
        <v>90.9</v>
      </c>
      <c r="K59" s="103">
        <v>109</v>
      </c>
      <c r="L59" s="103">
        <v>105</v>
      </c>
      <c r="M59" s="73">
        <v>111.1</v>
      </c>
      <c r="N59" s="73">
        <v>25</v>
      </c>
      <c r="O59" s="73">
        <v>99.2</v>
      </c>
      <c r="P59" s="73">
        <v>123.2</v>
      </c>
      <c r="Q59" s="73">
        <v>96.5</v>
      </c>
      <c r="R59" s="73">
        <v>104.6</v>
      </c>
      <c r="S59" s="73">
        <v>104.6</v>
      </c>
      <c r="T59" s="73">
        <v>146.1</v>
      </c>
      <c r="U59" s="73">
        <v>135</v>
      </c>
      <c r="V59" s="73">
        <v>70</v>
      </c>
      <c r="W59" s="73">
        <v>54.5</v>
      </c>
      <c r="X59" s="73">
        <v>52</v>
      </c>
      <c r="Y59" s="73">
        <v>52</v>
      </c>
      <c r="Z59" s="115">
        <v>100</v>
      </c>
      <c r="AA59" s="115">
        <v>100</v>
      </c>
      <c r="AB59" s="115">
        <v>152.6</v>
      </c>
      <c r="AC59" s="73">
        <v>154.1</v>
      </c>
      <c r="AD59" s="73">
        <v>166.7</v>
      </c>
      <c r="AE59" s="73">
        <v>115</v>
      </c>
      <c r="AF59" s="73">
        <v>81.099999999999994</v>
      </c>
      <c r="AG59" s="113"/>
      <c r="AH59" s="21">
        <f t="shared" si="2"/>
        <v>176</v>
      </c>
      <c r="AI59" s="20">
        <f t="shared" si="3"/>
        <v>25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50.1</v>
      </c>
      <c r="H60" s="77">
        <v>52</v>
      </c>
      <c r="I60" s="77">
        <v>54</v>
      </c>
      <c r="J60" s="77">
        <v>51</v>
      </c>
      <c r="K60" s="77">
        <v>53</v>
      </c>
      <c r="L60" s="77">
        <v>49.8</v>
      </c>
      <c r="M60" s="73">
        <v>52.2</v>
      </c>
      <c r="N60" s="73">
        <v>50.9</v>
      </c>
      <c r="O60" s="73">
        <v>57.6</v>
      </c>
      <c r="P60" s="73">
        <v>56.1</v>
      </c>
      <c r="Q60" s="73">
        <v>57.1</v>
      </c>
      <c r="R60" s="73">
        <v>61.3</v>
      </c>
      <c r="S60" s="73">
        <v>67.8</v>
      </c>
      <c r="T60" s="73">
        <v>55.9</v>
      </c>
      <c r="U60" s="73">
        <v>55.7</v>
      </c>
      <c r="V60" s="73">
        <v>56.8</v>
      </c>
      <c r="W60" s="73">
        <v>58.2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113"/>
      <c r="AH60" s="21">
        <f t="shared" si="2"/>
        <v>67.8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77">
        <v>0</v>
      </c>
      <c r="D61" s="77">
        <v>0</v>
      </c>
      <c r="E61" s="77">
        <v>0</v>
      </c>
      <c r="F61" s="77">
        <v>36.1</v>
      </c>
      <c r="G61" s="77">
        <v>45.3</v>
      </c>
      <c r="H61" s="77">
        <v>53.6</v>
      </c>
      <c r="I61" s="77">
        <v>56.6</v>
      </c>
      <c r="J61" s="77">
        <v>49</v>
      </c>
      <c r="K61" s="77">
        <v>63.1</v>
      </c>
      <c r="L61" s="77">
        <v>66.7</v>
      </c>
      <c r="M61" s="103">
        <v>70.599999999999994</v>
      </c>
      <c r="N61" s="103">
        <v>65.099999999999994</v>
      </c>
      <c r="O61" s="103">
        <v>68.8</v>
      </c>
      <c r="P61" s="103">
        <v>76.8</v>
      </c>
      <c r="Q61" s="103">
        <v>85</v>
      </c>
      <c r="R61" s="103">
        <v>65.2</v>
      </c>
      <c r="S61" s="103">
        <v>71.099999999999994</v>
      </c>
      <c r="T61" s="103">
        <v>71</v>
      </c>
      <c r="U61" s="103">
        <v>75</v>
      </c>
      <c r="V61" s="103">
        <v>65</v>
      </c>
      <c r="W61" s="103">
        <v>49</v>
      </c>
      <c r="X61" s="103">
        <v>0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85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6</v>
      </c>
      <c r="C62" s="67">
        <v>6</v>
      </c>
      <c r="D62" s="67">
        <v>6</v>
      </c>
      <c r="E62" s="67">
        <v>6</v>
      </c>
      <c r="F62" s="67">
        <v>6</v>
      </c>
      <c r="G62" s="67">
        <v>6</v>
      </c>
      <c r="H62" s="67">
        <v>6</v>
      </c>
      <c r="I62" s="67">
        <v>6</v>
      </c>
      <c r="J62" s="67">
        <v>6</v>
      </c>
      <c r="K62" s="67">
        <v>6</v>
      </c>
      <c r="L62" s="67">
        <v>6</v>
      </c>
      <c r="M62" s="67">
        <v>6</v>
      </c>
      <c r="N62" s="67">
        <v>6</v>
      </c>
      <c r="O62" s="67">
        <v>6</v>
      </c>
      <c r="P62" s="67">
        <v>6</v>
      </c>
      <c r="Q62" s="67">
        <v>6</v>
      </c>
      <c r="R62" s="67">
        <v>6</v>
      </c>
      <c r="S62" s="67">
        <v>6</v>
      </c>
      <c r="T62" s="67">
        <v>6</v>
      </c>
      <c r="U62" s="67">
        <v>6</v>
      </c>
      <c r="V62" s="67">
        <v>6</v>
      </c>
      <c r="W62" s="67">
        <v>6</v>
      </c>
      <c r="X62" s="67">
        <v>6</v>
      </c>
      <c r="Y62" s="67">
        <v>6</v>
      </c>
      <c r="Z62" s="67">
        <v>6</v>
      </c>
      <c r="AA62" s="67">
        <v>6</v>
      </c>
      <c r="AB62" s="67">
        <v>6</v>
      </c>
      <c r="AC62" s="67">
        <v>6</v>
      </c>
      <c r="AD62" s="67">
        <v>6</v>
      </c>
      <c r="AE62" s="67">
        <v>6</v>
      </c>
      <c r="AF62" s="67">
        <v>6</v>
      </c>
      <c r="AG62" s="113"/>
      <c r="AH62" s="21">
        <f t="shared" si="2"/>
        <v>6</v>
      </c>
      <c r="AI62" s="20">
        <f t="shared" si="3"/>
        <v>6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10</v>
      </c>
      <c r="C66" s="70">
        <v>10</v>
      </c>
      <c r="D66" s="70">
        <v>10</v>
      </c>
      <c r="E66" s="70">
        <v>10</v>
      </c>
      <c r="F66" s="70">
        <v>10</v>
      </c>
      <c r="G66" s="70">
        <v>10</v>
      </c>
      <c r="H66" s="70">
        <v>10</v>
      </c>
      <c r="I66" s="70">
        <v>10</v>
      </c>
      <c r="J66" s="70">
        <v>10</v>
      </c>
      <c r="K66" s="70">
        <v>10</v>
      </c>
      <c r="L66" s="70">
        <v>10</v>
      </c>
      <c r="M66" s="70">
        <v>10</v>
      </c>
      <c r="N66" s="70">
        <v>10</v>
      </c>
      <c r="O66" s="70">
        <v>10</v>
      </c>
      <c r="P66" s="70">
        <v>10</v>
      </c>
      <c r="Q66" s="70">
        <v>10</v>
      </c>
      <c r="R66" s="70">
        <v>10</v>
      </c>
      <c r="S66" s="70">
        <v>10</v>
      </c>
      <c r="T66" s="70">
        <v>10</v>
      </c>
      <c r="U66" s="70">
        <v>10</v>
      </c>
      <c r="V66" s="70">
        <v>10</v>
      </c>
      <c r="W66" s="70">
        <v>10</v>
      </c>
      <c r="X66" s="70">
        <v>10</v>
      </c>
      <c r="Y66" s="70">
        <v>10</v>
      </c>
      <c r="Z66" s="70">
        <v>10</v>
      </c>
      <c r="AA66" s="70">
        <v>10</v>
      </c>
      <c r="AB66" s="70">
        <v>10</v>
      </c>
      <c r="AC66" s="70">
        <v>10</v>
      </c>
      <c r="AD66" s="70">
        <v>10</v>
      </c>
      <c r="AE66" s="70">
        <v>10</v>
      </c>
      <c r="AF66" s="70">
        <v>10</v>
      </c>
      <c r="AG66" s="102"/>
      <c r="AH66" s="21">
        <f t="shared" si="2"/>
        <v>10</v>
      </c>
      <c r="AI66" s="20">
        <f t="shared" si="3"/>
        <v>10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175.6</v>
      </c>
      <c r="C68" s="99">
        <f>SUM(C57:C67)</f>
        <v>176</v>
      </c>
      <c r="D68" s="99">
        <f t="shared" ref="D68:AF68" si="13">SUM(D57:D67)</f>
        <v>179.5</v>
      </c>
      <c r="E68" s="99">
        <f t="shared" si="13"/>
        <v>265.89999999999998</v>
      </c>
      <c r="F68" s="99">
        <f t="shared" si="13"/>
        <v>301</v>
      </c>
      <c r="G68" s="99">
        <f t="shared" si="13"/>
        <v>319.7</v>
      </c>
      <c r="H68" s="99">
        <f t="shared" si="13"/>
        <v>352.70000000000005</v>
      </c>
      <c r="I68" s="99">
        <f t="shared" si="13"/>
        <v>353</v>
      </c>
      <c r="J68" s="99">
        <f t="shared" si="13"/>
        <v>369.8</v>
      </c>
      <c r="K68" s="99">
        <f t="shared" si="13"/>
        <v>417.40000000000003</v>
      </c>
      <c r="L68" s="99">
        <f t="shared" si="13"/>
        <v>417.5</v>
      </c>
      <c r="M68" s="99">
        <f t="shared" si="13"/>
        <v>417.4</v>
      </c>
      <c r="N68" s="99">
        <f t="shared" si="13"/>
        <v>409.19999999999993</v>
      </c>
      <c r="O68" s="99">
        <f t="shared" si="13"/>
        <v>445.90000000000003</v>
      </c>
      <c r="P68" s="99">
        <f t="shared" si="13"/>
        <v>476.5</v>
      </c>
      <c r="Q68" s="99">
        <f t="shared" si="13"/>
        <v>460.20000000000005</v>
      </c>
      <c r="R68" s="99">
        <f t="shared" si="13"/>
        <v>480.7</v>
      </c>
      <c r="S68" s="99">
        <f t="shared" si="13"/>
        <v>507.6</v>
      </c>
      <c r="T68" s="99">
        <f t="shared" si="13"/>
        <v>534.42999999999995</v>
      </c>
      <c r="U68" s="99">
        <f t="shared" si="13"/>
        <v>525.09999999999991</v>
      </c>
      <c r="V68" s="99">
        <f t="shared" si="13"/>
        <v>460.02000000000004</v>
      </c>
      <c r="W68" s="99">
        <f t="shared" si="13"/>
        <v>416.59999999999997</v>
      </c>
      <c r="X68" s="99">
        <f t="shared" si="13"/>
        <v>145</v>
      </c>
      <c r="Y68" s="99">
        <f t="shared" si="13"/>
        <v>145</v>
      </c>
      <c r="Z68" s="99">
        <f t="shared" si="13"/>
        <v>197.3</v>
      </c>
      <c r="AA68" s="99">
        <f t="shared" si="13"/>
        <v>197.3</v>
      </c>
      <c r="AB68" s="99">
        <f t="shared" si="13"/>
        <v>242.89999999999998</v>
      </c>
      <c r="AC68" s="99">
        <f t="shared" si="13"/>
        <v>245.85</v>
      </c>
      <c r="AD68" s="99">
        <f t="shared" si="13"/>
        <v>255.79999999999998</v>
      </c>
      <c r="AE68" s="99">
        <f t="shared" si="13"/>
        <v>195.2</v>
      </c>
      <c r="AF68" s="99">
        <f t="shared" si="13"/>
        <v>155.69999999999999</v>
      </c>
      <c r="AG68" s="98">
        <f>SUM(AG57:AG67)</f>
        <v>0</v>
      </c>
      <c r="AH68" s="21">
        <f t="shared" si="2"/>
        <v>534.42999999999995</v>
      </c>
      <c r="AI68" s="20">
        <f t="shared" si="3"/>
        <v>145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908.94</v>
      </c>
      <c r="C73" s="110">
        <f>C68+C56+C52+C38+C72</f>
        <v>877.04</v>
      </c>
      <c r="D73" s="110">
        <f t="shared" ref="D73:AG73" si="17">D68+D56+D52+D38+D72</f>
        <v>848.14</v>
      </c>
      <c r="E73" s="110">
        <f t="shared" si="17"/>
        <v>877.74</v>
      </c>
      <c r="F73" s="110">
        <f t="shared" si="17"/>
        <v>952.44</v>
      </c>
      <c r="G73" s="110">
        <f t="shared" si="17"/>
        <v>1059.74</v>
      </c>
      <c r="H73" s="110">
        <f t="shared" si="17"/>
        <v>1153.44</v>
      </c>
      <c r="I73" s="110">
        <f t="shared" si="17"/>
        <v>1208.44</v>
      </c>
      <c r="J73" s="110">
        <f t="shared" si="17"/>
        <v>1281.5400000000002</v>
      </c>
      <c r="K73" s="110">
        <f t="shared" si="17"/>
        <v>1416.94</v>
      </c>
      <c r="L73" s="110">
        <f t="shared" si="17"/>
        <v>1436.1399999999999</v>
      </c>
      <c r="M73" s="110">
        <f t="shared" si="17"/>
        <v>1445.24</v>
      </c>
      <c r="N73" s="110">
        <f t="shared" si="17"/>
        <v>1400.54</v>
      </c>
      <c r="O73" s="110">
        <f t="shared" si="17"/>
        <v>1433.14</v>
      </c>
      <c r="P73" s="110">
        <f t="shared" si="17"/>
        <v>1425.24</v>
      </c>
      <c r="Q73" s="110">
        <f t="shared" si="17"/>
        <v>1446.94</v>
      </c>
      <c r="R73" s="110">
        <f t="shared" si="17"/>
        <v>1428.04</v>
      </c>
      <c r="S73" s="110">
        <f t="shared" si="17"/>
        <v>1411.3400000000001</v>
      </c>
      <c r="T73" s="110">
        <f t="shared" si="17"/>
        <v>1449.47</v>
      </c>
      <c r="U73" s="110">
        <f t="shared" si="17"/>
        <v>1502.14</v>
      </c>
      <c r="V73" s="110">
        <f t="shared" si="17"/>
        <v>1433.96</v>
      </c>
      <c r="W73" s="110">
        <f t="shared" si="17"/>
        <v>1442.04</v>
      </c>
      <c r="X73" s="110">
        <f t="shared" si="17"/>
        <v>1243.1400000000001</v>
      </c>
      <c r="Y73" s="110">
        <f t="shared" si="17"/>
        <v>1270.94</v>
      </c>
      <c r="Z73" s="110">
        <v>1398.34</v>
      </c>
      <c r="AA73" s="110">
        <f t="shared" si="17"/>
        <v>1370.3400000000001</v>
      </c>
      <c r="AB73" s="110">
        <f t="shared" si="17"/>
        <v>1271.1400000000001</v>
      </c>
      <c r="AC73" s="110">
        <f t="shared" si="17"/>
        <v>1262.79</v>
      </c>
      <c r="AD73" s="110">
        <f t="shared" si="17"/>
        <v>1226.7400000000002</v>
      </c>
      <c r="AE73" s="110">
        <f t="shared" si="17"/>
        <v>1090.1400000000001</v>
      </c>
      <c r="AF73" s="110">
        <f t="shared" si="17"/>
        <v>1006.44</v>
      </c>
      <c r="AG73" s="110">
        <f t="shared" si="17"/>
        <v>2144.14</v>
      </c>
      <c r="AH73" s="21">
        <f t="shared" si="2"/>
        <v>1502.14</v>
      </c>
      <c r="AI73" s="20">
        <f t="shared" si="3"/>
        <v>848.14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200</v>
      </c>
      <c r="C74" s="111">
        <v>200</v>
      </c>
      <c r="D74" s="111">
        <v>200</v>
      </c>
      <c r="E74" s="111">
        <v>150</v>
      </c>
      <c r="F74" s="111">
        <v>70</v>
      </c>
      <c r="G74" s="111">
        <v>30</v>
      </c>
      <c r="H74" s="111">
        <v>20</v>
      </c>
      <c r="I74" s="111">
        <v>10</v>
      </c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>
        <v>270</v>
      </c>
      <c r="AA74" s="111">
        <v>270</v>
      </c>
      <c r="AB74" s="111">
        <v>270</v>
      </c>
      <c r="AC74" s="111">
        <v>270</v>
      </c>
      <c r="AD74" s="111">
        <v>270</v>
      </c>
      <c r="AE74" s="111">
        <v>270</v>
      </c>
      <c r="AF74" s="111">
        <v>270</v>
      </c>
      <c r="AG74" s="98"/>
      <c r="AH74" s="21">
        <f t="shared" si="2"/>
        <v>270</v>
      </c>
      <c r="AI74" s="20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1108.94</v>
      </c>
      <c r="C75" s="110">
        <f>C73+C74</f>
        <v>1077.04</v>
      </c>
      <c r="D75" s="110">
        <f t="shared" ref="D75:AF75" si="19">D72+D68+D56+D52+D38+D74</f>
        <v>1048.1399999999999</v>
      </c>
      <c r="E75" s="110">
        <f t="shared" si="19"/>
        <v>1027.74</v>
      </c>
      <c r="F75" s="110">
        <f t="shared" si="19"/>
        <v>1022.44</v>
      </c>
      <c r="G75" s="110">
        <f t="shared" si="19"/>
        <v>1089.74</v>
      </c>
      <c r="H75" s="110">
        <f t="shared" si="19"/>
        <v>1173.44</v>
      </c>
      <c r="I75" s="110">
        <f t="shared" si="19"/>
        <v>1218.44</v>
      </c>
      <c r="J75" s="110">
        <f t="shared" si="19"/>
        <v>1281.5400000000002</v>
      </c>
      <c r="K75" s="110">
        <f t="shared" si="19"/>
        <v>1416.94</v>
      </c>
      <c r="L75" s="110">
        <f t="shared" si="19"/>
        <v>1436.1399999999999</v>
      </c>
      <c r="M75" s="110">
        <f t="shared" si="19"/>
        <v>1445.24</v>
      </c>
      <c r="N75" s="110">
        <f t="shared" si="19"/>
        <v>1400.54</v>
      </c>
      <c r="O75" s="110">
        <f t="shared" si="19"/>
        <v>1433.14</v>
      </c>
      <c r="P75" s="110">
        <f t="shared" si="19"/>
        <v>1425.24</v>
      </c>
      <c r="Q75" s="110">
        <f t="shared" si="19"/>
        <v>1446.94</v>
      </c>
      <c r="R75" s="110">
        <f t="shared" si="19"/>
        <v>1428.04</v>
      </c>
      <c r="S75" s="110">
        <f t="shared" si="19"/>
        <v>1411.3400000000001</v>
      </c>
      <c r="T75" s="110">
        <f t="shared" si="19"/>
        <v>1449.47</v>
      </c>
      <c r="U75" s="110">
        <f t="shared" si="19"/>
        <v>1502.14</v>
      </c>
      <c r="V75" s="110">
        <f t="shared" si="19"/>
        <v>1433.96</v>
      </c>
      <c r="W75" s="110">
        <f t="shared" si="19"/>
        <v>1442.04</v>
      </c>
      <c r="X75" s="110">
        <f t="shared" si="19"/>
        <v>1243.1400000000001</v>
      </c>
      <c r="Y75" s="110">
        <f t="shared" si="19"/>
        <v>1270.94</v>
      </c>
      <c r="Z75" s="110">
        <v>1668.34</v>
      </c>
      <c r="AA75" s="110">
        <f t="shared" si="19"/>
        <v>1640.3400000000001</v>
      </c>
      <c r="AB75" s="110">
        <f t="shared" si="19"/>
        <v>1541.14</v>
      </c>
      <c r="AC75" s="110">
        <f t="shared" si="19"/>
        <v>1532.79</v>
      </c>
      <c r="AD75" s="110">
        <f t="shared" si="19"/>
        <v>1496.7400000000002</v>
      </c>
      <c r="AE75" s="110">
        <f t="shared" si="19"/>
        <v>1360.14</v>
      </c>
      <c r="AF75" s="110">
        <f t="shared" si="19"/>
        <v>1276.44</v>
      </c>
      <c r="AG75" s="98">
        <f>AG72+AG68+AG56+AG52+AG38+AG74</f>
        <v>2144.14</v>
      </c>
      <c r="AH75" s="21">
        <f t="shared" si="2"/>
        <v>1668.34</v>
      </c>
      <c r="AI75" s="20">
        <f t="shared" si="3"/>
        <v>1022.44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/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>
        <v>0</v>
      </c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2217.88</v>
      </c>
      <c r="C83" s="99">
        <f t="shared" ref="C83:AG83" si="35">SUM(C70:C82)</f>
        <v>2154.08</v>
      </c>
      <c r="D83" s="99">
        <f t="shared" si="35"/>
        <v>2096.2799999999997</v>
      </c>
      <c r="E83" s="99">
        <f t="shared" si="35"/>
        <v>2055.48</v>
      </c>
      <c r="F83" s="99">
        <f t="shared" si="35"/>
        <v>2044.88</v>
      </c>
      <c r="G83" s="99">
        <f t="shared" si="35"/>
        <v>2179.48</v>
      </c>
      <c r="H83" s="99">
        <f t="shared" si="35"/>
        <v>2346.88</v>
      </c>
      <c r="I83" s="99">
        <f t="shared" si="35"/>
        <v>2436.88</v>
      </c>
      <c r="J83" s="99">
        <f t="shared" si="35"/>
        <v>2563.0800000000004</v>
      </c>
      <c r="K83" s="99">
        <f t="shared" si="35"/>
        <v>2833.88</v>
      </c>
      <c r="L83" s="99">
        <f t="shared" si="35"/>
        <v>2872.2799999999997</v>
      </c>
      <c r="M83" s="99">
        <f t="shared" si="35"/>
        <v>2890.48</v>
      </c>
      <c r="N83" s="99">
        <f t="shared" si="35"/>
        <v>2801.08</v>
      </c>
      <c r="O83" s="99">
        <f t="shared" si="35"/>
        <v>2866.28</v>
      </c>
      <c r="P83" s="99">
        <f t="shared" si="35"/>
        <v>2850.48</v>
      </c>
      <c r="Q83" s="99">
        <f t="shared" si="35"/>
        <v>2893.88</v>
      </c>
      <c r="R83" s="99">
        <f t="shared" si="35"/>
        <v>2856.08</v>
      </c>
      <c r="S83" s="99">
        <f t="shared" si="35"/>
        <v>2822.6800000000003</v>
      </c>
      <c r="T83" s="99">
        <f t="shared" si="35"/>
        <v>2898.94</v>
      </c>
      <c r="U83" s="99">
        <f t="shared" si="35"/>
        <v>3004.28</v>
      </c>
      <c r="V83" s="99">
        <f t="shared" si="35"/>
        <v>2867.92</v>
      </c>
      <c r="W83" s="99">
        <f t="shared" si="35"/>
        <v>2884.08</v>
      </c>
      <c r="X83" s="99">
        <f t="shared" si="35"/>
        <v>2486.2800000000002</v>
      </c>
      <c r="Y83" s="99">
        <f t="shared" si="35"/>
        <v>2541.88</v>
      </c>
      <c r="Z83" s="99">
        <f t="shared" si="35"/>
        <v>3336.68</v>
      </c>
      <c r="AA83" s="99">
        <f t="shared" si="35"/>
        <v>3280.6800000000003</v>
      </c>
      <c r="AB83" s="99">
        <f t="shared" si="35"/>
        <v>3082.28</v>
      </c>
      <c r="AC83" s="99">
        <f t="shared" si="35"/>
        <v>3065.58</v>
      </c>
      <c r="AD83" s="99">
        <f t="shared" si="35"/>
        <v>2993.4800000000005</v>
      </c>
      <c r="AE83" s="99">
        <f t="shared" si="35"/>
        <v>2720.28</v>
      </c>
      <c r="AF83" s="99">
        <f t="shared" si="35"/>
        <v>2552.88</v>
      </c>
      <c r="AG83" s="98">
        <f t="shared" si="35"/>
        <v>4360.08</v>
      </c>
      <c r="AH83" s="21">
        <f t="shared" si="22"/>
        <v>3336.68</v>
      </c>
      <c r="AI83" s="20">
        <f t="shared" si="23"/>
        <v>2044.88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49.99</v>
      </c>
      <c r="C84" s="96">
        <v>49.94</v>
      </c>
      <c r="D84" s="96">
        <v>50.04</v>
      </c>
      <c r="E84" s="96">
        <v>50.006</v>
      </c>
      <c r="F84" s="96">
        <v>50.023000000000003</v>
      </c>
      <c r="G84" s="96">
        <v>50.023000000000003</v>
      </c>
      <c r="H84" s="96">
        <v>49.963000000000001</v>
      </c>
      <c r="I84" s="96">
        <v>50.003999999999998</v>
      </c>
      <c r="J84" s="96">
        <v>50.003</v>
      </c>
      <c r="K84" s="96">
        <v>50.045000000000002</v>
      </c>
      <c r="L84" s="96">
        <v>50.055999999999997</v>
      </c>
      <c r="M84" s="96">
        <v>50.097000000000001</v>
      </c>
      <c r="N84" s="96">
        <v>49.957000000000001</v>
      </c>
      <c r="O84" s="96">
        <v>49.936</v>
      </c>
      <c r="P84" s="96">
        <v>49.889000000000003</v>
      </c>
      <c r="Q84" s="96">
        <v>50.042999999999999</v>
      </c>
      <c r="R84" s="96">
        <v>50.026000000000003</v>
      </c>
      <c r="S84" s="96">
        <v>50.07</v>
      </c>
      <c r="T84" s="96">
        <v>49.92</v>
      </c>
      <c r="U84" s="96">
        <v>50.1</v>
      </c>
      <c r="V84" s="96">
        <v>50.03</v>
      </c>
      <c r="W84" s="96">
        <v>50.01</v>
      </c>
      <c r="X84" s="96">
        <v>50.1</v>
      </c>
      <c r="Y84" s="96">
        <v>49.97</v>
      </c>
      <c r="Z84" s="96">
        <v>50.07</v>
      </c>
      <c r="AA84" s="96">
        <v>50.07</v>
      </c>
      <c r="AB84" s="96">
        <v>50.012999999999998</v>
      </c>
      <c r="AC84" s="96">
        <v>50.064</v>
      </c>
      <c r="AD84" s="96">
        <v>50.012</v>
      </c>
      <c r="AE84" s="96">
        <v>50.057000000000002</v>
      </c>
      <c r="AF84" s="96">
        <v>50.011000000000003</v>
      </c>
      <c r="AG84" s="95"/>
      <c r="AH84" s="21">
        <f t="shared" si="22"/>
        <v>50.1</v>
      </c>
      <c r="AI84" s="20">
        <f t="shared" si="23"/>
        <v>49.889000000000003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131.69999999999999</v>
      </c>
      <c r="C85" s="73">
        <v>132.30000000000001</v>
      </c>
      <c r="D85" s="73">
        <v>132.30000000000001</v>
      </c>
      <c r="E85" s="73">
        <v>131.6</v>
      </c>
      <c r="F85" s="73">
        <v>131.6</v>
      </c>
      <c r="G85" s="73">
        <v>131.9</v>
      </c>
      <c r="H85" s="73">
        <v>130.6</v>
      </c>
      <c r="I85" s="73">
        <v>130</v>
      </c>
      <c r="J85" s="73">
        <v>128.69999999999999</v>
      </c>
      <c r="K85" s="73">
        <v>127.1</v>
      </c>
      <c r="L85" s="73">
        <v>126.5</v>
      </c>
      <c r="M85" s="73">
        <v>126.2</v>
      </c>
      <c r="N85" s="73">
        <v>126.1</v>
      </c>
      <c r="O85" s="73">
        <v>124.6</v>
      </c>
      <c r="P85" s="73">
        <v>124.5</v>
      </c>
      <c r="Q85" s="73">
        <v>125.4</v>
      </c>
      <c r="R85" s="73">
        <v>123.5</v>
      </c>
      <c r="S85" s="73">
        <v>124.1</v>
      </c>
      <c r="T85" s="73">
        <v>124.6</v>
      </c>
      <c r="U85" s="73">
        <v>124.1</v>
      </c>
      <c r="V85" s="73">
        <v>125.1</v>
      </c>
      <c r="W85" s="73">
        <v>127.3</v>
      </c>
      <c r="X85" s="73">
        <v>128.4</v>
      </c>
      <c r="Y85" s="73">
        <v>127.4</v>
      </c>
      <c r="Z85" s="94">
        <v>126.8</v>
      </c>
      <c r="AA85" s="94">
        <v>126.8</v>
      </c>
      <c r="AB85" s="73">
        <v>129</v>
      </c>
      <c r="AC85" s="73">
        <v>129.19999999999999</v>
      </c>
      <c r="AD85" s="73">
        <v>129.19999999999999</v>
      </c>
      <c r="AE85" s="73">
        <v>129.80000000000001</v>
      </c>
      <c r="AF85" s="73">
        <v>130</v>
      </c>
      <c r="AG85" s="89"/>
      <c r="AH85" s="21">
        <f t="shared" si="22"/>
        <v>132.30000000000001</v>
      </c>
      <c r="AI85" s="20">
        <f t="shared" si="23"/>
        <v>123.5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134.80000000000001</v>
      </c>
      <c r="C86" s="73">
        <v>135.4</v>
      </c>
      <c r="D86" s="73">
        <v>135.69999999999999</v>
      </c>
      <c r="E86" s="73">
        <v>135.19999999999999</v>
      </c>
      <c r="F86" s="73">
        <v>135.19999999999999</v>
      </c>
      <c r="G86" s="73">
        <v>135</v>
      </c>
      <c r="H86" s="73">
        <v>134</v>
      </c>
      <c r="I86" s="73">
        <v>132.9</v>
      </c>
      <c r="J86" s="73">
        <v>131.1</v>
      </c>
      <c r="K86" s="73">
        <v>129.5</v>
      </c>
      <c r="L86" s="73">
        <v>128.6</v>
      </c>
      <c r="M86" s="73">
        <v>128.69999999999999</v>
      </c>
      <c r="N86" s="73">
        <v>128.80000000000001</v>
      </c>
      <c r="O86" s="73">
        <v>127.7</v>
      </c>
      <c r="P86" s="73">
        <v>127.9</v>
      </c>
      <c r="Q86" s="73">
        <v>130.1</v>
      </c>
      <c r="R86" s="73">
        <v>129.69999999999999</v>
      </c>
      <c r="S86" s="73">
        <v>129.1</v>
      </c>
      <c r="T86" s="73">
        <v>127.7</v>
      </c>
      <c r="U86" s="73">
        <v>127.4</v>
      </c>
      <c r="V86" s="73">
        <v>128.69999999999999</v>
      </c>
      <c r="W86" s="73">
        <v>130</v>
      </c>
      <c r="X86" s="73">
        <v>130.9</v>
      </c>
      <c r="Y86" s="73">
        <v>129.5</v>
      </c>
      <c r="Z86" s="94">
        <v>128.5</v>
      </c>
      <c r="AA86" s="94">
        <v>128.5</v>
      </c>
      <c r="AB86" s="73">
        <v>131.6</v>
      </c>
      <c r="AC86" s="73">
        <v>131.9</v>
      </c>
      <c r="AD86" s="73">
        <v>131.9</v>
      </c>
      <c r="AE86" s="73">
        <v>132.6</v>
      </c>
      <c r="AF86" s="73">
        <v>133.19999999999999</v>
      </c>
      <c r="AG86" s="89"/>
      <c r="AH86" s="21">
        <f t="shared" si="22"/>
        <v>135.69999999999999</v>
      </c>
      <c r="AI86" s="20">
        <f t="shared" si="23"/>
        <v>127.4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130.19999999999999</v>
      </c>
      <c r="C87" s="73">
        <v>129.6</v>
      </c>
      <c r="D87" s="73">
        <v>129.69999999999999</v>
      </c>
      <c r="E87" s="73">
        <v>129.80000000000001</v>
      </c>
      <c r="F87" s="73">
        <v>129.80000000000001</v>
      </c>
      <c r="G87" s="73">
        <v>129.9</v>
      </c>
      <c r="H87" s="73">
        <v>129.30000000000001</v>
      </c>
      <c r="I87" s="73">
        <v>129.9</v>
      </c>
      <c r="J87" s="73">
        <v>126.8</v>
      </c>
      <c r="K87" s="73">
        <v>126.6</v>
      </c>
      <c r="L87" s="73">
        <v>127.9</v>
      </c>
      <c r="M87" s="73">
        <v>126.1</v>
      </c>
      <c r="N87" s="73">
        <v>126.3</v>
      </c>
      <c r="O87" s="73">
        <v>127.3</v>
      </c>
      <c r="P87" s="73">
        <v>128.4</v>
      </c>
      <c r="Q87" s="73">
        <v>127.9</v>
      </c>
      <c r="R87" s="73">
        <v>130</v>
      </c>
      <c r="S87" s="73">
        <v>130.1</v>
      </c>
      <c r="T87" s="73">
        <v>127.8</v>
      </c>
      <c r="U87" s="73">
        <v>129</v>
      </c>
      <c r="V87" s="73">
        <v>129.30000000000001</v>
      </c>
      <c r="W87" s="73">
        <v>129.30000000000001</v>
      </c>
      <c r="X87" s="73">
        <v>127</v>
      </c>
      <c r="Y87" s="73">
        <v>122.4</v>
      </c>
      <c r="Z87" s="94">
        <v>125.4</v>
      </c>
      <c r="AA87" s="94">
        <v>125.4</v>
      </c>
      <c r="AB87" s="73">
        <v>126.2</v>
      </c>
      <c r="AC87" s="73">
        <v>126.4</v>
      </c>
      <c r="AD87" s="73">
        <v>127.5</v>
      </c>
      <c r="AE87" s="73">
        <v>128.1</v>
      </c>
      <c r="AF87" s="73">
        <v>129</v>
      </c>
      <c r="AG87" s="89"/>
      <c r="AH87" s="21">
        <f t="shared" si="22"/>
        <v>130.19999999999999</v>
      </c>
      <c r="AI87" s="20">
        <f t="shared" si="23"/>
        <v>122.4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133.5</v>
      </c>
      <c r="C88" s="73">
        <v>131.30000000000001</v>
      </c>
      <c r="D88" s="73">
        <v>131.6</v>
      </c>
      <c r="E88" s="73">
        <v>131.5</v>
      </c>
      <c r="F88" s="73">
        <v>131.5</v>
      </c>
      <c r="G88" s="73">
        <v>131.19999999999999</v>
      </c>
      <c r="H88" s="73">
        <v>130.1</v>
      </c>
      <c r="I88" s="73">
        <v>133.80000000000001</v>
      </c>
      <c r="J88" s="73">
        <v>129.69999999999999</v>
      </c>
      <c r="K88" s="73">
        <v>128</v>
      </c>
      <c r="L88" s="73">
        <v>128.6</v>
      </c>
      <c r="M88" s="73">
        <v>126.7</v>
      </c>
      <c r="N88" s="73">
        <v>122.9</v>
      </c>
      <c r="O88" s="73">
        <v>128.19999999999999</v>
      </c>
      <c r="P88" s="73">
        <v>129.69999999999999</v>
      </c>
      <c r="Q88" s="73">
        <v>129.4</v>
      </c>
      <c r="R88" s="73">
        <v>132</v>
      </c>
      <c r="S88" s="73">
        <v>131.1</v>
      </c>
      <c r="T88" s="73">
        <v>129.30000000000001</v>
      </c>
      <c r="U88" s="73">
        <v>124.9</v>
      </c>
      <c r="V88" s="73">
        <v>127.1</v>
      </c>
      <c r="W88" s="73">
        <v>127.1</v>
      </c>
      <c r="X88" s="73">
        <v>127.1</v>
      </c>
      <c r="Y88" s="73">
        <v>122</v>
      </c>
      <c r="Z88" s="94">
        <v>126.3</v>
      </c>
      <c r="AA88" s="94">
        <v>126.3</v>
      </c>
      <c r="AB88" s="73">
        <v>128.4</v>
      </c>
      <c r="AC88" s="73">
        <v>128.80000000000001</v>
      </c>
      <c r="AD88" s="73">
        <v>130</v>
      </c>
      <c r="AE88" s="73">
        <v>132</v>
      </c>
      <c r="AF88" s="73">
        <v>132.80000000000001</v>
      </c>
      <c r="AG88" s="89"/>
      <c r="AH88" s="21">
        <f t="shared" si="22"/>
        <v>133.80000000000001</v>
      </c>
      <c r="AI88" s="20">
        <f t="shared" si="23"/>
        <v>122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134.30000000000001</v>
      </c>
      <c r="C89" s="66">
        <v>134.9</v>
      </c>
      <c r="D89" s="66">
        <v>135.5</v>
      </c>
      <c r="E89" s="66">
        <v>129.4</v>
      </c>
      <c r="F89" s="66">
        <v>129.4</v>
      </c>
      <c r="G89" s="66">
        <v>132.4</v>
      </c>
      <c r="H89" s="66">
        <v>132</v>
      </c>
      <c r="I89" s="66">
        <v>133.30000000000001</v>
      </c>
      <c r="J89" s="66">
        <v>131.19999999999999</v>
      </c>
      <c r="K89" s="66">
        <v>134.5</v>
      </c>
      <c r="L89" s="66">
        <v>133.30000000000001</v>
      </c>
      <c r="M89" s="66">
        <v>132.4</v>
      </c>
      <c r="N89" s="66">
        <v>133</v>
      </c>
      <c r="O89" s="66">
        <v>134.1</v>
      </c>
      <c r="P89" s="66">
        <v>103.1</v>
      </c>
      <c r="Q89" s="66">
        <v>135.5</v>
      </c>
      <c r="R89" s="66">
        <v>133.30000000000001</v>
      </c>
      <c r="S89" s="66">
        <v>130.6</v>
      </c>
      <c r="T89" s="66">
        <v>129</v>
      </c>
      <c r="U89" s="66">
        <v>130.30000000000001</v>
      </c>
      <c r="V89" s="66">
        <v>134.5</v>
      </c>
      <c r="W89" s="66">
        <v>134.5</v>
      </c>
      <c r="X89" s="66">
        <v>135.80000000000001</v>
      </c>
      <c r="Y89" s="66">
        <v>131.19999999999999</v>
      </c>
      <c r="Z89" s="94">
        <v>131.69999999999999</v>
      </c>
      <c r="AA89" s="94">
        <v>131.69999999999999</v>
      </c>
      <c r="AB89" s="66">
        <v>134.30000000000001</v>
      </c>
      <c r="AC89" s="66">
        <v>134.5</v>
      </c>
      <c r="AD89" s="66">
        <v>134.69999999999999</v>
      </c>
      <c r="AE89" s="66">
        <v>133</v>
      </c>
      <c r="AF89" s="66">
        <v>131.69999999999999</v>
      </c>
      <c r="AG89" s="91"/>
      <c r="AH89" s="21">
        <f t="shared" si="22"/>
        <v>135.80000000000001</v>
      </c>
      <c r="AI89" s="20">
        <f t="shared" si="23"/>
        <v>103.1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132.80000000000001</v>
      </c>
      <c r="C90" s="73">
        <v>135.19999999999999</v>
      </c>
      <c r="D90" s="73">
        <v>132.80000000000001</v>
      </c>
      <c r="E90" s="73">
        <v>135.19999999999999</v>
      </c>
      <c r="F90" s="73">
        <v>135.19999999999999</v>
      </c>
      <c r="G90" s="73">
        <v>130.9</v>
      </c>
      <c r="H90" s="73">
        <v>129.6</v>
      </c>
      <c r="I90" s="73">
        <v>131.1</v>
      </c>
      <c r="J90" s="73">
        <v>127.7</v>
      </c>
      <c r="K90" s="73">
        <v>129.5</v>
      </c>
      <c r="L90" s="73">
        <v>128</v>
      </c>
      <c r="M90" s="73">
        <v>127.7</v>
      </c>
      <c r="N90" s="73">
        <v>130.9</v>
      </c>
      <c r="O90" s="73">
        <v>132.5</v>
      </c>
      <c r="P90" s="73">
        <v>134.1</v>
      </c>
      <c r="Q90" s="73">
        <v>133.30000000000001</v>
      </c>
      <c r="R90" s="73">
        <v>133.80000000000001</v>
      </c>
      <c r="S90" s="73">
        <v>132.6</v>
      </c>
      <c r="T90" s="73">
        <v>133.80000000000001</v>
      </c>
      <c r="U90" s="73">
        <v>133.4</v>
      </c>
      <c r="V90" s="73">
        <v>133.4</v>
      </c>
      <c r="W90" s="73">
        <v>133.4</v>
      </c>
      <c r="X90" s="73">
        <v>132.6</v>
      </c>
      <c r="Y90" s="73">
        <v>132.1</v>
      </c>
      <c r="Z90" s="94">
        <v>129.69999999999999</v>
      </c>
      <c r="AA90" s="94">
        <v>129.69999999999999</v>
      </c>
      <c r="AB90" s="73">
        <v>135.4</v>
      </c>
      <c r="AC90" s="73">
        <v>136</v>
      </c>
      <c r="AD90" s="73">
        <v>134.6</v>
      </c>
      <c r="AE90" s="73">
        <v>130.5</v>
      </c>
      <c r="AF90" s="73">
        <v>132.80000000000001</v>
      </c>
      <c r="AG90" s="89"/>
      <c r="AH90" s="21">
        <f t="shared" si="22"/>
        <v>136</v>
      </c>
      <c r="AI90" s="20">
        <f t="shared" si="23"/>
        <v>127.7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68</v>
      </c>
      <c r="C91" s="87">
        <v>68.3</v>
      </c>
      <c r="D91" s="87">
        <v>68</v>
      </c>
      <c r="E91" s="87">
        <v>68.400000000000006</v>
      </c>
      <c r="F91" s="87">
        <v>68.400000000000006</v>
      </c>
      <c r="G91" s="87">
        <v>68.2</v>
      </c>
      <c r="H91" s="87">
        <v>67.7</v>
      </c>
      <c r="I91" s="87">
        <v>67.099999999999994</v>
      </c>
      <c r="J91" s="87">
        <v>66.2</v>
      </c>
      <c r="K91" s="87">
        <v>65.7</v>
      </c>
      <c r="L91" s="87">
        <v>65.099999999999994</v>
      </c>
      <c r="M91" s="87">
        <v>65.099999999999994</v>
      </c>
      <c r="N91" s="87">
        <v>64.900000000000006</v>
      </c>
      <c r="O91" s="87">
        <v>64.400000000000006</v>
      </c>
      <c r="P91" s="87">
        <v>64.5</v>
      </c>
      <c r="Q91" s="87">
        <v>65.5</v>
      </c>
      <c r="R91" s="87">
        <v>65.099999999999994</v>
      </c>
      <c r="S91" s="87">
        <v>64.900000000000006</v>
      </c>
      <c r="T91" s="87">
        <v>64.3</v>
      </c>
      <c r="U91" s="87">
        <v>64.099999999999994</v>
      </c>
      <c r="V91" s="87">
        <v>65.3</v>
      </c>
      <c r="W91" s="87">
        <v>65.3</v>
      </c>
      <c r="X91" s="87">
        <v>66</v>
      </c>
      <c r="Y91" s="87">
        <v>65.5</v>
      </c>
      <c r="Z91" s="87">
        <v>65</v>
      </c>
      <c r="AA91" s="87">
        <v>65</v>
      </c>
      <c r="AB91" s="87">
        <v>66.599999999999994</v>
      </c>
      <c r="AC91" s="87">
        <v>66.7</v>
      </c>
      <c r="AD91" s="87">
        <v>66.7</v>
      </c>
      <c r="AE91" s="87">
        <v>66.7</v>
      </c>
      <c r="AF91" s="87">
        <v>67</v>
      </c>
      <c r="AG91" s="86"/>
      <c r="AH91" s="21">
        <f t="shared" si="22"/>
        <v>68.400000000000006</v>
      </c>
      <c r="AI91" s="20">
        <f t="shared" si="23"/>
        <v>64.099999999999994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6">SUM(B15,B18,B21:B22,B42,B44:B45,B47,B49,B94:B97,B103,B109,B115,B124,B126,B138,B145,B148:B149,B156,B158,B160,B164:B166,B168:B170,B175,B181:B182,B184:B186,B194,B199)</f>
        <v>169.84</v>
      </c>
      <c r="C93" s="82">
        <f t="shared" ref="C93:AF93" si="37">SUM(C15,C18,C21:C22,C42,C44:C45,C47,C49,C94:C97,C103,C109,C115,C124,C126,C138,C145,C148:C149,C156,C158,C160,C164:C166,C168:C170,C175,C181:C182,C184:C186,C194,C199)</f>
        <v>162.53999999999996</v>
      </c>
      <c r="D93" s="82">
        <f t="shared" si="37"/>
        <v>154.34000000000003</v>
      </c>
      <c r="E93" s="82">
        <f t="shared" si="37"/>
        <v>161.23999999999995</v>
      </c>
      <c r="F93" s="82">
        <f t="shared" si="37"/>
        <v>167.33999999999997</v>
      </c>
      <c r="G93" s="80">
        <f t="shared" si="37"/>
        <v>191.14</v>
      </c>
      <c r="H93" s="80">
        <f t="shared" si="37"/>
        <v>216.03999999999996</v>
      </c>
      <c r="I93" s="80">
        <f t="shared" si="37"/>
        <v>246.23999999999998</v>
      </c>
      <c r="J93" s="80">
        <f t="shared" si="37"/>
        <v>286.14000000000004</v>
      </c>
      <c r="K93" s="80">
        <f t="shared" si="37"/>
        <v>325.04000000000008</v>
      </c>
      <c r="L93" s="80">
        <f t="shared" si="37"/>
        <v>331.74000000000007</v>
      </c>
      <c r="M93" s="80">
        <f t="shared" si="37"/>
        <v>344.54</v>
      </c>
      <c r="N93" s="80">
        <f t="shared" si="37"/>
        <v>309.14000000000004</v>
      </c>
      <c r="O93" s="80">
        <f t="shared" si="37"/>
        <v>314.64000000000004</v>
      </c>
      <c r="P93" s="80">
        <f t="shared" si="37"/>
        <v>304.54000000000008</v>
      </c>
      <c r="Q93" s="80">
        <f t="shared" si="37"/>
        <v>299.34000000000003</v>
      </c>
      <c r="R93" s="80">
        <f t="shared" si="37"/>
        <v>297.44000000000005</v>
      </c>
      <c r="S93" s="80">
        <f t="shared" si="37"/>
        <v>307.54000000000008</v>
      </c>
      <c r="T93" s="80">
        <f t="shared" si="37"/>
        <v>301.34000000000003</v>
      </c>
      <c r="U93" s="80">
        <f t="shared" si="37"/>
        <v>310.84000000000003</v>
      </c>
      <c r="V93" s="80">
        <f t="shared" si="37"/>
        <v>313.74</v>
      </c>
      <c r="W93" s="80">
        <f t="shared" si="37"/>
        <v>336.84000000000003</v>
      </c>
      <c r="X93" s="80">
        <f t="shared" si="37"/>
        <v>367.24</v>
      </c>
      <c r="Y93" s="80">
        <f t="shared" si="37"/>
        <v>312.24</v>
      </c>
      <c r="Z93" s="80">
        <v>376.99708333333336</v>
      </c>
      <c r="AA93" s="80">
        <f t="shared" si="37"/>
        <v>355.24</v>
      </c>
      <c r="AB93" s="80">
        <f t="shared" si="37"/>
        <v>305.64000000000004</v>
      </c>
      <c r="AC93" s="80">
        <f t="shared" si="37"/>
        <v>307.54000000000002</v>
      </c>
      <c r="AD93" s="80">
        <f t="shared" si="37"/>
        <v>287.04000000000002</v>
      </c>
      <c r="AE93" s="80">
        <f t="shared" si="37"/>
        <v>227.33999999999997</v>
      </c>
      <c r="AF93" s="80">
        <f t="shared" si="37"/>
        <v>187.94</v>
      </c>
      <c r="AG93" s="79"/>
      <c r="AH93" s="21">
        <f>MAX(C93:AF93)</f>
        <v>376.99708333333336</v>
      </c>
      <c r="AI93" s="20">
        <f>MIN(C93:AF93)</f>
        <v>154.34000000000003</v>
      </c>
    </row>
    <row r="94" spans="1:88" x14ac:dyDescent="0.25">
      <c r="A94" s="48" t="s">
        <v>122</v>
      </c>
      <c r="B94" s="75">
        <v>-14.6</v>
      </c>
      <c r="C94" s="77">
        <v>-10.8</v>
      </c>
      <c r="D94" s="77">
        <v>-11.1</v>
      </c>
      <c r="E94" s="77">
        <v>-24.4</v>
      </c>
      <c r="F94" s="77">
        <v>-36</v>
      </c>
      <c r="G94" s="76">
        <v>11.4</v>
      </c>
      <c r="H94" s="76">
        <v>14.7</v>
      </c>
      <c r="I94" s="76">
        <v>27.7</v>
      </c>
      <c r="J94" s="76">
        <v>26.3</v>
      </c>
      <c r="K94" s="76">
        <v>31.8</v>
      </c>
      <c r="L94" s="76">
        <v>33.9</v>
      </c>
      <c r="M94" s="75">
        <v>37.6</v>
      </c>
      <c r="N94" s="76">
        <v>45.3</v>
      </c>
      <c r="O94" s="76">
        <v>40.200000000000003</v>
      </c>
      <c r="P94" s="76">
        <v>18.399999999999999</v>
      </c>
      <c r="Q94" s="76">
        <v>28.6</v>
      </c>
      <c r="R94" s="76">
        <v>18.7</v>
      </c>
      <c r="S94" s="76">
        <v>4.5</v>
      </c>
      <c r="T94" s="76">
        <v>5.6</v>
      </c>
      <c r="U94" s="75">
        <v>14.2</v>
      </c>
      <c r="V94" s="75">
        <v>22.7</v>
      </c>
      <c r="W94" s="75">
        <v>33.799999999999997</v>
      </c>
      <c r="X94" s="76">
        <v>47.9</v>
      </c>
      <c r="Y94" s="76">
        <v>45.5</v>
      </c>
      <c r="Z94" s="76">
        <v>37.6</v>
      </c>
      <c r="AA94" s="76">
        <v>37.6</v>
      </c>
      <c r="AB94" s="75">
        <v>25.3</v>
      </c>
      <c r="AC94" s="75">
        <v>21</v>
      </c>
      <c r="AD94" s="75">
        <v>22.1</v>
      </c>
      <c r="AE94" s="75">
        <v>16</v>
      </c>
      <c r="AF94" s="75">
        <v>4.5</v>
      </c>
      <c r="AG94" s="3">
        <v>75</v>
      </c>
      <c r="AH94" s="21">
        <f t="shared" ref="AH94:AH100" si="38">IF(ABS(MAX(C94:AF94))&gt;ABS(MIN(C94:AF94)),MAX(C94:AF94),MIN(C94:AF94))</f>
        <v>47.9</v>
      </c>
      <c r="AI94" s="64">
        <f t="shared" ref="AI94:AI100" si="39">INDEX($C$9:$AF$9,1,MATCH(AH94,C94:AF94,0))</f>
        <v>0.75</v>
      </c>
    </row>
    <row r="95" spans="1:88" x14ac:dyDescent="0.25">
      <c r="A95" s="45" t="s">
        <v>121</v>
      </c>
      <c r="B95" s="73">
        <v>-31.2</v>
      </c>
      <c r="C95" s="67">
        <v>-32.200000000000003</v>
      </c>
      <c r="D95" s="67">
        <v>-35.200000000000003</v>
      </c>
      <c r="E95" s="67">
        <v>-32.9</v>
      </c>
      <c r="F95" s="67">
        <v>-23.5</v>
      </c>
      <c r="G95" s="67">
        <v>-26.7</v>
      </c>
      <c r="H95" s="67">
        <v>-21.2</v>
      </c>
      <c r="I95" s="67">
        <v>-13</v>
      </c>
      <c r="J95" s="67">
        <v>0</v>
      </c>
      <c r="K95" s="67">
        <v>8.5</v>
      </c>
      <c r="L95" s="67">
        <v>11.1</v>
      </c>
      <c r="M95" s="67">
        <v>12.5</v>
      </c>
      <c r="N95" s="67">
        <v>2.7</v>
      </c>
      <c r="O95" s="67">
        <v>0</v>
      </c>
      <c r="P95" s="67">
        <v>0</v>
      </c>
      <c r="Q95" s="67">
        <v>0</v>
      </c>
      <c r="R95" s="67">
        <v>0</v>
      </c>
      <c r="S95" s="67">
        <v>0</v>
      </c>
      <c r="T95" s="67">
        <v>0</v>
      </c>
      <c r="U95" s="67">
        <v>0</v>
      </c>
      <c r="V95" s="67">
        <v>0</v>
      </c>
      <c r="W95" s="67">
        <v>0</v>
      </c>
      <c r="X95" s="67">
        <v>0</v>
      </c>
      <c r="Y95" s="67">
        <v>0</v>
      </c>
      <c r="Z95" s="67">
        <v>0</v>
      </c>
      <c r="AA95" s="67">
        <v>0</v>
      </c>
      <c r="AB95" s="73">
        <v>0</v>
      </c>
      <c r="AC95" s="73">
        <v>6.9</v>
      </c>
      <c r="AD95" s="73">
        <v>0.7</v>
      </c>
      <c r="AE95" s="73">
        <v>-17.5</v>
      </c>
      <c r="AF95" s="73">
        <v>-28.4</v>
      </c>
      <c r="AG95" s="3">
        <v>240</v>
      </c>
      <c r="AH95" s="21">
        <f t="shared" si="38"/>
        <v>-35.200000000000003</v>
      </c>
      <c r="AI95" s="64">
        <f t="shared" si="39"/>
        <v>8.3333333333333301E-2</v>
      </c>
    </row>
    <row r="96" spans="1:88" x14ac:dyDescent="0.25">
      <c r="A96" s="45" t="s">
        <v>120</v>
      </c>
      <c r="B96" s="73">
        <v>30.8</v>
      </c>
      <c r="C96" s="67">
        <v>30.9</v>
      </c>
      <c r="D96" s="67">
        <v>29.5</v>
      </c>
      <c r="E96" s="67">
        <v>21.1</v>
      </c>
      <c r="F96" s="67">
        <v>33.200000000000003</v>
      </c>
      <c r="G96" s="67">
        <v>25.5</v>
      </c>
      <c r="H96" s="67">
        <v>23.7</v>
      </c>
      <c r="I96" s="67">
        <v>24.3</v>
      </c>
      <c r="J96" s="67">
        <v>32.200000000000003</v>
      </c>
      <c r="K96" s="67">
        <v>41.4</v>
      </c>
      <c r="L96" s="67">
        <v>38.6</v>
      </c>
      <c r="M96" s="67">
        <v>38.4</v>
      </c>
      <c r="N96" s="67">
        <v>34.299999999999997</v>
      </c>
      <c r="O96" s="67">
        <v>29.7</v>
      </c>
      <c r="P96" s="67">
        <v>29.8</v>
      </c>
      <c r="Q96" s="67">
        <v>28.9</v>
      </c>
      <c r="R96" s="67">
        <v>24.9</v>
      </c>
      <c r="S96" s="67">
        <v>32.1</v>
      </c>
      <c r="T96" s="67">
        <v>39.1</v>
      </c>
      <c r="U96" s="67">
        <v>33</v>
      </c>
      <c r="V96" s="67">
        <v>30.3</v>
      </c>
      <c r="W96" s="67">
        <v>37.299999999999997</v>
      </c>
      <c r="X96" s="67">
        <v>37</v>
      </c>
      <c r="Y96" s="67">
        <v>39.700000000000003</v>
      </c>
      <c r="Z96" s="67">
        <v>53.1</v>
      </c>
      <c r="AA96" s="67">
        <v>53.1</v>
      </c>
      <c r="AB96" s="73">
        <v>45.2</v>
      </c>
      <c r="AC96" s="73">
        <v>44.8</v>
      </c>
      <c r="AD96" s="73">
        <v>41.6</v>
      </c>
      <c r="AE96" s="73">
        <v>35.1</v>
      </c>
      <c r="AF96" s="73">
        <v>29.6</v>
      </c>
      <c r="AG96" s="3">
        <v>60</v>
      </c>
      <c r="AH96" s="21">
        <f t="shared" si="38"/>
        <v>53.1</v>
      </c>
      <c r="AI96" s="64">
        <f t="shared" si="39"/>
        <v>0.79166666666666663</v>
      </c>
    </row>
    <row r="97" spans="1:37" x14ac:dyDescent="0.25">
      <c r="A97" s="41" t="s">
        <v>119</v>
      </c>
      <c r="B97" s="69">
        <v>5.0999999999999996</v>
      </c>
      <c r="C97" s="70">
        <v>-1.9</v>
      </c>
      <c r="D97" s="70">
        <v>-5.6</v>
      </c>
      <c r="E97" s="70">
        <v>21.9</v>
      </c>
      <c r="F97" s="70">
        <v>18.100000000000001</v>
      </c>
      <c r="G97" s="70">
        <v>5.3</v>
      </c>
      <c r="H97" s="70">
        <v>23.1</v>
      </c>
      <c r="I97" s="70">
        <v>31.5</v>
      </c>
      <c r="J97" s="70">
        <v>51.9</v>
      </c>
      <c r="K97" s="70">
        <v>66.900000000000006</v>
      </c>
      <c r="L97" s="70">
        <v>71.7</v>
      </c>
      <c r="M97" s="70">
        <v>74.599999999999994</v>
      </c>
      <c r="N97" s="70">
        <v>45.3</v>
      </c>
      <c r="O97" s="70">
        <v>61.2</v>
      </c>
      <c r="P97" s="70">
        <v>71.8</v>
      </c>
      <c r="Q97" s="70">
        <v>56.6</v>
      </c>
      <c r="R97" s="70">
        <v>68.7</v>
      </c>
      <c r="S97" s="70">
        <v>85.9</v>
      </c>
      <c r="T97" s="70">
        <v>71.599999999999994</v>
      </c>
      <c r="U97" s="70">
        <v>80.3</v>
      </c>
      <c r="V97" s="70">
        <v>82.4</v>
      </c>
      <c r="W97" s="70">
        <v>87.4</v>
      </c>
      <c r="X97" s="70">
        <v>107</v>
      </c>
      <c r="Y97" s="70">
        <v>50.2</v>
      </c>
      <c r="Z97" s="70">
        <v>88.6</v>
      </c>
      <c r="AA97" s="70">
        <v>88.6</v>
      </c>
      <c r="AB97" s="69">
        <v>61</v>
      </c>
      <c r="AC97" s="69">
        <v>60.7</v>
      </c>
      <c r="AD97" s="69">
        <v>48.5</v>
      </c>
      <c r="AE97" s="69">
        <v>19</v>
      </c>
      <c r="AF97" s="69">
        <v>6.3</v>
      </c>
      <c r="AG97" s="72">
        <v>120</v>
      </c>
      <c r="AH97" s="21">
        <f t="shared" si="38"/>
        <v>107</v>
      </c>
      <c r="AI97" s="64">
        <f t="shared" si="39"/>
        <v>0.75</v>
      </c>
    </row>
    <row r="98" spans="1:37" x14ac:dyDescent="0.25">
      <c r="A98" s="41" t="s">
        <v>118</v>
      </c>
      <c r="B98" s="69">
        <v>12.5</v>
      </c>
      <c r="C98" s="70">
        <v>5.4</v>
      </c>
      <c r="D98" s="70">
        <v>5.5</v>
      </c>
      <c r="E98" s="70">
        <v>32.799999999999997</v>
      </c>
      <c r="F98" s="70">
        <v>23.3</v>
      </c>
      <c r="G98" s="70">
        <v>8.8000000000000007</v>
      </c>
      <c r="H98" s="70">
        <v>21.6</v>
      </c>
      <c r="I98" s="70">
        <v>24.2</v>
      </c>
      <c r="J98" s="70">
        <v>36.700000000000003</v>
      </c>
      <c r="K98" s="70">
        <v>43.8</v>
      </c>
      <c r="L98" s="70">
        <v>50</v>
      </c>
      <c r="M98" s="70">
        <v>51.3</v>
      </c>
      <c r="N98" s="70">
        <v>32.200000000000003</v>
      </c>
      <c r="O98" s="70">
        <v>49.1</v>
      </c>
      <c r="P98" s="70">
        <v>59</v>
      </c>
      <c r="Q98" s="70">
        <v>47.5</v>
      </c>
      <c r="R98" s="70">
        <v>57.9</v>
      </c>
      <c r="S98" s="70">
        <v>72.599999999999994</v>
      </c>
      <c r="T98" s="70">
        <v>72.5</v>
      </c>
      <c r="U98" s="70">
        <v>74.900000000000006</v>
      </c>
      <c r="V98" s="70">
        <v>57.2</v>
      </c>
      <c r="W98" s="70">
        <v>24.3</v>
      </c>
      <c r="X98" s="70">
        <v>-7.6</v>
      </c>
      <c r="Y98" s="70">
        <v>16.8</v>
      </c>
      <c r="Z98" s="70">
        <v>49.7</v>
      </c>
      <c r="AA98" s="70">
        <v>49.7</v>
      </c>
      <c r="AB98" s="69">
        <v>39</v>
      </c>
      <c r="AC98" s="69">
        <v>40</v>
      </c>
      <c r="AD98" s="69">
        <v>33.5</v>
      </c>
      <c r="AE98" s="69">
        <v>16.3</v>
      </c>
      <c r="AF98" s="69">
        <v>9.6</v>
      </c>
      <c r="AG98" s="72"/>
      <c r="AH98" s="21">
        <f t="shared" si="38"/>
        <v>74.900000000000006</v>
      </c>
      <c r="AI98" s="64">
        <f t="shared" si="39"/>
        <v>0.66666666666666696</v>
      </c>
    </row>
    <row r="99" spans="1:37" x14ac:dyDescent="0.25">
      <c r="A99" s="41" t="s">
        <v>117</v>
      </c>
      <c r="B99" s="69">
        <v>55.6</v>
      </c>
      <c r="C99" s="70">
        <v>52.2</v>
      </c>
      <c r="D99" s="70">
        <v>52.3</v>
      </c>
      <c r="E99" s="70">
        <v>69.400000000000006</v>
      </c>
      <c r="F99" s="70">
        <v>84.9</v>
      </c>
      <c r="G99" s="70">
        <v>51.4</v>
      </c>
      <c r="H99" s="70">
        <v>51.2</v>
      </c>
      <c r="I99" s="70">
        <v>38</v>
      </c>
      <c r="J99" s="70">
        <v>37.799999999999997</v>
      </c>
      <c r="K99" s="70">
        <v>38.799999999999997</v>
      </c>
      <c r="L99" s="70">
        <v>37</v>
      </c>
      <c r="M99" s="70">
        <v>34.5</v>
      </c>
      <c r="N99" s="70">
        <v>31.6</v>
      </c>
      <c r="O99" s="70">
        <v>39</v>
      </c>
      <c r="P99" s="70">
        <v>50.7</v>
      </c>
      <c r="Q99" s="70">
        <v>45.3</v>
      </c>
      <c r="R99" s="70">
        <v>50.8</v>
      </c>
      <c r="S99" s="70">
        <v>59.2</v>
      </c>
      <c r="T99" s="70">
        <v>62.2</v>
      </c>
      <c r="U99" s="70">
        <v>60.5</v>
      </c>
      <c r="V99" s="70">
        <v>56.5</v>
      </c>
      <c r="W99" s="70">
        <v>42.8</v>
      </c>
      <c r="X99" s="70">
        <v>24.8</v>
      </c>
      <c r="Y99" s="70">
        <v>34.9</v>
      </c>
      <c r="Z99" s="70">
        <v>44.2</v>
      </c>
      <c r="AA99" s="70">
        <v>44.2</v>
      </c>
      <c r="AB99" s="69">
        <v>54</v>
      </c>
      <c r="AC99" s="69">
        <v>53.5</v>
      </c>
      <c r="AD99" s="69">
        <v>49.7</v>
      </c>
      <c r="AE99" s="69">
        <v>53.4</v>
      </c>
      <c r="AF99" s="69">
        <v>54.7</v>
      </c>
      <c r="AG99" s="65"/>
      <c r="AH99" s="21">
        <f t="shared" si="38"/>
        <v>84.9</v>
      </c>
      <c r="AI99" s="64">
        <f t="shared" si="39"/>
        <v>0.16666666666666699</v>
      </c>
    </row>
    <row r="100" spans="1:37" ht="15.75" thickBot="1" x14ac:dyDescent="0.3">
      <c r="A100" s="68" t="s">
        <v>116</v>
      </c>
      <c r="B100" s="66">
        <v>59.5</v>
      </c>
      <c r="C100" s="67">
        <v>54.9</v>
      </c>
      <c r="D100" s="67">
        <v>51.1</v>
      </c>
      <c r="E100" s="67">
        <v>53.4</v>
      </c>
      <c r="F100" s="67">
        <v>38.5</v>
      </c>
      <c r="G100" s="67">
        <v>47.6</v>
      </c>
      <c r="H100" s="67">
        <v>48.5</v>
      </c>
      <c r="I100" s="67">
        <v>47.1</v>
      </c>
      <c r="J100" s="67">
        <v>48.4</v>
      </c>
      <c r="K100" s="67">
        <v>59.3</v>
      </c>
      <c r="L100" s="67">
        <v>57.9</v>
      </c>
      <c r="M100" s="67">
        <v>64.2</v>
      </c>
      <c r="N100" s="67">
        <v>17.5</v>
      </c>
      <c r="O100" s="67">
        <v>44.9</v>
      </c>
      <c r="P100" s="67">
        <v>44</v>
      </c>
      <c r="Q100" s="67">
        <v>45.3</v>
      </c>
      <c r="R100" s="67">
        <v>35.299999999999997</v>
      </c>
      <c r="S100" s="67">
        <v>34.299999999999997</v>
      </c>
      <c r="T100" s="67">
        <v>35.4</v>
      </c>
      <c r="U100" s="67">
        <v>41.4</v>
      </c>
      <c r="V100" s="67">
        <v>60.9</v>
      </c>
      <c r="W100" s="67">
        <v>68</v>
      </c>
      <c r="X100" s="67">
        <v>91.8</v>
      </c>
      <c r="Y100" s="67">
        <v>105</v>
      </c>
      <c r="Z100" s="67">
        <v>103.9</v>
      </c>
      <c r="AA100" s="67">
        <v>103.9</v>
      </c>
      <c r="AB100" s="66">
        <v>94</v>
      </c>
      <c r="AC100" s="66">
        <v>94</v>
      </c>
      <c r="AD100" s="66">
        <v>92.3</v>
      </c>
      <c r="AE100" s="66">
        <v>78.3</v>
      </c>
      <c r="AF100" s="66">
        <v>69.7</v>
      </c>
      <c r="AG100" s="65"/>
      <c r="AH100" s="21">
        <f t="shared" si="38"/>
        <v>105</v>
      </c>
      <c r="AI100" s="64">
        <f t="shared" si="39"/>
        <v>0.77083333333333337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0">AF102</f>
        <v>9.9</v>
      </c>
      <c r="C102" s="54">
        <v>9.9</v>
      </c>
      <c r="D102" s="58">
        <f t="shared" ref="D102:S107" si="41">C102</f>
        <v>9.9</v>
      </c>
      <c r="E102" s="58">
        <f t="shared" si="41"/>
        <v>9.9</v>
      </c>
      <c r="F102" s="58">
        <f t="shared" si="41"/>
        <v>9.9</v>
      </c>
      <c r="G102" s="58">
        <f t="shared" si="41"/>
        <v>9.9</v>
      </c>
      <c r="H102" s="58">
        <f t="shared" si="41"/>
        <v>9.9</v>
      </c>
      <c r="I102" s="58">
        <f t="shared" si="41"/>
        <v>9.9</v>
      </c>
      <c r="J102" s="58">
        <f t="shared" si="41"/>
        <v>9.9</v>
      </c>
      <c r="K102" s="58">
        <f t="shared" si="41"/>
        <v>9.9</v>
      </c>
      <c r="L102" s="58">
        <f t="shared" si="41"/>
        <v>9.9</v>
      </c>
      <c r="M102" s="58">
        <f t="shared" si="41"/>
        <v>9.9</v>
      </c>
      <c r="N102" s="58">
        <f t="shared" si="41"/>
        <v>9.9</v>
      </c>
      <c r="O102" s="58">
        <f t="shared" si="41"/>
        <v>9.9</v>
      </c>
      <c r="P102" s="58">
        <f t="shared" si="41"/>
        <v>9.9</v>
      </c>
      <c r="Q102" s="58">
        <f t="shared" si="41"/>
        <v>9.9</v>
      </c>
      <c r="R102" s="58">
        <f t="shared" si="41"/>
        <v>9.9</v>
      </c>
      <c r="S102" s="58">
        <f t="shared" si="41"/>
        <v>9.9</v>
      </c>
      <c r="T102" s="58">
        <f t="shared" ref="T102:AF107" si="42">S102</f>
        <v>9.9</v>
      </c>
      <c r="U102" s="58">
        <f t="shared" si="42"/>
        <v>9.9</v>
      </c>
      <c r="V102" s="58">
        <f t="shared" si="42"/>
        <v>9.9</v>
      </c>
      <c r="W102" s="58">
        <f t="shared" si="42"/>
        <v>9.9</v>
      </c>
      <c r="X102" s="58">
        <f t="shared" si="42"/>
        <v>9.9</v>
      </c>
      <c r="Y102" s="58">
        <f t="shared" si="42"/>
        <v>9.9</v>
      </c>
      <c r="Z102" s="58">
        <f t="shared" si="42"/>
        <v>9.9</v>
      </c>
      <c r="AA102" s="58">
        <f t="shared" si="42"/>
        <v>9.9</v>
      </c>
      <c r="AB102" s="58">
        <f t="shared" si="42"/>
        <v>9.9</v>
      </c>
      <c r="AC102" s="58">
        <f t="shared" si="42"/>
        <v>9.9</v>
      </c>
      <c r="AD102" s="58">
        <f t="shared" si="42"/>
        <v>9.9</v>
      </c>
      <c r="AE102" s="58">
        <f t="shared" si="42"/>
        <v>9.9</v>
      </c>
      <c r="AF102" s="58">
        <f t="shared" si="42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0"/>
        <v>9.6</v>
      </c>
      <c r="C103" s="55">
        <v>9.6</v>
      </c>
      <c r="D103" s="44">
        <f t="shared" si="41"/>
        <v>9.6</v>
      </c>
      <c r="E103" s="44">
        <f t="shared" si="41"/>
        <v>9.6</v>
      </c>
      <c r="F103" s="44">
        <f t="shared" si="41"/>
        <v>9.6</v>
      </c>
      <c r="G103" s="44">
        <f t="shared" si="41"/>
        <v>9.6</v>
      </c>
      <c r="H103" s="44">
        <f t="shared" si="41"/>
        <v>9.6</v>
      </c>
      <c r="I103" s="44">
        <f t="shared" si="41"/>
        <v>9.6</v>
      </c>
      <c r="J103" s="44">
        <f t="shared" si="41"/>
        <v>9.6</v>
      </c>
      <c r="K103" s="44">
        <f t="shared" si="41"/>
        <v>9.6</v>
      </c>
      <c r="L103" s="44">
        <f t="shared" si="41"/>
        <v>9.6</v>
      </c>
      <c r="M103" s="44">
        <f t="shared" si="41"/>
        <v>9.6</v>
      </c>
      <c r="N103" s="44">
        <f t="shared" si="41"/>
        <v>9.6</v>
      </c>
      <c r="O103" s="44">
        <f t="shared" si="41"/>
        <v>9.6</v>
      </c>
      <c r="P103" s="44">
        <f t="shared" si="41"/>
        <v>9.6</v>
      </c>
      <c r="Q103" s="44">
        <f t="shared" si="41"/>
        <v>9.6</v>
      </c>
      <c r="R103" s="44">
        <f t="shared" si="41"/>
        <v>9.6</v>
      </c>
      <c r="S103" s="44">
        <f t="shared" si="41"/>
        <v>9.6</v>
      </c>
      <c r="T103" s="44">
        <f t="shared" si="42"/>
        <v>9.6</v>
      </c>
      <c r="U103" s="44">
        <f t="shared" si="42"/>
        <v>9.6</v>
      </c>
      <c r="V103" s="44">
        <f t="shared" si="42"/>
        <v>9.6</v>
      </c>
      <c r="W103" s="44">
        <f t="shared" si="42"/>
        <v>9.6</v>
      </c>
      <c r="X103" s="44">
        <f t="shared" si="42"/>
        <v>9.6</v>
      </c>
      <c r="Y103" s="44">
        <f t="shared" si="42"/>
        <v>9.6</v>
      </c>
      <c r="Z103" s="44">
        <f t="shared" si="42"/>
        <v>9.6</v>
      </c>
      <c r="AA103" s="44">
        <f t="shared" si="42"/>
        <v>9.6</v>
      </c>
      <c r="AB103" s="44">
        <f t="shared" si="42"/>
        <v>9.6</v>
      </c>
      <c r="AC103" s="44">
        <f t="shared" si="42"/>
        <v>9.6</v>
      </c>
      <c r="AD103" s="44">
        <f t="shared" si="42"/>
        <v>9.6</v>
      </c>
      <c r="AE103" s="44">
        <f t="shared" si="42"/>
        <v>9.6</v>
      </c>
      <c r="AF103" s="44">
        <f t="shared" si="42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0"/>
        <v>9.98</v>
      </c>
      <c r="C104" s="55">
        <v>9.98</v>
      </c>
      <c r="D104" s="44">
        <f t="shared" si="41"/>
        <v>9.98</v>
      </c>
      <c r="E104" s="44">
        <f t="shared" si="41"/>
        <v>9.98</v>
      </c>
      <c r="F104" s="44">
        <f t="shared" si="41"/>
        <v>9.98</v>
      </c>
      <c r="G104" s="44">
        <f t="shared" si="41"/>
        <v>9.98</v>
      </c>
      <c r="H104" s="44">
        <f t="shared" si="41"/>
        <v>9.98</v>
      </c>
      <c r="I104" s="44">
        <f t="shared" si="41"/>
        <v>9.98</v>
      </c>
      <c r="J104" s="44">
        <f t="shared" si="41"/>
        <v>9.98</v>
      </c>
      <c r="K104" s="44">
        <f t="shared" si="41"/>
        <v>9.98</v>
      </c>
      <c r="L104" s="44">
        <f t="shared" si="41"/>
        <v>9.98</v>
      </c>
      <c r="M104" s="44">
        <f t="shared" si="41"/>
        <v>9.98</v>
      </c>
      <c r="N104" s="44">
        <f t="shared" si="41"/>
        <v>9.98</v>
      </c>
      <c r="O104" s="44">
        <f t="shared" si="41"/>
        <v>9.98</v>
      </c>
      <c r="P104" s="44">
        <f t="shared" si="41"/>
        <v>9.98</v>
      </c>
      <c r="Q104" s="44">
        <f t="shared" si="41"/>
        <v>9.98</v>
      </c>
      <c r="R104" s="44">
        <f t="shared" si="41"/>
        <v>9.98</v>
      </c>
      <c r="S104" s="44">
        <f t="shared" si="41"/>
        <v>9.98</v>
      </c>
      <c r="T104" s="44">
        <f t="shared" si="42"/>
        <v>9.98</v>
      </c>
      <c r="U104" s="44">
        <f t="shared" si="42"/>
        <v>9.98</v>
      </c>
      <c r="V104" s="44">
        <f t="shared" si="42"/>
        <v>9.98</v>
      </c>
      <c r="W104" s="44">
        <f t="shared" si="42"/>
        <v>9.98</v>
      </c>
      <c r="X104" s="44">
        <f t="shared" si="42"/>
        <v>9.98</v>
      </c>
      <c r="Y104" s="44">
        <f t="shared" si="42"/>
        <v>9.98</v>
      </c>
      <c r="Z104" s="44">
        <f t="shared" si="42"/>
        <v>9.98</v>
      </c>
      <c r="AA104" s="44">
        <f t="shared" si="42"/>
        <v>9.98</v>
      </c>
      <c r="AB104" s="44">
        <f t="shared" si="42"/>
        <v>9.98</v>
      </c>
      <c r="AC104" s="44">
        <f t="shared" si="42"/>
        <v>9.98</v>
      </c>
      <c r="AD104" s="44">
        <f t="shared" si="42"/>
        <v>9.98</v>
      </c>
      <c r="AE104" s="44">
        <f t="shared" si="42"/>
        <v>9.98</v>
      </c>
      <c r="AF104" s="44">
        <f t="shared" si="42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0"/>
        <v>9.1</v>
      </c>
      <c r="C105" s="55">
        <v>9.1</v>
      </c>
      <c r="D105" s="44">
        <f t="shared" si="41"/>
        <v>9.1</v>
      </c>
      <c r="E105" s="44">
        <f t="shared" si="41"/>
        <v>9.1</v>
      </c>
      <c r="F105" s="44">
        <f t="shared" si="41"/>
        <v>9.1</v>
      </c>
      <c r="G105" s="44">
        <f t="shared" si="41"/>
        <v>9.1</v>
      </c>
      <c r="H105" s="44">
        <f t="shared" si="41"/>
        <v>9.1</v>
      </c>
      <c r="I105" s="44">
        <f t="shared" si="41"/>
        <v>9.1</v>
      </c>
      <c r="J105" s="44">
        <f t="shared" si="41"/>
        <v>9.1</v>
      </c>
      <c r="K105" s="44">
        <f t="shared" si="41"/>
        <v>9.1</v>
      </c>
      <c r="L105" s="44">
        <f t="shared" si="41"/>
        <v>9.1</v>
      </c>
      <c r="M105" s="44">
        <f t="shared" si="41"/>
        <v>9.1</v>
      </c>
      <c r="N105" s="44">
        <f t="shared" si="41"/>
        <v>9.1</v>
      </c>
      <c r="O105" s="44">
        <f t="shared" si="41"/>
        <v>9.1</v>
      </c>
      <c r="P105" s="44">
        <f t="shared" si="41"/>
        <v>9.1</v>
      </c>
      <c r="Q105" s="44">
        <f t="shared" si="41"/>
        <v>9.1</v>
      </c>
      <c r="R105" s="44">
        <f t="shared" si="41"/>
        <v>9.1</v>
      </c>
      <c r="S105" s="44">
        <f t="shared" si="41"/>
        <v>9.1</v>
      </c>
      <c r="T105" s="44">
        <f t="shared" si="42"/>
        <v>9.1</v>
      </c>
      <c r="U105" s="44">
        <f t="shared" si="42"/>
        <v>9.1</v>
      </c>
      <c r="V105" s="44">
        <f t="shared" si="42"/>
        <v>9.1</v>
      </c>
      <c r="W105" s="44">
        <f t="shared" si="42"/>
        <v>9.1</v>
      </c>
      <c r="X105" s="44">
        <f t="shared" si="42"/>
        <v>9.1</v>
      </c>
      <c r="Y105" s="44">
        <f t="shared" si="42"/>
        <v>9.1</v>
      </c>
      <c r="Z105" s="44">
        <f t="shared" si="42"/>
        <v>9.1</v>
      </c>
      <c r="AA105" s="44">
        <f t="shared" si="42"/>
        <v>9.1</v>
      </c>
      <c r="AB105" s="44">
        <f t="shared" si="42"/>
        <v>9.1</v>
      </c>
      <c r="AC105" s="44">
        <f t="shared" si="42"/>
        <v>9.1</v>
      </c>
      <c r="AD105" s="44">
        <f t="shared" si="42"/>
        <v>9.1</v>
      </c>
      <c r="AE105" s="44">
        <f t="shared" si="42"/>
        <v>9.1</v>
      </c>
      <c r="AF105" s="44">
        <f t="shared" si="42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0"/>
        <v>9.18</v>
      </c>
      <c r="C106" s="55">
        <v>9.18</v>
      </c>
      <c r="D106" s="44">
        <f t="shared" si="41"/>
        <v>9.18</v>
      </c>
      <c r="E106" s="44">
        <f t="shared" si="41"/>
        <v>9.18</v>
      </c>
      <c r="F106" s="44">
        <f t="shared" si="41"/>
        <v>9.18</v>
      </c>
      <c r="G106" s="44">
        <f t="shared" si="41"/>
        <v>9.18</v>
      </c>
      <c r="H106" s="44">
        <f t="shared" si="41"/>
        <v>9.18</v>
      </c>
      <c r="I106" s="44">
        <f t="shared" si="41"/>
        <v>9.18</v>
      </c>
      <c r="J106" s="44">
        <f t="shared" si="41"/>
        <v>9.18</v>
      </c>
      <c r="K106" s="44">
        <f t="shared" si="41"/>
        <v>9.18</v>
      </c>
      <c r="L106" s="44">
        <f t="shared" si="41"/>
        <v>9.18</v>
      </c>
      <c r="M106" s="44">
        <f t="shared" si="41"/>
        <v>9.18</v>
      </c>
      <c r="N106" s="44">
        <f t="shared" si="41"/>
        <v>9.18</v>
      </c>
      <c r="O106" s="44">
        <f t="shared" si="41"/>
        <v>9.18</v>
      </c>
      <c r="P106" s="44">
        <f t="shared" si="41"/>
        <v>9.18</v>
      </c>
      <c r="Q106" s="44">
        <f t="shared" si="41"/>
        <v>9.18</v>
      </c>
      <c r="R106" s="44">
        <f t="shared" si="41"/>
        <v>9.18</v>
      </c>
      <c r="S106" s="44">
        <f t="shared" si="41"/>
        <v>9.18</v>
      </c>
      <c r="T106" s="44">
        <f t="shared" si="42"/>
        <v>9.18</v>
      </c>
      <c r="U106" s="44">
        <f t="shared" si="42"/>
        <v>9.18</v>
      </c>
      <c r="V106" s="44">
        <f t="shared" si="42"/>
        <v>9.18</v>
      </c>
      <c r="W106" s="44">
        <f t="shared" si="42"/>
        <v>9.18</v>
      </c>
      <c r="X106" s="44">
        <f t="shared" si="42"/>
        <v>9.18</v>
      </c>
      <c r="Y106" s="44">
        <f t="shared" si="42"/>
        <v>9.18</v>
      </c>
      <c r="Z106" s="44">
        <f t="shared" si="42"/>
        <v>9.18</v>
      </c>
      <c r="AA106" s="44">
        <f t="shared" si="42"/>
        <v>9.18</v>
      </c>
      <c r="AB106" s="44">
        <f t="shared" si="42"/>
        <v>9.18</v>
      </c>
      <c r="AC106" s="44">
        <f t="shared" si="42"/>
        <v>9.18</v>
      </c>
      <c r="AD106" s="44">
        <f t="shared" si="42"/>
        <v>9.18</v>
      </c>
      <c r="AE106" s="44">
        <f t="shared" si="42"/>
        <v>9.18</v>
      </c>
      <c r="AF106" s="44">
        <f t="shared" si="42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0"/>
        <v>7</v>
      </c>
      <c r="C107" s="55">
        <v>7</v>
      </c>
      <c r="D107" s="44">
        <f t="shared" si="41"/>
        <v>7</v>
      </c>
      <c r="E107" s="44">
        <f t="shared" si="41"/>
        <v>7</v>
      </c>
      <c r="F107" s="44">
        <f t="shared" si="41"/>
        <v>7</v>
      </c>
      <c r="G107" s="44">
        <f t="shared" si="41"/>
        <v>7</v>
      </c>
      <c r="H107" s="44">
        <f t="shared" si="41"/>
        <v>7</v>
      </c>
      <c r="I107" s="44">
        <f t="shared" si="41"/>
        <v>7</v>
      </c>
      <c r="J107" s="44">
        <f t="shared" si="41"/>
        <v>7</v>
      </c>
      <c r="K107" s="44">
        <f t="shared" si="41"/>
        <v>7</v>
      </c>
      <c r="L107" s="44">
        <f t="shared" si="41"/>
        <v>7</v>
      </c>
      <c r="M107" s="44">
        <f t="shared" si="41"/>
        <v>7</v>
      </c>
      <c r="N107" s="44">
        <f t="shared" si="41"/>
        <v>7</v>
      </c>
      <c r="O107" s="44">
        <f t="shared" si="41"/>
        <v>7</v>
      </c>
      <c r="P107" s="44">
        <f t="shared" si="41"/>
        <v>7</v>
      </c>
      <c r="Q107" s="44">
        <f t="shared" si="41"/>
        <v>7</v>
      </c>
      <c r="R107" s="44">
        <f t="shared" si="41"/>
        <v>7</v>
      </c>
      <c r="S107" s="44">
        <f t="shared" si="41"/>
        <v>7</v>
      </c>
      <c r="T107" s="44">
        <f t="shared" si="42"/>
        <v>7</v>
      </c>
      <c r="U107" s="44">
        <f t="shared" si="42"/>
        <v>7</v>
      </c>
      <c r="V107" s="44">
        <f t="shared" si="42"/>
        <v>7</v>
      </c>
      <c r="W107" s="44">
        <f t="shared" si="42"/>
        <v>7</v>
      </c>
      <c r="X107" s="44">
        <f t="shared" si="42"/>
        <v>7</v>
      </c>
      <c r="Y107" s="44">
        <f t="shared" si="42"/>
        <v>7</v>
      </c>
      <c r="Z107" s="44">
        <f t="shared" si="42"/>
        <v>7</v>
      </c>
      <c r="AA107" s="44">
        <f t="shared" si="42"/>
        <v>7</v>
      </c>
      <c r="AB107" s="44">
        <f t="shared" si="42"/>
        <v>7</v>
      </c>
      <c r="AC107" s="44">
        <f t="shared" si="42"/>
        <v>7</v>
      </c>
      <c r="AD107" s="44">
        <f t="shared" si="42"/>
        <v>7</v>
      </c>
      <c r="AE107" s="44">
        <f t="shared" si="42"/>
        <v>7</v>
      </c>
      <c r="AF107" s="44">
        <f t="shared" si="42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3">C109</f>
        <v>2.25</v>
      </c>
      <c r="E109" s="44">
        <f t="shared" si="43"/>
        <v>2.25</v>
      </c>
      <c r="F109" s="44">
        <f t="shared" si="43"/>
        <v>2.25</v>
      </c>
      <c r="G109" s="44">
        <f t="shared" si="43"/>
        <v>2.25</v>
      </c>
      <c r="H109" s="44">
        <f t="shared" si="43"/>
        <v>2.25</v>
      </c>
      <c r="I109" s="44">
        <f t="shared" si="43"/>
        <v>2.25</v>
      </c>
      <c r="J109" s="44">
        <f t="shared" si="43"/>
        <v>2.25</v>
      </c>
      <c r="K109" s="44">
        <f t="shared" si="43"/>
        <v>2.25</v>
      </c>
      <c r="L109" s="44">
        <f t="shared" si="43"/>
        <v>2.25</v>
      </c>
      <c r="M109" s="44">
        <f t="shared" si="43"/>
        <v>2.25</v>
      </c>
      <c r="N109" s="44">
        <f t="shared" si="43"/>
        <v>2.25</v>
      </c>
      <c r="O109" s="44">
        <f t="shared" si="43"/>
        <v>2.25</v>
      </c>
      <c r="P109" s="44">
        <f t="shared" si="43"/>
        <v>2.25</v>
      </c>
      <c r="Q109" s="44">
        <f t="shared" si="43"/>
        <v>2.25</v>
      </c>
      <c r="R109" s="44">
        <f t="shared" si="43"/>
        <v>2.25</v>
      </c>
      <c r="S109" s="44">
        <f t="shared" si="43"/>
        <v>2.25</v>
      </c>
      <c r="T109" s="44">
        <f t="shared" ref="T109:AF110" si="44">S109</f>
        <v>2.25</v>
      </c>
      <c r="U109" s="44">
        <f t="shared" si="44"/>
        <v>2.25</v>
      </c>
      <c r="V109" s="44">
        <f t="shared" si="44"/>
        <v>2.25</v>
      </c>
      <c r="W109" s="44">
        <f t="shared" si="44"/>
        <v>2.25</v>
      </c>
      <c r="X109" s="44">
        <f t="shared" si="44"/>
        <v>2.25</v>
      </c>
      <c r="Y109" s="44">
        <f t="shared" si="44"/>
        <v>2.25</v>
      </c>
      <c r="Z109" s="44">
        <f t="shared" si="44"/>
        <v>2.25</v>
      </c>
      <c r="AA109" s="44">
        <f t="shared" si="44"/>
        <v>2.25</v>
      </c>
      <c r="AB109" s="44">
        <f t="shared" si="44"/>
        <v>2.25</v>
      </c>
      <c r="AC109" s="44">
        <f t="shared" si="44"/>
        <v>2.25</v>
      </c>
      <c r="AD109" s="44">
        <f t="shared" si="44"/>
        <v>2.25</v>
      </c>
      <c r="AE109" s="44">
        <f t="shared" si="44"/>
        <v>2.25</v>
      </c>
      <c r="AF109" s="44">
        <f t="shared" si="44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3"/>
        <v>1.64</v>
      </c>
      <c r="E110" s="44">
        <f t="shared" si="43"/>
        <v>1.64</v>
      </c>
      <c r="F110" s="44">
        <f t="shared" si="43"/>
        <v>1.64</v>
      </c>
      <c r="G110" s="44">
        <f t="shared" si="43"/>
        <v>1.64</v>
      </c>
      <c r="H110" s="44">
        <f t="shared" si="43"/>
        <v>1.64</v>
      </c>
      <c r="I110" s="44">
        <f t="shared" si="43"/>
        <v>1.64</v>
      </c>
      <c r="J110" s="44">
        <f t="shared" si="43"/>
        <v>1.64</v>
      </c>
      <c r="K110" s="44">
        <f t="shared" si="43"/>
        <v>1.64</v>
      </c>
      <c r="L110" s="44">
        <f t="shared" si="43"/>
        <v>1.64</v>
      </c>
      <c r="M110" s="44">
        <f t="shared" si="43"/>
        <v>1.64</v>
      </c>
      <c r="N110" s="44">
        <f t="shared" si="43"/>
        <v>1.64</v>
      </c>
      <c r="O110" s="44">
        <f t="shared" si="43"/>
        <v>1.64</v>
      </c>
      <c r="P110" s="44">
        <f t="shared" si="43"/>
        <v>1.64</v>
      </c>
      <c r="Q110" s="44">
        <f t="shared" si="43"/>
        <v>1.64</v>
      </c>
      <c r="R110" s="44">
        <f t="shared" si="43"/>
        <v>1.64</v>
      </c>
      <c r="S110" s="44">
        <f t="shared" si="43"/>
        <v>1.64</v>
      </c>
      <c r="T110" s="44">
        <f t="shared" si="44"/>
        <v>1.64</v>
      </c>
      <c r="U110" s="44">
        <f t="shared" si="44"/>
        <v>1.64</v>
      </c>
      <c r="V110" s="44">
        <f t="shared" si="44"/>
        <v>1.64</v>
      </c>
      <c r="W110" s="44">
        <f t="shared" si="44"/>
        <v>1.64</v>
      </c>
      <c r="X110" s="44">
        <f t="shared" si="44"/>
        <v>1.64</v>
      </c>
      <c r="Y110" s="44">
        <f t="shared" si="44"/>
        <v>1.64</v>
      </c>
      <c r="Z110" s="44">
        <f t="shared" si="44"/>
        <v>1.64</v>
      </c>
      <c r="AA110" s="44">
        <f t="shared" si="44"/>
        <v>1.64</v>
      </c>
      <c r="AB110" s="44">
        <f t="shared" si="44"/>
        <v>1.64</v>
      </c>
      <c r="AC110" s="44">
        <f t="shared" si="44"/>
        <v>1.64</v>
      </c>
      <c r="AD110" s="44">
        <f t="shared" si="44"/>
        <v>1.64</v>
      </c>
      <c r="AE110" s="44">
        <f t="shared" si="44"/>
        <v>1.64</v>
      </c>
      <c r="AF110" s="44">
        <f t="shared" si="44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5">AF112</f>
        <v>1.62</v>
      </c>
      <c r="C112" s="55">
        <v>1.62</v>
      </c>
      <c r="D112" s="44">
        <f t="shared" ref="D112:S119" si="46">C112</f>
        <v>1.62</v>
      </c>
      <c r="E112" s="44">
        <f t="shared" si="46"/>
        <v>1.62</v>
      </c>
      <c r="F112" s="44">
        <f t="shared" si="46"/>
        <v>1.62</v>
      </c>
      <c r="G112" s="44">
        <f t="shared" si="46"/>
        <v>1.62</v>
      </c>
      <c r="H112" s="44">
        <f t="shared" si="46"/>
        <v>1.62</v>
      </c>
      <c r="I112" s="44">
        <f t="shared" si="46"/>
        <v>1.62</v>
      </c>
      <c r="J112" s="44">
        <f t="shared" si="46"/>
        <v>1.62</v>
      </c>
      <c r="K112" s="44">
        <f t="shared" si="46"/>
        <v>1.62</v>
      </c>
      <c r="L112" s="44">
        <f t="shared" si="46"/>
        <v>1.62</v>
      </c>
      <c r="M112" s="44">
        <f t="shared" si="46"/>
        <v>1.62</v>
      </c>
      <c r="N112" s="44">
        <f t="shared" si="46"/>
        <v>1.62</v>
      </c>
      <c r="O112" s="44">
        <f t="shared" si="46"/>
        <v>1.62</v>
      </c>
      <c r="P112" s="44">
        <f t="shared" si="46"/>
        <v>1.62</v>
      </c>
      <c r="Q112" s="44">
        <f t="shared" si="46"/>
        <v>1.62</v>
      </c>
      <c r="R112" s="44">
        <f t="shared" si="46"/>
        <v>1.62</v>
      </c>
      <c r="S112" s="44">
        <f t="shared" si="46"/>
        <v>1.62</v>
      </c>
      <c r="T112" s="44">
        <f t="shared" ref="T112:AF127" si="47">S112</f>
        <v>1.62</v>
      </c>
      <c r="U112" s="44">
        <f t="shared" si="47"/>
        <v>1.62</v>
      </c>
      <c r="V112" s="44">
        <f t="shared" si="47"/>
        <v>1.62</v>
      </c>
      <c r="W112" s="44">
        <f t="shared" si="47"/>
        <v>1.62</v>
      </c>
      <c r="X112" s="44">
        <f t="shared" si="47"/>
        <v>1.62</v>
      </c>
      <c r="Y112" s="44">
        <f t="shared" si="47"/>
        <v>1.62</v>
      </c>
      <c r="Z112" s="44">
        <f t="shared" si="47"/>
        <v>1.62</v>
      </c>
      <c r="AA112" s="44">
        <f t="shared" si="47"/>
        <v>1.62</v>
      </c>
      <c r="AB112" s="44">
        <f t="shared" si="47"/>
        <v>1.62</v>
      </c>
      <c r="AC112" s="44">
        <f t="shared" si="47"/>
        <v>1.62</v>
      </c>
      <c r="AD112" s="44">
        <f t="shared" si="47"/>
        <v>1.62</v>
      </c>
      <c r="AE112" s="44">
        <f t="shared" si="47"/>
        <v>1.62</v>
      </c>
      <c r="AF112" s="44">
        <f t="shared" si="47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5"/>
        <v>8.36</v>
      </c>
      <c r="C113" s="55">
        <v>8.36</v>
      </c>
      <c r="D113" s="44">
        <f t="shared" si="46"/>
        <v>8.36</v>
      </c>
      <c r="E113" s="44">
        <f t="shared" si="46"/>
        <v>8.36</v>
      </c>
      <c r="F113" s="44">
        <f t="shared" si="46"/>
        <v>8.36</v>
      </c>
      <c r="G113" s="44">
        <f t="shared" si="46"/>
        <v>8.36</v>
      </c>
      <c r="H113" s="44">
        <f t="shared" si="46"/>
        <v>8.36</v>
      </c>
      <c r="I113" s="44">
        <f t="shared" si="46"/>
        <v>8.36</v>
      </c>
      <c r="J113" s="44">
        <f t="shared" si="46"/>
        <v>8.36</v>
      </c>
      <c r="K113" s="44">
        <f t="shared" si="46"/>
        <v>8.36</v>
      </c>
      <c r="L113" s="44">
        <f t="shared" si="46"/>
        <v>8.36</v>
      </c>
      <c r="M113" s="44">
        <f t="shared" si="46"/>
        <v>8.36</v>
      </c>
      <c r="N113" s="44">
        <f t="shared" si="46"/>
        <v>8.36</v>
      </c>
      <c r="O113" s="44">
        <f t="shared" si="46"/>
        <v>8.36</v>
      </c>
      <c r="P113" s="44">
        <f t="shared" si="46"/>
        <v>8.36</v>
      </c>
      <c r="Q113" s="44">
        <f t="shared" si="46"/>
        <v>8.36</v>
      </c>
      <c r="R113" s="44">
        <f t="shared" si="46"/>
        <v>8.36</v>
      </c>
      <c r="S113" s="44">
        <f t="shared" si="46"/>
        <v>8.36</v>
      </c>
      <c r="T113" s="44">
        <f t="shared" si="47"/>
        <v>8.36</v>
      </c>
      <c r="U113" s="44">
        <f t="shared" si="47"/>
        <v>8.36</v>
      </c>
      <c r="V113" s="44">
        <f t="shared" si="47"/>
        <v>8.36</v>
      </c>
      <c r="W113" s="44">
        <f t="shared" si="47"/>
        <v>8.36</v>
      </c>
      <c r="X113" s="44">
        <f t="shared" si="47"/>
        <v>8.36</v>
      </c>
      <c r="Y113" s="44">
        <f t="shared" si="47"/>
        <v>8.36</v>
      </c>
      <c r="Z113" s="44">
        <f t="shared" si="47"/>
        <v>8.36</v>
      </c>
      <c r="AA113" s="44">
        <f t="shared" si="47"/>
        <v>8.36</v>
      </c>
      <c r="AB113" s="44">
        <f t="shared" si="47"/>
        <v>8.36</v>
      </c>
      <c r="AC113" s="44">
        <f t="shared" si="47"/>
        <v>8.36</v>
      </c>
      <c r="AD113" s="44">
        <f t="shared" si="47"/>
        <v>8.36</v>
      </c>
      <c r="AE113" s="44">
        <f t="shared" si="47"/>
        <v>8.36</v>
      </c>
      <c r="AF113" s="44">
        <f t="shared" si="47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5"/>
        <v>5.4</v>
      </c>
      <c r="C114" s="55">
        <v>8</v>
      </c>
      <c r="D114" s="44">
        <f t="shared" si="46"/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si="46"/>
        <v>5.4</v>
      </c>
      <c r="L114" s="44">
        <f t="shared" si="46"/>
        <v>5.4</v>
      </c>
      <c r="M114" s="44">
        <f t="shared" si="46"/>
        <v>5.4</v>
      </c>
      <c r="N114" s="44">
        <f t="shared" si="46"/>
        <v>5.4</v>
      </c>
      <c r="O114" s="44">
        <f t="shared" si="46"/>
        <v>5.4</v>
      </c>
      <c r="P114" s="44">
        <f t="shared" si="46"/>
        <v>5.4</v>
      </c>
      <c r="Q114" s="44">
        <f t="shared" si="46"/>
        <v>5.4</v>
      </c>
      <c r="R114" s="44">
        <f t="shared" si="46"/>
        <v>5.4</v>
      </c>
      <c r="S114" s="44">
        <f t="shared" si="46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5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si="46"/>
        <v>6.57</v>
      </c>
      <c r="K115" s="44">
        <f t="shared" si="46"/>
        <v>6.57</v>
      </c>
      <c r="L115" s="44">
        <f t="shared" si="46"/>
        <v>6.57</v>
      </c>
      <c r="M115" s="44">
        <f t="shared" si="46"/>
        <v>6.57</v>
      </c>
      <c r="N115" s="44">
        <f t="shared" si="46"/>
        <v>6.57</v>
      </c>
      <c r="O115" s="44">
        <f t="shared" si="46"/>
        <v>6.57</v>
      </c>
      <c r="P115" s="44">
        <f t="shared" si="46"/>
        <v>6.57</v>
      </c>
      <c r="Q115" s="44">
        <f t="shared" si="46"/>
        <v>6.57</v>
      </c>
      <c r="R115" s="44">
        <f t="shared" si="46"/>
        <v>6.57</v>
      </c>
      <c r="S115" s="44">
        <f t="shared" si="46"/>
        <v>6.57</v>
      </c>
      <c r="T115" s="44">
        <f t="shared" si="47"/>
        <v>6.57</v>
      </c>
      <c r="U115" s="44">
        <f t="shared" si="47"/>
        <v>6.57</v>
      </c>
      <c r="V115" s="44">
        <f t="shared" si="47"/>
        <v>6.57</v>
      </c>
      <c r="W115" s="44">
        <f t="shared" si="47"/>
        <v>6.57</v>
      </c>
      <c r="X115" s="44">
        <f t="shared" si="47"/>
        <v>6.57</v>
      </c>
      <c r="Y115" s="44">
        <f t="shared" si="47"/>
        <v>6.57</v>
      </c>
      <c r="Z115" s="44">
        <f t="shared" si="47"/>
        <v>6.57</v>
      </c>
      <c r="AA115" s="44">
        <f t="shared" si="47"/>
        <v>6.57</v>
      </c>
      <c r="AB115" s="44">
        <f t="shared" si="47"/>
        <v>6.57</v>
      </c>
      <c r="AC115" s="44">
        <f t="shared" si="47"/>
        <v>6.57</v>
      </c>
      <c r="AD115" s="44">
        <f t="shared" si="47"/>
        <v>6.57</v>
      </c>
      <c r="AE115" s="44">
        <f t="shared" si="47"/>
        <v>6.57</v>
      </c>
      <c r="AF115" s="44">
        <f t="shared" si="47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5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6"/>
        <v>3.43</v>
      </c>
      <c r="K116" s="44">
        <f t="shared" si="46"/>
        <v>3.43</v>
      </c>
      <c r="L116" s="44">
        <f t="shared" si="46"/>
        <v>3.43</v>
      </c>
      <c r="M116" s="44">
        <f t="shared" si="46"/>
        <v>3.43</v>
      </c>
      <c r="N116" s="44">
        <f t="shared" si="46"/>
        <v>3.43</v>
      </c>
      <c r="O116" s="44">
        <f t="shared" si="46"/>
        <v>3.43</v>
      </c>
      <c r="P116" s="44">
        <f t="shared" si="46"/>
        <v>3.43</v>
      </c>
      <c r="Q116" s="44">
        <f t="shared" si="46"/>
        <v>3.43</v>
      </c>
      <c r="R116" s="44">
        <f t="shared" si="46"/>
        <v>3.43</v>
      </c>
      <c r="S116" s="44">
        <f t="shared" si="46"/>
        <v>3.43</v>
      </c>
      <c r="T116" s="44">
        <f t="shared" si="47"/>
        <v>3.43</v>
      </c>
      <c r="U116" s="44">
        <f t="shared" si="47"/>
        <v>3.43</v>
      </c>
      <c r="V116" s="44">
        <f t="shared" si="47"/>
        <v>3.43</v>
      </c>
      <c r="W116" s="44">
        <f t="shared" si="47"/>
        <v>3.43</v>
      </c>
      <c r="X116" s="44">
        <f t="shared" si="47"/>
        <v>3.43</v>
      </c>
      <c r="Y116" s="44">
        <f t="shared" si="47"/>
        <v>3.43</v>
      </c>
      <c r="Z116" s="44">
        <f t="shared" si="47"/>
        <v>3.43</v>
      </c>
      <c r="AA116" s="44">
        <f t="shared" si="47"/>
        <v>3.43</v>
      </c>
      <c r="AB116" s="44">
        <f t="shared" si="47"/>
        <v>3.43</v>
      </c>
      <c r="AC116" s="44">
        <f t="shared" si="47"/>
        <v>3.43</v>
      </c>
      <c r="AD116" s="44">
        <f t="shared" si="47"/>
        <v>3.43</v>
      </c>
      <c r="AE116" s="44">
        <f t="shared" si="47"/>
        <v>3.43</v>
      </c>
      <c r="AF116" s="44">
        <f t="shared" si="47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5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6"/>
        <v>2.96</v>
      </c>
      <c r="K117" s="44">
        <f t="shared" si="46"/>
        <v>2.96</v>
      </c>
      <c r="L117" s="44">
        <f t="shared" si="46"/>
        <v>2.96</v>
      </c>
      <c r="M117" s="44">
        <f t="shared" si="46"/>
        <v>2.96</v>
      </c>
      <c r="N117" s="44">
        <f t="shared" si="46"/>
        <v>2.96</v>
      </c>
      <c r="O117" s="44">
        <f t="shared" si="46"/>
        <v>2.96</v>
      </c>
      <c r="P117" s="44">
        <f t="shared" si="46"/>
        <v>2.96</v>
      </c>
      <c r="Q117" s="44">
        <f t="shared" si="46"/>
        <v>2.96</v>
      </c>
      <c r="R117" s="44">
        <f t="shared" si="46"/>
        <v>2.96</v>
      </c>
      <c r="S117" s="44">
        <f t="shared" si="46"/>
        <v>2.96</v>
      </c>
      <c r="T117" s="44">
        <f t="shared" si="47"/>
        <v>2.96</v>
      </c>
      <c r="U117" s="44">
        <f t="shared" si="47"/>
        <v>2.96</v>
      </c>
      <c r="V117" s="44">
        <f t="shared" si="47"/>
        <v>2.96</v>
      </c>
      <c r="W117" s="44">
        <f t="shared" si="47"/>
        <v>2.96</v>
      </c>
      <c r="X117" s="44">
        <f t="shared" si="47"/>
        <v>2.96</v>
      </c>
      <c r="Y117" s="44">
        <f t="shared" si="47"/>
        <v>2.96</v>
      </c>
      <c r="Z117" s="44">
        <f t="shared" si="47"/>
        <v>2.96</v>
      </c>
      <c r="AA117" s="44">
        <f t="shared" si="47"/>
        <v>2.96</v>
      </c>
      <c r="AB117" s="44">
        <f t="shared" si="47"/>
        <v>2.96</v>
      </c>
      <c r="AC117" s="44">
        <f t="shared" si="47"/>
        <v>2.96</v>
      </c>
      <c r="AD117" s="44">
        <f t="shared" si="47"/>
        <v>2.96</v>
      </c>
      <c r="AE117" s="44">
        <f t="shared" si="47"/>
        <v>2.96</v>
      </c>
      <c r="AF117" s="44">
        <f t="shared" si="47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5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6"/>
        <v>8</v>
      </c>
      <c r="K118" s="44">
        <f t="shared" si="46"/>
        <v>8</v>
      </c>
      <c r="L118" s="44">
        <f t="shared" si="46"/>
        <v>8</v>
      </c>
      <c r="M118" s="44">
        <f t="shared" si="46"/>
        <v>8</v>
      </c>
      <c r="N118" s="44">
        <f t="shared" si="46"/>
        <v>8</v>
      </c>
      <c r="O118" s="44">
        <f t="shared" si="46"/>
        <v>8</v>
      </c>
      <c r="P118" s="44">
        <f t="shared" si="46"/>
        <v>8</v>
      </c>
      <c r="Q118" s="44">
        <f t="shared" si="46"/>
        <v>8</v>
      </c>
      <c r="R118" s="44">
        <f t="shared" si="46"/>
        <v>8</v>
      </c>
      <c r="S118" s="44">
        <f t="shared" si="46"/>
        <v>8</v>
      </c>
      <c r="T118" s="44">
        <f t="shared" si="47"/>
        <v>8</v>
      </c>
      <c r="U118" s="44">
        <f t="shared" si="47"/>
        <v>8</v>
      </c>
      <c r="V118" s="44">
        <f t="shared" si="47"/>
        <v>8</v>
      </c>
      <c r="W118" s="44">
        <f t="shared" si="47"/>
        <v>8</v>
      </c>
      <c r="X118" s="44">
        <f t="shared" si="47"/>
        <v>8</v>
      </c>
      <c r="Y118" s="44">
        <f t="shared" si="47"/>
        <v>8</v>
      </c>
      <c r="Z118" s="44">
        <f t="shared" si="47"/>
        <v>8</v>
      </c>
      <c r="AA118" s="44">
        <f t="shared" si="47"/>
        <v>8</v>
      </c>
      <c r="AB118" s="44">
        <f t="shared" si="47"/>
        <v>8</v>
      </c>
      <c r="AC118" s="44">
        <f t="shared" si="47"/>
        <v>8</v>
      </c>
      <c r="AD118" s="44">
        <f t="shared" si="47"/>
        <v>8</v>
      </c>
      <c r="AE118" s="44">
        <f t="shared" si="47"/>
        <v>8</v>
      </c>
      <c r="AF118" s="44">
        <f t="shared" si="47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5"/>
        <v>7</v>
      </c>
      <c r="C119" s="55">
        <v>7</v>
      </c>
      <c r="D119" s="44">
        <f>C119</f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6"/>
        <v>7</v>
      </c>
      <c r="K119" s="44">
        <f t="shared" si="46"/>
        <v>7</v>
      </c>
      <c r="L119" s="44">
        <f t="shared" si="46"/>
        <v>7</v>
      </c>
      <c r="M119" s="44">
        <f t="shared" si="46"/>
        <v>7</v>
      </c>
      <c r="N119" s="44">
        <f t="shared" si="46"/>
        <v>7</v>
      </c>
      <c r="O119" s="44">
        <f t="shared" si="46"/>
        <v>7</v>
      </c>
      <c r="P119" s="44">
        <f t="shared" si="46"/>
        <v>7</v>
      </c>
      <c r="Q119" s="44">
        <f t="shared" si="46"/>
        <v>7</v>
      </c>
      <c r="R119" s="44">
        <f t="shared" si="46"/>
        <v>7</v>
      </c>
      <c r="S119" s="44">
        <f t="shared" si="46"/>
        <v>7</v>
      </c>
      <c r="T119" s="44">
        <f t="shared" si="47"/>
        <v>7</v>
      </c>
      <c r="U119" s="44">
        <f t="shared" si="47"/>
        <v>7</v>
      </c>
      <c r="V119" s="44">
        <f t="shared" si="47"/>
        <v>7</v>
      </c>
      <c r="W119" s="44">
        <f t="shared" si="47"/>
        <v>7</v>
      </c>
      <c r="X119" s="44">
        <f t="shared" si="47"/>
        <v>7</v>
      </c>
      <c r="Y119" s="44">
        <f t="shared" si="47"/>
        <v>7</v>
      </c>
      <c r="Z119" s="44">
        <f t="shared" si="47"/>
        <v>7</v>
      </c>
      <c r="AA119" s="44">
        <f t="shared" si="47"/>
        <v>7</v>
      </c>
      <c r="AB119" s="44">
        <f t="shared" si="47"/>
        <v>7</v>
      </c>
      <c r="AC119" s="44">
        <f t="shared" si="47"/>
        <v>7</v>
      </c>
      <c r="AD119" s="44">
        <f t="shared" si="47"/>
        <v>7</v>
      </c>
      <c r="AE119" s="44">
        <f t="shared" si="47"/>
        <v>7</v>
      </c>
      <c r="AF119" s="44">
        <f t="shared" si="47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5"/>
        <v>3.47</v>
      </c>
      <c r="C120" s="55">
        <v>3.47</v>
      </c>
      <c r="D120" s="44">
        <f t="shared" ref="D120:S129" si="48">C120</f>
        <v>3.47</v>
      </c>
      <c r="E120" s="44">
        <f t="shared" si="48"/>
        <v>3.47</v>
      </c>
      <c r="F120" s="44">
        <f t="shared" si="48"/>
        <v>3.47</v>
      </c>
      <c r="G120" s="44">
        <f t="shared" si="48"/>
        <v>3.47</v>
      </c>
      <c r="H120" s="44">
        <f t="shared" si="48"/>
        <v>3.47</v>
      </c>
      <c r="I120" s="44">
        <f t="shared" si="48"/>
        <v>3.47</v>
      </c>
      <c r="J120" s="44">
        <f t="shared" si="48"/>
        <v>3.47</v>
      </c>
      <c r="K120" s="44">
        <f t="shared" si="48"/>
        <v>3.47</v>
      </c>
      <c r="L120" s="44">
        <f t="shared" si="48"/>
        <v>3.47</v>
      </c>
      <c r="M120" s="44">
        <f t="shared" si="48"/>
        <v>3.47</v>
      </c>
      <c r="N120" s="44">
        <f t="shared" si="48"/>
        <v>3.47</v>
      </c>
      <c r="O120" s="44">
        <f t="shared" si="48"/>
        <v>3.47</v>
      </c>
      <c r="P120" s="44">
        <f t="shared" si="48"/>
        <v>3.47</v>
      </c>
      <c r="Q120" s="44">
        <f t="shared" si="48"/>
        <v>3.47</v>
      </c>
      <c r="R120" s="44">
        <f t="shared" si="48"/>
        <v>3.47</v>
      </c>
      <c r="S120" s="44">
        <f t="shared" si="48"/>
        <v>3.47</v>
      </c>
      <c r="T120" s="44">
        <f t="shared" si="47"/>
        <v>3.47</v>
      </c>
      <c r="U120" s="44">
        <f t="shared" si="47"/>
        <v>3.47</v>
      </c>
      <c r="V120" s="44">
        <f t="shared" si="47"/>
        <v>3.47</v>
      </c>
      <c r="W120" s="44">
        <f t="shared" si="47"/>
        <v>3.47</v>
      </c>
      <c r="X120" s="44">
        <f t="shared" si="47"/>
        <v>3.47</v>
      </c>
      <c r="Y120" s="44">
        <f t="shared" si="47"/>
        <v>3.47</v>
      </c>
      <c r="Z120" s="44">
        <f t="shared" si="47"/>
        <v>3.47</v>
      </c>
      <c r="AA120" s="44">
        <f t="shared" si="47"/>
        <v>3.47</v>
      </c>
      <c r="AB120" s="44">
        <f t="shared" si="47"/>
        <v>3.47</v>
      </c>
      <c r="AC120" s="44">
        <f t="shared" si="47"/>
        <v>3.47</v>
      </c>
      <c r="AD120" s="44">
        <f t="shared" si="47"/>
        <v>3.47</v>
      </c>
      <c r="AE120" s="44">
        <f t="shared" si="47"/>
        <v>3.47</v>
      </c>
      <c r="AF120" s="44">
        <f t="shared" si="47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5"/>
        <v>2.1</v>
      </c>
      <c r="C121" s="55">
        <v>2.1</v>
      </c>
      <c r="D121" s="44">
        <f t="shared" si="48"/>
        <v>2.1</v>
      </c>
      <c r="E121" s="44">
        <f t="shared" si="48"/>
        <v>2.1</v>
      </c>
      <c r="F121" s="44">
        <f t="shared" si="48"/>
        <v>2.1</v>
      </c>
      <c r="G121" s="44">
        <f t="shared" si="48"/>
        <v>2.1</v>
      </c>
      <c r="H121" s="44">
        <f t="shared" si="48"/>
        <v>2.1</v>
      </c>
      <c r="I121" s="44">
        <f t="shared" si="48"/>
        <v>2.1</v>
      </c>
      <c r="J121" s="44">
        <f t="shared" si="48"/>
        <v>2.1</v>
      </c>
      <c r="K121" s="44">
        <f t="shared" si="48"/>
        <v>2.1</v>
      </c>
      <c r="L121" s="44">
        <f t="shared" si="48"/>
        <v>2.1</v>
      </c>
      <c r="M121" s="44">
        <f t="shared" si="48"/>
        <v>2.1</v>
      </c>
      <c r="N121" s="44">
        <f t="shared" si="48"/>
        <v>2.1</v>
      </c>
      <c r="O121" s="44">
        <f t="shared" si="48"/>
        <v>2.1</v>
      </c>
      <c r="P121" s="44">
        <f t="shared" si="48"/>
        <v>2.1</v>
      </c>
      <c r="Q121" s="44">
        <f t="shared" si="48"/>
        <v>2.1</v>
      </c>
      <c r="R121" s="44">
        <f t="shared" si="48"/>
        <v>2.1</v>
      </c>
      <c r="S121" s="44">
        <f t="shared" si="48"/>
        <v>2.1</v>
      </c>
      <c r="T121" s="44">
        <f t="shared" si="47"/>
        <v>2.1</v>
      </c>
      <c r="U121" s="44">
        <f t="shared" si="47"/>
        <v>2.1</v>
      </c>
      <c r="V121" s="44">
        <f t="shared" si="47"/>
        <v>2.1</v>
      </c>
      <c r="W121" s="44">
        <f t="shared" si="47"/>
        <v>2.1</v>
      </c>
      <c r="X121" s="44">
        <f t="shared" si="47"/>
        <v>2.1</v>
      </c>
      <c r="Y121" s="44">
        <f t="shared" si="47"/>
        <v>2.1</v>
      </c>
      <c r="Z121" s="44">
        <f t="shared" si="47"/>
        <v>2.1</v>
      </c>
      <c r="AA121" s="44">
        <f t="shared" si="47"/>
        <v>2.1</v>
      </c>
      <c r="AB121" s="44">
        <f t="shared" si="47"/>
        <v>2.1</v>
      </c>
      <c r="AC121" s="44">
        <f t="shared" si="47"/>
        <v>2.1</v>
      </c>
      <c r="AD121" s="44">
        <f t="shared" si="47"/>
        <v>2.1</v>
      </c>
      <c r="AE121" s="44">
        <f t="shared" si="47"/>
        <v>2.1</v>
      </c>
      <c r="AF121" s="44">
        <f t="shared" si="47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5"/>
        <v>9.3000000000000007</v>
      </c>
      <c r="C122" s="55">
        <v>9.3000000000000007</v>
      </c>
      <c r="D122" s="44">
        <f t="shared" si="48"/>
        <v>9.3000000000000007</v>
      </c>
      <c r="E122" s="44">
        <f t="shared" si="48"/>
        <v>9.3000000000000007</v>
      </c>
      <c r="F122" s="44">
        <f t="shared" si="48"/>
        <v>9.3000000000000007</v>
      </c>
      <c r="G122" s="44">
        <f t="shared" si="48"/>
        <v>9.3000000000000007</v>
      </c>
      <c r="H122" s="44">
        <f t="shared" si="48"/>
        <v>9.3000000000000007</v>
      </c>
      <c r="I122" s="44">
        <f t="shared" si="48"/>
        <v>9.3000000000000007</v>
      </c>
      <c r="J122" s="44">
        <f t="shared" si="48"/>
        <v>9.3000000000000007</v>
      </c>
      <c r="K122" s="44">
        <f t="shared" si="48"/>
        <v>9.3000000000000007</v>
      </c>
      <c r="L122" s="44">
        <f t="shared" si="48"/>
        <v>9.3000000000000007</v>
      </c>
      <c r="M122" s="44">
        <f t="shared" si="48"/>
        <v>9.3000000000000007</v>
      </c>
      <c r="N122" s="44">
        <f t="shared" si="48"/>
        <v>9.3000000000000007</v>
      </c>
      <c r="O122" s="44">
        <f t="shared" si="48"/>
        <v>9.3000000000000007</v>
      </c>
      <c r="P122" s="44">
        <f t="shared" si="48"/>
        <v>9.3000000000000007</v>
      </c>
      <c r="Q122" s="44">
        <f t="shared" si="48"/>
        <v>9.3000000000000007</v>
      </c>
      <c r="R122" s="44">
        <f t="shared" si="48"/>
        <v>9.3000000000000007</v>
      </c>
      <c r="S122" s="44">
        <f t="shared" si="48"/>
        <v>9.3000000000000007</v>
      </c>
      <c r="T122" s="44">
        <f t="shared" si="47"/>
        <v>9.3000000000000007</v>
      </c>
      <c r="U122" s="44">
        <f t="shared" si="47"/>
        <v>9.3000000000000007</v>
      </c>
      <c r="V122" s="44">
        <f t="shared" si="47"/>
        <v>9.3000000000000007</v>
      </c>
      <c r="W122" s="44">
        <f t="shared" si="47"/>
        <v>9.3000000000000007</v>
      </c>
      <c r="X122" s="44">
        <f t="shared" si="47"/>
        <v>9.3000000000000007</v>
      </c>
      <c r="Y122" s="44">
        <f t="shared" si="47"/>
        <v>9.3000000000000007</v>
      </c>
      <c r="Z122" s="44">
        <f t="shared" si="47"/>
        <v>9.3000000000000007</v>
      </c>
      <c r="AA122" s="44">
        <f t="shared" si="47"/>
        <v>9.3000000000000007</v>
      </c>
      <c r="AB122" s="44">
        <f t="shared" si="47"/>
        <v>9.3000000000000007</v>
      </c>
      <c r="AC122" s="44">
        <f t="shared" si="47"/>
        <v>9.3000000000000007</v>
      </c>
      <c r="AD122" s="44">
        <f t="shared" si="47"/>
        <v>9.3000000000000007</v>
      </c>
      <c r="AE122" s="44">
        <f t="shared" si="47"/>
        <v>9.3000000000000007</v>
      </c>
      <c r="AF122" s="44">
        <f t="shared" si="47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5"/>
        <v>0</v>
      </c>
      <c r="C123" s="55">
        <v>0</v>
      </c>
      <c r="D123" s="44">
        <f t="shared" si="48"/>
        <v>0</v>
      </c>
      <c r="E123" s="44">
        <f t="shared" si="48"/>
        <v>0</v>
      </c>
      <c r="F123" s="44">
        <f t="shared" si="48"/>
        <v>0</v>
      </c>
      <c r="G123" s="44">
        <f t="shared" si="48"/>
        <v>0</v>
      </c>
      <c r="H123" s="44">
        <f t="shared" si="48"/>
        <v>0</v>
      </c>
      <c r="I123" s="44">
        <f t="shared" si="48"/>
        <v>0</v>
      </c>
      <c r="J123" s="44">
        <f t="shared" si="48"/>
        <v>0</v>
      </c>
      <c r="K123" s="44">
        <f t="shared" si="48"/>
        <v>0</v>
      </c>
      <c r="L123" s="44">
        <f t="shared" si="48"/>
        <v>0</v>
      </c>
      <c r="M123" s="44">
        <f t="shared" si="48"/>
        <v>0</v>
      </c>
      <c r="N123" s="44">
        <f t="shared" si="48"/>
        <v>0</v>
      </c>
      <c r="O123" s="44">
        <f t="shared" si="48"/>
        <v>0</v>
      </c>
      <c r="P123" s="44">
        <f t="shared" si="48"/>
        <v>0</v>
      </c>
      <c r="Q123" s="44">
        <f t="shared" si="48"/>
        <v>0</v>
      </c>
      <c r="R123" s="44">
        <f t="shared" si="48"/>
        <v>0</v>
      </c>
      <c r="S123" s="44">
        <f t="shared" si="48"/>
        <v>0</v>
      </c>
      <c r="T123" s="44">
        <f t="shared" si="47"/>
        <v>0</v>
      </c>
      <c r="U123" s="44">
        <f t="shared" si="47"/>
        <v>0</v>
      </c>
      <c r="V123" s="44">
        <f t="shared" si="47"/>
        <v>0</v>
      </c>
      <c r="W123" s="44">
        <f t="shared" si="47"/>
        <v>0</v>
      </c>
      <c r="X123" s="44">
        <f t="shared" si="47"/>
        <v>0</v>
      </c>
      <c r="Y123" s="44">
        <f t="shared" si="47"/>
        <v>0</v>
      </c>
      <c r="Z123" s="44">
        <f t="shared" si="47"/>
        <v>0</v>
      </c>
      <c r="AA123" s="44">
        <f t="shared" si="47"/>
        <v>0</v>
      </c>
      <c r="AB123" s="44">
        <f t="shared" si="47"/>
        <v>0</v>
      </c>
      <c r="AC123" s="44">
        <f t="shared" si="47"/>
        <v>0</v>
      </c>
      <c r="AD123" s="44">
        <f t="shared" si="47"/>
        <v>0</v>
      </c>
      <c r="AE123" s="44">
        <f t="shared" si="47"/>
        <v>0</v>
      </c>
      <c r="AF123" s="44">
        <f t="shared" si="4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5"/>
        <v>0</v>
      </c>
      <c r="C124" s="55">
        <v>0</v>
      </c>
      <c r="D124" s="44">
        <f t="shared" si="48"/>
        <v>0</v>
      </c>
      <c r="E124" s="44">
        <f t="shared" si="48"/>
        <v>0</v>
      </c>
      <c r="F124" s="44">
        <f t="shared" si="48"/>
        <v>0</v>
      </c>
      <c r="G124" s="44">
        <f t="shared" si="48"/>
        <v>0</v>
      </c>
      <c r="H124" s="44">
        <f t="shared" si="48"/>
        <v>0</v>
      </c>
      <c r="I124" s="44">
        <f t="shared" si="48"/>
        <v>0</v>
      </c>
      <c r="J124" s="44">
        <f t="shared" si="48"/>
        <v>0</v>
      </c>
      <c r="K124" s="44">
        <f t="shared" si="48"/>
        <v>0</v>
      </c>
      <c r="L124" s="44">
        <f t="shared" si="48"/>
        <v>0</v>
      </c>
      <c r="M124" s="44">
        <f t="shared" si="48"/>
        <v>0</v>
      </c>
      <c r="N124" s="44">
        <f t="shared" si="48"/>
        <v>0</v>
      </c>
      <c r="O124" s="44">
        <f t="shared" si="48"/>
        <v>0</v>
      </c>
      <c r="P124" s="44">
        <f t="shared" si="48"/>
        <v>0</v>
      </c>
      <c r="Q124" s="44">
        <f t="shared" si="48"/>
        <v>0</v>
      </c>
      <c r="R124" s="44">
        <f t="shared" si="48"/>
        <v>0</v>
      </c>
      <c r="S124" s="44">
        <f t="shared" si="48"/>
        <v>0</v>
      </c>
      <c r="T124" s="44">
        <f t="shared" si="47"/>
        <v>0</v>
      </c>
      <c r="U124" s="44">
        <f t="shared" si="47"/>
        <v>0</v>
      </c>
      <c r="V124" s="44">
        <f t="shared" si="47"/>
        <v>0</v>
      </c>
      <c r="W124" s="44">
        <f t="shared" si="47"/>
        <v>0</v>
      </c>
      <c r="X124" s="44">
        <f t="shared" si="47"/>
        <v>0</v>
      </c>
      <c r="Y124" s="44">
        <f t="shared" si="47"/>
        <v>0</v>
      </c>
      <c r="Z124" s="44">
        <f t="shared" si="47"/>
        <v>0</v>
      </c>
      <c r="AA124" s="44">
        <f t="shared" si="47"/>
        <v>0</v>
      </c>
      <c r="AB124" s="44">
        <f t="shared" si="47"/>
        <v>0</v>
      </c>
      <c r="AC124" s="44">
        <f t="shared" si="47"/>
        <v>0</v>
      </c>
      <c r="AD124" s="44">
        <f t="shared" si="47"/>
        <v>0</v>
      </c>
      <c r="AE124" s="44">
        <f t="shared" si="47"/>
        <v>0</v>
      </c>
      <c r="AF124" s="44">
        <f t="shared" si="47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5"/>
        <v>5</v>
      </c>
      <c r="C125" s="55">
        <v>5</v>
      </c>
      <c r="D125" s="44">
        <f t="shared" si="48"/>
        <v>5</v>
      </c>
      <c r="E125" s="44">
        <f t="shared" si="48"/>
        <v>5</v>
      </c>
      <c r="F125" s="44">
        <f t="shared" si="48"/>
        <v>5</v>
      </c>
      <c r="G125" s="44">
        <f t="shared" si="48"/>
        <v>5</v>
      </c>
      <c r="H125" s="44">
        <f t="shared" si="48"/>
        <v>5</v>
      </c>
      <c r="I125" s="44">
        <f t="shared" si="48"/>
        <v>5</v>
      </c>
      <c r="J125" s="44">
        <f t="shared" si="48"/>
        <v>5</v>
      </c>
      <c r="K125" s="44">
        <f t="shared" si="48"/>
        <v>5</v>
      </c>
      <c r="L125" s="44">
        <f t="shared" si="48"/>
        <v>5</v>
      </c>
      <c r="M125" s="44">
        <f t="shared" si="48"/>
        <v>5</v>
      </c>
      <c r="N125" s="44">
        <f t="shared" si="48"/>
        <v>5</v>
      </c>
      <c r="O125" s="44">
        <f t="shared" si="48"/>
        <v>5</v>
      </c>
      <c r="P125" s="44">
        <f t="shared" si="48"/>
        <v>5</v>
      </c>
      <c r="Q125" s="44">
        <f t="shared" si="48"/>
        <v>5</v>
      </c>
      <c r="R125" s="44">
        <f t="shared" si="48"/>
        <v>5</v>
      </c>
      <c r="S125" s="44">
        <f t="shared" si="48"/>
        <v>5</v>
      </c>
      <c r="T125" s="44">
        <f t="shared" si="47"/>
        <v>5</v>
      </c>
      <c r="U125" s="44">
        <f t="shared" si="47"/>
        <v>5</v>
      </c>
      <c r="V125" s="44">
        <f t="shared" si="47"/>
        <v>5</v>
      </c>
      <c r="W125" s="44">
        <f t="shared" si="47"/>
        <v>5</v>
      </c>
      <c r="X125" s="44">
        <f t="shared" si="47"/>
        <v>5</v>
      </c>
      <c r="Y125" s="44">
        <f t="shared" si="47"/>
        <v>5</v>
      </c>
      <c r="Z125" s="44">
        <f t="shared" si="47"/>
        <v>5</v>
      </c>
      <c r="AA125" s="44">
        <f t="shared" si="47"/>
        <v>5</v>
      </c>
      <c r="AB125" s="44">
        <f t="shared" si="47"/>
        <v>5</v>
      </c>
      <c r="AC125" s="44">
        <f t="shared" si="47"/>
        <v>5</v>
      </c>
      <c r="AD125" s="44">
        <f t="shared" si="47"/>
        <v>5</v>
      </c>
      <c r="AE125" s="44">
        <f t="shared" si="47"/>
        <v>5</v>
      </c>
      <c r="AF125" s="44">
        <f t="shared" si="47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5"/>
        <v>1</v>
      </c>
      <c r="C126" s="55">
        <v>1</v>
      </c>
      <c r="D126" s="44">
        <f t="shared" si="48"/>
        <v>1</v>
      </c>
      <c r="E126" s="44">
        <f t="shared" si="48"/>
        <v>1</v>
      </c>
      <c r="F126" s="44">
        <f t="shared" si="48"/>
        <v>1</v>
      </c>
      <c r="G126" s="44">
        <f t="shared" si="48"/>
        <v>1</v>
      </c>
      <c r="H126" s="44">
        <f t="shared" si="48"/>
        <v>1</v>
      </c>
      <c r="I126" s="44">
        <f t="shared" si="48"/>
        <v>1</v>
      </c>
      <c r="J126" s="44">
        <f t="shared" si="48"/>
        <v>1</v>
      </c>
      <c r="K126" s="44">
        <f t="shared" si="48"/>
        <v>1</v>
      </c>
      <c r="L126" s="44">
        <f t="shared" si="48"/>
        <v>1</v>
      </c>
      <c r="M126" s="44">
        <f t="shared" si="48"/>
        <v>1</v>
      </c>
      <c r="N126" s="44">
        <f t="shared" si="48"/>
        <v>1</v>
      </c>
      <c r="O126" s="44">
        <f t="shared" si="48"/>
        <v>1</v>
      </c>
      <c r="P126" s="44">
        <f t="shared" si="48"/>
        <v>1</v>
      </c>
      <c r="Q126" s="44">
        <f t="shared" si="48"/>
        <v>1</v>
      </c>
      <c r="R126" s="44">
        <f t="shared" si="48"/>
        <v>1</v>
      </c>
      <c r="S126" s="44">
        <f t="shared" si="48"/>
        <v>1</v>
      </c>
      <c r="T126" s="44">
        <f t="shared" si="47"/>
        <v>1</v>
      </c>
      <c r="U126" s="44">
        <f t="shared" si="47"/>
        <v>1</v>
      </c>
      <c r="V126" s="44">
        <f t="shared" si="47"/>
        <v>1</v>
      </c>
      <c r="W126" s="44">
        <f t="shared" si="47"/>
        <v>1</v>
      </c>
      <c r="X126" s="44">
        <f t="shared" si="47"/>
        <v>1</v>
      </c>
      <c r="Y126" s="44">
        <f t="shared" si="47"/>
        <v>1</v>
      </c>
      <c r="Z126" s="44">
        <f t="shared" si="47"/>
        <v>1</v>
      </c>
      <c r="AA126" s="44">
        <f t="shared" si="47"/>
        <v>1</v>
      </c>
      <c r="AB126" s="44">
        <f t="shared" si="47"/>
        <v>1</v>
      </c>
      <c r="AC126" s="44">
        <f t="shared" si="47"/>
        <v>1</v>
      </c>
      <c r="AD126" s="44">
        <f t="shared" si="47"/>
        <v>1</v>
      </c>
      <c r="AE126" s="44">
        <f t="shared" si="47"/>
        <v>1</v>
      </c>
      <c r="AF126" s="44">
        <f t="shared" si="47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5"/>
        <v>1.58</v>
      </c>
      <c r="C127" s="55">
        <v>1.58</v>
      </c>
      <c r="D127" s="44">
        <f t="shared" si="48"/>
        <v>1.58</v>
      </c>
      <c r="E127" s="44">
        <f t="shared" si="48"/>
        <v>1.58</v>
      </c>
      <c r="F127" s="44">
        <f t="shared" si="48"/>
        <v>1.58</v>
      </c>
      <c r="G127" s="44">
        <f t="shared" si="48"/>
        <v>1.58</v>
      </c>
      <c r="H127" s="44">
        <f t="shared" si="48"/>
        <v>1.58</v>
      </c>
      <c r="I127" s="44">
        <f t="shared" si="48"/>
        <v>1.58</v>
      </c>
      <c r="J127" s="44">
        <f t="shared" si="48"/>
        <v>1.58</v>
      </c>
      <c r="K127" s="44">
        <f t="shared" si="48"/>
        <v>1.58</v>
      </c>
      <c r="L127" s="44">
        <f t="shared" si="48"/>
        <v>1.58</v>
      </c>
      <c r="M127" s="44">
        <f t="shared" si="48"/>
        <v>1.58</v>
      </c>
      <c r="N127" s="44">
        <f t="shared" si="48"/>
        <v>1.58</v>
      </c>
      <c r="O127" s="44">
        <f t="shared" si="48"/>
        <v>1.58</v>
      </c>
      <c r="P127" s="44">
        <f t="shared" si="48"/>
        <v>1.58</v>
      </c>
      <c r="Q127" s="44">
        <f t="shared" si="48"/>
        <v>1.58</v>
      </c>
      <c r="R127" s="44">
        <f t="shared" si="48"/>
        <v>1.58</v>
      </c>
      <c r="S127" s="44">
        <f t="shared" si="48"/>
        <v>1.58</v>
      </c>
      <c r="T127" s="44">
        <f t="shared" si="47"/>
        <v>1.58</v>
      </c>
      <c r="U127" s="44">
        <f t="shared" si="47"/>
        <v>1.58</v>
      </c>
      <c r="V127" s="44">
        <f t="shared" si="47"/>
        <v>1.58</v>
      </c>
      <c r="W127" s="44">
        <f t="shared" si="47"/>
        <v>1.58</v>
      </c>
      <c r="X127" s="44">
        <f t="shared" si="47"/>
        <v>1.58</v>
      </c>
      <c r="Y127" s="44">
        <f t="shared" si="47"/>
        <v>1.58</v>
      </c>
      <c r="Z127" s="44">
        <f t="shared" si="47"/>
        <v>1.58</v>
      </c>
      <c r="AA127" s="44">
        <f t="shared" si="47"/>
        <v>1.58</v>
      </c>
      <c r="AB127" s="44">
        <f t="shared" si="47"/>
        <v>1.58</v>
      </c>
      <c r="AC127" s="44">
        <f t="shared" si="47"/>
        <v>1.58</v>
      </c>
      <c r="AD127" s="44">
        <f t="shared" si="47"/>
        <v>1.58</v>
      </c>
      <c r="AE127" s="44">
        <f t="shared" si="47"/>
        <v>1.58</v>
      </c>
      <c r="AF127" s="44">
        <f t="shared" si="47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5"/>
        <v>1.46</v>
      </c>
      <c r="C128" s="55">
        <v>1.46</v>
      </c>
      <c r="D128" s="44">
        <f t="shared" si="48"/>
        <v>1.46</v>
      </c>
      <c r="E128" s="44">
        <f t="shared" si="48"/>
        <v>1.46</v>
      </c>
      <c r="F128" s="44">
        <f t="shared" si="48"/>
        <v>1.46</v>
      </c>
      <c r="G128" s="44">
        <f t="shared" si="48"/>
        <v>1.46</v>
      </c>
      <c r="H128" s="44">
        <f t="shared" si="48"/>
        <v>1.46</v>
      </c>
      <c r="I128" s="44">
        <f t="shared" si="48"/>
        <v>1.46</v>
      </c>
      <c r="J128" s="44">
        <f t="shared" si="48"/>
        <v>1.46</v>
      </c>
      <c r="K128" s="44">
        <f t="shared" si="48"/>
        <v>1.46</v>
      </c>
      <c r="L128" s="44">
        <f t="shared" si="48"/>
        <v>1.46</v>
      </c>
      <c r="M128" s="44">
        <f t="shared" si="48"/>
        <v>1.46</v>
      </c>
      <c r="N128" s="44">
        <f t="shared" si="48"/>
        <v>1.46</v>
      </c>
      <c r="O128" s="44">
        <f t="shared" si="48"/>
        <v>1.46</v>
      </c>
      <c r="P128" s="44">
        <f t="shared" si="48"/>
        <v>1.46</v>
      </c>
      <c r="Q128" s="44">
        <f t="shared" si="48"/>
        <v>1.46</v>
      </c>
      <c r="R128" s="44">
        <f t="shared" si="48"/>
        <v>1.46</v>
      </c>
      <c r="S128" s="44">
        <f t="shared" si="48"/>
        <v>1.46</v>
      </c>
      <c r="T128" s="44">
        <f t="shared" ref="T128:AF129" si="49">S128</f>
        <v>1.46</v>
      </c>
      <c r="U128" s="44">
        <f t="shared" si="49"/>
        <v>1.46</v>
      </c>
      <c r="V128" s="44">
        <f t="shared" si="49"/>
        <v>1.46</v>
      </c>
      <c r="W128" s="44">
        <f t="shared" si="49"/>
        <v>1.46</v>
      </c>
      <c r="X128" s="44">
        <f t="shared" si="49"/>
        <v>1.46</v>
      </c>
      <c r="Y128" s="44">
        <f t="shared" si="49"/>
        <v>1.46</v>
      </c>
      <c r="Z128" s="44">
        <f t="shared" si="49"/>
        <v>1.46</v>
      </c>
      <c r="AA128" s="44">
        <f t="shared" si="49"/>
        <v>1.46</v>
      </c>
      <c r="AB128" s="44">
        <f t="shared" si="49"/>
        <v>1.46</v>
      </c>
      <c r="AC128" s="44">
        <f t="shared" si="49"/>
        <v>1.46</v>
      </c>
      <c r="AD128" s="44">
        <f t="shared" si="49"/>
        <v>1.46</v>
      </c>
      <c r="AE128" s="44">
        <f t="shared" si="49"/>
        <v>1.46</v>
      </c>
      <c r="AF128" s="44">
        <f t="shared" si="49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5"/>
        <v>1.48</v>
      </c>
      <c r="C129" s="55">
        <v>1.48</v>
      </c>
      <c r="D129" s="44">
        <f t="shared" si="48"/>
        <v>1.48</v>
      </c>
      <c r="E129" s="44">
        <f t="shared" si="48"/>
        <v>1.48</v>
      </c>
      <c r="F129" s="44">
        <f t="shared" si="48"/>
        <v>1.48</v>
      </c>
      <c r="G129" s="44">
        <f t="shared" si="48"/>
        <v>1.48</v>
      </c>
      <c r="H129" s="44">
        <f t="shared" si="48"/>
        <v>1.48</v>
      </c>
      <c r="I129" s="44">
        <f t="shared" si="48"/>
        <v>1.48</v>
      </c>
      <c r="J129" s="44">
        <f t="shared" si="48"/>
        <v>1.48</v>
      </c>
      <c r="K129" s="44">
        <f t="shared" si="48"/>
        <v>1.48</v>
      </c>
      <c r="L129" s="44">
        <f t="shared" si="48"/>
        <v>1.48</v>
      </c>
      <c r="M129" s="44">
        <f t="shared" si="48"/>
        <v>1.48</v>
      </c>
      <c r="N129" s="44">
        <f t="shared" si="48"/>
        <v>1.48</v>
      </c>
      <c r="O129" s="44">
        <f t="shared" si="48"/>
        <v>1.48</v>
      </c>
      <c r="P129" s="44">
        <f t="shared" si="48"/>
        <v>1.48</v>
      </c>
      <c r="Q129" s="44">
        <f t="shared" si="48"/>
        <v>1.48</v>
      </c>
      <c r="R129" s="44">
        <f t="shared" si="48"/>
        <v>1.48</v>
      </c>
      <c r="S129" s="44">
        <f t="shared" si="48"/>
        <v>1.48</v>
      </c>
      <c r="T129" s="44">
        <f t="shared" si="49"/>
        <v>1.48</v>
      </c>
      <c r="U129" s="44">
        <f t="shared" si="49"/>
        <v>1.48</v>
      </c>
      <c r="V129" s="44">
        <f t="shared" si="49"/>
        <v>1.48</v>
      </c>
      <c r="W129" s="44">
        <f t="shared" si="49"/>
        <v>1.48</v>
      </c>
      <c r="X129" s="44">
        <f t="shared" si="49"/>
        <v>1.48</v>
      </c>
      <c r="Y129" s="44">
        <f t="shared" si="49"/>
        <v>1.48</v>
      </c>
      <c r="Z129" s="44">
        <f t="shared" si="49"/>
        <v>1.48</v>
      </c>
      <c r="AA129" s="44">
        <f t="shared" si="49"/>
        <v>1.48</v>
      </c>
      <c r="AB129" s="44">
        <f t="shared" si="49"/>
        <v>1.48</v>
      </c>
      <c r="AC129" s="44">
        <f t="shared" si="49"/>
        <v>1.48</v>
      </c>
      <c r="AD129" s="44">
        <f t="shared" si="49"/>
        <v>1.48</v>
      </c>
      <c r="AE129" s="44">
        <f t="shared" si="49"/>
        <v>1.48</v>
      </c>
      <c r="AF129" s="44">
        <f t="shared" si="49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0">AF131</f>
        <v>2.2000000000000002</v>
      </c>
      <c r="C131" s="55">
        <v>2.2000000000000002</v>
      </c>
      <c r="D131" s="44">
        <f t="shared" ref="D131:S138" si="51">C131</f>
        <v>2.2000000000000002</v>
      </c>
      <c r="E131" s="44">
        <f t="shared" si="51"/>
        <v>2.2000000000000002</v>
      </c>
      <c r="F131" s="44">
        <f t="shared" si="51"/>
        <v>2.2000000000000002</v>
      </c>
      <c r="G131" s="44">
        <f t="shared" si="51"/>
        <v>2.2000000000000002</v>
      </c>
      <c r="H131" s="44">
        <f t="shared" si="51"/>
        <v>2.2000000000000002</v>
      </c>
      <c r="I131" s="44">
        <f t="shared" si="51"/>
        <v>2.2000000000000002</v>
      </c>
      <c r="J131" s="44">
        <f t="shared" si="51"/>
        <v>2.2000000000000002</v>
      </c>
      <c r="K131" s="44">
        <f t="shared" si="51"/>
        <v>2.2000000000000002</v>
      </c>
      <c r="L131" s="44">
        <f t="shared" si="51"/>
        <v>2.2000000000000002</v>
      </c>
      <c r="M131" s="44">
        <f t="shared" si="51"/>
        <v>2.2000000000000002</v>
      </c>
      <c r="N131" s="44">
        <f t="shared" si="51"/>
        <v>2.2000000000000002</v>
      </c>
      <c r="O131" s="44">
        <f t="shared" si="51"/>
        <v>2.2000000000000002</v>
      </c>
      <c r="P131" s="44">
        <f t="shared" si="51"/>
        <v>2.2000000000000002</v>
      </c>
      <c r="Q131" s="44">
        <f t="shared" si="51"/>
        <v>2.2000000000000002</v>
      </c>
      <c r="R131" s="44">
        <f t="shared" si="51"/>
        <v>2.2000000000000002</v>
      </c>
      <c r="S131" s="44">
        <f t="shared" si="51"/>
        <v>2.2000000000000002</v>
      </c>
      <c r="T131" s="44">
        <f t="shared" ref="T131:AF138" si="52">S131</f>
        <v>2.2000000000000002</v>
      </c>
      <c r="U131" s="44">
        <f t="shared" si="52"/>
        <v>2.2000000000000002</v>
      </c>
      <c r="V131" s="44">
        <f t="shared" si="52"/>
        <v>2.2000000000000002</v>
      </c>
      <c r="W131" s="44">
        <f t="shared" si="52"/>
        <v>2.2000000000000002</v>
      </c>
      <c r="X131" s="44">
        <f t="shared" si="52"/>
        <v>2.2000000000000002</v>
      </c>
      <c r="Y131" s="44">
        <f t="shared" si="52"/>
        <v>2.2000000000000002</v>
      </c>
      <c r="Z131" s="44">
        <f t="shared" si="52"/>
        <v>2.2000000000000002</v>
      </c>
      <c r="AA131" s="44">
        <f t="shared" si="52"/>
        <v>2.2000000000000002</v>
      </c>
      <c r="AB131" s="44">
        <f t="shared" si="52"/>
        <v>2.2000000000000002</v>
      </c>
      <c r="AC131" s="44">
        <f t="shared" si="52"/>
        <v>2.2000000000000002</v>
      </c>
      <c r="AD131" s="44">
        <f t="shared" si="52"/>
        <v>2.2000000000000002</v>
      </c>
      <c r="AE131" s="44">
        <f t="shared" si="52"/>
        <v>2.2000000000000002</v>
      </c>
      <c r="AF131" s="44">
        <f t="shared" si="52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0"/>
        <v>2</v>
      </c>
      <c r="C132" s="55">
        <v>2</v>
      </c>
      <c r="D132" s="44">
        <f t="shared" si="51"/>
        <v>2</v>
      </c>
      <c r="E132" s="44">
        <f t="shared" si="51"/>
        <v>2</v>
      </c>
      <c r="F132" s="44">
        <f t="shared" si="51"/>
        <v>2</v>
      </c>
      <c r="G132" s="44">
        <f t="shared" si="51"/>
        <v>2</v>
      </c>
      <c r="H132" s="44">
        <f t="shared" si="51"/>
        <v>2</v>
      </c>
      <c r="I132" s="44">
        <f t="shared" si="51"/>
        <v>2</v>
      </c>
      <c r="J132" s="44">
        <f t="shared" si="51"/>
        <v>2</v>
      </c>
      <c r="K132" s="44">
        <f t="shared" si="51"/>
        <v>2</v>
      </c>
      <c r="L132" s="44">
        <f t="shared" si="51"/>
        <v>2</v>
      </c>
      <c r="M132" s="44">
        <f t="shared" si="51"/>
        <v>2</v>
      </c>
      <c r="N132" s="44">
        <f t="shared" si="51"/>
        <v>2</v>
      </c>
      <c r="O132" s="44">
        <f t="shared" si="51"/>
        <v>2</v>
      </c>
      <c r="P132" s="44">
        <f t="shared" si="51"/>
        <v>2</v>
      </c>
      <c r="Q132" s="44">
        <f t="shared" si="51"/>
        <v>2</v>
      </c>
      <c r="R132" s="44">
        <f t="shared" si="51"/>
        <v>2</v>
      </c>
      <c r="S132" s="44">
        <f t="shared" si="51"/>
        <v>2</v>
      </c>
      <c r="T132" s="44">
        <f t="shared" si="52"/>
        <v>2</v>
      </c>
      <c r="U132" s="44">
        <f t="shared" si="52"/>
        <v>2</v>
      </c>
      <c r="V132" s="44">
        <f t="shared" si="52"/>
        <v>2</v>
      </c>
      <c r="W132" s="44">
        <f t="shared" si="52"/>
        <v>2</v>
      </c>
      <c r="X132" s="44">
        <f t="shared" si="52"/>
        <v>2</v>
      </c>
      <c r="Y132" s="44">
        <f t="shared" si="52"/>
        <v>2</v>
      </c>
      <c r="Z132" s="44">
        <f t="shared" si="52"/>
        <v>2</v>
      </c>
      <c r="AA132" s="44">
        <f t="shared" si="52"/>
        <v>2</v>
      </c>
      <c r="AB132" s="44">
        <f t="shared" si="52"/>
        <v>2</v>
      </c>
      <c r="AC132" s="44">
        <f t="shared" si="52"/>
        <v>2</v>
      </c>
      <c r="AD132" s="44">
        <f t="shared" si="52"/>
        <v>2</v>
      </c>
      <c r="AE132" s="44">
        <f t="shared" si="52"/>
        <v>2</v>
      </c>
      <c r="AF132" s="44">
        <f t="shared" si="52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0"/>
        <v>1.25</v>
      </c>
      <c r="C133" s="55">
        <v>1.25</v>
      </c>
      <c r="D133" s="44">
        <f t="shared" si="51"/>
        <v>1.25</v>
      </c>
      <c r="E133" s="44">
        <f t="shared" si="51"/>
        <v>1.25</v>
      </c>
      <c r="F133" s="44">
        <f t="shared" si="51"/>
        <v>1.25</v>
      </c>
      <c r="G133" s="44">
        <f t="shared" si="51"/>
        <v>1.25</v>
      </c>
      <c r="H133" s="44">
        <f t="shared" si="51"/>
        <v>1.25</v>
      </c>
      <c r="I133" s="44">
        <f t="shared" si="51"/>
        <v>1.25</v>
      </c>
      <c r="J133" s="44">
        <f t="shared" si="51"/>
        <v>1.25</v>
      </c>
      <c r="K133" s="44">
        <f t="shared" si="51"/>
        <v>1.25</v>
      </c>
      <c r="L133" s="44">
        <f t="shared" si="51"/>
        <v>1.25</v>
      </c>
      <c r="M133" s="44">
        <f t="shared" si="51"/>
        <v>1.25</v>
      </c>
      <c r="N133" s="44">
        <f t="shared" si="51"/>
        <v>1.25</v>
      </c>
      <c r="O133" s="44">
        <f t="shared" si="51"/>
        <v>1.25</v>
      </c>
      <c r="P133" s="44">
        <f t="shared" si="51"/>
        <v>1.25</v>
      </c>
      <c r="Q133" s="44">
        <f t="shared" si="51"/>
        <v>1.25</v>
      </c>
      <c r="R133" s="44">
        <f t="shared" si="51"/>
        <v>1.25</v>
      </c>
      <c r="S133" s="44">
        <f t="shared" si="51"/>
        <v>1.25</v>
      </c>
      <c r="T133" s="44">
        <f t="shared" si="52"/>
        <v>1.25</v>
      </c>
      <c r="U133" s="44">
        <f t="shared" si="52"/>
        <v>1.25</v>
      </c>
      <c r="V133" s="44">
        <f t="shared" si="52"/>
        <v>1.25</v>
      </c>
      <c r="W133" s="44">
        <f t="shared" si="52"/>
        <v>1.25</v>
      </c>
      <c r="X133" s="44">
        <f t="shared" si="52"/>
        <v>1.25</v>
      </c>
      <c r="Y133" s="44">
        <f t="shared" si="52"/>
        <v>1.25</v>
      </c>
      <c r="Z133" s="44">
        <f t="shared" si="52"/>
        <v>1.25</v>
      </c>
      <c r="AA133" s="44">
        <f t="shared" si="52"/>
        <v>1.25</v>
      </c>
      <c r="AB133" s="44">
        <f t="shared" si="52"/>
        <v>1.25</v>
      </c>
      <c r="AC133" s="44">
        <f t="shared" si="52"/>
        <v>1.25</v>
      </c>
      <c r="AD133" s="44">
        <f t="shared" si="52"/>
        <v>1.25</v>
      </c>
      <c r="AE133" s="44">
        <f t="shared" si="52"/>
        <v>1.25</v>
      </c>
      <c r="AF133" s="44">
        <f t="shared" si="52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0"/>
        <v>1.1499999999999999</v>
      </c>
      <c r="C134" s="55">
        <v>1.1499999999999999</v>
      </c>
      <c r="D134" s="44">
        <f t="shared" si="51"/>
        <v>1.1499999999999999</v>
      </c>
      <c r="E134" s="44">
        <f t="shared" si="51"/>
        <v>1.1499999999999999</v>
      </c>
      <c r="F134" s="44">
        <f t="shared" si="51"/>
        <v>1.1499999999999999</v>
      </c>
      <c r="G134" s="44">
        <f t="shared" si="51"/>
        <v>1.1499999999999999</v>
      </c>
      <c r="H134" s="44">
        <f t="shared" si="51"/>
        <v>1.1499999999999999</v>
      </c>
      <c r="I134" s="44">
        <f t="shared" si="51"/>
        <v>1.1499999999999999</v>
      </c>
      <c r="J134" s="44">
        <f t="shared" si="51"/>
        <v>1.1499999999999999</v>
      </c>
      <c r="K134" s="44">
        <f t="shared" si="51"/>
        <v>1.1499999999999999</v>
      </c>
      <c r="L134" s="44">
        <f t="shared" si="51"/>
        <v>1.1499999999999999</v>
      </c>
      <c r="M134" s="44">
        <f t="shared" si="51"/>
        <v>1.1499999999999999</v>
      </c>
      <c r="N134" s="44">
        <f t="shared" si="51"/>
        <v>1.1499999999999999</v>
      </c>
      <c r="O134" s="44">
        <f t="shared" si="51"/>
        <v>1.1499999999999999</v>
      </c>
      <c r="P134" s="44">
        <f t="shared" si="51"/>
        <v>1.1499999999999999</v>
      </c>
      <c r="Q134" s="44">
        <f t="shared" si="51"/>
        <v>1.1499999999999999</v>
      </c>
      <c r="R134" s="44">
        <f t="shared" si="51"/>
        <v>1.1499999999999999</v>
      </c>
      <c r="S134" s="44">
        <f t="shared" si="51"/>
        <v>1.1499999999999999</v>
      </c>
      <c r="T134" s="44">
        <f t="shared" si="52"/>
        <v>1.1499999999999999</v>
      </c>
      <c r="U134" s="44">
        <f t="shared" si="52"/>
        <v>1.1499999999999999</v>
      </c>
      <c r="V134" s="44">
        <f t="shared" si="52"/>
        <v>1.1499999999999999</v>
      </c>
      <c r="W134" s="44">
        <f t="shared" si="52"/>
        <v>1.1499999999999999</v>
      </c>
      <c r="X134" s="44">
        <f t="shared" si="52"/>
        <v>1.1499999999999999</v>
      </c>
      <c r="Y134" s="44">
        <f t="shared" si="52"/>
        <v>1.1499999999999999</v>
      </c>
      <c r="Z134" s="44">
        <f t="shared" si="52"/>
        <v>1.1499999999999999</v>
      </c>
      <c r="AA134" s="44">
        <f t="shared" si="52"/>
        <v>1.1499999999999999</v>
      </c>
      <c r="AB134" s="44">
        <f t="shared" si="52"/>
        <v>1.1499999999999999</v>
      </c>
      <c r="AC134" s="44">
        <f t="shared" si="52"/>
        <v>1.1499999999999999</v>
      </c>
      <c r="AD134" s="44">
        <f t="shared" si="52"/>
        <v>1.1499999999999999</v>
      </c>
      <c r="AE134" s="44">
        <f t="shared" si="52"/>
        <v>1.1499999999999999</v>
      </c>
      <c r="AF134" s="44">
        <f t="shared" si="52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0"/>
        <v>2.133</v>
      </c>
      <c r="C135" s="55">
        <v>2.133</v>
      </c>
      <c r="D135" s="44">
        <f t="shared" si="51"/>
        <v>2.133</v>
      </c>
      <c r="E135" s="44">
        <f t="shared" si="51"/>
        <v>2.133</v>
      </c>
      <c r="F135" s="44">
        <f t="shared" si="51"/>
        <v>2.133</v>
      </c>
      <c r="G135" s="44">
        <f t="shared" si="51"/>
        <v>2.133</v>
      </c>
      <c r="H135" s="44">
        <f t="shared" si="51"/>
        <v>2.133</v>
      </c>
      <c r="I135" s="44">
        <f t="shared" si="51"/>
        <v>2.133</v>
      </c>
      <c r="J135" s="44">
        <f t="shared" si="51"/>
        <v>2.133</v>
      </c>
      <c r="K135" s="44">
        <f t="shared" si="51"/>
        <v>2.133</v>
      </c>
      <c r="L135" s="44">
        <f t="shared" si="51"/>
        <v>2.133</v>
      </c>
      <c r="M135" s="44">
        <f t="shared" si="51"/>
        <v>2.133</v>
      </c>
      <c r="N135" s="44">
        <f t="shared" si="51"/>
        <v>2.133</v>
      </c>
      <c r="O135" s="44">
        <f t="shared" si="51"/>
        <v>2.133</v>
      </c>
      <c r="P135" s="44">
        <f t="shared" si="51"/>
        <v>2.133</v>
      </c>
      <c r="Q135" s="44">
        <f t="shared" si="51"/>
        <v>2.133</v>
      </c>
      <c r="R135" s="44">
        <f t="shared" si="51"/>
        <v>2.133</v>
      </c>
      <c r="S135" s="44">
        <f t="shared" si="51"/>
        <v>2.133</v>
      </c>
      <c r="T135" s="44">
        <f t="shared" si="52"/>
        <v>2.133</v>
      </c>
      <c r="U135" s="44">
        <f t="shared" si="52"/>
        <v>2.133</v>
      </c>
      <c r="V135" s="44">
        <f t="shared" si="52"/>
        <v>2.133</v>
      </c>
      <c r="W135" s="44">
        <f t="shared" si="52"/>
        <v>2.133</v>
      </c>
      <c r="X135" s="44">
        <f t="shared" si="52"/>
        <v>2.133</v>
      </c>
      <c r="Y135" s="44">
        <f t="shared" si="52"/>
        <v>2.133</v>
      </c>
      <c r="Z135" s="44">
        <f t="shared" si="52"/>
        <v>2.133</v>
      </c>
      <c r="AA135" s="44">
        <f t="shared" si="52"/>
        <v>2.133</v>
      </c>
      <c r="AB135" s="44">
        <f t="shared" si="52"/>
        <v>2.133</v>
      </c>
      <c r="AC135" s="44">
        <f t="shared" si="52"/>
        <v>2.133</v>
      </c>
      <c r="AD135" s="44">
        <f t="shared" si="52"/>
        <v>2.133</v>
      </c>
      <c r="AE135" s="44">
        <f t="shared" si="52"/>
        <v>2.133</v>
      </c>
      <c r="AF135" s="44">
        <f t="shared" si="52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0"/>
        <v>2.09</v>
      </c>
      <c r="C136" s="55">
        <v>2.09</v>
      </c>
      <c r="D136" s="44">
        <f t="shared" si="51"/>
        <v>2.09</v>
      </c>
      <c r="E136" s="44">
        <f t="shared" si="51"/>
        <v>2.09</v>
      </c>
      <c r="F136" s="44">
        <f t="shared" si="51"/>
        <v>2.09</v>
      </c>
      <c r="G136" s="44">
        <f t="shared" si="51"/>
        <v>2.09</v>
      </c>
      <c r="H136" s="44">
        <f t="shared" si="51"/>
        <v>2.09</v>
      </c>
      <c r="I136" s="44">
        <f t="shared" si="51"/>
        <v>2.09</v>
      </c>
      <c r="J136" s="44">
        <f t="shared" si="51"/>
        <v>2.09</v>
      </c>
      <c r="K136" s="44">
        <f t="shared" si="51"/>
        <v>2.09</v>
      </c>
      <c r="L136" s="44">
        <f t="shared" si="51"/>
        <v>2.09</v>
      </c>
      <c r="M136" s="44">
        <f t="shared" si="51"/>
        <v>2.09</v>
      </c>
      <c r="N136" s="44">
        <f t="shared" si="51"/>
        <v>2.09</v>
      </c>
      <c r="O136" s="44">
        <f t="shared" si="51"/>
        <v>2.09</v>
      </c>
      <c r="P136" s="44">
        <f t="shared" si="51"/>
        <v>2.09</v>
      </c>
      <c r="Q136" s="44">
        <f t="shared" si="51"/>
        <v>2.09</v>
      </c>
      <c r="R136" s="44">
        <f t="shared" si="51"/>
        <v>2.09</v>
      </c>
      <c r="S136" s="44">
        <f t="shared" si="51"/>
        <v>2.09</v>
      </c>
      <c r="T136" s="44">
        <f t="shared" si="52"/>
        <v>2.09</v>
      </c>
      <c r="U136" s="44">
        <f t="shared" si="52"/>
        <v>2.09</v>
      </c>
      <c r="V136" s="44">
        <f t="shared" si="52"/>
        <v>2.09</v>
      </c>
      <c r="W136" s="44">
        <f t="shared" si="52"/>
        <v>2.09</v>
      </c>
      <c r="X136" s="44">
        <f t="shared" si="52"/>
        <v>2.09</v>
      </c>
      <c r="Y136" s="44">
        <f t="shared" si="52"/>
        <v>2.09</v>
      </c>
      <c r="Z136" s="44">
        <f t="shared" si="52"/>
        <v>2.09</v>
      </c>
      <c r="AA136" s="44">
        <f t="shared" si="52"/>
        <v>2.09</v>
      </c>
      <c r="AB136" s="44">
        <f t="shared" si="52"/>
        <v>2.09</v>
      </c>
      <c r="AC136" s="44">
        <f t="shared" si="52"/>
        <v>2.09</v>
      </c>
      <c r="AD136" s="44">
        <f t="shared" si="52"/>
        <v>2.09</v>
      </c>
      <c r="AE136" s="44">
        <f t="shared" si="52"/>
        <v>2.09</v>
      </c>
      <c r="AF136" s="44">
        <f t="shared" si="52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0"/>
        <v>1.1399999999999999</v>
      </c>
      <c r="C137" s="55">
        <v>1.1399999999999999</v>
      </c>
      <c r="D137" s="44">
        <f t="shared" si="51"/>
        <v>1.1399999999999999</v>
      </c>
      <c r="E137" s="44">
        <f t="shared" si="51"/>
        <v>1.1399999999999999</v>
      </c>
      <c r="F137" s="44">
        <f t="shared" si="51"/>
        <v>1.1399999999999999</v>
      </c>
      <c r="G137" s="44">
        <f t="shared" si="51"/>
        <v>1.1399999999999999</v>
      </c>
      <c r="H137" s="44">
        <f t="shared" si="51"/>
        <v>1.1399999999999999</v>
      </c>
      <c r="I137" s="44">
        <f t="shared" si="51"/>
        <v>1.1399999999999999</v>
      </c>
      <c r="J137" s="44">
        <f t="shared" si="51"/>
        <v>1.1399999999999999</v>
      </c>
      <c r="K137" s="44">
        <f t="shared" si="51"/>
        <v>1.1399999999999999</v>
      </c>
      <c r="L137" s="44">
        <f t="shared" si="51"/>
        <v>1.1399999999999999</v>
      </c>
      <c r="M137" s="44">
        <f t="shared" si="51"/>
        <v>1.1399999999999999</v>
      </c>
      <c r="N137" s="44">
        <f t="shared" si="51"/>
        <v>1.1399999999999999</v>
      </c>
      <c r="O137" s="44">
        <f t="shared" si="51"/>
        <v>1.1399999999999999</v>
      </c>
      <c r="P137" s="44">
        <f t="shared" si="51"/>
        <v>1.1399999999999999</v>
      </c>
      <c r="Q137" s="44">
        <f t="shared" si="51"/>
        <v>1.1399999999999999</v>
      </c>
      <c r="R137" s="44">
        <f t="shared" si="51"/>
        <v>1.1399999999999999</v>
      </c>
      <c r="S137" s="44">
        <f t="shared" si="51"/>
        <v>1.1399999999999999</v>
      </c>
      <c r="T137" s="44">
        <f t="shared" si="52"/>
        <v>1.1399999999999999</v>
      </c>
      <c r="U137" s="44">
        <f t="shared" si="52"/>
        <v>1.1399999999999999</v>
      </c>
      <c r="V137" s="44">
        <f t="shared" si="52"/>
        <v>1.1399999999999999</v>
      </c>
      <c r="W137" s="44">
        <f t="shared" si="52"/>
        <v>1.1399999999999999</v>
      </c>
      <c r="X137" s="44">
        <f t="shared" si="52"/>
        <v>1.1399999999999999</v>
      </c>
      <c r="Y137" s="44">
        <f t="shared" si="52"/>
        <v>1.1399999999999999</v>
      </c>
      <c r="Z137" s="44">
        <f t="shared" si="52"/>
        <v>1.1399999999999999</v>
      </c>
      <c r="AA137" s="44">
        <f t="shared" si="52"/>
        <v>1.1399999999999999</v>
      </c>
      <c r="AB137" s="44">
        <f t="shared" si="52"/>
        <v>1.1399999999999999</v>
      </c>
      <c r="AC137" s="44">
        <f t="shared" si="52"/>
        <v>1.1399999999999999</v>
      </c>
      <c r="AD137" s="44">
        <f t="shared" si="52"/>
        <v>1.1399999999999999</v>
      </c>
      <c r="AE137" s="44">
        <f t="shared" si="52"/>
        <v>1.1399999999999999</v>
      </c>
      <c r="AF137" s="44">
        <f t="shared" si="5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0"/>
        <v>0.82</v>
      </c>
      <c r="C138" s="55">
        <v>0.82</v>
      </c>
      <c r="D138" s="44">
        <f t="shared" si="51"/>
        <v>0.82</v>
      </c>
      <c r="E138" s="44">
        <f t="shared" si="51"/>
        <v>0.82</v>
      </c>
      <c r="F138" s="44">
        <f t="shared" si="51"/>
        <v>0.82</v>
      </c>
      <c r="G138" s="44">
        <f t="shared" si="51"/>
        <v>0.82</v>
      </c>
      <c r="H138" s="44">
        <f t="shared" si="51"/>
        <v>0.82</v>
      </c>
      <c r="I138" s="44">
        <f t="shared" si="51"/>
        <v>0.82</v>
      </c>
      <c r="J138" s="44">
        <f t="shared" si="51"/>
        <v>0.82</v>
      </c>
      <c r="K138" s="44">
        <f t="shared" si="51"/>
        <v>0.82</v>
      </c>
      <c r="L138" s="44">
        <f t="shared" si="51"/>
        <v>0.82</v>
      </c>
      <c r="M138" s="44">
        <f t="shared" si="51"/>
        <v>0.82</v>
      </c>
      <c r="N138" s="44">
        <f t="shared" si="51"/>
        <v>0.82</v>
      </c>
      <c r="O138" s="44">
        <f t="shared" si="51"/>
        <v>0.82</v>
      </c>
      <c r="P138" s="44">
        <f t="shared" si="51"/>
        <v>0.82</v>
      </c>
      <c r="Q138" s="44">
        <f t="shared" si="51"/>
        <v>0.82</v>
      </c>
      <c r="R138" s="44">
        <f t="shared" si="51"/>
        <v>0.82</v>
      </c>
      <c r="S138" s="44">
        <f t="shared" si="51"/>
        <v>0.82</v>
      </c>
      <c r="T138" s="44">
        <f t="shared" si="52"/>
        <v>0.82</v>
      </c>
      <c r="U138" s="44">
        <f t="shared" si="52"/>
        <v>0.82</v>
      </c>
      <c r="V138" s="44">
        <f t="shared" si="52"/>
        <v>0.82</v>
      </c>
      <c r="W138" s="44">
        <f t="shared" si="52"/>
        <v>0.82</v>
      </c>
      <c r="X138" s="44">
        <f t="shared" si="52"/>
        <v>0.82</v>
      </c>
      <c r="Y138" s="44">
        <f t="shared" si="52"/>
        <v>0.82</v>
      </c>
      <c r="Z138" s="44">
        <f t="shared" si="52"/>
        <v>0.82</v>
      </c>
      <c r="AA138" s="44">
        <f t="shared" si="52"/>
        <v>0.82</v>
      </c>
      <c r="AB138" s="44">
        <f t="shared" si="52"/>
        <v>0.82</v>
      </c>
      <c r="AC138" s="44">
        <f t="shared" si="52"/>
        <v>0.82</v>
      </c>
      <c r="AD138" s="44">
        <f t="shared" si="52"/>
        <v>0.82</v>
      </c>
      <c r="AE138" s="44">
        <f t="shared" si="52"/>
        <v>0.82</v>
      </c>
      <c r="AF138" s="44">
        <f t="shared" si="52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3">AF140</f>
        <v>2</v>
      </c>
      <c r="C140" s="55">
        <v>2</v>
      </c>
      <c r="D140" s="44">
        <f t="shared" ref="D140:S146" si="54">C140</f>
        <v>2</v>
      </c>
      <c r="E140" s="44">
        <f t="shared" si="54"/>
        <v>2</v>
      </c>
      <c r="F140" s="44">
        <f t="shared" si="54"/>
        <v>2</v>
      </c>
      <c r="G140" s="44">
        <f t="shared" si="54"/>
        <v>2</v>
      </c>
      <c r="H140" s="44">
        <f t="shared" si="54"/>
        <v>2</v>
      </c>
      <c r="I140" s="44">
        <f t="shared" si="54"/>
        <v>2</v>
      </c>
      <c r="J140" s="44">
        <f t="shared" si="54"/>
        <v>2</v>
      </c>
      <c r="K140" s="44">
        <f t="shared" si="54"/>
        <v>2</v>
      </c>
      <c r="L140" s="44">
        <f t="shared" si="54"/>
        <v>2</v>
      </c>
      <c r="M140" s="44">
        <f t="shared" si="54"/>
        <v>2</v>
      </c>
      <c r="N140" s="44">
        <f t="shared" si="54"/>
        <v>2</v>
      </c>
      <c r="O140" s="44">
        <f t="shared" si="54"/>
        <v>2</v>
      </c>
      <c r="P140" s="44">
        <f t="shared" si="54"/>
        <v>2</v>
      </c>
      <c r="Q140" s="44">
        <f t="shared" si="54"/>
        <v>2</v>
      </c>
      <c r="R140" s="44">
        <f t="shared" si="54"/>
        <v>2</v>
      </c>
      <c r="S140" s="44">
        <f t="shared" si="54"/>
        <v>2</v>
      </c>
      <c r="T140" s="44">
        <f t="shared" ref="T140:AF146" si="55">S140</f>
        <v>2</v>
      </c>
      <c r="U140" s="44">
        <f t="shared" si="55"/>
        <v>2</v>
      </c>
      <c r="V140" s="44">
        <f t="shared" si="55"/>
        <v>2</v>
      </c>
      <c r="W140" s="44">
        <f t="shared" si="55"/>
        <v>2</v>
      </c>
      <c r="X140" s="44">
        <f t="shared" si="55"/>
        <v>2</v>
      </c>
      <c r="Y140" s="44">
        <f t="shared" si="55"/>
        <v>2</v>
      </c>
      <c r="Z140" s="44">
        <f t="shared" si="55"/>
        <v>2</v>
      </c>
      <c r="AA140" s="44">
        <f t="shared" si="55"/>
        <v>2</v>
      </c>
      <c r="AB140" s="44">
        <f t="shared" si="55"/>
        <v>2</v>
      </c>
      <c r="AC140" s="44">
        <f t="shared" si="55"/>
        <v>2</v>
      </c>
      <c r="AD140" s="44">
        <f t="shared" si="55"/>
        <v>2</v>
      </c>
      <c r="AE140" s="44">
        <f t="shared" si="55"/>
        <v>2</v>
      </c>
      <c r="AF140" s="44">
        <f t="shared" si="5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3"/>
        <v>5.61</v>
      </c>
      <c r="C141" s="55">
        <v>5.61</v>
      </c>
      <c r="D141" s="44">
        <f t="shared" si="54"/>
        <v>5.61</v>
      </c>
      <c r="E141" s="44">
        <f t="shared" si="54"/>
        <v>5.61</v>
      </c>
      <c r="F141" s="44">
        <f t="shared" si="54"/>
        <v>5.61</v>
      </c>
      <c r="G141" s="44">
        <f t="shared" si="54"/>
        <v>5.61</v>
      </c>
      <c r="H141" s="44">
        <f t="shared" si="54"/>
        <v>5.61</v>
      </c>
      <c r="I141" s="44">
        <f t="shared" si="54"/>
        <v>5.61</v>
      </c>
      <c r="J141" s="44">
        <f t="shared" si="54"/>
        <v>5.61</v>
      </c>
      <c r="K141" s="44">
        <f t="shared" si="54"/>
        <v>5.61</v>
      </c>
      <c r="L141" s="44">
        <f t="shared" si="54"/>
        <v>5.61</v>
      </c>
      <c r="M141" s="44">
        <f t="shared" si="54"/>
        <v>5.61</v>
      </c>
      <c r="N141" s="44">
        <f t="shared" si="54"/>
        <v>5.61</v>
      </c>
      <c r="O141" s="44">
        <f t="shared" si="54"/>
        <v>5.61</v>
      </c>
      <c r="P141" s="44">
        <f t="shared" si="54"/>
        <v>5.61</v>
      </c>
      <c r="Q141" s="44">
        <f t="shared" si="54"/>
        <v>5.61</v>
      </c>
      <c r="R141" s="44">
        <f t="shared" si="54"/>
        <v>5.61</v>
      </c>
      <c r="S141" s="44">
        <f t="shared" si="54"/>
        <v>5.61</v>
      </c>
      <c r="T141" s="44">
        <f t="shared" si="55"/>
        <v>5.61</v>
      </c>
      <c r="U141" s="44">
        <f t="shared" si="55"/>
        <v>5.61</v>
      </c>
      <c r="V141" s="44">
        <f t="shared" si="55"/>
        <v>5.61</v>
      </c>
      <c r="W141" s="44">
        <f t="shared" si="55"/>
        <v>5.61</v>
      </c>
      <c r="X141" s="44">
        <f t="shared" si="55"/>
        <v>5.61</v>
      </c>
      <c r="Y141" s="44">
        <f t="shared" si="55"/>
        <v>5.61</v>
      </c>
      <c r="Z141" s="44">
        <f t="shared" si="55"/>
        <v>5.61</v>
      </c>
      <c r="AA141" s="44">
        <f t="shared" si="55"/>
        <v>5.61</v>
      </c>
      <c r="AB141" s="44">
        <f t="shared" si="55"/>
        <v>5.61</v>
      </c>
      <c r="AC141" s="44">
        <f t="shared" si="55"/>
        <v>5.61</v>
      </c>
      <c r="AD141" s="44">
        <f t="shared" si="55"/>
        <v>5.61</v>
      </c>
      <c r="AE141" s="44">
        <f t="shared" si="55"/>
        <v>5.61</v>
      </c>
      <c r="AF141" s="44">
        <f t="shared" si="55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3"/>
        <v>1.25</v>
      </c>
      <c r="C142" s="55">
        <v>1.25</v>
      </c>
      <c r="D142" s="44">
        <f t="shared" si="54"/>
        <v>1.25</v>
      </c>
      <c r="E142" s="44">
        <f t="shared" si="54"/>
        <v>1.25</v>
      </c>
      <c r="F142" s="44">
        <f t="shared" si="54"/>
        <v>1.25</v>
      </c>
      <c r="G142" s="44">
        <f t="shared" si="54"/>
        <v>1.25</v>
      </c>
      <c r="H142" s="44">
        <f t="shared" si="54"/>
        <v>1.25</v>
      </c>
      <c r="I142" s="44">
        <f t="shared" si="54"/>
        <v>1.25</v>
      </c>
      <c r="J142" s="44">
        <f t="shared" si="54"/>
        <v>1.25</v>
      </c>
      <c r="K142" s="44">
        <f t="shared" si="54"/>
        <v>1.25</v>
      </c>
      <c r="L142" s="44">
        <f t="shared" si="54"/>
        <v>1.25</v>
      </c>
      <c r="M142" s="44">
        <f t="shared" si="54"/>
        <v>1.25</v>
      </c>
      <c r="N142" s="44">
        <f t="shared" si="54"/>
        <v>1.25</v>
      </c>
      <c r="O142" s="44">
        <f t="shared" si="54"/>
        <v>1.25</v>
      </c>
      <c r="P142" s="44">
        <f t="shared" si="54"/>
        <v>1.25</v>
      </c>
      <c r="Q142" s="44">
        <f t="shared" si="54"/>
        <v>1.25</v>
      </c>
      <c r="R142" s="44">
        <f t="shared" si="54"/>
        <v>1.25</v>
      </c>
      <c r="S142" s="44">
        <f t="shared" si="54"/>
        <v>1.25</v>
      </c>
      <c r="T142" s="44">
        <f t="shared" si="55"/>
        <v>1.25</v>
      </c>
      <c r="U142" s="44">
        <f t="shared" si="55"/>
        <v>1.25</v>
      </c>
      <c r="V142" s="44">
        <f t="shared" si="55"/>
        <v>1.25</v>
      </c>
      <c r="W142" s="44">
        <f t="shared" si="55"/>
        <v>1.25</v>
      </c>
      <c r="X142" s="44">
        <f t="shared" si="55"/>
        <v>1.25</v>
      </c>
      <c r="Y142" s="44">
        <f t="shared" si="55"/>
        <v>1.25</v>
      </c>
      <c r="Z142" s="44">
        <f t="shared" si="55"/>
        <v>1.25</v>
      </c>
      <c r="AA142" s="44">
        <f t="shared" si="55"/>
        <v>1.25</v>
      </c>
      <c r="AB142" s="44">
        <f t="shared" si="55"/>
        <v>1.25</v>
      </c>
      <c r="AC142" s="44">
        <f t="shared" si="55"/>
        <v>1.25</v>
      </c>
      <c r="AD142" s="44">
        <f t="shared" si="55"/>
        <v>1.25</v>
      </c>
      <c r="AE142" s="44">
        <f t="shared" si="55"/>
        <v>1.25</v>
      </c>
      <c r="AF142" s="44">
        <f t="shared" si="55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3"/>
        <v>1.25</v>
      </c>
      <c r="C143" s="55">
        <v>1.25</v>
      </c>
      <c r="D143" s="44">
        <f t="shared" si="54"/>
        <v>1.25</v>
      </c>
      <c r="E143" s="44">
        <f t="shared" si="54"/>
        <v>1.25</v>
      </c>
      <c r="F143" s="44">
        <f t="shared" si="54"/>
        <v>1.25</v>
      </c>
      <c r="G143" s="44">
        <f t="shared" si="54"/>
        <v>1.25</v>
      </c>
      <c r="H143" s="44">
        <f t="shared" si="54"/>
        <v>1.25</v>
      </c>
      <c r="I143" s="44">
        <f t="shared" si="54"/>
        <v>1.25</v>
      </c>
      <c r="J143" s="44">
        <f t="shared" si="54"/>
        <v>1.25</v>
      </c>
      <c r="K143" s="44">
        <f t="shared" si="54"/>
        <v>1.25</v>
      </c>
      <c r="L143" s="44">
        <f t="shared" si="54"/>
        <v>1.25</v>
      </c>
      <c r="M143" s="44">
        <f t="shared" si="54"/>
        <v>1.25</v>
      </c>
      <c r="N143" s="44">
        <f t="shared" si="54"/>
        <v>1.25</v>
      </c>
      <c r="O143" s="44">
        <f t="shared" si="54"/>
        <v>1.25</v>
      </c>
      <c r="P143" s="44">
        <f t="shared" si="54"/>
        <v>1.25</v>
      </c>
      <c r="Q143" s="44">
        <f t="shared" si="54"/>
        <v>1.25</v>
      </c>
      <c r="R143" s="44">
        <f t="shared" si="54"/>
        <v>1.25</v>
      </c>
      <c r="S143" s="44">
        <f t="shared" si="54"/>
        <v>1.25</v>
      </c>
      <c r="T143" s="44">
        <f t="shared" si="55"/>
        <v>1.25</v>
      </c>
      <c r="U143" s="44">
        <f t="shared" si="55"/>
        <v>1.25</v>
      </c>
      <c r="V143" s="44">
        <f t="shared" si="55"/>
        <v>1.25</v>
      </c>
      <c r="W143" s="44">
        <f t="shared" si="55"/>
        <v>1.25</v>
      </c>
      <c r="X143" s="44">
        <f t="shared" si="55"/>
        <v>1.25</v>
      </c>
      <c r="Y143" s="44">
        <f t="shared" si="55"/>
        <v>1.25</v>
      </c>
      <c r="Z143" s="44">
        <f t="shared" si="55"/>
        <v>1.25</v>
      </c>
      <c r="AA143" s="44">
        <f t="shared" si="55"/>
        <v>1.25</v>
      </c>
      <c r="AB143" s="44">
        <f t="shared" si="55"/>
        <v>1.25</v>
      </c>
      <c r="AC143" s="44">
        <f t="shared" si="55"/>
        <v>1.25</v>
      </c>
      <c r="AD143" s="44">
        <f t="shared" si="55"/>
        <v>1.25</v>
      </c>
      <c r="AE143" s="44">
        <f t="shared" si="55"/>
        <v>1.25</v>
      </c>
      <c r="AF143" s="44">
        <f t="shared" si="55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3"/>
        <v>1.46</v>
      </c>
      <c r="C144" s="55">
        <v>1.46</v>
      </c>
      <c r="D144" s="44">
        <f t="shared" si="54"/>
        <v>1.46</v>
      </c>
      <c r="E144" s="44">
        <f t="shared" si="54"/>
        <v>1.46</v>
      </c>
      <c r="F144" s="44">
        <f t="shared" si="54"/>
        <v>1.46</v>
      </c>
      <c r="G144" s="44">
        <f t="shared" si="54"/>
        <v>1.46</v>
      </c>
      <c r="H144" s="44">
        <f t="shared" si="54"/>
        <v>1.46</v>
      </c>
      <c r="I144" s="44">
        <f t="shared" si="54"/>
        <v>1.46</v>
      </c>
      <c r="J144" s="44">
        <f t="shared" si="54"/>
        <v>1.46</v>
      </c>
      <c r="K144" s="44">
        <f t="shared" si="54"/>
        <v>1.46</v>
      </c>
      <c r="L144" s="44">
        <f t="shared" si="54"/>
        <v>1.46</v>
      </c>
      <c r="M144" s="44">
        <f t="shared" si="54"/>
        <v>1.46</v>
      </c>
      <c r="N144" s="44">
        <f t="shared" si="54"/>
        <v>1.46</v>
      </c>
      <c r="O144" s="44">
        <f t="shared" si="54"/>
        <v>1.46</v>
      </c>
      <c r="P144" s="44">
        <f t="shared" si="54"/>
        <v>1.46</v>
      </c>
      <c r="Q144" s="44">
        <f t="shared" si="54"/>
        <v>1.46</v>
      </c>
      <c r="R144" s="44">
        <f t="shared" si="54"/>
        <v>1.46</v>
      </c>
      <c r="S144" s="44">
        <f t="shared" si="54"/>
        <v>1.46</v>
      </c>
      <c r="T144" s="44">
        <f t="shared" si="55"/>
        <v>1.46</v>
      </c>
      <c r="U144" s="44">
        <f t="shared" si="55"/>
        <v>1.46</v>
      </c>
      <c r="V144" s="44">
        <f t="shared" si="55"/>
        <v>1.46</v>
      </c>
      <c r="W144" s="44">
        <f t="shared" si="55"/>
        <v>1.46</v>
      </c>
      <c r="X144" s="44">
        <f t="shared" si="55"/>
        <v>1.46</v>
      </c>
      <c r="Y144" s="44">
        <f t="shared" si="55"/>
        <v>1.46</v>
      </c>
      <c r="Z144" s="44">
        <f t="shared" si="55"/>
        <v>1.46</v>
      </c>
      <c r="AA144" s="44">
        <f t="shared" si="55"/>
        <v>1.46</v>
      </c>
      <c r="AB144" s="44">
        <f t="shared" si="55"/>
        <v>1.46</v>
      </c>
      <c r="AC144" s="44">
        <f t="shared" si="55"/>
        <v>1.46</v>
      </c>
      <c r="AD144" s="44">
        <f t="shared" si="55"/>
        <v>1.46</v>
      </c>
      <c r="AE144" s="44">
        <f t="shared" si="55"/>
        <v>1.46</v>
      </c>
      <c r="AF144" s="44">
        <f t="shared" si="55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3"/>
        <v>3</v>
      </c>
      <c r="C145" s="55">
        <v>3</v>
      </c>
      <c r="D145" s="44">
        <f t="shared" si="54"/>
        <v>3</v>
      </c>
      <c r="E145" s="44">
        <f t="shared" si="54"/>
        <v>3</v>
      </c>
      <c r="F145" s="44">
        <f t="shared" si="54"/>
        <v>3</v>
      </c>
      <c r="G145" s="44">
        <f t="shared" si="54"/>
        <v>3</v>
      </c>
      <c r="H145" s="44">
        <f t="shared" si="54"/>
        <v>3</v>
      </c>
      <c r="I145" s="44">
        <f t="shared" si="54"/>
        <v>3</v>
      </c>
      <c r="J145" s="44">
        <f t="shared" si="54"/>
        <v>3</v>
      </c>
      <c r="K145" s="44">
        <f t="shared" si="54"/>
        <v>3</v>
      </c>
      <c r="L145" s="44">
        <f t="shared" si="54"/>
        <v>3</v>
      </c>
      <c r="M145" s="44">
        <f t="shared" si="54"/>
        <v>3</v>
      </c>
      <c r="N145" s="44">
        <f t="shared" si="54"/>
        <v>3</v>
      </c>
      <c r="O145" s="44">
        <f t="shared" si="54"/>
        <v>3</v>
      </c>
      <c r="P145" s="44">
        <f t="shared" si="54"/>
        <v>3</v>
      </c>
      <c r="Q145" s="44">
        <f t="shared" si="54"/>
        <v>3</v>
      </c>
      <c r="R145" s="44">
        <f t="shared" si="54"/>
        <v>3</v>
      </c>
      <c r="S145" s="44">
        <f t="shared" si="54"/>
        <v>3</v>
      </c>
      <c r="T145" s="44">
        <f t="shared" si="55"/>
        <v>3</v>
      </c>
      <c r="U145" s="44">
        <f t="shared" si="55"/>
        <v>3</v>
      </c>
      <c r="V145" s="44">
        <f t="shared" si="55"/>
        <v>3</v>
      </c>
      <c r="W145" s="44">
        <f t="shared" si="55"/>
        <v>3</v>
      </c>
      <c r="X145" s="44">
        <f t="shared" si="55"/>
        <v>3</v>
      </c>
      <c r="Y145" s="44">
        <f t="shared" si="55"/>
        <v>3</v>
      </c>
      <c r="Z145" s="44">
        <f t="shared" si="55"/>
        <v>3</v>
      </c>
      <c r="AA145" s="44">
        <f t="shared" si="55"/>
        <v>3</v>
      </c>
      <c r="AB145" s="44">
        <f t="shared" si="55"/>
        <v>3</v>
      </c>
      <c r="AC145" s="44">
        <f t="shared" si="55"/>
        <v>3</v>
      </c>
      <c r="AD145" s="44">
        <f t="shared" si="55"/>
        <v>3</v>
      </c>
      <c r="AE145" s="44">
        <f t="shared" si="55"/>
        <v>3</v>
      </c>
      <c r="AF145" s="44">
        <f t="shared" si="55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3"/>
        <v>3.3</v>
      </c>
      <c r="C146" s="55">
        <v>3.3</v>
      </c>
      <c r="D146" s="44">
        <f t="shared" si="54"/>
        <v>3.3</v>
      </c>
      <c r="E146" s="44">
        <f t="shared" si="54"/>
        <v>3.3</v>
      </c>
      <c r="F146" s="44">
        <f t="shared" si="54"/>
        <v>3.3</v>
      </c>
      <c r="G146" s="44">
        <f t="shared" si="54"/>
        <v>3.3</v>
      </c>
      <c r="H146" s="44">
        <f t="shared" si="54"/>
        <v>3.3</v>
      </c>
      <c r="I146" s="44">
        <f t="shared" si="54"/>
        <v>3.3</v>
      </c>
      <c r="J146" s="44">
        <f t="shared" si="54"/>
        <v>3.3</v>
      </c>
      <c r="K146" s="44">
        <f t="shared" si="54"/>
        <v>3.3</v>
      </c>
      <c r="L146" s="44">
        <f t="shared" si="54"/>
        <v>3.3</v>
      </c>
      <c r="M146" s="44">
        <f t="shared" si="54"/>
        <v>3.3</v>
      </c>
      <c r="N146" s="44">
        <f t="shared" si="54"/>
        <v>3.3</v>
      </c>
      <c r="O146" s="44">
        <f t="shared" si="54"/>
        <v>3.3</v>
      </c>
      <c r="P146" s="44">
        <f t="shared" si="54"/>
        <v>3.3</v>
      </c>
      <c r="Q146" s="44">
        <f t="shared" si="54"/>
        <v>3.3</v>
      </c>
      <c r="R146" s="44">
        <f t="shared" si="54"/>
        <v>3.3</v>
      </c>
      <c r="S146" s="44">
        <f t="shared" si="54"/>
        <v>3.3</v>
      </c>
      <c r="T146" s="44">
        <f t="shared" si="55"/>
        <v>3.3</v>
      </c>
      <c r="U146" s="44">
        <f t="shared" si="55"/>
        <v>3.3</v>
      </c>
      <c r="V146" s="44">
        <f t="shared" si="55"/>
        <v>3.3</v>
      </c>
      <c r="W146" s="44">
        <f t="shared" si="55"/>
        <v>3.3</v>
      </c>
      <c r="X146" s="44">
        <f t="shared" si="55"/>
        <v>3.3</v>
      </c>
      <c r="Y146" s="44">
        <f t="shared" si="55"/>
        <v>3.3</v>
      </c>
      <c r="Z146" s="44">
        <f t="shared" si="55"/>
        <v>3.3</v>
      </c>
      <c r="AA146" s="44">
        <f t="shared" si="55"/>
        <v>3.3</v>
      </c>
      <c r="AB146" s="44">
        <f t="shared" si="55"/>
        <v>3.3</v>
      </c>
      <c r="AC146" s="44">
        <f t="shared" si="55"/>
        <v>3.3</v>
      </c>
      <c r="AD146" s="44">
        <f t="shared" si="55"/>
        <v>3.3</v>
      </c>
      <c r="AE146" s="44">
        <f t="shared" si="55"/>
        <v>3.3</v>
      </c>
      <c r="AF146" s="44">
        <f t="shared" si="55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6">C148</f>
        <v>1.76</v>
      </c>
      <c r="E148" s="44">
        <f t="shared" si="56"/>
        <v>1.76</v>
      </c>
      <c r="F148" s="44">
        <f t="shared" si="56"/>
        <v>1.76</v>
      </c>
      <c r="G148" s="44">
        <f t="shared" si="56"/>
        <v>1.76</v>
      </c>
      <c r="H148" s="44">
        <f t="shared" si="56"/>
        <v>1.76</v>
      </c>
      <c r="I148" s="44">
        <f t="shared" si="56"/>
        <v>1.76</v>
      </c>
      <c r="J148" s="44">
        <f t="shared" si="56"/>
        <v>1.76</v>
      </c>
      <c r="K148" s="44">
        <f t="shared" si="56"/>
        <v>1.76</v>
      </c>
      <c r="L148" s="44">
        <f t="shared" si="56"/>
        <v>1.76</v>
      </c>
      <c r="M148" s="44">
        <f t="shared" si="56"/>
        <v>1.76</v>
      </c>
      <c r="N148" s="44">
        <f t="shared" si="56"/>
        <v>1.76</v>
      </c>
      <c r="O148" s="44">
        <f t="shared" si="56"/>
        <v>1.76</v>
      </c>
      <c r="P148" s="44">
        <f t="shared" si="56"/>
        <v>1.76</v>
      </c>
      <c r="Q148" s="44">
        <f t="shared" si="56"/>
        <v>1.76</v>
      </c>
      <c r="R148" s="44">
        <f t="shared" si="56"/>
        <v>1.76</v>
      </c>
      <c r="S148" s="44">
        <f t="shared" si="56"/>
        <v>1.76</v>
      </c>
      <c r="T148" s="44">
        <f t="shared" ref="T148:AF149" si="57">S148</f>
        <v>1.76</v>
      </c>
      <c r="U148" s="44">
        <f t="shared" si="57"/>
        <v>1.76</v>
      </c>
      <c r="V148" s="44">
        <f t="shared" si="57"/>
        <v>1.76</v>
      </c>
      <c r="W148" s="44">
        <f t="shared" si="57"/>
        <v>1.76</v>
      </c>
      <c r="X148" s="44">
        <f t="shared" si="57"/>
        <v>1.76</v>
      </c>
      <c r="Y148" s="44">
        <f t="shared" si="57"/>
        <v>1.76</v>
      </c>
      <c r="Z148" s="44">
        <f t="shared" si="57"/>
        <v>1.76</v>
      </c>
      <c r="AA148" s="44">
        <f t="shared" si="57"/>
        <v>1.76</v>
      </c>
      <c r="AB148" s="44">
        <f t="shared" si="57"/>
        <v>1.76</v>
      </c>
      <c r="AC148" s="44">
        <f t="shared" si="57"/>
        <v>1.76</v>
      </c>
      <c r="AD148" s="44">
        <f t="shared" si="57"/>
        <v>1.76</v>
      </c>
      <c r="AE148" s="44">
        <f t="shared" si="57"/>
        <v>1.76</v>
      </c>
      <c r="AF148" s="44">
        <f t="shared" si="57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6"/>
        <v>0</v>
      </c>
      <c r="E149" s="44">
        <f t="shared" si="56"/>
        <v>0</v>
      </c>
      <c r="F149" s="44">
        <f t="shared" si="56"/>
        <v>0</v>
      </c>
      <c r="G149" s="44">
        <f t="shared" si="56"/>
        <v>0</v>
      </c>
      <c r="H149" s="44">
        <f t="shared" si="56"/>
        <v>0</v>
      </c>
      <c r="I149" s="44">
        <f t="shared" si="56"/>
        <v>0</v>
      </c>
      <c r="J149" s="44">
        <f t="shared" si="56"/>
        <v>0</v>
      </c>
      <c r="K149" s="44">
        <f t="shared" si="56"/>
        <v>0</v>
      </c>
      <c r="L149" s="44">
        <f t="shared" si="56"/>
        <v>0</v>
      </c>
      <c r="M149" s="44">
        <f t="shared" si="56"/>
        <v>0</v>
      </c>
      <c r="N149" s="44">
        <f t="shared" si="56"/>
        <v>0</v>
      </c>
      <c r="O149" s="44">
        <f t="shared" si="56"/>
        <v>0</v>
      </c>
      <c r="P149" s="44">
        <f t="shared" si="56"/>
        <v>0</v>
      </c>
      <c r="Q149" s="44">
        <f t="shared" si="56"/>
        <v>0</v>
      </c>
      <c r="R149" s="44">
        <f t="shared" si="56"/>
        <v>0</v>
      </c>
      <c r="S149" s="44">
        <f t="shared" si="56"/>
        <v>0</v>
      </c>
      <c r="T149" s="44">
        <f t="shared" si="57"/>
        <v>0</v>
      </c>
      <c r="U149" s="44">
        <f t="shared" si="57"/>
        <v>0</v>
      </c>
      <c r="V149" s="44">
        <f t="shared" si="57"/>
        <v>0</v>
      </c>
      <c r="W149" s="44">
        <f t="shared" si="57"/>
        <v>0</v>
      </c>
      <c r="X149" s="44">
        <f t="shared" si="57"/>
        <v>0</v>
      </c>
      <c r="Y149" s="44">
        <f t="shared" si="57"/>
        <v>0</v>
      </c>
      <c r="Z149" s="44">
        <f t="shared" si="57"/>
        <v>0</v>
      </c>
      <c r="AA149" s="44">
        <f t="shared" si="57"/>
        <v>0</v>
      </c>
      <c r="AB149" s="44">
        <f t="shared" si="57"/>
        <v>0</v>
      </c>
      <c r="AC149" s="44">
        <f t="shared" si="57"/>
        <v>0</v>
      </c>
      <c r="AD149" s="44">
        <f t="shared" si="57"/>
        <v>0</v>
      </c>
      <c r="AE149" s="44">
        <f t="shared" si="57"/>
        <v>0</v>
      </c>
      <c r="AF149" s="44">
        <f t="shared" si="57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8">C151</f>
        <v>0.1</v>
      </c>
      <c r="E151" s="44">
        <f t="shared" si="58"/>
        <v>0.1</v>
      </c>
      <c r="F151" s="44">
        <f t="shared" si="58"/>
        <v>0.1</v>
      </c>
      <c r="G151" s="44">
        <f t="shared" si="58"/>
        <v>0.1</v>
      </c>
      <c r="H151" s="44">
        <f t="shared" si="58"/>
        <v>0.1</v>
      </c>
      <c r="I151" s="44">
        <f t="shared" si="58"/>
        <v>0.1</v>
      </c>
      <c r="J151" s="44">
        <f t="shared" si="58"/>
        <v>0.1</v>
      </c>
      <c r="K151" s="44">
        <f t="shared" si="58"/>
        <v>0.1</v>
      </c>
      <c r="L151" s="44">
        <f t="shared" si="58"/>
        <v>0.1</v>
      </c>
      <c r="M151" s="44">
        <f t="shared" si="58"/>
        <v>0.1</v>
      </c>
      <c r="N151" s="44">
        <f t="shared" si="58"/>
        <v>0.1</v>
      </c>
      <c r="O151" s="44">
        <f t="shared" si="58"/>
        <v>0.1</v>
      </c>
      <c r="P151" s="44">
        <f t="shared" si="58"/>
        <v>0.1</v>
      </c>
      <c r="Q151" s="44">
        <f t="shared" si="58"/>
        <v>0.1</v>
      </c>
      <c r="R151" s="44">
        <f t="shared" si="58"/>
        <v>0.1</v>
      </c>
      <c r="S151" s="44">
        <f t="shared" si="58"/>
        <v>0.1</v>
      </c>
      <c r="T151" s="44">
        <f t="shared" ref="T151:AF154" si="59">S151</f>
        <v>0.1</v>
      </c>
      <c r="U151" s="44">
        <f t="shared" si="59"/>
        <v>0.1</v>
      </c>
      <c r="V151" s="44">
        <f t="shared" si="59"/>
        <v>0.1</v>
      </c>
      <c r="W151" s="44">
        <f t="shared" si="59"/>
        <v>0.1</v>
      </c>
      <c r="X151" s="44">
        <f t="shared" si="59"/>
        <v>0.1</v>
      </c>
      <c r="Y151" s="44">
        <f t="shared" si="59"/>
        <v>0.1</v>
      </c>
      <c r="Z151" s="44">
        <f t="shared" si="59"/>
        <v>0.1</v>
      </c>
      <c r="AA151" s="44">
        <f t="shared" si="59"/>
        <v>0.1</v>
      </c>
      <c r="AB151" s="44">
        <f t="shared" si="59"/>
        <v>0.1</v>
      </c>
      <c r="AC151" s="44">
        <f t="shared" si="59"/>
        <v>0.1</v>
      </c>
      <c r="AD151" s="44">
        <f t="shared" si="59"/>
        <v>0.1</v>
      </c>
      <c r="AE151" s="44">
        <f t="shared" si="59"/>
        <v>0.1</v>
      </c>
      <c r="AF151" s="44">
        <f t="shared" si="59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8"/>
        <v>2.0499999999999998</v>
      </c>
      <c r="E152" s="44">
        <f t="shared" si="58"/>
        <v>2.0499999999999998</v>
      </c>
      <c r="F152" s="44">
        <f t="shared" si="58"/>
        <v>2.0499999999999998</v>
      </c>
      <c r="G152" s="44">
        <f t="shared" si="58"/>
        <v>2.0499999999999998</v>
      </c>
      <c r="H152" s="44">
        <f t="shared" si="58"/>
        <v>2.0499999999999998</v>
      </c>
      <c r="I152" s="44">
        <f t="shared" si="58"/>
        <v>2.0499999999999998</v>
      </c>
      <c r="J152" s="44">
        <f t="shared" si="58"/>
        <v>2.0499999999999998</v>
      </c>
      <c r="K152" s="44">
        <f t="shared" si="58"/>
        <v>2.0499999999999998</v>
      </c>
      <c r="L152" s="44">
        <f t="shared" si="58"/>
        <v>2.0499999999999998</v>
      </c>
      <c r="M152" s="44">
        <f t="shared" si="58"/>
        <v>2.0499999999999998</v>
      </c>
      <c r="N152" s="44">
        <f t="shared" si="58"/>
        <v>2.0499999999999998</v>
      </c>
      <c r="O152" s="44">
        <f t="shared" si="58"/>
        <v>2.0499999999999998</v>
      </c>
      <c r="P152" s="44">
        <f t="shared" si="58"/>
        <v>2.0499999999999998</v>
      </c>
      <c r="Q152" s="44">
        <f t="shared" si="58"/>
        <v>2.0499999999999998</v>
      </c>
      <c r="R152" s="44">
        <f t="shared" si="58"/>
        <v>2.0499999999999998</v>
      </c>
      <c r="S152" s="44">
        <f t="shared" si="58"/>
        <v>2.0499999999999998</v>
      </c>
      <c r="T152" s="44">
        <f t="shared" si="59"/>
        <v>2.0499999999999998</v>
      </c>
      <c r="U152" s="44">
        <f t="shared" si="59"/>
        <v>2.0499999999999998</v>
      </c>
      <c r="V152" s="44">
        <f t="shared" si="59"/>
        <v>2.0499999999999998</v>
      </c>
      <c r="W152" s="44">
        <f t="shared" si="59"/>
        <v>2.0499999999999998</v>
      </c>
      <c r="X152" s="44">
        <f t="shared" si="59"/>
        <v>2.0499999999999998</v>
      </c>
      <c r="Y152" s="44">
        <f t="shared" si="59"/>
        <v>2.0499999999999998</v>
      </c>
      <c r="Z152" s="44">
        <f t="shared" si="59"/>
        <v>2.0499999999999998</v>
      </c>
      <c r="AA152" s="44">
        <f t="shared" si="59"/>
        <v>2.0499999999999998</v>
      </c>
      <c r="AB152" s="44">
        <f t="shared" si="59"/>
        <v>2.0499999999999998</v>
      </c>
      <c r="AC152" s="44">
        <f t="shared" si="59"/>
        <v>2.0499999999999998</v>
      </c>
      <c r="AD152" s="44">
        <f t="shared" si="59"/>
        <v>2.0499999999999998</v>
      </c>
      <c r="AE152" s="44">
        <f t="shared" si="59"/>
        <v>2.0499999999999998</v>
      </c>
      <c r="AF152" s="44">
        <f t="shared" si="59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8"/>
        <v>2.7</v>
      </c>
      <c r="E153" s="44">
        <f t="shared" si="58"/>
        <v>2.7</v>
      </c>
      <c r="F153" s="44">
        <f t="shared" si="58"/>
        <v>2.7</v>
      </c>
      <c r="G153" s="44">
        <f t="shared" si="58"/>
        <v>2.7</v>
      </c>
      <c r="H153" s="44">
        <f t="shared" si="58"/>
        <v>2.7</v>
      </c>
      <c r="I153" s="44">
        <f t="shared" si="58"/>
        <v>2.7</v>
      </c>
      <c r="J153" s="44">
        <f t="shared" si="58"/>
        <v>2.7</v>
      </c>
      <c r="K153" s="44">
        <f t="shared" si="58"/>
        <v>2.7</v>
      </c>
      <c r="L153" s="44">
        <f t="shared" si="58"/>
        <v>2.7</v>
      </c>
      <c r="M153" s="44">
        <f t="shared" si="58"/>
        <v>2.7</v>
      </c>
      <c r="N153" s="44">
        <f t="shared" si="58"/>
        <v>2.7</v>
      </c>
      <c r="O153" s="44">
        <f t="shared" si="58"/>
        <v>2.7</v>
      </c>
      <c r="P153" s="44">
        <f t="shared" si="58"/>
        <v>2.7</v>
      </c>
      <c r="Q153" s="44">
        <f t="shared" si="58"/>
        <v>2.7</v>
      </c>
      <c r="R153" s="44">
        <f t="shared" si="58"/>
        <v>2.7</v>
      </c>
      <c r="S153" s="44">
        <f t="shared" si="58"/>
        <v>2.7</v>
      </c>
      <c r="T153" s="44">
        <f t="shared" si="59"/>
        <v>2.7</v>
      </c>
      <c r="U153" s="44">
        <f t="shared" si="59"/>
        <v>2.7</v>
      </c>
      <c r="V153" s="44">
        <f t="shared" si="59"/>
        <v>2.7</v>
      </c>
      <c r="W153" s="44">
        <f t="shared" si="59"/>
        <v>2.7</v>
      </c>
      <c r="X153" s="44">
        <f t="shared" si="59"/>
        <v>2.7</v>
      </c>
      <c r="Y153" s="44">
        <f t="shared" si="59"/>
        <v>2.7</v>
      </c>
      <c r="Z153" s="44">
        <f t="shared" si="59"/>
        <v>2.7</v>
      </c>
      <c r="AA153" s="44">
        <f t="shared" si="59"/>
        <v>2.7</v>
      </c>
      <c r="AB153" s="44">
        <f t="shared" si="59"/>
        <v>2.7</v>
      </c>
      <c r="AC153" s="44">
        <f t="shared" si="59"/>
        <v>2.7</v>
      </c>
      <c r="AD153" s="44">
        <f t="shared" si="59"/>
        <v>2.7</v>
      </c>
      <c r="AE153" s="44">
        <f t="shared" si="59"/>
        <v>2.7</v>
      </c>
      <c r="AF153" s="44">
        <f t="shared" si="59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8"/>
        <v>2.15</v>
      </c>
      <c r="E154" s="44">
        <f t="shared" si="58"/>
        <v>2.15</v>
      </c>
      <c r="F154" s="44">
        <f t="shared" si="58"/>
        <v>2.15</v>
      </c>
      <c r="G154" s="44">
        <f t="shared" si="58"/>
        <v>2.15</v>
      </c>
      <c r="H154" s="44">
        <f t="shared" si="58"/>
        <v>2.15</v>
      </c>
      <c r="I154" s="44">
        <f t="shared" si="58"/>
        <v>2.15</v>
      </c>
      <c r="J154" s="44">
        <f t="shared" si="58"/>
        <v>2.15</v>
      </c>
      <c r="K154" s="44">
        <f t="shared" si="58"/>
        <v>2.15</v>
      </c>
      <c r="L154" s="44">
        <f t="shared" si="58"/>
        <v>2.15</v>
      </c>
      <c r="M154" s="44">
        <f t="shared" si="58"/>
        <v>2.15</v>
      </c>
      <c r="N154" s="44">
        <f t="shared" si="58"/>
        <v>2.15</v>
      </c>
      <c r="O154" s="44">
        <f t="shared" si="58"/>
        <v>2.15</v>
      </c>
      <c r="P154" s="44">
        <f t="shared" si="58"/>
        <v>2.15</v>
      </c>
      <c r="Q154" s="44">
        <f t="shared" si="58"/>
        <v>2.15</v>
      </c>
      <c r="R154" s="44">
        <f t="shared" si="58"/>
        <v>2.15</v>
      </c>
      <c r="S154" s="44">
        <f t="shared" si="58"/>
        <v>2.15</v>
      </c>
      <c r="T154" s="44">
        <f t="shared" si="59"/>
        <v>2.15</v>
      </c>
      <c r="U154" s="44">
        <f t="shared" si="59"/>
        <v>2.15</v>
      </c>
      <c r="V154" s="44">
        <f t="shared" si="59"/>
        <v>2.15</v>
      </c>
      <c r="W154" s="44">
        <f t="shared" si="59"/>
        <v>2.15</v>
      </c>
      <c r="X154" s="44">
        <f t="shared" si="59"/>
        <v>2.15</v>
      </c>
      <c r="Y154" s="44">
        <f t="shared" si="59"/>
        <v>2.15</v>
      </c>
      <c r="Z154" s="44">
        <f t="shared" si="59"/>
        <v>2.15</v>
      </c>
      <c r="AA154" s="44">
        <f t="shared" si="59"/>
        <v>2.15</v>
      </c>
      <c r="AB154" s="44">
        <f t="shared" si="59"/>
        <v>2.15</v>
      </c>
      <c r="AC154" s="44">
        <f t="shared" si="59"/>
        <v>2.15</v>
      </c>
      <c r="AD154" s="44">
        <f t="shared" si="59"/>
        <v>2.15</v>
      </c>
      <c r="AE154" s="44">
        <f t="shared" si="59"/>
        <v>2.15</v>
      </c>
      <c r="AF154" s="44">
        <f t="shared" si="59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0">AF156</f>
        <v>0.9</v>
      </c>
      <c r="C156" s="55">
        <v>0.9</v>
      </c>
      <c r="D156" s="44">
        <f t="shared" ref="D156:S168" si="61">C156</f>
        <v>0.9</v>
      </c>
      <c r="E156" s="44">
        <f t="shared" si="61"/>
        <v>0.9</v>
      </c>
      <c r="F156" s="44">
        <f t="shared" si="61"/>
        <v>0.9</v>
      </c>
      <c r="G156" s="44">
        <f t="shared" si="61"/>
        <v>0.9</v>
      </c>
      <c r="H156" s="44">
        <f t="shared" si="61"/>
        <v>0.9</v>
      </c>
      <c r="I156" s="44">
        <f t="shared" si="61"/>
        <v>0.9</v>
      </c>
      <c r="J156" s="44">
        <f t="shared" si="61"/>
        <v>0.9</v>
      </c>
      <c r="K156" s="44">
        <f t="shared" si="61"/>
        <v>0.9</v>
      </c>
      <c r="L156" s="44">
        <f t="shared" si="61"/>
        <v>0.9</v>
      </c>
      <c r="M156" s="44">
        <f t="shared" si="61"/>
        <v>0.9</v>
      </c>
      <c r="N156" s="44">
        <f t="shared" si="61"/>
        <v>0.9</v>
      </c>
      <c r="O156" s="44">
        <f t="shared" si="61"/>
        <v>0.9</v>
      </c>
      <c r="P156" s="44">
        <f t="shared" si="61"/>
        <v>0.9</v>
      </c>
      <c r="Q156" s="44">
        <f t="shared" si="61"/>
        <v>0.9</v>
      </c>
      <c r="R156" s="44">
        <f t="shared" si="61"/>
        <v>0.9</v>
      </c>
      <c r="S156" s="44">
        <f t="shared" si="61"/>
        <v>0.9</v>
      </c>
      <c r="T156" s="44">
        <f t="shared" ref="S156:AF168" si="62">S156</f>
        <v>0.9</v>
      </c>
      <c r="U156" s="44">
        <f t="shared" si="62"/>
        <v>0.9</v>
      </c>
      <c r="V156" s="44">
        <f t="shared" si="62"/>
        <v>0.9</v>
      </c>
      <c r="W156" s="44">
        <f t="shared" si="62"/>
        <v>0.9</v>
      </c>
      <c r="X156" s="44">
        <f t="shared" si="62"/>
        <v>0.9</v>
      </c>
      <c r="Y156" s="44">
        <f t="shared" si="62"/>
        <v>0.9</v>
      </c>
      <c r="Z156" s="44">
        <f t="shared" si="62"/>
        <v>0.9</v>
      </c>
      <c r="AA156" s="44">
        <f t="shared" si="62"/>
        <v>0.9</v>
      </c>
      <c r="AB156" s="44">
        <f t="shared" si="62"/>
        <v>0.9</v>
      </c>
      <c r="AC156" s="44">
        <f t="shared" si="62"/>
        <v>0.9</v>
      </c>
      <c r="AD156" s="44">
        <f t="shared" si="62"/>
        <v>0.9</v>
      </c>
      <c r="AE156" s="44">
        <f t="shared" si="62"/>
        <v>0.9</v>
      </c>
      <c r="AF156" s="44">
        <f t="shared" si="62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0"/>
        <v>1.08</v>
      </c>
      <c r="C157" s="55">
        <v>1.08</v>
      </c>
      <c r="D157" s="44">
        <f t="shared" si="61"/>
        <v>1.08</v>
      </c>
      <c r="E157" s="44">
        <f t="shared" si="61"/>
        <v>1.08</v>
      </c>
      <c r="F157" s="44">
        <f t="shared" si="61"/>
        <v>1.08</v>
      </c>
      <c r="G157" s="44">
        <f t="shared" si="61"/>
        <v>1.08</v>
      </c>
      <c r="H157" s="44">
        <f t="shared" si="61"/>
        <v>1.08</v>
      </c>
      <c r="I157" s="44">
        <f t="shared" si="61"/>
        <v>1.08</v>
      </c>
      <c r="J157" s="44">
        <f t="shared" si="61"/>
        <v>1.08</v>
      </c>
      <c r="K157" s="44">
        <f t="shared" si="61"/>
        <v>1.08</v>
      </c>
      <c r="L157" s="44">
        <f t="shared" si="61"/>
        <v>1.08</v>
      </c>
      <c r="M157" s="44">
        <f t="shared" si="61"/>
        <v>1.08</v>
      </c>
      <c r="N157" s="44">
        <f t="shared" si="61"/>
        <v>1.08</v>
      </c>
      <c r="O157" s="44">
        <f t="shared" si="61"/>
        <v>1.08</v>
      </c>
      <c r="P157" s="44">
        <f t="shared" si="61"/>
        <v>1.08</v>
      </c>
      <c r="Q157" s="44">
        <f t="shared" si="61"/>
        <v>1.08</v>
      </c>
      <c r="R157" s="44">
        <f t="shared" si="61"/>
        <v>1.08</v>
      </c>
      <c r="S157" s="44">
        <f t="shared" si="61"/>
        <v>1.08</v>
      </c>
      <c r="T157" s="44">
        <f t="shared" si="62"/>
        <v>1.08</v>
      </c>
      <c r="U157" s="44">
        <f t="shared" si="62"/>
        <v>1.08</v>
      </c>
      <c r="V157" s="44">
        <f t="shared" si="62"/>
        <v>1.08</v>
      </c>
      <c r="W157" s="44">
        <f t="shared" si="62"/>
        <v>1.08</v>
      </c>
      <c r="X157" s="44">
        <f t="shared" si="62"/>
        <v>1.08</v>
      </c>
      <c r="Y157" s="44">
        <f t="shared" si="62"/>
        <v>1.08</v>
      </c>
      <c r="Z157" s="44">
        <f t="shared" si="62"/>
        <v>1.08</v>
      </c>
      <c r="AA157" s="44">
        <f t="shared" si="62"/>
        <v>1.08</v>
      </c>
      <c r="AB157" s="44">
        <f t="shared" si="62"/>
        <v>1.08</v>
      </c>
      <c r="AC157" s="44">
        <f t="shared" si="62"/>
        <v>1.08</v>
      </c>
      <c r="AD157" s="44">
        <f t="shared" si="62"/>
        <v>1.08</v>
      </c>
      <c r="AE157" s="44">
        <f t="shared" si="62"/>
        <v>1.08</v>
      </c>
      <c r="AF157" s="44">
        <f t="shared" si="62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0"/>
        <v>2.37</v>
      </c>
      <c r="C158" s="55">
        <v>2.37</v>
      </c>
      <c r="D158" s="44">
        <f t="shared" si="61"/>
        <v>2.37</v>
      </c>
      <c r="E158" s="44">
        <f t="shared" si="61"/>
        <v>2.37</v>
      </c>
      <c r="F158" s="44">
        <f t="shared" si="61"/>
        <v>2.37</v>
      </c>
      <c r="G158" s="44">
        <f t="shared" si="61"/>
        <v>2.37</v>
      </c>
      <c r="H158" s="44">
        <f t="shared" si="61"/>
        <v>2.37</v>
      </c>
      <c r="I158" s="44">
        <f t="shared" si="61"/>
        <v>2.37</v>
      </c>
      <c r="J158" s="44">
        <f t="shared" si="61"/>
        <v>2.37</v>
      </c>
      <c r="K158" s="44">
        <f t="shared" si="61"/>
        <v>2.37</v>
      </c>
      <c r="L158" s="44">
        <f t="shared" si="61"/>
        <v>2.37</v>
      </c>
      <c r="M158" s="44">
        <f t="shared" si="61"/>
        <v>2.37</v>
      </c>
      <c r="N158" s="44">
        <f t="shared" si="61"/>
        <v>2.37</v>
      </c>
      <c r="O158" s="44">
        <f t="shared" si="61"/>
        <v>2.37</v>
      </c>
      <c r="P158" s="44">
        <f t="shared" si="61"/>
        <v>2.37</v>
      </c>
      <c r="Q158" s="44">
        <f t="shared" si="61"/>
        <v>2.37</v>
      </c>
      <c r="R158" s="44">
        <f t="shared" si="61"/>
        <v>2.37</v>
      </c>
      <c r="S158" s="44">
        <f t="shared" si="61"/>
        <v>2.37</v>
      </c>
      <c r="T158" s="44">
        <f t="shared" si="62"/>
        <v>2.37</v>
      </c>
      <c r="U158" s="44">
        <f t="shared" si="62"/>
        <v>2.37</v>
      </c>
      <c r="V158" s="44">
        <f t="shared" si="62"/>
        <v>2.37</v>
      </c>
      <c r="W158" s="44">
        <f t="shared" si="62"/>
        <v>2.37</v>
      </c>
      <c r="X158" s="44">
        <f t="shared" si="62"/>
        <v>2.37</v>
      </c>
      <c r="Y158" s="44">
        <f t="shared" si="62"/>
        <v>2.37</v>
      </c>
      <c r="Z158" s="44">
        <f t="shared" si="62"/>
        <v>2.37</v>
      </c>
      <c r="AA158" s="44">
        <f t="shared" si="62"/>
        <v>2.37</v>
      </c>
      <c r="AB158" s="44">
        <f t="shared" si="62"/>
        <v>2.37</v>
      </c>
      <c r="AC158" s="44">
        <f t="shared" si="62"/>
        <v>2.37</v>
      </c>
      <c r="AD158" s="44">
        <f t="shared" si="62"/>
        <v>2.37</v>
      </c>
      <c r="AE158" s="44">
        <f t="shared" si="62"/>
        <v>2.37</v>
      </c>
      <c r="AF158" s="44">
        <f t="shared" si="62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0"/>
        <v>1.81</v>
      </c>
      <c r="C159" s="55">
        <v>1.81</v>
      </c>
      <c r="D159" s="44">
        <f t="shared" si="61"/>
        <v>1.81</v>
      </c>
      <c r="E159" s="44">
        <f t="shared" si="61"/>
        <v>1.81</v>
      </c>
      <c r="F159" s="44">
        <f t="shared" si="61"/>
        <v>1.81</v>
      </c>
      <c r="G159" s="44">
        <f t="shared" si="61"/>
        <v>1.81</v>
      </c>
      <c r="H159" s="44">
        <f t="shared" si="61"/>
        <v>1.81</v>
      </c>
      <c r="I159" s="44">
        <f t="shared" si="61"/>
        <v>1.81</v>
      </c>
      <c r="J159" s="44">
        <f t="shared" si="61"/>
        <v>1.81</v>
      </c>
      <c r="K159" s="44">
        <f t="shared" si="61"/>
        <v>1.81</v>
      </c>
      <c r="L159" s="44">
        <f t="shared" si="61"/>
        <v>1.81</v>
      </c>
      <c r="M159" s="44">
        <f t="shared" si="61"/>
        <v>1.81</v>
      </c>
      <c r="N159" s="44">
        <f t="shared" si="61"/>
        <v>1.81</v>
      </c>
      <c r="O159" s="44">
        <f t="shared" si="61"/>
        <v>1.81</v>
      </c>
      <c r="P159" s="44">
        <f t="shared" si="61"/>
        <v>1.81</v>
      </c>
      <c r="Q159" s="44">
        <f t="shared" si="61"/>
        <v>1.81</v>
      </c>
      <c r="R159" s="44">
        <f t="shared" si="61"/>
        <v>1.81</v>
      </c>
      <c r="S159" s="44">
        <f t="shared" si="61"/>
        <v>1.81</v>
      </c>
      <c r="T159" s="44">
        <f t="shared" si="62"/>
        <v>1.81</v>
      </c>
      <c r="U159" s="44">
        <f t="shared" si="62"/>
        <v>1.81</v>
      </c>
      <c r="V159" s="44">
        <f t="shared" si="62"/>
        <v>1.81</v>
      </c>
      <c r="W159" s="44">
        <f t="shared" si="62"/>
        <v>1.81</v>
      </c>
      <c r="X159" s="44">
        <f t="shared" si="62"/>
        <v>1.81</v>
      </c>
      <c r="Y159" s="44">
        <f t="shared" si="62"/>
        <v>1.81</v>
      </c>
      <c r="Z159" s="44">
        <f t="shared" si="62"/>
        <v>1.81</v>
      </c>
      <c r="AA159" s="44">
        <f t="shared" si="62"/>
        <v>1.81</v>
      </c>
      <c r="AB159" s="44">
        <f t="shared" si="62"/>
        <v>1.81</v>
      </c>
      <c r="AC159" s="44">
        <f t="shared" si="62"/>
        <v>1.81</v>
      </c>
      <c r="AD159" s="44">
        <f t="shared" si="62"/>
        <v>1.81</v>
      </c>
      <c r="AE159" s="44">
        <f t="shared" si="62"/>
        <v>1.81</v>
      </c>
      <c r="AF159" s="44">
        <f t="shared" si="6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0"/>
        <v>1.0900000000000001</v>
      </c>
      <c r="C160" s="55">
        <v>1.0900000000000001</v>
      </c>
      <c r="D160" s="44">
        <f t="shared" si="61"/>
        <v>1.0900000000000001</v>
      </c>
      <c r="E160" s="44">
        <f t="shared" si="61"/>
        <v>1.0900000000000001</v>
      </c>
      <c r="F160" s="44">
        <f t="shared" si="61"/>
        <v>1.0900000000000001</v>
      </c>
      <c r="G160" s="44">
        <f t="shared" si="61"/>
        <v>1.0900000000000001</v>
      </c>
      <c r="H160" s="44">
        <f t="shared" si="61"/>
        <v>1.0900000000000001</v>
      </c>
      <c r="I160" s="44">
        <f t="shared" si="61"/>
        <v>1.0900000000000001</v>
      </c>
      <c r="J160" s="44">
        <f t="shared" si="61"/>
        <v>1.0900000000000001</v>
      </c>
      <c r="K160" s="44">
        <f t="shared" si="61"/>
        <v>1.0900000000000001</v>
      </c>
      <c r="L160" s="44">
        <f t="shared" si="61"/>
        <v>1.0900000000000001</v>
      </c>
      <c r="M160" s="44">
        <f t="shared" si="61"/>
        <v>1.0900000000000001</v>
      </c>
      <c r="N160" s="44">
        <f t="shared" si="61"/>
        <v>1.0900000000000001</v>
      </c>
      <c r="O160" s="44">
        <f t="shared" si="61"/>
        <v>1.0900000000000001</v>
      </c>
      <c r="P160" s="44">
        <f t="shared" si="61"/>
        <v>1.0900000000000001</v>
      </c>
      <c r="Q160" s="44">
        <f t="shared" si="61"/>
        <v>1.0900000000000001</v>
      </c>
      <c r="R160" s="44">
        <f t="shared" si="61"/>
        <v>1.0900000000000001</v>
      </c>
      <c r="S160" s="44">
        <f t="shared" si="61"/>
        <v>1.0900000000000001</v>
      </c>
      <c r="T160" s="44">
        <f t="shared" si="62"/>
        <v>1.0900000000000001</v>
      </c>
      <c r="U160" s="44">
        <f t="shared" si="62"/>
        <v>1.0900000000000001</v>
      </c>
      <c r="V160" s="44">
        <f t="shared" si="62"/>
        <v>1.0900000000000001</v>
      </c>
      <c r="W160" s="44">
        <f t="shared" si="62"/>
        <v>1.0900000000000001</v>
      </c>
      <c r="X160" s="44">
        <f t="shared" si="62"/>
        <v>1.0900000000000001</v>
      </c>
      <c r="Y160" s="44">
        <f t="shared" si="62"/>
        <v>1.0900000000000001</v>
      </c>
      <c r="Z160" s="44">
        <f t="shared" si="62"/>
        <v>1.0900000000000001</v>
      </c>
      <c r="AA160" s="44">
        <f t="shared" si="62"/>
        <v>1.0900000000000001</v>
      </c>
      <c r="AB160" s="44">
        <f t="shared" si="62"/>
        <v>1.0900000000000001</v>
      </c>
      <c r="AC160" s="44">
        <f t="shared" si="62"/>
        <v>1.0900000000000001</v>
      </c>
      <c r="AD160" s="44">
        <f t="shared" si="62"/>
        <v>1.0900000000000001</v>
      </c>
      <c r="AE160" s="44">
        <f t="shared" si="62"/>
        <v>1.0900000000000001</v>
      </c>
      <c r="AF160" s="44">
        <f t="shared" si="62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0"/>
        <v>1.58</v>
      </c>
      <c r="C161" s="55">
        <v>1.58</v>
      </c>
      <c r="D161" s="44">
        <f t="shared" si="61"/>
        <v>1.58</v>
      </c>
      <c r="E161" s="44">
        <f t="shared" si="61"/>
        <v>1.58</v>
      </c>
      <c r="F161" s="44">
        <f t="shared" si="61"/>
        <v>1.58</v>
      </c>
      <c r="G161" s="44">
        <f t="shared" si="61"/>
        <v>1.58</v>
      </c>
      <c r="H161" s="44">
        <f t="shared" si="61"/>
        <v>1.58</v>
      </c>
      <c r="I161" s="44">
        <f t="shared" si="61"/>
        <v>1.58</v>
      </c>
      <c r="J161" s="44">
        <f t="shared" si="61"/>
        <v>1.58</v>
      </c>
      <c r="K161" s="44">
        <f t="shared" si="61"/>
        <v>1.58</v>
      </c>
      <c r="L161" s="44">
        <f t="shared" si="61"/>
        <v>1.58</v>
      </c>
      <c r="M161" s="44">
        <f t="shared" si="61"/>
        <v>1.58</v>
      </c>
      <c r="N161" s="44">
        <f t="shared" si="61"/>
        <v>1.58</v>
      </c>
      <c r="O161" s="44">
        <f t="shared" si="61"/>
        <v>1.58</v>
      </c>
      <c r="P161" s="44">
        <f t="shared" si="61"/>
        <v>1.58</v>
      </c>
      <c r="Q161" s="44">
        <f t="shared" si="61"/>
        <v>1.58</v>
      </c>
      <c r="R161" s="44">
        <f t="shared" si="61"/>
        <v>1.58</v>
      </c>
      <c r="S161" s="44">
        <f t="shared" si="61"/>
        <v>1.58</v>
      </c>
      <c r="T161" s="44">
        <f t="shared" si="62"/>
        <v>1.58</v>
      </c>
      <c r="U161" s="44">
        <f t="shared" si="62"/>
        <v>1.58</v>
      </c>
      <c r="V161" s="44">
        <f t="shared" si="62"/>
        <v>1.58</v>
      </c>
      <c r="W161" s="44">
        <f t="shared" si="62"/>
        <v>1.58</v>
      </c>
      <c r="X161" s="44">
        <f t="shared" si="62"/>
        <v>1.58</v>
      </c>
      <c r="Y161" s="44">
        <f t="shared" si="62"/>
        <v>1.58</v>
      </c>
      <c r="Z161" s="44">
        <f t="shared" si="62"/>
        <v>1.58</v>
      </c>
      <c r="AA161" s="44">
        <f t="shared" si="62"/>
        <v>1.58</v>
      </c>
      <c r="AB161" s="44">
        <f t="shared" si="62"/>
        <v>1.58</v>
      </c>
      <c r="AC161" s="44">
        <f t="shared" si="62"/>
        <v>1.58</v>
      </c>
      <c r="AD161" s="44">
        <f t="shared" si="62"/>
        <v>1.58</v>
      </c>
      <c r="AE161" s="44">
        <f t="shared" si="62"/>
        <v>1.58</v>
      </c>
      <c r="AF161" s="44">
        <f t="shared" si="62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0"/>
        <v>2</v>
      </c>
      <c r="C162" s="55">
        <v>2</v>
      </c>
      <c r="D162" s="44">
        <f t="shared" si="61"/>
        <v>2</v>
      </c>
      <c r="E162" s="44">
        <f t="shared" si="61"/>
        <v>2</v>
      </c>
      <c r="F162" s="44">
        <f t="shared" si="61"/>
        <v>2</v>
      </c>
      <c r="G162" s="44">
        <f t="shared" si="61"/>
        <v>2</v>
      </c>
      <c r="H162" s="44">
        <f t="shared" si="61"/>
        <v>2</v>
      </c>
      <c r="I162" s="44">
        <f t="shared" si="61"/>
        <v>2</v>
      </c>
      <c r="J162" s="44">
        <f t="shared" si="61"/>
        <v>2</v>
      </c>
      <c r="K162" s="44">
        <f t="shared" si="61"/>
        <v>2</v>
      </c>
      <c r="L162" s="44">
        <f t="shared" si="61"/>
        <v>2</v>
      </c>
      <c r="M162" s="44">
        <f t="shared" si="61"/>
        <v>2</v>
      </c>
      <c r="N162" s="44">
        <f t="shared" si="61"/>
        <v>2</v>
      </c>
      <c r="O162" s="44">
        <f t="shared" si="61"/>
        <v>2</v>
      </c>
      <c r="P162" s="44">
        <f t="shared" si="61"/>
        <v>2</v>
      </c>
      <c r="Q162" s="44">
        <f t="shared" si="61"/>
        <v>2</v>
      </c>
      <c r="R162" s="44">
        <f t="shared" si="61"/>
        <v>2</v>
      </c>
      <c r="S162" s="44">
        <f t="shared" si="61"/>
        <v>2</v>
      </c>
      <c r="T162" s="44">
        <f t="shared" si="62"/>
        <v>2</v>
      </c>
      <c r="U162" s="44">
        <f t="shared" si="62"/>
        <v>2</v>
      </c>
      <c r="V162" s="44">
        <f t="shared" si="62"/>
        <v>2</v>
      </c>
      <c r="W162" s="44">
        <f t="shared" si="62"/>
        <v>2</v>
      </c>
      <c r="X162" s="44">
        <f t="shared" si="62"/>
        <v>2</v>
      </c>
      <c r="Y162" s="44">
        <f t="shared" si="62"/>
        <v>2</v>
      </c>
      <c r="Z162" s="44">
        <f t="shared" si="62"/>
        <v>2</v>
      </c>
      <c r="AA162" s="44">
        <f t="shared" si="62"/>
        <v>2</v>
      </c>
      <c r="AB162" s="44">
        <f t="shared" si="62"/>
        <v>2</v>
      </c>
      <c r="AC162" s="44">
        <f t="shared" si="62"/>
        <v>2</v>
      </c>
      <c r="AD162" s="44">
        <f t="shared" si="62"/>
        <v>2</v>
      </c>
      <c r="AE162" s="44">
        <f t="shared" si="62"/>
        <v>2</v>
      </c>
      <c r="AF162" s="44">
        <f t="shared" si="62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0"/>
        <v>0.47</v>
      </c>
      <c r="C163" s="55">
        <v>0.47</v>
      </c>
      <c r="D163" s="44">
        <f t="shared" si="61"/>
        <v>0.47</v>
      </c>
      <c r="E163" s="44">
        <f t="shared" si="61"/>
        <v>0.47</v>
      </c>
      <c r="F163" s="44">
        <f t="shared" si="61"/>
        <v>0.47</v>
      </c>
      <c r="G163" s="44">
        <f t="shared" si="61"/>
        <v>0.47</v>
      </c>
      <c r="H163" s="44">
        <f t="shared" si="61"/>
        <v>0.47</v>
      </c>
      <c r="I163" s="44">
        <f t="shared" si="61"/>
        <v>0.47</v>
      </c>
      <c r="J163" s="44">
        <f t="shared" si="61"/>
        <v>0.47</v>
      </c>
      <c r="K163" s="44">
        <f t="shared" si="61"/>
        <v>0.47</v>
      </c>
      <c r="L163" s="44">
        <f t="shared" si="61"/>
        <v>0.47</v>
      </c>
      <c r="M163" s="44">
        <f t="shared" si="61"/>
        <v>0.47</v>
      </c>
      <c r="N163" s="44">
        <f t="shared" si="61"/>
        <v>0.47</v>
      </c>
      <c r="O163" s="44">
        <f t="shared" si="61"/>
        <v>0.47</v>
      </c>
      <c r="P163" s="44">
        <f t="shared" si="61"/>
        <v>0.47</v>
      </c>
      <c r="Q163" s="44">
        <f t="shared" si="61"/>
        <v>0.47</v>
      </c>
      <c r="R163" s="44">
        <f t="shared" si="61"/>
        <v>0.47</v>
      </c>
      <c r="S163" s="44">
        <f t="shared" si="61"/>
        <v>0.47</v>
      </c>
      <c r="T163" s="44">
        <f t="shared" si="62"/>
        <v>0.47</v>
      </c>
      <c r="U163" s="44">
        <f t="shared" si="62"/>
        <v>0.47</v>
      </c>
      <c r="V163" s="44">
        <f t="shared" si="62"/>
        <v>0.47</v>
      </c>
      <c r="W163" s="44">
        <f t="shared" si="62"/>
        <v>0.47</v>
      </c>
      <c r="X163" s="44">
        <f t="shared" si="62"/>
        <v>0.47</v>
      </c>
      <c r="Y163" s="44">
        <f t="shared" si="62"/>
        <v>0.47</v>
      </c>
      <c r="Z163" s="44">
        <f t="shared" si="62"/>
        <v>0.47</v>
      </c>
      <c r="AA163" s="44">
        <f t="shared" si="62"/>
        <v>0.47</v>
      </c>
      <c r="AB163" s="44">
        <f t="shared" si="62"/>
        <v>0.47</v>
      </c>
      <c r="AC163" s="44">
        <f t="shared" si="62"/>
        <v>0.47</v>
      </c>
      <c r="AD163" s="44">
        <f t="shared" si="62"/>
        <v>0.47</v>
      </c>
      <c r="AE163" s="44">
        <f t="shared" si="62"/>
        <v>0.47</v>
      </c>
      <c r="AF163" s="44">
        <f t="shared" si="62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0"/>
        <v>0</v>
      </c>
      <c r="C164" s="55">
        <v>0</v>
      </c>
      <c r="D164" s="44">
        <f t="shared" si="61"/>
        <v>0</v>
      </c>
      <c r="E164" s="44">
        <f t="shared" si="61"/>
        <v>0</v>
      </c>
      <c r="F164" s="44">
        <f t="shared" si="61"/>
        <v>0</v>
      </c>
      <c r="G164" s="44">
        <f t="shared" si="61"/>
        <v>0</v>
      </c>
      <c r="H164" s="44">
        <f t="shared" si="61"/>
        <v>0</v>
      </c>
      <c r="I164" s="44">
        <f t="shared" si="61"/>
        <v>0</v>
      </c>
      <c r="J164" s="44">
        <f t="shared" si="61"/>
        <v>0</v>
      </c>
      <c r="K164" s="44">
        <f t="shared" si="61"/>
        <v>0</v>
      </c>
      <c r="L164" s="44">
        <f t="shared" si="61"/>
        <v>0</v>
      </c>
      <c r="M164" s="44">
        <f t="shared" si="61"/>
        <v>0</v>
      </c>
      <c r="N164" s="44">
        <f t="shared" si="61"/>
        <v>0</v>
      </c>
      <c r="O164" s="44">
        <f t="shared" si="61"/>
        <v>0</v>
      </c>
      <c r="P164" s="44">
        <f t="shared" si="61"/>
        <v>0</v>
      </c>
      <c r="Q164" s="44">
        <f t="shared" si="61"/>
        <v>0</v>
      </c>
      <c r="R164" s="44">
        <f t="shared" si="61"/>
        <v>0</v>
      </c>
      <c r="S164" s="44">
        <f t="shared" si="61"/>
        <v>0</v>
      </c>
      <c r="T164" s="44">
        <f t="shared" si="62"/>
        <v>0</v>
      </c>
      <c r="U164" s="44">
        <f t="shared" si="62"/>
        <v>0</v>
      </c>
      <c r="V164" s="44">
        <f t="shared" si="62"/>
        <v>0</v>
      </c>
      <c r="W164" s="44">
        <f t="shared" si="62"/>
        <v>0</v>
      </c>
      <c r="X164" s="44">
        <f t="shared" si="62"/>
        <v>0</v>
      </c>
      <c r="Y164" s="44">
        <f t="shared" si="62"/>
        <v>0</v>
      </c>
      <c r="Z164" s="44">
        <f t="shared" si="62"/>
        <v>0</v>
      </c>
      <c r="AA164" s="44">
        <f t="shared" si="62"/>
        <v>0</v>
      </c>
      <c r="AB164" s="44">
        <f t="shared" si="62"/>
        <v>0</v>
      </c>
      <c r="AC164" s="44">
        <f t="shared" si="62"/>
        <v>0</v>
      </c>
      <c r="AD164" s="44">
        <f t="shared" si="62"/>
        <v>0</v>
      </c>
      <c r="AE164" s="44">
        <f t="shared" si="62"/>
        <v>0</v>
      </c>
      <c r="AF164" s="44">
        <f t="shared" si="62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0"/>
        <v>0</v>
      </c>
      <c r="C165" s="55">
        <v>0</v>
      </c>
      <c r="D165" s="44">
        <f t="shared" si="61"/>
        <v>0</v>
      </c>
      <c r="E165" s="44">
        <f t="shared" si="61"/>
        <v>0</v>
      </c>
      <c r="F165" s="44">
        <f t="shared" si="61"/>
        <v>0</v>
      </c>
      <c r="G165" s="44">
        <f t="shared" si="61"/>
        <v>0</v>
      </c>
      <c r="H165" s="44">
        <f t="shared" si="61"/>
        <v>0</v>
      </c>
      <c r="I165" s="44">
        <f t="shared" si="61"/>
        <v>0</v>
      </c>
      <c r="J165" s="44">
        <f t="shared" si="61"/>
        <v>0</v>
      </c>
      <c r="K165" s="44">
        <f t="shared" si="61"/>
        <v>0</v>
      </c>
      <c r="L165" s="44">
        <f t="shared" si="61"/>
        <v>0</v>
      </c>
      <c r="M165" s="44">
        <f t="shared" si="61"/>
        <v>0</v>
      </c>
      <c r="N165" s="44">
        <f t="shared" si="61"/>
        <v>0</v>
      </c>
      <c r="O165" s="44">
        <f t="shared" si="61"/>
        <v>0</v>
      </c>
      <c r="P165" s="44">
        <f t="shared" si="61"/>
        <v>0</v>
      </c>
      <c r="Q165" s="44">
        <f t="shared" si="61"/>
        <v>0</v>
      </c>
      <c r="R165" s="44">
        <f t="shared" si="61"/>
        <v>0</v>
      </c>
      <c r="S165" s="44">
        <f t="shared" si="62"/>
        <v>0</v>
      </c>
      <c r="T165" s="44">
        <f t="shared" si="62"/>
        <v>0</v>
      </c>
      <c r="U165" s="44">
        <f t="shared" si="62"/>
        <v>0</v>
      </c>
      <c r="V165" s="44">
        <f t="shared" si="62"/>
        <v>0</v>
      </c>
      <c r="W165" s="44">
        <f t="shared" si="62"/>
        <v>0</v>
      </c>
      <c r="X165" s="44">
        <f t="shared" si="62"/>
        <v>0</v>
      </c>
      <c r="Y165" s="44">
        <f t="shared" si="62"/>
        <v>0</v>
      </c>
      <c r="Z165" s="44">
        <f t="shared" si="62"/>
        <v>0</v>
      </c>
      <c r="AA165" s="44">
        <f t="shared" si="62"/>
        <v>0</v>
      </c>
      <c r="AB165" s="44">
        <f t="shared" si="62"/>
        <v>0</v>
      </c>
      <c r="AC165" s="44">
        <f t="shared" si="62"/>
        <v>0</v>
      </c>
      <c r="AD165" s="44">
        <f t="shared" si="62"/>
        <v>0</v>
      </c>
      <c r="AE165" s="44">
        <f t="shared" si="62"/>
        <v>0</v>
      </c>
      <c r="AF165" s="44">
        <f t="shared" si="62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0"/>
        <v>0.8</v>
      </c>
      <c r="C166" s="55">
        <v>0.8</v>
      </c>
      <c r="D166" s="44">
        <f t="shared" si="61"/>
        <v>0.8</v>
      </c>
      <c r="E166" s="44">
        <f t="shared" si="61"/>
        <v>0.8</v>
      </c>
      <c r="F166" s="44">
        <f t="shared" si="61"/>
        <v>0.8</v>
      </c>
      <c r="G166" s="44">
        <f t="shared" si="61"/>
        <v>0.8</v>
      </c>
      <c r="H166" s="44">
        <f t="shared" si="61"/>
        <v>0.8</v>
      </c>
      <c r="I166" s="44">
        <f t="shared" si="61"/>
        <v>0.8</v>
      </c>
      <c r="J166" s="44">
        <f t="shared" si="61"/>
        <v>0.8</v>
      </c>
      <c r="K166" s="44">
        <f t="shared" si="61"/>
        <v>0.8</v>
      </c>
      <c r="L166" s="44">
        <f t="shared" si="61"/>
        <v>0.8</v>
      </c>
      <c r="M166" s="44">
        <f t="shared" si="61"/>
        <v>0.8</v>
      </c>
      <c r="N166" s="44">
        <f t="shared" si="61"/>
        <v>0.8</v>
      </c>
      <c r="O166" s="44">
        <f t="shared" si="61"/>
        <v>0.8</v>
      </c>
      <c r="P166" s="44">
        <f t="shared" si="61"/>
        <v>0.8</v>
      </c>
      <c r="Q166" s="44">
        <f t="shared" si="61"/>
        <v>0.8</v>
      </c>
      <c r="R166" s="44">
        <f t="shared" si="61"/>
        <v>0.8</v>
      </c>
      <c r="S166" s="44">
        <f t="shared" si="62"/>
        <v>0.8</v>
      </c>
      <c r="T166" s="44">
        <f t="shared" si="62"/>
        <v>0.8</v>
      </c>
      <c r="U166" s="44">
        <f t="shared" si="62"/>
        <v>0.8</v>
      </c>
      <c r="V166" s="44">
        <f t="shared" si="62"/>
        <v>0.8</v>
      </c>
      <c r="W166" s="44">
        <f t="shared" si="62"/>
        <v>0.8</v>
      </c>
      <c r="X166" s="44">
        <f t="shared" si="62"/>
        <v>0.8</v>
      </c>
      <c r="Y166" s="44">
        <f t="shared" si="62"/>
        <v>0.8</v>
      </c>
      <c r="Z166" s="44">
        <f t="shared" si="62"/>
        <v>0.8</v>
      </c>
      <c r="AA166" s="44">
        <f t="shared" si="62"/>
        <v>0.8</v>
      </c>
      <c r="AB166" s="44">
        <f t="shared" si="62"/>
        <v>0.8</v>
      </c>
      <c r="AC166" s="44">
        <f t="shared" si="62"/>
        <v>0.8</v>
      </c>
      <c r="AD166" s="44">
        <f t="shared" si="62"/>
        <v>0.8</v>
      </c>
      <c r="AE166" s="44">
        <f t="shared" si="62"/>
        <v>0.8</v>
      </c>
      <c r="AF166" s="44">
        <f t="shared" si="62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0"/>
        <v>1.5</v>
      </c>
      <c r="C167" s="55">
        <v>1.5</v>
      </c>
      <c r="D167" s="44">
        <f t="shared" si="61"/>
        <v>1.5</v>
      </c>
      <c r="E167" s="44">
        <f t="shared" si="61"/>
        <v>1.5</v>
      </c>
      <c r="F167" s="44">
        <f t="shared" si="61"/>
        <v>1.5</v>
      </c>
      <c r="G167" s="44">
        <f t="shared" si="61"/>
        <v>1.5</v>
      </c>
      <c r="H167" s="44">
        <f t="shared" si="61"/>
        <v>1.5</v>
      </c>
      <c r="I167" s="44">
        <f t="shared" si="61"/>
        <v>1.5</v>
      </c>
      <c r="J167" s="44">
        <f t="shared" si="61"/>
        <v>1.5</v>
      </c>
      <c r="K167" s="44">
        <f t="shared" si="61"/>
        <v>1.5</v>
      </c>
      <c r="L167" s="44">
        <f t="shared" si="61"/>
        <v>1.5</v>
      </c>
      <c r="M167" s="44">
        <f t="shared" si="61"/>
        <v>1.5</v>
      </c>
      <c r="N167" s="44">
        <f t="shared" si="61"/>
        <v>1.5</v>
      </c>
      <c r="O167" s="44">
        <f t="shared" si="61"/>
        <v>1.5</v>
      </c>
      <c r="P167" s="44">
        <f t="shared" si="61"/>
        <v>1.5</v>
      </c>
      <c r="Q167" s="44">
        <f t="shared" si="61"/>
        <v>1.5</v>
      </c>
      <c r="R167" s="44">
        <f t="shared" si="61"/>
        <v>1.5</v>
      </c>
      <c r="S167" s="44">
        <f t="shared" si="62"/>
        <v>1.5</v>
      </c>
      <c r="T167" s="44">
        <f t="shared" si="62"/>
        <v>1.5</v>
      </c>
      <c r="U167" s="44">
        <f t="shared" si="62"/>
        <v>1.5</v>
      </c>
      <c r="V167" s="44">
        <f t="shared" si="62"/>
        <v>1.5</v>
      </c>
      <c r="W167" s="44">
        <f t="shared" si="62"/>
        <v>1.5</v>
      </c>
      <c r="X167" s="44">
        <f t="shared" si="62"/>
        <v>1.5</v>
      </c>
      <c r="Y167" s="44">
        <f t="shared" si="62"/>
        <v>1.5</v>
      </c>
      <c r="Z167" s="44">
        <f t="shared" si="62"/>
        <v>1.5</v>
      </c>
      <c r="AA167" s="44">
        <f t="shared" si="62"/>
        <v>1.5</v>
      </c>
      <c r="AB167" s="44">
        <f t="shared" si="62"/>
        <v>1.5</v>
      </c>
      <c r="AC167" s="44">
        <f t="shared" si="62"/>
        <v>1.5</v>
      </c>
      <c r="AD167" s="44">
        <f t="shared" si="62"/>
        <v>1.5</v>
      </c>
      <c r="AE167" s="44">
        <f t="shared" si="62"/>
        <v>1.5</v>
      </c>
      <c r="AF167" s="44">
        <f t="shared" si="62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0"/>
        <v>1</v>
      </c>
      <c r="C168" s="55">
        <v>1</v>
      </c>
      <c r="D168" s="44">
        <f t="shared" si="61"/>
        <v>1</v>
      </c>
      <c r="E168" s="44">
        <f t="shared" si="61"/>
        <v>1</v>
      </c>
      <c r="F168" s="44">
        <f t="shared" si="61"/>
        <v>1</v>
      </c>
      <c r="G168" s="44">
        <f t="shared" si="61"/>
        <v>1</v>
      </c>
      <c r="H168" s="44">
        <f t="shared" si="61"/>
        <v>1</v>
      </c>
      <c r="I168" s="44">
        <f t="shared" si="61"/>
        <v>1</v>
      </c>
      <c r="J168" s="44">
        <f t="shared" si="61"/>
        <v>1</v>
      </c>
      <c r="K168" s="44">
        <f t="shared" si="61"/>
        <v>1</v>
      </c>
      <c r="L168" s="44">
        <f t="shared" si="61"/>
        <v>1</v>
      </c>
      <c r="M168" s="44">
        <f t="shared" si="61"/>
        <v>1</v>
      </c>
      <c r="N168" s="44">
        <f t="shared" si="61"/>
        <v>1</v>
      </c>
      <c r="O168" s="44">
        <f t="shared" si="61"/>
        <v>1</v>
      </c>
      <c r="P168" s="44">
        <f t="shared" si="61"/>
        <v>1</v>
      </c>
      <c r="Q168" s="44">
        <f t="shared" si="61"/>
        <v>1</v>
      </c>
      <c r="R168" s="44">
        <f t="shared" si="61"/>
        <v>1</v>
      </c>
      <c r="S168" s="44">
        <f t="shared" si="62"/>
        <v>1</v>
      </c>
      <c r="T168" s="44">
        <f t="shared" si="62"/>
        <v>1</v>
      </c>
      <c r="U168" s="44">
        <f t="shared" si="62"/>
        <v>1</v>
      </c>
      <c r="V168" s="44">
        <f t="shared" si="62"/>
        <v>1</v>
      </c>
      <c r="W168" s="44">
        <f t="shared" si="62"/>
        <v>1</v>
      </c>
      <c r="X168" s="44">
        <f t="shared" si="62"/>
        <v>1</v>
      </c>
      <c r="Y168" s="44">
        <f t="shared" si="62"/>
        <v>1</v>
      </c>
      <c r="Z168" s="44">
        <f t="shared" si="62"/>
        <v>1</v>
      </c>
      <c r="AA168" s="44">
        <f t="shared" si="62"/>
        <v>1</v>
      </c>
      <c r="AB168" s="44">
        <f t="shared" si="62"/>
        <v>1</v>
      </c>
      <c r="AC168" s="44">
        <f t="shared" si="62"/>
        <v>1</v>
      </c>
      <c r="AD168" s="44">
        <f t="shared" si="62"/>
        <v>1</v>
      </c>
      <c r="AE168" s="44">
        <f t="shared" si="62"/>
        <v>1</v>
      </c>
      <c r="AF168" s="44">
        <f t="shared" si="62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3">AF170</f>
        <v>1</v>
      </c>
      <c r="C170" s="55">
        <v>1</v>
      </c>
      <c r="D170" s="44">
        <f t="shared" ref="D170:S177" si="64">C170</f>
        <v>1</v>
      </c>
      <c r="E170" s="44">
        <f t="shared" si="64"/>
        <v>1</v>
      </c>
      <c r="F170" s="44">
        <f t="shared" si="64"/>
        <v>1</v>
      </c>
      <c r="G170" s="44">
        <f t="shared" si="64"/>
        <v>1</v>
      </c>
      <c r="H170" s="44">
        <f t="shared" si="64"/>
        <v>1</v>
      </c>
      <c r="I170" s="44">
        <f t="shared" si="64"/>
        <v>1</v>
      </c>
      <c r="J170" s="44">
        <f t="shared" si="64"/>
        <v>1</v>
      </c>
      <c r="K170" s="44">
        <f t="shared" si="64"/>
        <v>1</v>
      </c>
      <c r="L170" s="44">
        <f t="shared" si="64"/>
        <v>1</v>
      </c>
      <c r="M170" s="44">
        <f t="shared" si="64"/>
        <v>1</v>
      </c>
      <c r="N170" s="44">
        <f t="shared" si="64"/>
        <v>1</v>
      </c>
      <c r="O170" s="44">
        <f t="shared" si="64"/>
        <v>1</v>
      </c>
      <c r="P170" s="44">
        <f t="shared" si="64"/>
        <v>1</v>
      </c>
      <c r="Q170" s="44">
        <f t="shared" si="64"/>
        <v>1</v>
      </c>
      <c r="R170" s="44">
        <f t="shared" si="64"/>
        <v>1</v>
      </c>
      <c r="S170" s="44">
        <f t="shared" si="64"/>
        <v>1</v>
      </c>
      <c r="T170" s="44">
        <f t="shared" ref="S170:AF177" si="65">S170</f>
        <v>1</v>
      </c>
      <c r="U170" s="44">
        <f t="shared" si="65"/>
        <v>1</v>
      </c>
      <c r="V170" s="44">
        <f t="shared" si="65"/>
        <v>1</v>
      </c>
      <c r="W170" s="44">
        <f t="shared" si="65"/>
        <v>1</v>
      </c>
      <c r="X170" s="44">
        <f t="shared" si="65"/>
        <v>1</v>
      </c>
      <c r="Y170" s="44">
        <f t="shared" si="65"/>
        <v>1</v>
      </c>
      <c r="Z170" s="44">
        <f t="shared" si="65"/>
        <v>1</v>
      </c>
      <c r="AA170" s="44">
        <f t="shared" si="65"/>
        <v>1</v>
      </c>
      <c r="AB170" s="44">
        <f t="shared" si="65"/>
        <v>1</v>
      </c>
      <c r="AC170" s="44">
        <f t="shared" si="65"/>
        <v>1</v>
      </c>
      <c r="AD170" s="44">
        <f t="shared" si="65"/>
        <v>1</v>
      </c>
      <c r="AE170" s="44">
        <f t="shared" si="65"/>
        <v>1</v>
      </c>
      <c r="AF170" s="44">
        <f t="shared" si="65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3"/>
        <v>0.42</v>
      </c>
      <c r="C171" s="55">
        <v>0.42</v>
      </c>
      <c r="D171" s="44">
        <f t="shared" si="64"/>
        <v>0.42</v>
      </c>
      <c r="E171" s="44">
        <f t="shared" si="64"/>
        <v>0.42</v>
      </c>
      <c r="F171" s="44">
        <f t="shared" si="64"/>
        <v>0.42</v>
      </c>
      <c r="G171" s="44">
        <f t="shared" si="64"/>
        <v>0.42</v>
      </c>
      <c r="H171" s="44">
        <f t="shared" si="64"/>
        <v>0.42</v>
      </c>
      <c r="I171" s="44">
        <f t="shared" si="64"/>
        <v>0.42</v>
      </c>
      <c r="J171" s="44">
        <f t="shared" si="64"/>
        <v>0.42</v>
      </c>
      <c r="K171" s="44">
        <f t="shared" si="64"/>
        <v>0.42</v>
      </c>
      <c r="L171" s="44">
        <f t="shared" si="64"/>
        <v>0.42</v>
      </c>
      <c r="M171" s="44">
        <f t="shared" si="64"/>
        <v>0.42</v>
      </c>
      <c r="N171" s="44">
        <f t="shared" si="64"/>
        <v>0.42</v>
      </c>
      <c r="O171" s="44">
        <f t="shared" si="64"/>
        <v>0.42</v>
      </c>
      <c r="P171" s="44">
        <f t="shared" si="64"/>
        <v>0.42</v>
      </c>
      <c r="Q171" s="44">
        <f t="shared" si="64"/>
        <v>0.42</v>
      </c>
      <c r="R171" s="44">
        <f t="shared" si="64"/>
        <v>0.42</v>
      </c>
      <c r="S171" s="44">
        <f t="shared" si="65"/>
        <v>0.42</v>
      </c>
      <c r="T171" s="44">
        <f t="shared" si="65"/>
        <v>0.42</v>
      </c>
      <c r="U171" s="44">
        <f t="shared" si="65"/>
        <v>0.42</v>
      </c>
      <c r="V171" s="44">
        <f t="shared" si="65"/>
        <v>0.42</v>
      </c>
      <c r="W171" s="44">
        <f t="shared" si="65"/>
        <v>0.42</v>
      </c>
      <c r="X171" s="44">
        <f t="shared" si="65"/>
        <v>0.42</v>
      </c>
      <c r="Y171" s="44">
        <f t="shared" si="65"/>
        <v>0.42</v>
      </c>
      <c r="Z171" s="44">
        <f t="shared" si="65"/>
        <v>0.42</v>
      </c>
      <c r="AA171" s="44">
        <f t="shared" si="65"/>
        <v>0.42</v>
      </c>
      <c r="AB171" s="44">
        <f t="shared" si="65"/>
        <v>0.42</v>
      </c>
      <c r="AC171" s="44">
        <f t="shared" si="65"/>
        <v>0.42</v>
      </c>
      <c r="AD171" s="44">
        <f t="shared" si="65"/>
        <v>0.42</v>
      </c>
      <c r="AE171" s="44">
        <f t="shared" si="65"/>
        <v>0.42</v>
      </c>
      <c r="AF171" s="44">
        <f t="shared" si="65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3"/>
        <v>0.46</v>
      </c>
      <c r="C172" s="55">
        <v>0.46</v>
      </c>
      <c r="D172" s="44">
        <f t="shared" si="64"/>
        <v>0.46</v>
      </c>
      <c r="E172" s="44">
        <f t="shared" si="64"/>
        <v>0.46</v>
      </c>
      <c r="F172" s="44">
        <f t="shared" si="64"/>
        <v>0.46</v>
      </c>
      <c r="G172" s="44">
        <f t="shared" si="64"/>
        <v>0.46</v>
      </c>
      <c r="H172" s="44">
        <f t="shared" si="64"/>
        <v>0.46</v>
      </c>
      <c r="I172" s="44">
        <f t="shared" si="64"/>
        <v>0.46</v>
      </c>
      <c r="J172" s="44">
        <f t="shared" si="64"/>
        <v>0.46</v>
      </c>
      <c r="K172" s="44">
        <f t="shared" si="64"/>
        <v>0.46</v>
      </c>
      <c r="L172" s="44">
        <f t="shared" si="64"/>
        <v>0.46</v>
      </c>
      <c r="M172" s="44">
        <f t="shared" si="64"/>
        <v>0.46</v>
      </c>
      <c r="N172" s="44">
        <f t="shared" si="64"/>
        <v>0.46</v>
      </c>
      <c r="O172" s="44">
        <f t="shared" si="64"/>
        <v>0.46</v>
      </c>
      <c r="P172" s="44">
        <f t="shared" si="64"/>
        <v>0.46</v>
      </c>
      <c r="Q172" s="44">
        <f t="shared" si="64"/>
        <v>0.46</v>
      </c>
      <c r="R172" s="44">
        <f t="shared" si="64"/>
        <v>0.46</v>
      </c>
      <c r="S172" s="44">
        <f t="shared" si="65"/>
        <v>0.46</v>
      </c>
      <c r="T172" s="44">
        <f t="shared" si="65"/>
        <v>0.46</v>
      </c>
      <c r="U172" s="44">
        <f t="shared" si="65"/>
        <v>0.46</v>
      </c>
      <c r="V172" s="44">
        <f t="shared" si="65"/>
        <v>0.46</v>
      </c>
      <c r="W172" s="44">
        <f t="shared" si="65"/>
        <v>0.46</v>
      </c>
      <c r="X172" s="44">
        <f t="shared" si="65"/>
        <v>0.46</v>
      </c>
      <c r="Y172" s="44">
        <f t="shared" si="65"/>
        <v>0.46</v>
      </c>
      <c r="Z172" s="44">
        <f t="shared" si="65"/>
        <v>0.46</v>
      </c>
      <c r="AA172" s="44">
        <f t="shared" si="65"/>
        <v>0.46</v>
      </c>
      <c r="AB172" s="44">
        <f t="shared" si="65"/>
        <v>0.46</v>
      </c>
      <c r="AC172" s="44">
        <f t="shared" si="65"/>
        <v>0.46</v>
      </c>
      <c r="AD172" s="44">
        <f t="shared" si="65"/>
        <v>0.46</v>
      </c>
      <c r="AE172" s="44">
        <f t="shared" si="65"/>
        <v>0.46</v>
      </c>
      <c r="AF172" s="44">
        <f t="shared" si="6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3"/>
        <v>0.85</v>
      </c>
      <c r="C173" s="55">
        <v>0.85</v>
      </c>
      <c r="D173" s="44">
        <f t="shared" si="64"/>
        <v>0.85</v>
      </c>
      <c r="E173" s="44">
        <f t="shared" si="64"/>
        <v>0.85</v>
      </c>
      <c r="F173" s="44">
        <f t="shared" si="64"/>
        <v>0.85</v>
      </c>
      <c r="G173" s="44">
        <f t="shared" si="64"/>
        <v>0.85</v>
      </c>
      <c r="H173" s="44">
        <f t="shared" si="64"/>
        <v>0.85</v>
      </c>
      <c r="I173" s="44">
        <f t="shared" si="64"/>
        <v>0.85</v>
      </c>
      <c r="J173" s="44">
        <f t="shared" si="64"/>
        <v>0.85</v>
      </c>
      <c r="K173" s="44">
        <f t="shared" si="64"/>
        <v>0.85</v>
      </c>
      <c r="L173" s="44">
        <f t="shared" si="64"/>
        <v>0.85</v>
      </c>
      <c r="M173" s="44">
        <f t="shared" si="64"/>
        <v>0.85</v>
      </c>
      <c r="N173" s="44">
        <f t="shared" si="64"/>
        <v>0.85</v>
      </c>
      <c r="O173" s="44">
        <f t="shared" si="64"/>
        <v>0.85</v>
      </c>
      <c r="P173" s="44">
        <f t="shared" si="64"/>
        <v>0.85</v>
      </c>
      <c r="Q173" s="44">
        <f t="shared" si="64"/>
        <v>0.85</v>
      </c>
      <c r="R173" s="44">
        <f t="shared" si="64"/>
        <v>0.85</v>
      </c>
      <c r="S173" s="44">
        <f t="shared" si="65"/>
        <v>0.85</v>
      </c>
      <c r="T173" s="44">
        <f t="shared" si="65"/>
        <v>0.85</v>
      </c>
      <c r="U173" s="44">
        <f t="shared" si="65"/>
        <v>0.85</v>
      </c>
      <c r="V173" s="44">
        <f t="shared" si="65"/>
        <v>0.85</v>
      </c>
      <c r="W173" s="44">
        <f t="shared" si="65"/>
        <v>0.85</v>
      </c>
      <c r="X173" s="44">
        <f t="shared" si="65"/>
        <v>0.85</v>
      </c>
      <c r="Y173" s="44">
        <f t="shared" si="65"/>
        <v>0.85</v>
      </c>
      <c r="Z173" s="44">
        <f t="shared" si="65"/>
        <v>0.85</v>
      </c>
      <c r="AA173" s="44">
        <f t="shared" si="65"/>
        <v>0.85</v>
      </c>
      <c r="AB173" s="44">
        <f t="shared" si="65"/>
        <v>0.85</v>
      </c>
      <c r="AC173" s="44">
        <f t="shared" si="65"/>
        <v>0.85</v>
      </c>
      <c r="AD173" s="44">
        <f t="shared" si="65"/>
        <v>0.85</v>
      </c>
      <c r="AE173" s="44">
        <f t="shared" si="65"/>
        <v>0.85</v>
      </c>
      <c r="AF173" s="44">
        <f t="shared" si="65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3"/>
        <v>0.9</v>
      </c>
      <c r="C174" s="55">
        <v>0.9</v>
      </c>
      <c r="D174" s="44">
        <f t="shared" si="64"/>
        <v>0.9</v>
      </c>
      <c r="E174" s="44">
        <f t="shared" si="64"/>
        <v>0.9</v>
      </c>
      <c r="F174" s="44">
        <f t="shared" si="64"/>
        <v>0.9</v>
      </c>
      <c r="G174" s="44">
        <f t="shared" si="64"/>
        <v>0.9</v>
      </c>
      <c r="H174" s="44">
        <f t="shared" si="64"/>
        <v>0.9</v>
      </c>
      <c r="I174" s="44">
        <f t="shared" si="64"/>
        <v>0.9</v>
      </c>
      <c r="J174" s="44">
        <f t="shared" si="64"/>
        <v>0.9</v>
      </c>
      <c r="K174" s="44">
        <f t="shared" si="64"/>
        <v>0.9</v>
      </c>
      <c r="L174" s="44">
        <f t="shared" si="64"/>
        <v>0.9</v>
      </c>
      <c r="M174" s="44">
        <f t="shared" si="64"/>
        <v>0.9</v>
      </c>
      <c r="N174" s="44">
        <f t="shared" si="64"/>
        <v>0.9</v>
      </c>
      <c r="O174" s="44">
        <f t="shared" si="64"/>
        <v>0.9</v>
      </c>
      <c r="P174" s="44">
        <f t="shared" si="64"/>
        <v>0.9</v>
      </c>
      <c r="Q174" s="44">
        <f t="shared" si="64"/>
        <v>0.9</v>
      </c>
      <c r="R174" s="44">
        <f t="shared" si="64"/>
        <v>0.9</v>
      </c>
      <c r="S174" s="44">
        <f t="shared" si="65"/>
        <v>0.9</v>
      </c>
      <c r="T174" s="44">
        <f t="shared" si="65"/>
        <v>0.9</v>
      </c>
      <c r="U174" s="44">
        <f t="shared" si="65"/>
        <v>0.9</v>
      </c>
      <c r="V174" s="44">
        <f t="shared" si="65"/>
        <v>0.9</v>
      </c>
      <c r="W174" s="44">
        <f t="shared" si="65"/>
        <v>0.9</v>
      </c>
      <c r="X174" s="44">
        <f t="shared" si="65"/>
        <v>0.9</v>
      </c>
      <c r="Y174" s="44">
        <f t="shared" si="65"/>
        <v>0.9</v>
      </c>
      <c r="Z174" s="44">
        <f t="shared" si="65"/>
        <v>0.9</v>
      </c>
      <c r="AA174" s="44">
        <f t="shared" si="65"/>
        <v>0.9</v>
      </c>
      <c r="AB174" s="44">
        <f t="shared" si="65"/>
        <v>0.9</v>
      </c>
      <c r="AC174" s="44">
        <f t="shared" si="65"/>
        <v>0.9</v>
      </c>
      <c r="AD174" s="44">
        <f t="shared" si="65"/>
        <v>0.9</v>
      </c>
      <c r="AE174" s="44">
        <f t="shared" si="65"/>
        <v>0.9</v>
      </c>
      <c r="AF174" s="44">
        <f t="shared" si="65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3"/>
        <v>0.44</v>
      </c>
      <c r="C175" s="55">
        <v>0.44</v>
      </c>
      <c r="D175" s="44">
        <f t="shared" si="64"/>
        <v>0.44</v>
      </c>
      <c r="E175" s="44">
        <f t="shared" si="64"/>
        <v>0.44</v>
      </c>
      <c r="F175" s="44">
        <f t="shared" si="64"/>
        <v>0.44</v>
      </c>
      <c r="G175" s="44">
        <f t="shared" si="64"/>
        <v>0.44</v>
      </c>
      <c r="H175" s="44">
        <f t="shared" si="64"/>
        <v>0.44</v>
      </c>
      <c r="I175" s="44">
        <f t="shared" si="64"/>
        <v>0.44</v>
      </c>
      <c r="J175" s="44">
        <f t="shared" si="64"/>
        <v>0.44</v>
      </c>
      <c r="K175" s="44">
        <f t="shared" si="64"/>
        <v>0.44</v>
      </c>
      <c r="L175" s="44">
        <f t="shared" si="64"/>
        <v>0.44</v>
      </c>
      <c r="M175" s="44">
        <f t="shared" si="64"/>
        <v>0.44</v>
      </c>
      <c r="N175" s="44">
        <f t="shared" si="64"/>
        <v>0.44</v>
      </c>
      <c r="O175" s="44">
        <f t="shared" si="64"/>
        <v>0.44</v>
      </c>
      <c r="P175" s="44">
        <f t="shared" si="64"/>
        <v>0.44</v>
      </c>
      <c r="Q175" s="44">
        <f t="shared" si="64"/>
        <v>0.44</v>
      </c>
      <c r="R175" s="44">
        <f t="shared" si="64"/>
        <v>0.44</v>
      </c>
      <c r="S175" s="44">
        <f t="shared" si="65"/>
        <v>0.44</v>
      </c>
      <c r="T175" s="44">
        <f t="shared" si="65"/>
        <v>0.44</v>
      </c>
      <c r="U175" s="44">
        <f t="shared" si="65"/>
        <v>0.44</v>
      </c>
      <c r="V175" s="44">
        <f t="shared" si="65"/>
        <v>0.44</v>
      </c>
      <c r="W175" s="44">
        <f t="shared" si="65"/>
        <v>0.44</v>
      </c>
      <c r="X175" s="44">
        <f t="shared" si="65"/>
        <v>0.44</v>
      </c>
      <c r="Y175" s="44">
        <f t="shared" si="65"/>
        <v>0.44</v>
      </c>
      <c r="Z175" s="44">
        <f t="shared" si="65"/>
        <v>0.44</v>
      </c>
      <c r="AA175" s="44">
        <f t="shared" si="65"/>
        <v>0.44</v>
      </c>
      <c r="AB175" s="44">
        <f t="shared" si="65"/>
        <v>0.44</v>
      </c>
      <c r="AC175" s="44">
        <f t="shared" si="65"/>
        <v>0.44</v>
      </c>
      <c r="AD175" s="44">
        <f t="shared" si="65"/>
        <v>0.44</v>
      </c>
      <c r="AE175" s="44">
        <f t="shared" si="65"/>
        <v>0.44</v>
      </c>
      <c r="AF175" s="44">
        <f t="shared" si="65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3"/>
        <v>2.1</v>
      </c>
      <c r="C176" s="55">
        <v>2.1</v>
      </c>
      <c r="D176" s="44">
        <f t="shared" si="64"/>
        <v>2.1</v>
      </c>
      <c r="E176" s="44">
        <f t="shared" si="64"/>
        <v>2.1</v>
      </c>
      <c r="F176" s="44">
        <f t="shared" si="64"/>
        <v>2.1</v>
      </c>
      <c r="G176" s="44">
        <f t="shared" si="64"/>
        <v>2.1</v>
      </c>
      <c r="H176" s="44">
        <f t="shared" si="64"/>
        <v>2.1</v>
      </c>
      <c r="I176" s="44">
        <f t="shared" si="64"/>
        <v>2.1</v>
      </c>
      <c r="J176" s="44">
        <f t="shared" si="64"/>
        <v>2.1</v>
      </c>
      <c r="K176" s="44">
        <f t="shared" si="64"/>
        <v>2.1</v>
      </c>
      <c r="L176" s="44">
        <f t="shared" si="64"/>
        <v>2.1</v>
      </c>
      <c r="M176" s="44">
        <f t="shared" si="64"/>
        <v>2.1</v>
      </c>
      <c r="N176" s="44">
        <f t="shared" si="64"/>
        <v>2.1</v>
      </c>
      <c r="O176" s="44">
        <f t="shared" si="64"/>
        <v>2.1</v>
      </c>
      <c r="P176" s="44">
        <f t="shared" si="64"/>
        <v>2.1</v>
      </c>
      <c r="Q176" s="44">
        <f t="shared" si="64"/>
        <v>2.1</v>
      </c>
      <c r="R176" s="44">
        <f t="shared" si="64"/>
        <v>2.1</v>
      </c>
      <c r="S176" s="44">
        <f t="shared" si="65"/>
        <v>2.1</v>
      </c>
      <c r="T176" s="44">
        <f t="shared" si="65"/>
        <v>2.1</v>
      </c>
      <c r="U176" s="44">
        <f t="shared" si="65"/>
        <v>2.1</v>
      </c>
      <c r="V176" s="44">
        <f t="shared" si="65"/>
        <v>2.1</v>
      </c>
      <c r="W176" s="44">
        <f t="shared" si="65"/>
        <v>2.1</v>
      </c>
      <c r="X176" s="44">
        <f t="shared" si="65"/>
        <v>2.1</v>
      </c>
      <c r="Y176" s="44">
        <f t="shared" si="65"/>
        <v>2.1</v>
      </c>
      <c r="Z176" s="44">
        <f t="shared" si="65"/>
        <v>2.1</v>
      </c>
      <c r="AA176" s="44">
        <f t="shared" si="65"/>
        <v>2.1</v>
      </c>
      <c r="AB176" s="44">
        <f t="shared" si="65"/>
        <v>2.1</v>
      </c>
      <c r="AC176" s="44">
        <f t="shared" si="65"/>
        <v>2.1</v>
      </c>
      <c r="AD176" s="44">
        <f t="shared" si="65"/>
        <v>2.1</v>
      </c>
      <c r="AE176" s="44">
        <f t="shared" si="65"/>
        <v>2.1</v>
      </c>
      <c r="AF176" s="44">
        <f t="shared" si="65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3"/>
        <v>0.9</v>
      </c>
      <c r="C177" s="55">
        <v>0.9</v>
      </c>
      <c r="D177" s="44">
        <f t="shared" si="64"/>
        <v>0.9</v>
      </c>
      <c r="E177" s="44">
        <f t="shared" si="64"/>
        <v>0.9</v>
      </c>
      <c r="F177" s="44">
        <f t="shared" si="64"/>
        <v>0.9</v>
      </c>
      <c r="G177" s="44">
        <f t="shared" si="64"/>
        <v>0.9</v>
      </c>
      <c r="H177" s="44">
        <f t="shared" si="64"/>
        <v>0.9</v>
      </c>
      <c r="I177" s="44">
        <f t="shared" si="64"/>
        <v>0.9</v>
      </c>
      <c r="J177" s="44">
        <f t="shared" si="64"/>
        <v>0.9</v>
      </c>
      <c r="K177" s="44">
        <f t="shared" si="64"/>
        <v>0.9</v>
      </c>
      <c r="L177" s="44">
        <f t="shared" si="64"/>
        <v>0.9</v>
      </c>
      <c r="M177" s="44">
        <f t="shared" si="64"/>
        <v>0.9</v>
      </c>
      <c r="N177" s="44">
        <f t="shared" si="64"/>
        <v>0.9</v>
      </c>
      <c r="O177" s="44">
        <f t="shared" si="64"/>
        <v>0.9</v>
      </c>
      <c r="P177" s="44">
        <f t="shared" si="64"/>
        <v>0.9</v>
      </c>
      <c r="Q177" s="44">
        <f t="shared" si="64"/>
        <v>0.9</v>
      </c>
      <c r="R177" s="44">
        <f t="shared" si="64"/>
        <v>0.9</v>
      </c>
      <c r="S177" s="44">
        <f t="shared" si="65"/>
        <v>0.9</v>
      </c>
      <c r="T177" s="44">
        <f t="shared" si="65"/>
        <v>0.9</v>
      </c>
      <c r="U177" s="44">
        <f t="shared" si="65"/>
        <v>0.9</v>
      </c>
      <c r="V177" s="44">
        <f t="shared" si="65"/>
        <v>0.9</v>
      </c>
      <c r="W177" s="44">
        <f t="shared" si="65"/>
        <v>0.9</v>
      </c>
      <c r="X177" s="44">
        <f t="shared" si="65"/>
        <v>0.9</v>
      </c>
      <c r="Y177" s="44">
        <f t="shared" si="65"/>
        <v>0.9</v>
      </c>
      <c r="Z177" s="44">
        <f t="shared" si="65"/>
        <v>0.9</v>
      </c>
      <c r="AA177" s="44">
        <f t="shared" si="65"/>
        <v>0.9</v>
      </c>
      <c r="AB177" s="44">
        <f t="shared" si="65"/>
        <v>0.9</v>
      </c>
      <c r="AC177" s="44">
        <f t="shared" si="65"/>
        <v>0.9</v>
      </c>
      <c r="AD177" s="44">
        <f t="shared" si="65"/>
        <v>0.9</v>
      </c>
      <c r="AE177" s="44">
        <f t="shared" si="65"/>
        <v>0.9</v>
      </c>
      <c r="AF177" s="44">
        <f t="shared" si="65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6">AF179</f>
        <v>0.57999999999999996</v>
      </c>
      <c r="C179" s="55">
        <v>0.57999999999999996</v>
      </c>
      <c r="D179" s="44">
        <f t="shared" ref="D179:S191" si="67">C179</f>
        <v>0.57999999999999996</v>
      </c>
      <c r="E179" s="44">
        <f t="shared" si="67"/>
        <v>0.57999999999999996</v>
      </c>
      <c r="F179" s="44">
        <f t="shared" si="67"/>
        <v>0.57999999999999996</v>
      </c>
      <c r="G179" s="44">
        <f t="shared" si="67"/>
        <v>0.57999999999999996</v>
      </c>
      <c r="H179" s="44">
        <f t="shared" si="67"/>
        <v>0.57999999999999996</v>
      </c>
      <c r="I179" s="44">
        <f t="shared" si="67"/>
        <v>0.57999999999999996</v>
      </c>
      <c r="J179" s="44">
        <f t="shared" si="67"/>
        <v>0.57999999999999996</v>
      </c>
      <c r="K179" s="44">
        <f t="shared" si="67"/>
        <v>0.57999999999999996</v>
      </c>
      <c r="L179" s="44">
        <f t="shared" si="67"/>
        <v>0.57999999999999996</v>
      </c>
      <c r="M179" s="44">
        <f t="shared" si="67"/>
        <v>0.57999999999999996</v>
      </c>
      <c r="N179" s="44">
        <f t="shared" si="67"/>
        <v>0.57999999999999996</v>
      </c>
      <c r="O179" s="44">
        <f t="shared" si="67"/>
        <v>0.57999999999999996</v>
      </c>
      <c r="P179" s="44">
        <f t="shared" si="67"/>
        <v>0.57999999999999996</v>
      </c>
      <c r="Q179" s="44">
        <f t="shared" si="67"/>
        <v>0.57999999999999996</v>
      </c>
      <c r="R179" s="44">
        <f t="shared" si="67"/>
        <v>0.57999999999999996</v>
      </c>
      <c r="S179" s="44">
        <f t="shared" si="67"/>
        <v>0.57999999999999996</v>
      </c>
      <c r="T179" s="44">
        <f t="shared" ref="S179:AF191" si="68">S179</f>
        <v>0.57999999999999996</v>
      </c>
      <c r="U179" s="44">
        <f t="shared" si="68"/>
        <v>0.57999999999999996</v>
      </c>
      <c r="V179" s="44">
        <f t="shared" si="68"/>
        <v>0.57999999999999996</v>
      </c>
      <c r="W179" s="44">
        <f t="shared" si="68"/>
        <v>0.57999999999999996</v>
      </c>
      <c r="X179" s="44">
        <f t="shared" si="68"/>
        <v>0.57999999999999996</v>
      </c>
      <c r="Y179" s="44">
        <f t="shared" si="68"/>
        <v>0.57999999999999996</v>
      </c>
      <c r="Z179" s="44">
        <f t="shared" si="68"/>
        <v>0.57999999999999996</v>
      </c>
      <c r="AA179" s="44">
        <f t="shared" si="68"/>
        <v>0.57999999999999996</v>
      </c>
      <c r="AB179" s="44">
        <f t="shared" si="68"/>
        <v>0.57999999999999996</v>
      </c>
      <c r="AC179" s="44">
        <f t="shared" si="68"/>
        <v>0.57999999999999996</v>
      </c>
      <c r="AD179" s="44">
        <f t="shared" si="68"/>
        <v>0.57999999999999996</v>
      </c>
      <c r="AE179" s="44">
        <f t="shared" si="68"/>
        <v>0.57999999999999996</v>
      </c>
      <c r="AF179" s="44">
        <f t="shared" si="68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6"/>
        <v>0.8</v>
      </c>
      <c r="C180" s="55">
        <v>0.8</v>
      </c>
      <c r="D180" s="44">
        <f t="shared" si="67"/>
        <v>0.8</v>
      </c>
      <c r="E180" s="44">
        <f t="shared" si="67"/>
        <v>0.8</v>
      </c>
      <c r="F180" s="44">
        <f t="shared" si="67"/>
        <v>0.8</v>
      </c>
      <c r="G180" s="44">
        <f t="shared" si="67"/>
        <v>0.8</v>
      </c>
      <c r="H180" s="44">
        <f t="shared" si="67"/>
        <v>0.8</v>
      </c>
      <c r="I180" s="44">
        <f t="shared" si="67"/>
        <v>0.8</v>
      </c>
      <c r="J180" s="44">
        <f t="shared" si="67"/>
        <v>0.8</v>
      </c>
      <c r="K180" s="44">
        <f t="shared" si="67"/>
        <v>0.8</v>
      </c>
      <c r="L180" s="44">
        <f t="shared" si="67"/>
        <v>0.8</v>
      </c>
      <c r="M180" s="44">
        <f t="shared" si="67"/>
        <v>0.8</v>
      </c>
      <c r="N180" s="44">
        <f t="shared" si="67"/>
        <v>0.8</v>
      </c>
      <c r="O180" s="44">
        <f t="shared" si="67"/>
        <v>0.8</v>
      </c>
      <c r="P180" s="44">
        <f t="shared" si="67"/>
        <v>0.8</v>
      </c>
      <c r="Q180" s="44">
        <f t="shared" si="67"/>
        <v>0.8</v>
      </c>
      <c r="R180" s="44">
        <f t="shared" si="67"/>
        <v>0.8</v>
      </c>
      <c r="S180" s="44">
        <f t="shared" si="67"/>
        <v>0.8</v>
      </c>
      <c r="T180" s="44">
        <f t="shared" si="68"/>
        <v>0.8</v>
      </c>
      <c r="U180" s="44">
        <f t="shared" si="68"/>
        <v>0.8</v>
      </c>
      <c r="V180" s="44">
        <f t="shared" si="68"/>
        <v>0.8</v>
      </c>
      <c r="W180" s="44">
        <f t="shared" si="68"/>
        <v>0.8</v>
      </c>
      <c r="X180" s="44">
        <f t="shared" si="68"/>
        <v>0.8</v>
      </c>
      <c r="Y180" s="44">
        <f t="shared" si="68"/>
        <v>0.8</v>
      </c>
      <c r="Z180" s="44">
        <f t="shared" si="68"/>
        <v>0.8</v>
      </c>
      <c r="AA180" s="44">
        <f t="shared" si="68"/>
        <v>0.8</v>
      </c>
      <c r="AB180" s="44">
        <f t="shared" si="68"/>
        <v>0.8</v>
      </c>
      <c r="AC180" s="44">
        <f t="shared" si="68"/>
        <v>0.8</v>
      </c>
      <c r="AD180" s="44">
        <f t="shared" si="68"/>
        <v>0.8</v>
      </c>
      <c r="AE180" s="44">
        <f t="shared" si="68"/>
        <v>0.8</v>
      </c>
      <c r="AF180" s="44">
        <f t="shared" si="68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6"/>
        <v>0</v>
      </c>
      <c r="C181" s="55">
        <v>0</v>
      </c>
      <c r="D181" s="44">
        <f t="shared" si="67"/>
        <v>0</v>
      </c>
      <c r="E181" s="44">
        <f t="shared" si="67"/>
        <v>0</v>
      </c>
      <c r="F181" s="44">
        <f t="shared" si="67"/>
        <v>0</v>
      </c>
      <c r="G181" s="44">
        <f t="shared" si="67"/>
        <v>0</v>
      </c>
      <c r="H181" s="44">
        <f t="shared" si="67"/>
        <v>0</v>
      </c>
      <c r="I181" s="44">
        <f t="shared" si="67"/>
        <v>0</v>
      </c>
      <c r="J181" s="44">
        <f t="shared" si="67"/>
        <v>0</v>
      </c>
      <c r="K181" s="44">
        <f t="shared" si="67"/>
        <v>0</v>
      </c>
      <c r="L181" s="44">
        <f t="shared" si="67"/>
        <v>0</v>
      </c>
      <c r="M181" s="44">
        <f t="shared" si="67"/>
        <v>0</v>
      </c>
      <c r="N181" s="44">
        <f t="shared" si="67"/>
        <v>0</v>
      </c>
      <c r="O181" s="44">
        <f t="shared" si="67"/>
        <v>0</v>
      </c>
      <c r="P181" s="44">
        <f t="shared" si="67"/>
        <v>0</v>
      </c>
      <c r="Q181" s="44">
        <f t="shared" si="67"/>
        <v>0</v>
      </c>
      <c r="R181" s="44">
        <f t="shared" si="67"/>
        <v>0</v>
      </c>
      <c r="S181" s="44">
        <f t="shared" si="67"/>
        <v>0</v>
      </c>
      <c r="T181" s="44">
        <f t="shared" si="68"/>
        <v>0</v>
      </c>
      <c r="U181" s="44">
        <f t="shared" si="68"/>
        <v>0</v>
      </c>
      <c r="V181" s="44">
        <f t="shared" si="68"/>
        <v>0</v>
      </c>
      <c r="W181" s="44">
        <f t="shared" si="68"/>
        <v>0</v>
      </c>
      <c r="X181" s="44">
        <f t="shared" si="68"/>
        <v>0</v>
      </c>
      <c r="Y181" s="44">
        <f t="shared" si="68"/>
        <v>0</v>
      </c>
      <c r="Z181" s="44">
        <f t="shared" si="68"/>
        <v>0</v>
      </c>
      <c r="AA181" s="44">
        <f t="shared" si="68"/>
        <v>0</v>
      </c>
      <c r="AB181" s="44">
        <f t="shared" si="68"/>
        <v>0</v>
      </c>
      <c r="AC181" s="44">
        <f t="shared" si="68"/>
        <v>0</v>
      </c>
      <c r="AD181" s="44">
        <f t="shared" si="68"/>
        <v>0</v>
      </c>
      <c r="AE181" s="44">
        <f t="shared" si="68"/>
        <v>0</v>
      </c>
      <c r="AF181" s="44">
        <f t="shared" si="68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6"/>
        <v>0.6</v>
      </c>
      <c r="C182" s="55">
        <v>0.6</v>
      </c>
      <c r="D182" s="44">
        <f t="shared" si="67"/>
        <v>0.6</v>
      </c>
      <c r="E182" s="44">
        <f t="shared" si="67"/>
        <v>0.6</v>
      </c>
      <c r="F182" s="44">
        <f t="shared" si="67"/>
        <v>0.6</v>
      </c>
      <c r="G182" s="44">
        <f t="shared" si="67"/>
        <v>0.6</v>
      </c>
      <c r="H182" s="44">
        <f t="shared" si="67"/>
        <v>0.6</v>
      </c>
      <c r="I182" s="44">
        <f t="shared" si="67"/>
        <v>0.6</v>
      </c>
      <c r="J182" s="44">
        <f t="shared" si="67"/>
        <v>0.6</v>
      </c>
      <c r="K182" s="44">
        <f t="shared" si="67"/>
        <v>0.6</v>
      </c>
      <c r="L182" s="44">
        <f t="shared" si="67"/>
        <v>0.6</v>
      </c>
      <c r="M182" s="44">
        <f t="shared" si="67"/>
        <v>0.6</v>
      </c>
      <c r="N182" s="44">
        <f t="shared" si="67"/>
        <v>0.6</v>
      </c>
      <c r="O182" s="44">
        <f t="shared" si="67"/>
        <v>0.6</v>
      </c>
      <c r="P182" s="44">
        <f t="shared" si="67"/>
        <v>0.6</v>
      </c>
      <c r="Q182" s="44">
        <f t="shared" si="67"/>
        <v>0.6</v>
      </c>
      <c r="R182" s="44">
        <f t="shared" si="67"/>
        <v>0.6</v>
      </c>
      <c r="S182" s="44">
        <f t="shared" si="67"/>
        <v>0.6</v>
      </c>
      <c r="T182" s="44">
        <f t="shared" si="68"/>
        <v>0.6</v>
      </c>
      <c r="U182" s="44">
        <f t="shared" si="68"/>
        <v>0.6</v>
      </c>
      <c r="V182" s="44">
        <f t="shared" si="68"/>
        <v>0.6</v>
      </c>
      <c r="W182" s="44">
        <f t="shared" si="68"/>
        <v>0.6</v>
      </c>
      <c r="X182" s="44">
        <f t="shared" si="68"/>
        <v>0.6</v>
      </c>
      <c r="Y182" s="44">
        <f t="shared" si="68"/>
        <v>0.6</v>
      </c>
      <c r="Z182" s="44">
        <f t="shared" si="68"/>
        <v>0.6</v>
      </c>
      <c r="AA182" s="44">
        <f t="shared" si="68"/>
        <v>0.6</v>
      </c>
      <c r="AB182" s="44">
        <f t="shared" si="68"/>
        <v>0.6</v>
      </c>
      <c r="AC182" s="44">
        <f t="shared" si="68"/>
        <v>0.6</v>
      </c>
      <c r="AD182" s="44">
        <f t="shared" si="68"/>
        <v>0.6</v>
      </c>
      <c r="AE182" s="44">
        <f t="shared" si="68"/>
        <v>0.6</v>
      </c>
      <c r="AF182" s="44">
        <f t="shared" si="68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6"/>
        <v>0.6</v>
      </c>
      <c r="C183" s="55">
        <v>0.6</v>
      </c>
      <c r="D183" s="44">
        <f t="shared" si="67"/>
        <v>0.6</v>
      </c>
      <c r="E183" s="44">
        <f t="shared" si="67"/>
        <v>0.6</v>
      </c>
      <c r="F183" s="44">
        <f t="shared" si="67"/>
        <v>0.6</v>
      </c>
      <c r="G183" s="44">
        <f t="shared" si="67"/>
        <v>0.6</v>
      </c>
      <c r="H183" s="44">
        <f t="shared" si="67"/>
        <v>0.6</v>
      </c>
      <c r="I183" s="44">
        <f t="shared" si="67"/>
        <v>0.6</v>
      </c>
      <c r="J183" s="44">
        <f t="shared" si="67"/>
        <v>0.6</v>
      </c>
      <c r="K183" s="44">
        <f t="shared" si="67"/>
        <v>0.6</v>
      </c>
      <c r="L183" s="44">
        <f t="shared" si="67"/>
        <v>0.6</v>
      </c>
      <c r="M183" s="44">
        <f t="shared" si="67"/>
        <v>0.6</v>
      </c>
      <c r="N183" s="44">
        <f t="shared" si="67"/>
        <v>0.6</v>
      </c>
      <c r="O183" s="44">
        <f t="shared" si="67"/>
        <v>0.6</v>
      </c>
      <c r="P183" s="44">
        <f t="shared" si="67"/>
        <v>0.6</v>
      </c>
      <c r="Q183" s="44">
        <f t="shared" si="67"/>
        <v>0.6</v>
      </c>
      <c r="R183" s="44">
        <f t="shared" si="67"/>
        <v>0.6</v>
      </c>
      <c r="S183" s="44">
        <f t="shared" si="67"/>
        <v>0.6</v>
      </c>
      <c r="T183" s="44">
        <f t="shared" si="68"/>
        <v>0.6</v>
      </c>
      <c r="U183" s="44">
        <f t="shared" si="68"/>
        <v>0.6</v>
      </c>
      <c r="V183" s="44">
        <f t="shared" si="68"/>
        <v>0.6</v>
      </c>
      <c r="W183" s="44">
        <f t="shared" si="68"/>
        <v>0.6</v>
      </c>
      <c r="X183" s="44">
        <f t="shared" si="68"/>
        <v>0.6</v>
      </c>
      <c r="Y183" s="44">
        <f t="shared" si="68"/>
        <v>0.6</v>
      </c>
      <c r="Z183" s="44">
        <f t="shared" si="68"/>
        <v>0.6</v>
      </c>
      <c r="AA183" s="44">
        <f t="shared" si="68"/>
        <v>0.6</v>
      </c>
      <c r="AB183" s="44">
        <f t="shared" si="68"/>
        <v>0.6</v>
      </c>
      <c r="AC183" s="44">
        <f t="shared" si="68"/>
        <v>0.6</v>
      </c>
      <c r="AD183" s="44">
        <f t="shared" si="68"/>
        <v>0.6</v>
      </c>
      <c r="AE183" s="44">
        <f t="shared" si="68"/>
        <v>0.6</v>
      </c>
      <c r="AF183" s="44">
        <f t="shared" si="68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6"/>
        <v>0.35</v>
      </c>
      <c r="C184" s="55">
        <v>0.35</v>
      </c>
      <c r="D184" s="44">
        <f t="shared" si="67"/>
        <v>0.35</v>
      </c>
      <c r="E184" s="44">
        <f t="shared" si="67"/>
        <v>0.35</v>
      </c>
      <c r="F184" s="44">
        <f t="shared" si="67"/>
        <v>0.35</v>
      </c>
      <c r="G184" s="44">
        <f t="shared" si="67"/>
        <v>0.35</v>
      </c>
      <c r="H184" s="44">
        <f t="shared" si="67"/>
        <v>0.35</v>
      </c>
      <c r="I184" s="44">
        <f t="shared" si="67"/>
        <v>0.35</v>
      </c>
      <c r="J184" s="44">
        <f t="shared" si="67"/>
        <v>0.35</v>
      </c>
      <c r="K184" s="44">
        <f t="shared" si="67"/>
        <v>0.35</v>
      </c>
      <c r="L184" s="44">
        <f t="shared" si="67"/>
        <v>0.35</v>
      </c>
      <c r="M184" s="44">
        <f t="shared" si="67"/>
        <v>0.35</v>
      </c>
      <c r="N184" s="44">
        <f t="shared" si="67"/>
        <v>0.35</v>
      </c>
      <c r="O184" s="44">
        <f t="shared" si="67"/>
        <v>0.35</v>
      </c>
      <c r="P184" s="44">
        <f t="shared" si="67"/>
        <v>0.35</v>
      </c>
      <c r="Q184" s="44">
        <f t="shared" si="67"/>
        <v>0.35</v>
      </c>
      <c r="R184" s="44">
        <f t="shared" si="67"/>
        <v>0.35</v>
      </c>
      <c r="S184" s="44">
        <f t="shared" si="67"/>
        <v>0.35</v>
      </c>
      <c r="T184" s="44">
        <f t="shared" si="68"/>
        <v>0.35</v>
      </c>
      <c r="U184" s="44">
        <f t="shared" si="68"/>
        <v>0.35</v>
      </c>
      <c r="V184" s="44">
        <f t="shared" si="68"/>
        <v>0.35</v>
      </c>
      <c r="W184" s="44">
        <f t="shared" si="68"/>
        <v>0.35</v>
      </c>
      <c r="X184" s="44">
        <f t="shared" si="68"/>
        <v>0.35</v>
      </c>
      <c r="Y184" s="44">
        <f t="shared" si="68"/>
        <v>0.35</v>
      </c>
      <c r="Z184" s="44">
        <f t="shared" si="68"/>
        <v>0.35</v>
      </c>
      <c r="AA184" s="44">
        <f t="shared" si="68"/>
        <v>0.35</v>
      </c>
      <c r="AB184" s="44">
        <f t="shared" si="68"/>
        <v>0.35</v>
      </c>
      <c r="AC184" s="44">
        <f t="shared" si="68"/>
        <v>0.35</v>
      </c>
      <c r="AD184" s="44">
        <f t="shared" si="68"/>
        <v>0.35</v>
      </c>
      <c r="AE184" s="44">
        <f t="shared" si="68"/>
        <v>0.35</v>
      </c>
      <c r="AF184" s="44">
        <f t="shared" si="68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6"/>
        <v>0.28999999999999998</v>
      </c>
      <c r="C185" s="55">
        <v>0.28999999999999998</v>
      </c>
      <c r="D185" s="44">
        <f t="shared" si="67"/>
        <v>0.28999999999999998</v>
      </c>
      <c r="E185" s="44">
        <f t="shared" si="67"/>
        <v>0.28999999999999998</v>
      </c>
      <c r="F185" s="44">
        <f t="shared" si="67"/>
        <v>0.28999999999999998</v>
      </c>
      <c r="G185" s="44">
        <f t="shared" si="67"/>
        <v>0.28999999999999998</v>
      </c>
      <c r="H185" s="44">
        <f t="shared" si="67"/>
        <v>0.28999999999999998</v>
      </c>
      <c r="I185" s="44">
        <f t="shared" si="67"/>
        <v>0.28999999999999998</v>
      </c>
      <c r="J185" s="44">
        <f t="shared" si="67"/>
        <v>0.28999999999999998</v>
      </c>
      <c r="K185" s="44">
        <f t="shared" si="67"/>
        <v>0.28999999999999998</v>
      </c>
      <c r="L185" s="44">
        <f t="shared" si="67"/>
        <v>0.28999999999999998</v>
      </c>
      <c r="M185" s="44">
        <f t="shared" si="67"/>
        <v>0.28999999999999998</v>
      </c>
      <c r="N185" s="44">
        <f t="shared" si="67"/>
        <v>0.28999999999999998</v>
      </c>
      <c r="O185" s="44">
        <f t="shared" si="67"/>
        <v>0.28999999999999998</v>
      </c>
      <c r="P185" s="44">
        <f t="shared" si="67"/>
        <v>0.28999999999999998</v>
      </c>
      <c r="Q185" s="44">
        <f t="shared" si="67"/>
        <v>0.28999999999999998</v>
      </c>
      <c r="R185" s="44">
        <f t="shared" si="67"/>
        <v>0.28999999999999998</v>
      </c>
      <c r="S185" s="44">
        <f t="shared" si="67"/>
        <v>0.28999999999999998</v>
      </c>
      <c r="T185" s="44">
        <f t="shared" si="68"/>
        <v>0.28999999999999998</v>
      </c>
      <c r="U185" s="44">
        <f t="shared" si="68"/>
        <v>0.28999999999999998</v>
      </c>
      <c r="V185" s="44">
        <f t="shared" si="68"/>
        <v>0.28999999999999998</v>
      </c>
      <c r="W185" s="44">
        <f t="shared" si="68"/>
        <v>0.28999999999999998</v>
      </c>
      <c r="X185" s="44">
        <f t="shared" si="68"/>
        <v>0.28999999999999998</v>
      </c>
      <c r="Y185" s="44">
        <f t="shared" si="68"/>
        <v>0.28999999999999998</v>
      </c>
      <c r="Z185" s="44">
        <f t="shared" si="68"/>
        <v>0.28999999999999998</v>
      </c>
      <c r="AA185" s="44">
        <f t="shared" si="68"/>
        <v>0.28999999999999998</v>
      </c>
      <c r="AB185" s="44">
        <f t="shared" si="68"/>
        <v>0.28999999999999998</v>
      </c>
      <c r="AC185" s="44">
        <f t="shared" si="68"/>
        <v>0.28999999999999998</v>
      </c>
      <c r="AD185" s="44">
        <f t="shared" si="68"/>
        <v>0.28999999999999998</v>
      </c>
      <c r="AE185" s="44">
        <f t="shared" si="68"/>
        <v>0.28999999999999998</v>
      </c>
      <c r="AF185" s="44">
        <f t="shared" si="6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6"/>
        <v>0.06</v>
      </c>
      <c r="C186" s="55">
        <v>0.06</v>
      </c>
      <c r="D186" s="44">
        <f t="shared" si="67"/>
        <v>0.06</v>
      </c>
      <c r="E186" s="44">
        <f t="shared" si="67"/>
        <v>0.06</v>
      </c>
      <c r="F186" s="44">
        <f t="shared" si="67"/>
        <v>0.06</v>
      </c>
      <c r="G186" s="44">
        <f t="shared" si="67"/>
        <v>0.06</v>
      </c>
      <c r="H186" s="44">
        <f t="shared" si="67"/>
        <v>0.06</v>
      </c>
      <c r="I186" s="44">
        <f t="shared" si="67"/>
        <v>0.06</v>
      </c>
      <c r="J186" s="44">
        <f t="shared" si="67"/>
        <v>0.06</v>
      </c>
      <c r="K186" s="44">
        <f t="shared" si="67"/>
        <v>0.06</v>
      </c>
      <c r="L186" s="44">
        <f t="shared" si="67"/>
        <v>0.06</v>
      </c>
      <c r="M186" s="44">
        <f t="shared" si="67"/>
        <v>0.06</v>
      </c>
      <c r="N186" s="44">
        <f t="shared" si="67"/>
        <v>0.06</v>
      </c>
      <c r="O186" s="44">
        <f t="shared" si="67"/>
        <v>0.06</v>
      </c>
      <c r="P186" s="44">
        <f t="shared" si="67"/>
        <v>0.06</v>
      </c>
      <c r="Q186" s="44">
        <f t="shared" si="67"/>
        <v>0.06</v>
      </c>
      <c r="R186" s="44">
        <f t="shared" si="67"/>
        <v>0.06</v>
      </c>
      <c r="S186" s="44">
        <f t="shared" si="67"/>
        <v>0.06</v>
      </c>
      <c r="T186" s="44">
        <f t="shared" si="68"/>
        <v>0.06</v>
      </c>
      <c r="U186" s="44">
        <f t="shared" si="68"/>
        <v>0.06</v>
      </c>
      <c r="V186" s="44">
        <f t="shared" si="68"/>
        <v>0.06</v>
      </c>
      <c r="W186" s="44">
        <f t="shared" si="68"/>
        <v>0.06</v>
      </c>
      <c r="X186" s="44">
        <f t="shared" si="68"/>
        <v>0.06</v>
      </c>
      <c r="Y186" s="44">
        <f t="shared" si="68"/>
        <v>0.06</v>
      </c>
      <c r="Z186" s="44">
        <f t="shared" si="68"/>
        <v>0.06</v>
      </c>
      <c r="AA186" s="44">
        <f t="shared" si="68"/>
        <v>0.06</v>
      </c>
      <c r="AB186" s="44">
        <f t="shared" si="68"/>
        <v>0.06</v>
      </c>
      <c r="AC186" s="44">
        <f t="shared" si="68"/>
        <v>0.06</v>
      </c>
      <c r="AD186" s="44">
        <f t="shared" si="68"/>
        <v>0.06</v>
      </c>
      <c r="AE186" s="44">
        <f t="shared" si="68"/>
        <v>0.06</v>
      </c>
      <c r="AF186" s="44">
        <f t="shared" si="68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6"/>
        <v>0.11</v>
      </c>
      <c r="C187" s="55">
        <v>0.11</v>
      </c>
      <c r="D187" s="44">
        <f t="shared" si="67"/>
        <v>0.11</v>
      </c>
      <c r="E187" s="44">
        <f t="shared" si="67"/>
        <v>0.11</v>
      </c>
      <c r="F187" s="44">
        <f t="shared" si="67"/>
        <v>0.11</v>
      </c>
      <c r="G187" s="44">
        <f t="shared" si="67"/>
        <v>0.11</v>
      </c>
      <c r="H187" s="44">
        <f t="shared" si="67"/>
        <v>0.11</v>
      </c>
      <c r="I187" s="44">
        <f t="shared" si="67"/>
        <v>0.11</v>
      </c>
      <c r="J187" s="44">
        <f t="shared" si="67"/>
        <v>0.11</v>
      </c>
      <c r="K187" s="44">
        <f t="shared" si="67"/>
        <v>0.11</v>
      </c>
      <c r="L187" s="44">
        <f t="shared" si="67"/>
        <v>0.11</v>
      </c>
      <c r="M187" s="44">
        <f t="shared" si="67"/>
        <v>0.11</v>
      </c>
      <c r="N187" s="44">
        <f t="shared" si="67"/>
        <v>0.11</v>
      </c>
      <c r="O187" s="44">
        <f t="shared" si="67"/>
        <v>0.11</v>
      </c>
      <c r="P187" s="44">
        <f t="shared" si="67"/>
        <v>0.11</v>
      </c>
      <c r="Q187" s="44">
        <f t="shared" si="67"/>
        <v>0.11</v>
      </c>
      <c r="R187" s="44">
        <f t="shared" si="67"/>
        <v>0.11</v>
      </c>
      <c r="S187" s="44">
        <f t="shared" si="67"/>
        <v>0.11</v>
      </c>
      <c r="T187" s="44">
        <f t="shared" si="68"/>
        <v>0.11</v>
      </c>
      <c r="U187" s="44">
        <f t="shared" si="68"/>
        <v>0.11</v>
      </c>
      <c r="V187" s="44">
        <f t="shared" si="68"/>
        <v>0.11</v>
      </c>
      <c r="W187" s="44">
        <f t="shared" si="68"/>
        <v>0.11</v>
      </c>
      <c r="X187" s="44">
        <f t="shared" si="68"/>
        <v>0.11</v>
      </c>
      <c r="Y187" s="44">
        <f t="shared" si="68"/>
        <v>0.11</v>
      </c>
      <c r="Z187" s="44">
        <f t="shared" si="68"/>
        <v>0.11</v>
      </c>
      <c r="AA187" s="44">
        <f t="shared" si="68"/>
        <v>0.11</v>
      </c>
      <c r="AB187" s="44">
        <f t="shared" si="68"/>
        <v>0.11</v>
      </c>
      <c r="AC187" s="44">
        <f t="shared" si="68"/>
        <v>0.11</v>
      </c>
      <c r="AD187" s="44">
        <f t="shared" si="68"/>
        <v>0.11</v>
      </c>
      <c r="AE187" s="44">
        <f t="shared" si="68"/>
        <v>0.11</v>
      </c>
      <c r="AF187" s="44">
        <f t="shared" si="68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6"/>
        <v>0.1</v>
      </c>
      <c r="C188" s="55">
        <v>0.1</v>
      </c>
      <c r="D188" s="44">
        <f t="shared" si="67"/>
        <v>0.1</v>
      </c>
      <c r="E188" s="44">
        <f t="shared" si="67"/>
        <v>0.1</v>
      </c>
      <c r="F188" s="44">
        <f t="shared" si="67"/>
        <v>0.1</v>
      </c>
      <c r="G188" s="44">
        <f t="shared" si="67"/>
        <v>0.1</v>
      </c>
      <c r="H188" s="44">
        <f t="shared" si="67"/>
        <v>0.1</v>
      </c>
      <c r="I188" s="44">
        <f t="shared" si="67"/>
        <v>0.1</v>
      </c>
      <c r="J188" s="44">
        <f t="shared" si="67"/>
        <v>0.1</v>
      </c>
      <c r="K188" s="44">
        <f t="shared" si="67"/>
        <v>0.1</v>
      </c>
      <c r="L188" s="44">
        <f t="shared" si="67"/>
        <v>0.1</v>
      </c>
      <c r="M188" s="44">
        <f t="shared" si="67"/>
        <v>0.1</v>
      </c>
      <c r="N188" s="44">
        <f t="shared" si="67"/>
        <v>0.1</v>
      </c>
      <c r="O188" s="44">
        <f t="shared" si="67"/>
        <v>0.1</v>
      </c>
      <c r="P188" s="44">
        <f t="shared" si="67"/>
        <v>0.1</v>
      </c>
      <c r="Q188" s="44">
        <f t="shared" si="67"/>
        <v>0.1</v>
      </c>
      <c r="R188" s="44">
        <f t="shared" si="67"/>
        <v>0.1</v>
      </c>
      <c r="S188" s="44">
        <f t="shared" si="68"/>
        <v>0.1</v>
      </c>
      <c r="T188" s="44">
        <f t="shared" si="68"/>
        <v>0.1</v>
      </c>
      <c r="U188" s="44">
        <f t="shared" si="68"/>
        <v>0.1</v>
      </c>
      <c r="V188" s="44">
        <f t="shared" si="68"/>
        <v>0.1</v>
      </c>
      <c r="W188" s="44">
        <f t="shared" si="68"/>
        <v>0.1</v>
      </c>
      <c r="X188" s="44">
        <f t="shared" si="68"/>
        <v>0.1</v>
      </c>
      <c r="Y188" s="44">
        <f t="shared" si="68"/>
        <v>0.1</v>
      </c>
      <c r="Z188" s="44">
        <f t="shared" si="68"/>
        <v>0.1</v>
      </c>
      <c r="AA188" s="44">
        <f t="shared" si="68"/>
        <v>0.1</v>
      </c>
      <c r="AB188" s="44">
        <f t="shared" si="68"/>
        <v>0.1</v>
      </c>
      <c r="AC188" s="44">
        <f t="shared" si="68"/>
        <v>0.1</v>
      </c>
      <c r="AD188" s="44">
        <f t="shared" si="68"/>
        <v>0.1</v>
      </c>
      <c r="AE188" s="44">
        <f t="shared" si="68"/>
        <v>0.1</v>
      </c>
      <c r="AF188" s="44">
        <f t="shared" si="68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6"/>
        <v>0.09</v>
      </c>
      <c r="C189" s="55">
        <v>0.09</v>
      </c>
      <c r="D189" s="44">
        <f t="shared" si="67"/>
        <v>0.09</v>
      </c>
      <c r="E189" s="44">
        <f t="shared" si="67"/>
        <v>0.09</v>
      </c>
      <c r="F189" s="44">
        <f t="shared" si="67"/>
        <v>0.09</v>
      </c>
      <c r="G189" s="44">
        <f t="shared" si="67"/>
        <v>0.09</v>
      </c>
      <c r="H189" s="44">
        <f t="shared" si="67"/>
        <v>0.09</v>
      </c>
      <c r="I189" s="44">
        <f t="shared" si="67"/>
        <v>0.09</v>
      </c>
      <c r="J189" s="44">
        <f t="shared" si="67"/>
        <v>0.09</v>
      </c>
      <c r="K189" s="44">
        <f t="shared" si="67"/>
        <v>0.09</v>
      </c>
      <c r="L189" s="44">
        <f t="shared" si="67"/>
        <v>0.09</v>
      </c>
      <c r="M189" s="44">
        <f t="shared" si="67"/>
        <v>0.09</v>
      </c>
      <c r="N189" s="44">
        <f t="shared" si="67"/>
        <v>0.09</v>
      </c>
      <c r="O189" s="44">
        <f t="shared" si="67"/>
        <v>0.09</v>
      </c>
      <c r="P189" s="44">
        <f t="shared" si="67"/>
        <v>0.09</v>
      </c>
      <c r="Q189" s="44">
        <f t="shared" si="67"/>
        <v>0.09</v>
      </c>
      <c r="R189" s="44">
        <f t="shared" si="67"/>
        <v>0.09</v>
      </c>
      <c r="S189" s="44">
        <f t="shared" si="68"/>
        <v>0.09</v>
      </c>
      <c r="T189" s="44">
        <f t="shared" si="68"/>
        <v>0.09</v>
      </c>
      <c r="U189" s="44">
        <f t="shared" si="68"/>
        <v>0.09</v>
      </c>
      <c r="V189" s="44">
        <f t="shared" si="68"/>
        <v>0.09</v>
      </c>
      <c r="W189" s="44">
        <f t="shared" si="68"/>
        <v>0.09</v>
      </c>
      <c r="X189" s="44">
        <f t="shared" si="68"/>
        <v>0.09</v>
      </c>
      <c r="Y189" s="44">
        <f t="shared" si="68"/>
        <v>0.09</v>
      </c>
      <c r="Z189" s="44">
        <f t="shared" si="68"/>
        <v>0.09</v>
      </c>
      <c r="AA189" s="44">
        <f t="shared" si="68"/>
        <v>0.09</v>
      </c>
      <c r="AB189" s="44">
        <f t="shared" si="68"/>
        <v>0.09</v>
      </c>
      <c r="AC189" s="44">
        <f t="shared" si="68"/>
        <v>0.09</v>
      </c>
      <c r="AD189" s="44">
        <f t="shared" si="68"/>
        <v>0.09</v>
      </c>
      <c r="AE189" s="44">
        <f t="shared" si="68"/>
        <v>0.09</v>
      </c>
      <c r="AF189" s="44">
        <f t="shared" si="68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6"/>
        <v>0.04</v>
      </c>
      <c r="C190" s="54">
        <v>0.04</v>
      </c>
      <c r="D190" s="44">
        <f t="shared" si="67"/>
        <v>0.04</v>
      </c>
      <c r="E190" s="44">
        <f t="shared" si="67"/>
        <v>0.04</v>
      </c>
      <c r="F190" s="44">
        <f t="shared" si="67"/>
        <v>0.04</v>
      </c>
      <c r="G190" s="44">
        <f t="shared" si="67"/>
        <v>0.04</v>
      </c>
      <c r="H190" s="44">
        <f t="shared" si="67"/>
        <v>0.04</v>
      </c>
      <c r="I190" s="44">
        <f t="shared" si="67"/>
        <v>0.04</v>
      </c>
      <c r="J190" s="44">
        <f t="shared" si="67"/>
        <v>0.04</v>
      </c>
      <c r="K190" s="44">
        <f t="shared" si="67"/>
        <v>0.04</v>
      </c>
      <c r="L190" s="44">
        <f t="shared" si="67"/>
        <v>0.04</v>
      </c>
      <c r="M190" s="44">
        <f t="shared" si="67"/>
        <v>0.04</v>
      </c>
      <c r="N190" s="44">
        <f t="shared" si="67"/>
        <v>0.04</v>
      </c>
      <c r="O190" s="44">
        <f t="shared" si="67"/>
        <v>0.04</v>
      </c>
      <c r="P190" s="44">
        <f t="shared" si="67"/>
        <v>0.04</v>
      </c>
      <c r="Q190" s="44">
        <f t="shared" si="67"/>
        <v>0.04</v>
      </c>
      <c r="R190" s="44">
        <f t="shared" si="67"/>
        <v>0.04</v>
      </c>
      <c r="S190" s="44">
        <f t="shared" si="68"/>
        <v>0.04</v>
      </c>
      <c r="T190" s="44">
        <f t="shared" si="68"/>
        <v>0.04</v>
      </c>
      <c r="U190" s="44">
        <f t="shared" si="68"/>
        <v>0.04</v>
      </c>
      <c r="V190" s="44">
        <f t="shared" si="68"/>
        <v>0.04</v>
      </c>
      <c r="W190" s="44">
        <f t="shared" si="68"/>
        <v>0.04</v>
      </c>
      <c r="X190" s="44">
        <f t="shared" si="68"/>
        <v>0.04</v>
      </c>
      <c r="Y190" s="44">
        <f t="shared" si="68"/>
        <v>0.04</v>
      </c>
      <c r="Z190" s="44">
        <f t="shared" si="68"/>
        <v>0.04</v>
      </c>
      <c r="AA190" s="44">
        <f t="shared" si="68"/>
        <v>0.04</v>
      </c>
      <c r="AB190" s="44">
        <f t="shared" si="68"/>
        <v>0.04</v>
      </c>
      <c r="AC190" s="44">
        <f t="shared" si="68"/>
        <v>0.04</v>
      </c>
      <c r="AD190" s="44">
        <f t="shared" si="68"/>
        <v>0.04</v>
      </c>
      <c r="AE190" s="44">
        <f t="shared" si="68"/>
        <v>0.04</v>
      </c>
      <c r="AF190" s="44">
        <f t="shared" si="68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6"/>
        <v>2.3E-2</v>
      </c>
      <c r="C191" s="54">
        <v>2.3E-2</v>
      </c>
      <c r="D191" s="44">
        <f>C191</f>
        <v>2.3E-2</v>
      </c>
      <c r="E191" s="44">
        <f t="shared" si="67"/>
        <v>2.3E-2</v>
      </c>
      <c r="F191" s="44">
        <f t="shared" si="67"/>
        <v>2.3E-2</v>
      </c>
      <c r="G191" s="44">
        <f t="shared" si="67"/>
        <v>2.3E-2</v>
      </c>
      <c r="H191" s="44">
        <f t="shared" si="67"/>
        <v>2.3E-2</v>
      </c>
      <c r="I191" s="44">
        <f t="shared" si="67"/>
        <v>2.3E-2</v>
      </c>
      <c r="J191" s="44">
        <f t="shared" si="67"/>
        <v>2.3E-2</v>
      </c>
      <c r="K191" s="44">
        <f t="shared" si="67"/>
        <v>2.3E-2</v>
      </c>
      <c r="L191" s="44">
        <f t="shared" si="67"/>
        <v>2.3E-2</v>
      </c>
      <c r="M191" s="44">
        <f t="shared" si="67"/>
        <v>2.3E-2</v>
      </c>
      <c r="N191" s="44">
        <f t="shared" si="67"/>
        <v>2.3E-2</v>
      </c>
      <c r="O191" s="44">
        <f t="shared" si="67"/>
        <v>2.3E-2</v>
      </c>
      <c r="P191" s="44">
        <f t="shared" si="67"/>
        <v>2.3E-2</v>
      </c>
      <c r="Q191" s="44">
        <f t="shared" si="67"/>
        <v>2.3E-2</v>
      </c>
      <c r="R191" s="44">
        <f t="shared" si="67"/>
        <v>2.3E-2</v>
      </c>
      <c r="S191" s="44">
        <f t="shared" si="68"/>
        <v>2.3E-2</v>
      </c>
      <c r="T191" s="44">
        <f t="shared" si="68"/>
        <v>2.3E-2</v>
      </c>
      <c r="U191" s="44">
        <f t="shared" si="68"/>
        <v>2.3E-2</v>
      </c>
      <c r="V191" s="44">
        <f t="shared" si="68"/>
        <v>2.3E-2</v>
      </c>
      <c r="W191" s="44">
        <f t="shared" si="68"/>
        <v>2.3E-2</v>
      </c>
      <c r="X191" s="44">
        <f t="shared" si="68"/>
        <v>2.3E-2</v>
      </c>
      <c r="Y191" s="44">
        <f t="shared" si="68"/>
        <v>2.3E-2</v>
      </c>
      <c r="Z191" s="44">
        <f t="shared" si="68"/>
        <v>2.3E-2</v>
      </c>
      <c r="AA191" s="44">
        <f t="shared" si="68"/>
        <v>2.3E-2</v>
      </c>
      <c r="AB191" s="44">
        <f t="shared" si="68"/>
        <v>2.3E-2</v>
      </c>
      <c r="AC191" s="44">
        <f t="shared" si="68"/>
        <v>2.3E-2</v>
      </c>
      <c r="AD191" s="44">
        <f t="shared" si="68"/>
        <v>2.3E-2</v>
      </c>
      <c r="AE191" s="44">
        <f t="shared" si="68"/>
        <v>2.3E-2</v>
      </c>
      <c r="AF191" s="44">
        <f t="shared" si="68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9">SUM(C102:C191)</f>
        <v>194.70600000000002</v>
      </c>
      <c r="D192" s="51">
        <f t="shared" si="69"/>
        <v>194.70600000000002</v>
      </c>
      <c r="E192" s="51">
        <f t="shared" si="69"/>
        <v>194.70600000000002</v>
      </c>
      <c r="F192" s="51">
        <f t="shared" si="69"/>
        <v>194.70600000000002</v>
      </c>
      <c r="G192" s="51">
        <f t="shared" si="69"/>
        <v>194.70600000000002</v>
      </c>
      <c r="H192" s="51">
        <f t="shared" si="69"/>
        <v>194.70600000000002</v>
      </c>
      <c r="I192" s="51">
        <f t="shared" si="69"/>
        <v>194.70600000000002</v>
      </c>
      <c r="J192" s="51">
        <f t="shared" si="69"/>
        <v>192.10600000000005</v>
      </c>
      <c r="K192" s="51">
        <f t="shared" si="69"/>
        <v>192.10600000000005</v>
      </c>
      <c r="L192" s="51">
        <f t="shared" si="69"/>
        <v>192.10600000000005</v>
      </c>
      <c r="M192" s="51">
        <f t="shared" si="69"/>
        <v>192.10600000000005</v>
      </c>
      <c r="N192" s="51">
        <f t="shared" si="69"/>
        <v>192.10600000000005</v>
      </c>
      <c r="O192" s="51">
        <f t="shared" si="69"/>
        <v>192.10600000000005</v>
      </c>
      <c r="P192" s="51">
        <f t="shared" si="69"/>
        <v>192.10600000000005</v>
      </c>
      <c r="Q192" s="51">
        <f t="shared" si="69"/>
        <v>192.10600000000005</v>
      </c>
      <c r="R192" s="51">
        <f t="shared" si="69"/>
        <v>192.10600000000005</v>
      </c>
      <c r="S192" s="51">
        <f t="shared" si="69"/>
        <v>192.10600000000005</v>
      </c>
      <c r="T192" s="51">
        <f t="shared" si="69"/>
        <v>192.10600000000005</v>
      </c>
      <c r="U192" s="51">
        <f t="shared" si="69"/>
        <v>192.10600000000005</v>
      </c>
      <c r="V192" s="51">
        <f t="shared" si="69"/>
        <v>192.10600000000005</v>
      </c>
      <c r="W192" s="51">
        <f t="shared" si="69"/>
        <v>192.10600000000005</v>
      </c>
      <c r="X192" s="51">
        <f t="shared" si="69"/>
        <v>192.10600000000005</v>
      </c>
      <c r="Y192" s="51">
        <f t="shared" si="69"/>
        <v>192.10600000000005</v>
      </c>
      <c r="Z192" s="51">
        <f t="shared" si="69"/>
        <v>192.10600000000005</v>
      </c>
      <c r="AA192" s="51">
        <f t="shared" si="69"/>
        <v>192.10600000000005</v>
      </c>
      <c r="AB192" s="51">
        <f t="shared" si="69"/>
        <v>192.10600000000005</v>
      </c>
      <c r="AC192" s="51">
        <f t="shared" si="69"/>
        <v>192.10600000000005</v>
      </c>
      <c r="AD192" s="51">
        <f t="shared" si="69"/>
        <v>192.10600000000005</v>
      </c>
      <c r="AE192" s="51">
        <f t="shared" si="69"/>
        <v>192.10600000000005</v>
      </c>
      <c r="AF192" s="51">
        <f t="shared" si="69"/>
        <v>192.10600000000005</v>
      </c>
      <c r="AG192" s="50">
        <f t="shared" si="69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0">AF194</f>
        <v>0.3</v>
      </c>
      <c r="C194" s="47">
        <v>0.3</v>
      </c>
      <c r="D194" s="47">
        <f t="shared" ref="D194:S199" si="71">C194</f>
        <v>0.3</v>
      </c>
      <c r="E194" s="47">
        <f t="shared" si="71"/>
        <v>0.3</v>
      </c>
      <c r="F194" s="47">
        <f t="shared" si="71"/>
        <v>0.3</v>
      </c>
      <c r="G194" s="47">
        <f t="shared" si="71"/>
        <v>0.3</v>
      </c>
      <c r="H194" s="47">
        <f t="shared" si="71"/>
        <v>0.3</v>
      </c>
      <c r="I194" s="47">
        <f t="shared" si="71"/>
        <v>0.3</v>
      </c>
      <c r="J194" s="47">
        <f t="shared" si="71"/>
        <v>0.3</v>
      </c>
      <c r="K194" s="47">
        <f t="shared" si="71"/>
        <v>0.3</v>
      </c>
      <c r="L194" s="47">
        <f t="shared" si="71"/>
        <v>0.3</v>
      </c>
      <c r="M194" s="47">
        <f t="shared" si="71"/>
        <v>0.3</v>
      </c>
      <c r="N194" s="47">
        <f t="shared" si="71"/>
        <v>0.3</v>
      </c>
      <c r="O194" s="47">
        <f t="shared" si="71"/>
        <v>0.3</v>
      </c>
      <c r="P194" s="47">
        <f t="shared" si="71"/>
        <v>0.3</v>
      </c>
      <c r="Q194" s="47">
        <f t="shared" si="71"/>
        <v>0.3</v>
      </c>
      <c r="R194" s="47">
        <f t="shared" si="71"/>
        <v>0.3</v>
      </c>
      <c r="S194" s="47">
        <f t="shared" si="71"/>
        <v>0.3</v>
      </c>
      <c r="T194" s="47">
        <f t="shared" ref="T194:AF199" si="72">S194</f>
        <v>0.3</v>
      </c>
      <c r="U194" s="47">
        <f t="shared" si="72"/>
        <v>0.3</v>
      </c>
      <c r="V194" s="47">
        <f t="shared" si="72"/>
        <v>0.3</v>
      </c>
      <c r="W194" s="47">
        <f t="shared" si="72"/>
        <v>0.3</v>
      </c>
      <c r="X194" s="47">
        <f t="shared" si="72"/>
        <v>0.3</v>
      </c>
      <c r="Y194" s="47">
        <f t="shared" si="72"/>
        <v>0.3</v>
      </c>
      <c r="Z194" s="47">
        <f t="shared" si="72"/>
        <v>0.3</v>
      </c>
      <c r="AA194" s="47">
        <f t="shared" si="72"/>
        <v>0.3</v>
      </c>
      <c r="AB194" s="47">
        <f t="shared" si="72"/>
        <v>0.3</v>
      </c>
      <c r="AC194" s="47">
        <f t="shared" si="72"/>
        <v>0.3</v>
      </c>
      <c r="AD194" s="47">
        <f t="shared" si="72"/>
        <v>0.3</v>
      </c>
      <c r="AE194" s="47">
        <f t="shared" si="72"/>
        <v>0.3</v>
      </c>
      <c r="AF194" s="47">
        <f t="shared" si="72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0"/>
        <v>0.4</v>
      </c>
      <c r="C195" s="44">
        <v>0.4</v>
      </c>
      <c r="D195" s="44">
        <f t="shared" si="71"/>
        <v>0.4</v>
      </c>
      <c r="E195" s="44">
        <f t="shared" si="71"/>
        <v>0.4</v>
      </c>
      <c r="F195" s="44">
        <f t="shared" si="71"/>
        <v>0.4</v>
      </c>
      <c r="G195" s="44">
        <f t="shared" si="71"/>
        <v>0.4</v>
      </c>
      <c r="H195" s="44">
        <f t="shared" si="71"/>
        <v>0.4</v>
      </c>
      <c r="I195" s="44">
        <f t="shared" si="71"/>
        <v>0.4</v>
      </c>
      <c r="J195" s="44">
        <f t="shared" si="71"/>
        <v>0.4</v>
      </c>
      <c r="K195" s="44">
        <f t="shared" si="71"/>
        <v>0.4</v>
      </c>
      <c r="L195" s="44">
        <f t="shared" si="71"/>
        <v>0.4</v>
      </c>
      <c r="M195" s="44">
        <f t="shared" si="71"/>
        <v>0.4</v>
      </c>
      <c r="N195" s="44">
        <f t="shared" si="71"/>
        <v>0.4</v>
      </c>
      <c r="O195" s="44">
        <f t="shared" si="71"/>
        <v>0.4</v>
      </c>
      <c r="P195" s="44">
        <f t="shared" si="71"/>
        <v>0.4</v>
      </c>
      <c r="Q195" s="44">
        <f t="shared" si="71"/>
        <v>0.4</v>
      </c>
      <c r="R195" s="44">
        <f t="shared" si="71"/>
        <v>0.4</v>
      </c>
      <c r="S195" s="44">
        <f t="shared" si="71"/>
        <v>0.4</v>
      </c>
      <c r="T195" s="44">
        <f t="shared" si="72"/>
        <v>0.4</v>
      </c>
      <c r="U195" s="44">
        <f t="shared" si="72"/>
        <v>0.4</v>
      </c>
      <c r="V195" s="44">
        <f t="shared" si="72"/>
        <v>0.4</v>
      </c>
      <c r="W195" s="44">
        <f>V195</f>
        <v>0.4</v>
      </c>
      <c r="X195" s="44">
        <f>W195</f>
        <v>0.4</v>
      </c>
      <c r="Y195" s="44">
        <f t="shared" si="72"/>
        <v>0.4</v>
      </c>
      <c r="Z195" s="44">
        <f t="shared" si="72"/>
        <v>0.4</v>
      </c>
      <c r="AA195" s="44">
        <f t="shared" si="72"/>
        <v>0.4</v>
      </c>
      <c r="AB195" s="44">
        <f t="shared" si="72"/>
        <v>0.4</v>
      </c>
      <c r="AC195" s="44">
        <f t="shared" si="72"/>
        <v>0.4</v>
      </c>
      <c r="AD195" s="44">
        <f t="shared" si="72"/>
        <v>0.4</v>
      </c>
      <c r="AE195" s="44">
        <f t="shared" si="72"/>
        <v>0.4</v>
      </c>
      <c r="AF195" s="44">
        <f t="shared" si="72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0"/>
        <v>1.5</v>
      </c>
      <c r="C196" s="44">
        <v>1.5</v>
      </c>
      <c r="D196" s="44">
        <f t="shared" si="71"/>
        <v>1.5</v>
      </c>
      <c r="E196" s="44">
        <f t="shared" si="71"/>
        <v>1.5</v>
      </c>
      <c r="F196" s="44">
        <f t="shared" si="71"/>
        <v>1.5</v>
      </c>
      <c r="G196" s="44">
        <f t="shared" si="71"/>
        <v>1.5</v>
      </c>
      <c r="H196" s="44">
        <f t="shared" si="71"/>
        <v>1.5</v>
      </c>
      <c r="I196" s="44">
        <f t="shared" si="71"/>
        <v>1.5</v>
      </c>
      <c r="J196" s="44">
        <f t="shared" si="71"/>
        <v>1.5</v>
      </c>
      <c r="K196" s="44">
        <f t="shared" si="71"/>
        <v>1.5</v>
      </c>
      <c r="L196" s="44">
        <f t="shared" si="71"/>
        <v>1.5</v>
      </c>
      <c r="M196" s="44">
        <f t="shared" si="71"/>
        <v>1.5</v>
      </c>
      <c r="N196" s="44">
        <f t="shared" si="71"/>
        <v>1.5</v>
      </c>
      <c r="O196" s="44">
        <f t="shared" si="71"/>
        <v>1.5</v>
      </c>
      <c r="P196" s="44">
        <f t="shared" si="71"/>
        <v>1.5</v>
      </c>
      <c r="Q196" s="44">
        <f t="shared" si="71"/>
        <v>1.5</v>
      </c>
      <c r="R196" s="44">
        <f t="shared" si="71"/>
        <v>1.5</v>
      </c>
      <c r="S196" s="44">
        <f t="shared" si="71"/>
        <v>1.5</v>
      </c>
      <c r="T196" s="44">
        <f t="shared" si="72"/>
        <v>1.5</v>
      </c>
      <c r="U196" s="44">
        <f t="shared" si="72"/>
        <v>1.5</v>
      </c>
      <c r="V196" s="44">
        <f t="shared" si="72"/>
        <v>1.5</v>
      </c>
      <c r="W196" s="44">
        <f t="shared" si="72"/>
        <v>1.5</v>
      </c>
      <c r="X196" s="44">
        <f t="shared" si="72"/>
        <v>1.5</v>
      </c>
      <c r="Y196" s="44">
        <f t="shared" si="72"/>
        <v>1.5</v>
      </c>
      <c r="Z196" s="44">
        <f t="shared" si="72"/>
        <v>1.5</v>
      </c>
      <c r="AA196" s="44">
        <f t="shared" si="72"/>
        <v>1.5</v>
      </c>
      <c r="AB196" s="44">
        <f t="shared" si="72"/>
        <v>1.5</v>
      </c>
      <c r="AC196" s="44">
        <f t="shared" si="72"/>
        <v>1.5</v>
      </c>
      <c r="AD196" s="44">
        <f t="shared" si="72"/>
        <v>1.5</v>
      </c>
      <c r="AE196" s="44">
        <f t="shared" si="72"/>
        <v>1.5</v>
      </c>
      <c r="AF196" s="44">
        <f t="shared" si="72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0"/>
        <v>0.3</v>
      </c>
      <c r="C197" s="44">
        <v>0.3</v>
      </c>
      <c r="D197" s="44">
        <f t="shared" si="71"/>
        <v>0.3</v>
      </c>
      <c r="E197" s="44">
        <f t="shared" si="71"/>
        <v>0.3</v>
      </c>
      <c r="F197" s="44">
        <f t="shared" si="71"/>
        <v>0.3</v>
      </c>
      <c r="G197" s="44">
        <f t="shared" si="71"/>
        <v>0.3</v>
      </c>
      <c r="H197" s="44">
        <f t="shared" si="71"/>
        <v>0.3</v>
      </c>
      <c r="I197" s="44">
        <f t="shared" si="71"/>
        <v>0.3</v>
      </c>
      <c r="J197" s="44">
        <f t="shared" si="71"/>
        <v>0.3</v>
      </c>
      <c r="K197" s="44">
        <f t="shared" si="71"/>
        <v>0.3</v>
      </c>
      <c r="L197" s="44">
        <f t="shared" si="71"/>
        <v>0.3</v>
      </c>
      <c r="M197" s="44">
        <f t="shared" si="71"/>
        <v>0.3</v>
      </c>
      <c r="N197" s="44">
        <f t="shared" si="71"/>
        <v>0.3</v>
      </c>
      <c r="O197" s="44">
        <f t="shared" si="71"/>
        <v>0.3</v>
      </c>
      <c r="P197" s="44">
        <f t="shared" si="71"/>
        <v>0.3</v>
      </c>
      <c r="Q197" s="44">
        <f t="shared" si="71"/>
        <v>0.3</v>
      </c>
      <c r="R197" s="44">
        <f t="shared" si="71"/>
        <v>0.3</v>
      </c>
      <c r="S197" s="44">
        <f t="shared" si="71"/>
        <v>0.3</v>
      </c>
      <c r="T197" s="44">
        <f t="shared" si="72"/>
        <v>0.3</v>
      </c>
      <c r="U197" s="44">
        <f t="shared" si="72"/>
        <v>0.3</v>
      </c>
      <c r="V197" s="44">
        <f t="shared" si="72"/>
        <v>0.3</v>
      </c>
      <c r="W197" s="44">
        <f t="shared" si="72"/>
        <v>0.3</v>
      </c>
      <c r="X197" s="44">
        <f t="shared" si="72"/>
        <v>0.3</v>
      </c>
      <c r="Y197" s="44">
        <f t="shared" si="72"/>
        <v>0.3</v>
      </c>
      <c r="Z197" s="44">
        <f t="shared" si="72"/>
        <v>0.3</v>
      </c>
      <c r="AA197" s="44">
        <f t="shared" si="72"/>
        <v>0.3</v>
      </c>
      <c r="AB197" s="44">
        <f t="shared" si="72"/>
        <v>0.3</v>
      </c>
      <c r="AC197" s="44">
        <f t="shared" si="72"/>
        <v>0.3</v>
      </c>
      <c r="AD197" s="44">
        <f t="shared" si="72"/>
        <v>0.3</v>
      </c>
      <c r="AE197" s="44">
        <f t="shared" si="72"/>
        <v>0.3</v>
      </c>
      <c r="AF197" s="44">
        <f t="shared" si="72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0"/>
        <v>0.4</v>
      </c>
      <c r="C198" s="44">
        <v>0.4</v>
      </c>
      <c r="D198" s="44">
        <f t="shared" si="71"/>
        <v>0.4</v>
      </c>
      <c r="E198" s="44">
        <f t="shared" si="71"/>
        <v>0.4</v>
      </c>
      <c r="F198" s="44">
        <f t="shared" si="71"/>
        <v>0.4</v>
      </c>
      <c r="G198" s="44">
        <f t="shared" si="71"/>
        <v>0.4</v>
      </c>
      <c r="H198" s="44">
        <f t="shared" si="71"/>
        <v>0.4</v>
      </c>
      <c r="I198" s="44">
        <f t="shared" si="71"/>
        <v>0.4</v>
      </c>
      <c r="J198" s="44">
        <f t="shared" si="71"/>
        <v>0.4</v>
      </c>
      <c r="K198" s="44">
        <f t="shared" si="71"/>
        <v>0.4</v>
      </c>
      <c r="L198" s="44">
        <f t="shared" si="71"/>
        <v>0.4</v>
      </c>
      <c r="M198" s="44">
        <f t="shared" si="71"/>
        <v>0.4</v>
      </c>
      <c r="N198" s="44">
        <f t="shared" si="71"/>
        <v>0.4</v>
      </c>
      <c r="O198" s="44">
        <f t="shared" si="71"/>
        <v>0.4</v>
      </c>
      <c r="P198" s="44">
        <f t="shared" si="71"/>
        <v>0.4</v>
      </c>
      <c r="Q198" s="44">
        <f t="shared" si="71"/>
        <v>0.4</v>
      </c>
      <c r="R198" s="44">
        <f t="shared" si="71"/>
        <v>0.4</v>
      </c>
      <c r="S198" s="44">
        <f t="shared" si="71"/>
        <v>0.4</v>
      </c>
      <c r="T198" s="44">
        <f t="shared" si="72"/>
        <v>0.4</v>
      </c>
      <c r="U198" s="44">
        <f t="shared" si="72"/>
        <v>0.4</v>
      </c>
      <c r="V198" s="44">
        <f t="shared" si="72"/>
        <v>0.4</v>
      </c>
      <c r="W198" s="44">
        <f t="shared" si="72"/>
        <v>0.4</v>
      </c>
      <c r="X198" s="44">
        <f t="shared" si="72"/>
        <v>0.4</v>
      </c>
      <c r="Y198" s="44">
        <f t="shared" si="72"/>
        <v>0.4</v>
      </c>
      <c r="Z198" s="44">
        <f t="shared" si="72"/>
        <v>0.4</v>
      </c>
      <c r="AA198" s="44">
        <f t="shared" si="72"/>
        <v>0.4</v>
      </c>
      <c r="AB198" s="44">
        <f t="shared" si="72"/>
        <v>0.4</v>
      </c>
      <c r="AC198" s="44">
        <f t="shared" si="72"/>
        <v>0.4</v>
      </c>
      <c r="AD198" s="44">
        <f t="shared" si="72"/>
        <v>0.4</v>
      </c>
      <c r="AE198" s="44">
        <f t="shared" si="72"/>
        <v>0.4</v>
      </c>
      <c r="AF198" s="44">
        <f t="shared" si="72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0"/>
        <v>0.64</v>
      </c>
      <c r="C199" s="40">
        <v>0.64</v>
      </c>
      <c r="D199" s="40">
        <f t="shared" si="71"/>
        <v>0.64</v>
      </c>
      <c r="E199" s="40">
        <f t="shared" si="71"/>
        <v>0.64</v>
      </c>
      <c r="F199" s="40">
        <f t="shared" si="71"/>
        <v>0.64</v>
      </c>
      <c r="G199" s="40">
        <f t="shared" si="71"/>
        <v>0.64</v>
      </c>
      <c r="H199" s="40">
        <f t="shared" si="71"/>
        <v>0.64</v>
      </c>
      <c r="I199" s="40">
        <f t="shared" si="71"/>
        <v>0.64</v>
      </c>
      <c r="J199" s="40">
        <f t="shared" si="71"/>
        <v>0.64</v>
      </c>
      <c r="K199" s="40">
        <f t="shared" si="71"/>
        <v>0.64</v>
      </c>
      <c r="L199" s="40">
        <f t="shared" si="71"/>
        <v>0.64</v>
      </c>
      <c r="M199" s="40">
        <f t="shared" si="71"/>
        <v>0.64</v>
      </c>
      <c r="N199" s="40">
        <f t="shared" si="71"/>
        <v>0.64</v>
      </c>
      <c r="O199" s="40">
        <f t="shared" si="71"/>
        <v>0.64</v>
      </c>
      <c r="P199" s="40">
        <f t="shared" si="71"/>
        <v>0.64</v>
      </c>
      <c r="Q199" s="40">
        <f t="shared" si="71"/>
        <v>0.64</v>
      </c>
      <c r="R199" s="40">
        <f t="shared" si="71"/>
        <v>0.64</v>
      </c>
      <c r="S199" s="40">
        <f t="shared" si="71"/>
        <v>0.64</v>
      </c>
      <c r="T199" s="40">
        <f t="shared" si="72"/>
        <v>0.64</v>
      </c>
      <c r="U199" s="40">
        <f t="shared" si="72"/>
        <v>0.64</v>
      </c>
      <c r="V199" s="40">
        <f t="shared" si="72"/>
        <v>0.64</v>
      </c>
      <c r="W199" s="40">
        <f t="shared" si="72"/>
        <v>0.64</v>
      </c>
      <c r="X199" s="40">
        <f t="shared" si="72"/>
        <v>0.64</v>
      </c>
      <c r="Y199" s="40">
        <f t="shared" si="72"/>
        <v>0.64</v>
      </c>
      <c r="Z199" s="40">
        <f t="shared" si="72"/>
        <v>0.64</v>
      </c>
      <c r="AA199" s="40">
        <f t="shared" si="72"/>
        <v>0.64</v>
      </c>
      <c r="AB199" s="40">
        <f t="shared" si="72"/>
        <v>0.64</v>
      </c>
      <c r="AC199" s="40">
        <f t="shared" si="72"/>
        <v>0.64</v>
      </c>
      <c r="AD199" s="40">
        <f t="shared" si="72"/>
        <v>0.64</v>
      </c>
      <c r="AE199" s="40">
        <f t="shared" si="72"/>
        <v>0.64</v>
      </c>
      <c r="AF199" s="40">
        <f t="shared" si="7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3">SUM(D194:D199)</f>
        <v>3.54</v>
      </c>
      <c r="E200" s="37">
        <f t="shared" si="73"/>
        <v>3.54</v>
      </c>
      <c r="F200" s="37">
        <f t="shared" si="73"/>
        <v>3.54</v>
      </c>
      <c r="G200" s="37">
        <f t="shared" si="73"/>
        <v>3.54</v>
      </c>
      <c r="H200" s="37">
        <f t="shared" si="73"/>
        <v>3.54</v>
      </c>
      <c r="I200" s="37">
        <f t="shared" si="73"/>
        <v>3.54</v>
      </c>
      <c r="J200" s="37">
        <f t="shared" si="73"/>
        <v>3.54</v>
      </c>
      <c r="K200" s="37">
        <f t="shared" si="73"/>
        <v>3.54</v>
      </c>
      <c r="L200" s="37">
        <f t="shared" si="73"/>
        <v>3.54</v>
      </c>
      <c r="M200" s="37">
        <f>SUM(M194:M199)</f>
        <v>3.54</v>
      </c>
      <c r="N200" s="37">
        <f t="shared" ref="N200:S200" si="74">SUM(N194:N199)</f>
        <v>3.54</v>
      </c>
      <c r="O200" s="37">
        <f t="shared" si="74"/>
        <v>3.54</v>
      </c>
      <c r="P200" s="37">
        <f t="shared" si="74"/>
        <v>3.54</v>
      </c>
      <c r="Q200" s="37">
        <f t="shared" si="74"/>
        <v>3.54</v>
      </c>
      <c r="R200" s="37">
        <f t="shared" si="74"/>
        <v>3.54</v>
      </c>
      <c r="S200" s="37">
        <f t="shared" si="74"/>
        <v>3.54</v>
      </c>
      <c r="T200" s="37">
        <f>SUM(T194:T199)</f>
        <v>3.54</v>
      </c>
      <c r="U200" s="37">
        <f t="shared" ref="U200:AG200" si="75">SUM(U194:U199)</f>
        <v>3.54</v>
      </c>
      <c r="V200" s="37">
        <f t="shared" si="75"/>
        <v>3.54</v>
      </c>
      <c r="W200" s="37">
        <f t="shared" si="75"/>
        <v>3.54</v>
      </c>
      <c r="X200" s="37">
        <f t="shared" si="75"/>
        <v>3.54</v>
      </c>
      <c r="Y200" s="37">
        <f t="shared" si="75"/>
        <v>3.54</v>
      </c>
      <c r="Z200" s="37">
        <f t="shared" si="75"/>
        <v>3.54</v>
      </c>
      <c r="AA200" s="37">
        <f t="shared" si="75"/>
        <v>3.54</v>
      </c>
      <c r="AB200" s="37">
        <f t="shared" si="75"/>
        <v>3.54</v>
      </c>
      <c r="AC200" s="37">
        <f t="shared" si="75"/>
        <v>3.54</v>
      </c>
      <c r="AD200" s="37">
        <f t="shared" si="75"/>
        <v>3.54</v>
      </c>
      <c r="AE200" s="37">
        <f t="shared" si="75"/>
        <v>3.54</v>
      </c>
      <c r="AF200" s="37">
        <f t="shared" si="75"/>
        <v>3.54</v>
      </c>
      <c r="AG200" s="36">
        <f t="shared" si="75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1445.24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13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2078/12/13)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2078/12/13)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6">B75</f>
        <v>1108.94</v>
      </c>
      <c r="U214" s="9">
        <f t="shared" si="76"/>
        <v>1077.04</v>
      </c>
      <c r="V214" s="9">
        <f t="shared" si="76"/>
        <v>1048.1399999999999</v>
      </c>
      <c r="W214" s="9">
        <f t="shared" si="76"/>
        <v>1027.74</v>
      </c>
      <c r="X214" s="9">
        <f t="shared" si="76"/>
        <v>1022.44</v>
      </c>
      <c r="Y214" s="9">
        <f t="shared" si="76"/>
        <v>1089.74</v>
      </c>
      <c r="Z214" s="9">
        <f t="shared" si="76"/>
        <v>1173.44</v>
      </c>
      <c r="AA214" s="9">
        <f t="shared" si="76"/>
        <v>1218.44</v>
      </c>
      <c r="AB214" s="9">
        <f t="shared" si="76"/>
        <v>1281.5400000000002</v>
      </c>
      <c r="AC214" s="9">
        <f t="shared" si="76"/>
        <v>1416.94</v>
      </c>
      <c r="AD214" s="9">
        <f t="shared" si="76"/>
        <v>1436.1399999999999</v>
      </c>
      <c r="AE214" s="9">
        <f t="shared" si="76"/>
        <v>1445.24</v>
      </c>
      <c r="AF214" s="9">
        <f t="shared" si="76"/>
        <v>1400.54</v>
      </c>
      <c r="AG214" s="9">
        <f t="shared" si="76"/>
        <v>1433.14</v>
      </c>
      <c r="AH214" s="9">
        <f t="shared" si="76"/>
        <v>1425.24</v>
      </c>
      <c r="AI214" s="9">
        <f t="shared" si="76"/>
        <v>1446.94</v>
      </c>
      <c r="AJ214" s="9">
        <f t="shared" si="76"/>
        <v>1428.04</v>
      </c>
      <c r="AK214" s="9">
        <f t="shared" si="76"/>
        <v>1411.3400000000001</v>
      </c>
      <c r="AL214" s="9">
        <f t="shared" si="76"/>
        <v>1449.47</v>
      </c>
      <c r="AM214" s="9">
        <f t="shared" si="76"/>
        <v>1502.14</v>
      </c>
      <c r="AN214" s="9">
        <f t="shared" si="76"/>
        <v>1433.96</v>
      </c>
      <c r="AO214" s="9">
        <f t="shared" si="76"/>
        <v>1442.04</v>
      </c>
      <c r="AP214" s="9">
        <f t="shared" si="76"/>
        <v>1243.1400000000001</v>
      </c>
      <c r="AQ214" s="9">
        <f t="shared" si="76"/>
        <v>1270.94</v>
      </c>
      <c r="AR214" s="9">
        <f t="shared" si="76"/>
        <v>1668.34</v>
      </c>
      <c r="AS214" s="9">
        <f t="shared" si="76"/>
        <v>1640.3400000000001</v>
      </c>
      <c r="AT214" s="9">
        <f t="shared" si="76"/>
        <v>1541.14</v>
      </c>
      <c r="AU214" s="9">
        <f t="shared" si="76"/>
        <v>1532.79</v>
      </c>
      <c r="AV214" s="9">
        <f t="shared" si="76"/>
        <v>1496.7400000000002</v>
      </c>
      <c r="AW214" s="9">
        <f t="shared" si="76"/>
        <v>1360.14</v>
      </c>
      <c r="AX214" s="9">
        <f t="shared" si="76"/>
        <v>1276.44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7">C199</f>
        <v>0.64</v>
      </c>
      <c r="C235" s="4">
        <f t="shared" si="77"/>
        <v>0.64</v>
      </c>
      <c r="D235" s="4">
        <f t="shared" si="77"/>
        <v>0.64</v>
      </c>
      <c r="E235" s="4">
        <f t="shared" si="77"/>
        <v>0.64</v>
      </c>
      <c r="F235" s="4">
        <f t="shared" si="77"/>
        <v>0.64</v>
      </c>
      <c r="G235" s="4">
        <f t="shared" si="77"/>
        <v>0.64</v>
      </c>
      <c r="H235" s="4">
        <f t="shared" si="77"/>
        <v>0.64</v>
      </c>
      <c r="I235" s="4">
        <f t="shared" si="77"/>
        <v>0.64</v>
      </c>
      <c r="J235" s="4">
        <f t="shared" si="77"/>
        <v>0.64</v>
      </c>
      <c r="K235" s="4">
        <f t="shared" si="77"/>
        <v>0.64</v>
      </c>
      <c r="L235" s="4">
        <f t="shared" si="77"/>
        <v>0.64</v>
      </c>
      <c r="M235" s="4">
        <f t="shared" si="77"/>
        <v>0.64</v>
      </c>
      <c r="N235" s="4">
        <f t="shared" si="77"/>
        <v>0.64</v>
      </c>
      <c r="O235" s="4">
        <f t="shared" si="77"/>
        <v>0.64</v>
      </c>
      <c r="P235" s="4">
        <f t="shared" si="77"/>
        <v>0.64</v>
      </c>
      <c r="Q235" s="4">
        <f t="shared" si="77"/>
        <v>0.64</v>
      </c>
      <c r="R235" s="4">
        <f t="shared" si="77"/>
        <v>0.64</v>
      </c>
      <c r="S235" s="4">
        <f t="shared" si="77"/>
        <v>0.64</v>
      </c>
      <c r="T235" s="4">
        <f t="shared" si="77"/>
        <v>0.64</v>
      </c>
      <c r="U235" s="4">
        <f t="shared" si="77"/>
        <v>0.64</v>
      </c>
      <c r="V235" s="4">
        <f t="shared" si="77"/>
        <v>0.64</v>
      </c>
      <c r="W235" s="4">
        <f t="shared" si="77"/>
        <v>0.64</v>
      </c>
      <c r="X235" s="4">
        <f t="shared" si="77"/>
        <v>0.64</v>
      </c>
      <c r="Y235" s="4">
        <f t="shared" si="77"/>
        <v>0.64</v>
      </c>
      <c r="Z235" s="4">
        <f t="shared" si="77"/>
        <v>0.64</v>
      </c>
      <c r="AA235" s="4">
        <f t="shared" si="77"/>
        <v>0.64</v>
      </c>
      <c r="AB235" s="4">
        <f t="shared" si="77"/>
        <v>0.64</v>
      </c>
      <c r="AC235" s="4">
        <f t="shared" si="77"/>
        <v>0.64</v>
      </c>
      <c r="AD235" s="4">
        <f t="shared" si="77"/>
        <v>0.64</v>
      </c>
      <c r="AE235" s="4">
        <f t="shared" si="77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8">IF(C203&lt;100,"",C203-520)</f>
        <v/>
      </c>
      <c r="D236" s="3" t="str">
        <f t="shared" si="78"/>
        <v/>
      </c>
      <c r="E236" s="3" t="str">
        <f t="shared" si="78"/>
        <v/>
      </c>
      <c r="F236" s="3" t="str">
        <f t="shared" si="78"/>
        <v/>
      </c>
      <c r="G236" s="3" t="str">
        <f t="shared" si="78"/>
        <v/>
      </c>
      <c r="H236" s="3" t="str">
        <f t="shared" si="78"/>
        <v/>
      </c>
      <c r="I236" s="3" t="str">
        <f t="shared" si="78"/>
        <v/>
      </c>
      <c r="J236" s="3" t="str">
        <f t="shared" si="78"/>
        <v/>
      </c>
      <c r="K236" s="3" t="str">
        <f t="shared" si="78"/>
        <v/>
      </c>
      <c r="L236" s="3" t="str">
        <f t="shared" si="78"/>
        <v/>
      </c>
      <c r="M236" s="3" t="str">
        <f t="shared" si="78"/>
        <v/>
      </c>
      <c r="N236" s="3" t="str">
        <f t="shared" si="78"/>
        <v/>
      </c>
      <c r="O236" s="3" t="str">
        <f t="shared" si="78"/>
        <v/>
      </c>
      <c r="P236" s="3" t="str">
        <f t="shared" si="78"/>
        <v/>
      </c>
      <c r="Q236" s="3" t="str">
        <f t="shared" si="78"/>
        <v/>
      </c>
      <c r="R236" s="3" t="str">
        <f t="shared" si="78"/>
        <v/>
      </c>
      <c r="S236" s="3" t="str">
        <f t="shared" si="78"/>
        <v/>
      </c>
      <c r="T236" s="3" t="str">
        <f t="shared" si="78"/>
        <v/>
      </c>
      <c r="U236" s="3" t="str">
        <f t="shared" si="78"/>
        <v/>
      </c>
      <c r="V236" s="3" t="str">
        <f t="shared" si="78"/>
        <v/>
      </c>
      <c r="W236" s="3" t="str">
        <f t="shared" si="78"/>
        <v/>
      </c>
      <c r="X236" s="3" t="str">
        <f t="shared" si="78"/>
        <v/>
      </c>
      <c r="Y236" s="3" t="str">
        <f t="shared" si="78"/>
        <v/>
      </c>
      <c r="Z236" s="3" t="str">
        <f t="shared" si="78"/>
        <v/>
      </c>
      <c r="AA236" s="3" t="str">
        <f t="shared" si="78"/>
        <v/>
      </c>
      <c r="AB236" s="3" t="str">
        <f t="shared" si="78"/>
        <v/>
      </c>
      <c r="AC236" s="3" t="str">
        <f t="shared" si="78"/>
        <v/>
      </c>
      <c r="AD236" s="3" t="str">
        <f t="shared" si="78"/>
        <v/>
      </c>
      <c r="AE236" s="3" t="str">
        <f t="shared" si="78"/>
        <v/>
      </c>
      <c r="AF236" s="3" t="str">
        <f t="shared" si="78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9">IF(B204&lt;100,"",B204-620)</f>
        <v/>
      </c>
      <c r="C237" s="3" t="str">
        <f t="shared" si="79"/>
        <v/>
      </c>
      <c r="D237" s="3" t="str">
        <f t="shared" si="79"/>
        <v/>
      </c>
      <c r="E237" s="3" t="str">
        <f t="shared" si="79"/>
        <v/>
      </c>
      <c r="F237" s="3" t="str">
        <f t="shared" si="79"/>
        <v/>
      </c>
      <c r="G237" s="3" t="str">
        <f t="shared" si="79"/>
        <v/>
      </c>
      <c r="H237" s="3" t="str">
        <f t="shared" si="79"/>
        <v/>
      </c>
      <c r="I237" s="3" t="str">
        <f t="shared" si="79"/>
        <v/>
      </c>
      <c r="J237" s="3" t="str">
        <f t="shared" si="79"/>
        <v/>
      </c>
      <c r="K237" s="3" t="str">
        <f t="shared" si="79"/>
        <v/>
      </c>
      <c r="L237" s="3" t="str">
        <f t="shared" si="79"/>
        <v/>
      </c>
      <c r="M237" s="3" t="str">
        <f t="shared" si="79"/>
        <v/>
      </c>
      <c r="N237" s="3" t="str">
        <f t="shared" si="79"/>
        <v/>
      </c>
      <c r="O237" s="3" t="str">
        <f t="shared" si="79"/>
        <v/>
      </c>
      <c r="P237" s="3" t="str">
        <f t="shared" si="79"/>
        <v/>
      </c>
      <c r="Q237" s="3" t="str">
        <f t="shared" si="79"/>
        <v/>
      </c>
      <c r="R237" s="3" t="str">
        <f t="shared" si="79"/>
        <v/>
      </c>
      <c r="S237" s="3" t="str">
        <f t="shared" si="79"/>
        <v/>
      </c>
      <c r="T237" s="3" t="str">
        <f t="shared" si="79"/>
        <v/>
      </c>
      <c r="U237" s="3" t="str">
        <f t="shared" si="79"/>
        <v/>
      </c>
      <c r="V237" s="3" t="str">
        <f t="shared" si="79"/>
        <v/>
      </c>
      <c r="W237" s="3" t="str">
        <f t="shared" si="79"/>
        <v/>
      </c>
      <c r="X237" s="3" t="str">
        <f t="shared" si="79"/>
        <v/>
      </c>
      <c r="Y237" s="3" t="str">
        <f t="shared" si="79"/>
        <v/>
      </c>
      <c r="Z237" s="3" t="str">
        <f t="shared" si="79"/>
        <v/>
      </c>
      <c r="AA237" s="3" t="str">
        <f t="shared" si="79"/>
        <v/>
      </c>
      <c r="AB237" s="3" t="str">
        <f t="shared" si="79"/>
        <v/>
      </c>
      <c r="AC237" s="3" t="str">
        <f t="shared" si="79"/>
        <v/>
      </c>
      <c r="AD237" s="3" t="str">
        <f t="shared" si="79"/>
        <v/>
      </c>
      <c r="AE237" s="3" t="str">
        <f t="shared" si="79"/>
        <v/>
      </c>
      <c r="AF237" s="3" t="str">
        <f t="shared" si="79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0">IF(B205&lt;100,"",B205-330)</f>
        <v/>
      </c>
      <c r="C238" s="3" t="str">
        <f t="shared" si="80"/>
        <v/>
      </c>
      <c r="D238" s="3" t="str">
        <f t="shared" si="80"/>
        <v/>
      </c>
      <c r="E238" s="3" t="str">
        <f t="shared" si="80"/>
        <v/>
      </c>
      <c r="F238" s="3" t="str">
        <f t="shared" si="80"/>
        <v/>
      </c>
      <c r="G238" s="3" t="str">
        <f t="shared" si="80"/>
        <v/>
      </c>
      <c r="H238" s="3" t="str">
        <f t="shared" si="80"/>
        <v/>
      </c>
      <c r="I238" s="3" t="str">
        <f t="shared" si="80"/>
        <v/>
      </c>
      <c r="J238" s="3" t="str">
        <f t="shared" si="80"/>
        <v/>
      </c>
      <c r="K238" s="3" t="str">
        <f t="shared" si="80"/>
        <v/>
      </c>
      <c r="L238" s="3" t="str">
        <f t="shared" si="80"/>
        <v/>
      </c>
      <c r="M238" s="3" t="str">
        <f t="shared" si="80"/>
        <v/>
      </c>
      <c r="N238" s="3" t="str">
        <f t="shared" si="80"/>
        <v/>
      </c>
      <c r="O238" s="3" t="str">
        <f t="shared" si="80"/>
        <v/>
      </c>
      <c r="P238" s="3" t="str">
        <f t="shared" si="80"/>
        <v/>
      </c>
      <c r="Q238" s="3" t="str">
        <f t="shared" si="80"/>
        <v/>
      </c>
      <c r="R238" s="3" t="str">
        <f t="shared" si="80"/>
        <v/>
      </c>
      <c r="S238" s="3" t="str">
        <f t="shared" si="80"/>
        <v/>
      </c>
      <c r="T238" s="3" t="str">
        <f t="shared" si="80"/>
        <v/>
      </c>
      <c r="U238" s="3" t="str">
        <f t="shared" si="80"/>
        <v/>
      </c>
      <c r="V238" s="3" t="str">
        <f t="shared" si="80"/>
        <v/>
      </c>
      <c r="W238" s="3" t="str">
        <f t="shared" si="80"/>
        <v/>
      </c>
      <c r="X238" s="3" t="str">
        <f t="shared" si="80"/>
        <v/>
      </c>
      <c r="Y238" s="3" t="str">
        <f t="shared" si="80"/>
        <v/>
      </c>
      <c r="Z238" s="3" t="str">
        <f t="shared" si="80"/>
        <v/>
      </c>
      <c r="AA238" s="3" t="str">
        <f t="shared" si="80"/>
        <v/>
      </c>
      <c r="AB238" s="3" t="str">
        <f t="shared" si="80"/>
        <v/>
      </c>
      <c r="AC238" s="3" t="str">
        <f t="shared" si="80"/>
        <v/>
      </c>
      <c r="AD238" s="3" t="str">
        <f t="shared" si="80"/>
        <v/>
      </c>
      <c r="AE238" s="3" t="str">
        <f t="shared" si="80"/>
        <v/>
      </c>
      <c r="AF238" s="3" t="str">
        <f t="shared" si="80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1">IF(C206&lt;100,"",C206-1500)</f>
        <v/>
      </c>
      <c r="D239" s="3" t="str">
        <f t="shared" si="81"/>
        <v/>
      </c>
      <c r="E239" s="3" t="str">
        <f t="shared" si="81"/>
        <v/>
      </c>
      <c r="F239" s="3" t="str">
        <f t="shared" si="81"/>
        <v/>
      </c>
      <c r="G239" s="3" t="str">
        <f t="shared" si="81"/>
        <v/>
      </c>
      <c r="H239" s="3" t="str">
        <f t="shared" si="81"/>
        <v/>
      </c>
      <c r="I239" s="3" t="str">
        <f t="shared" si="81"/>
        <v/>
      </c>
      <c r="J239" s="3" t="str">
        <f t="shared" si="81"/>
        <v/>
      </c>
      <c r="K239" s="3" t="str">
        <f t="shared" si="81"/>
        <v/>
      </c>
      <c r="L239" s="3" t="str">
        <f t="shared" si="81"/>
        <v/>
      </c>
      <c r="M239" s="3" t="str">
        <f t="shared" si="81"/>
        <v/>
      </c>
      <c r="N239" s="3" t="str">
        <f t="shared" si="81"/>
        <v/>
      </c>
      <c r="O239" s="3" t="str">
        <f t="shared" si="81"/>
        <v/>
      </c>
      <c r="P239" s="3" t="str">
        <f t="shared" si="81"/>
        <v/>
      </c>
      <c r="Q239" s="3" t="str">
        <f t="shared" si="81"/>
        <v/>
      </c>
      <c r="R239" s="3" t="str">
        <f t="shared" si="81"/>
        <v/>
      </c>
      <c r="S239" s="3" t="str">
        <f t="shared" si="81"/>
        <v/>
      </c>
      <c r="T239" s="3" t="str">
        <f t="shared" si="81"/>
        <v/>
      </c>
      <c r="U239" s="3" t="str">
        <f t="shared" si="81"/>
        <v/>
      </c>
      <c r="V239" s="3" t="str">
        <f t="shared" si="81"/>
        <v/>
      </c>
      <c r="W239" s="3" t="str">
        <f t="shared" si="81"/>
        <v/>
      </c>
      <c r="X239" s="3" t="str">
        <f t="shared" si="81"/>
        <v/>
      </c>
      <c r="Y239" s="3" t="str">
        <f t="shared" si="81"/>
        <v/>
      </c>
      <c r="Z239" s="3" t="str">
        <f t="shared" si="81"/>
        <v/>
      </c>
      <c r="AA239" s="3" t="str">
        <f t="shared" si="81"/>
        <v/>
      </c>
      <c r="AB239" s="3" t="str">
        <f t="shared" si="81"/>
        <v/>
      </c>
      <c r="AC239" s="3" t="str">
        <f t="shared" si="81"/>
        <v/>
      </c>
      <c r="AD239" s="3" t="str">
        <f t="shared" si="81"/>
        <v/>
      </c>
      <c r="AE239" s="3" t="str">
        <f t="shared" si="81"/>
        <v/>
      </c>
      <c r="AF239" s="3" t="str">
        <f t="shared" si="81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C57:L59 C60:R61 M58:R59 AB81:AF81 C81:R81 D194:AF200 B194:B200 AB84:AF91 B9:AF10 B192:AF192 AF57:AF59 AG73 AB94:AF100 U213:AF213 S58:S61 M37:Y37 M39:Y42 N45:Y48 T58:Y59 C56:AF56 C82:AF83 Z85:AA91 M11:AE14 Z40:AE43 Z16:AF31 Z36:AF36 AF12:AF14 AF43 M53:AF55 C68:AF80">
    <cfRule type="expression" dxfId="5301" priority="297">
      <formula>B$9&gt;=20/24</formula>
    </cfRule>
    <cfRule type="expression" dxfId="5300" priority="298">
      <formula>AND(B$9&gt;=14/24,B$9&lt;20/24)</formula>
    </cfRule>
    <cfRule type="expression" dxfId="5299" priority="299">
      <formula>AND(B$9&gt;=8/24,B$9&lt;14/24)</formula>
    </cfRule>
    <cfRule type="expression" dxfId="5298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5297" priority="292">
      <formula>M$9&gt;=20/24</formula>
    </cfRule>
    <cfRule type="expression" dxfId="5296" priority="293">
      <formula>AND(M$9&gt;=14/24,M$9&lt;20/24)</formula>
    </cfRule>
    <cfRule type="expression" dxfId="5295" priority="294">
      <formula>AND(M$9&gt;=8/24,M$9&lt;14/24)</formula>
    </cfRule>
    <cfRule type="expression" dxfId="5294" priority="295">
      <formula>M$9&lt;8/24</formula>
    </cfRule>
  </conditionalFormatting>
  <conditionalFormatting sqref="M43:Y43">
    <cfRule type="expression" dxfId="5293" priority="288">
      <formula>M$9&gt;=20/24</formula>
    </cfRule>
    <cfRule type="expression" dxfId="5292" priority="289">
      <formula>AND(M$9&gt;=14/24,M$9&lt;20/24)</formula>
    </cfRule>
    <cfRule type="expression" dxfId="5291" priority="290">
      <formula>AND(M$9&gt;=8/24,M$9&lt;14/24)</formula>
    </cfRule>
    <cfRule type="expression" dxfId="5290" priority="291">
      <formula>M$9&lt;8/24</formula>
    </cfRule>
  </conditionalFormatting>
  <conditionalFormatting sqref="Z32:AF32">
    <cfRule type="expression" dxfId="5289" priority="284">
      <formula>Z$9&gt;=20/24</formula>
    </cfRule>
    <cfRule type="expression" dxfId="5288" priority="285">
      <formula>AND(Z$9&gt;=14/24,Z$9&lt;20/24)</formula>
    </cfRule>
    <cfRule type="expression" dxfId="5287" priority="286">
      <formula>AND(Z$9&gt;=8/24,Z$9&lt;14/24)</formula>
    </cfRule>
    <cfRule type="expression" dxfId="5286" priority="287">
      <formula>Z$9&lt;8/24</formula>
    </cfRule>
  </conditionalFormatting>
  <conditionalFormatting sqref="T39:AE39">
    <cfRule type="expression" dxfId="5285" priority="280">
      <formula>T$9&gt;=20/24</formula>
    </cfRule>
    <cfRule type="expression" dxfId="5284" priority="281">
      <formula>AND(T$9&gt;=14/24,T$9&lt;20/24)</formula>
    </cfRule>
    <cfRule type="expression" dxfId="5283" priority="282">
      <formula>AND(T$9&gt;=8/24,T$9&lt;14/24)</formula>
    </cfRule>
    <cfRule type="expression" dxfId="5282" priority="283">
      <formula>T$9&lt;8/24</formula>
    </cfRule>
  </conditionalFormatting>
  <conditionalFormatting sqref="T57:AE57">
    <cfRule type="expression" dxfId="5281" priority="276">
      <formula>T$9&gt;=20/24</formula>
    </cfRule>
    <cfRule type="expression" dxfId="5280" priority="277">
      <formula>AND(T$9&gt;=14/24,T$9&lt;20/24)</formula>
    </cfRule>
    <cfRule type="expression" dxfId="5279" priority="278">
      <formula>AND(T$9&gt;=8/24,T$9&lt;14/24)</formula>
    </cfRule>
    <cfRule type="expression" dxfId="5278" priority="279">
      <formula>T$9&lt;8/24</formula>
    </cfRule>
  </conditionalFormatting>
  <conditionalFormatting sqref="S81:AA81">
    <cfRule type="expression" dxfId="5277" priority="272">
      <formula>S$9&gt;=20/24</formula>
    </cfRule>
    <cfRule type="expression" dxfId="5276" priority="273">
      <formula>AND(S$9&gt;=14/24,S$9&lt;20/24)</formula>
    </cfRule>
    <cfRule type="expression" dxfId="5275" priority="274">
      <formula>AND(S$9&gt;=8/24,S$9&lt;14/24)</formula>
    </cfRule>
    <cfRule type="expression" dxfId="5274" priority="275">
      <formula>S$9&lt;8/24</formula>
    </cfRule>
  </conditionalFormatting>
  <conditionalFormatting sqref="Z84:AA84">
    <cfRule type="expression" dxfId="5273" priority="268">
      <formula>Z$9&gt;=20/24</formula>
    </cfRule>
    <cfRule type="expression" dxfId="5272" priority="269">
      <formula>AND(Z$9&gt;=14/24,Z$9&lt;20/24)</formula>
    </cfRule>
    <cfRule type="expression" dxfId="5271" priority="270">
      <formula>AND(Z$9&gt;=8/24,Z$9&lt;14/24)</formula>
    </cfRule>
    <cfRule type="expression" dxfId="5270" priority="271">
      <formula>Z$9&lt;8/24</formula>
    </cfRule>
  </conditionalFormatting>
  <conditionalFormatting sqref="M49:Y49">
    <cfRule type="expression" dxfId="5269" priority="260">
      <formula>M$9&gt;=20/24</formula>
    </cfRule>
    <cfRule type="expression" dxfId="5268" priority="261">
      <formula>AND(M$9&gt;=14/24,M$9&lt;20/24)</formula>
    </cfRule>
    <cfRule type="expression" dxfId="5267" priority="262">
      <formula>AND(M$9&gt;=8/24,M$9&lt;14/24)</formula>
    </cfRule>
    <cfRule type="expression" dxfId="5266" priority="263">
      <formula>M$9&lt;8/24</formula>
    </cfRule>
  </conditionalFormatting>
  <conditionalFormatting sqref="M50:Y50">
    <cfRule type="expression" dxfId="5265" priority="256">
      <formula>M$9&gt;=20/24</formula>
    </cfRule>
    <cfRule type="expression" dxfId="5264" priority="257">
      <formula>AND(M$9&gt;=14/24,M$9&lt;20/24)</formula>
    </cfRule>
    <cfRule type="expression" dxfId="5263" priority="258">
      <formula>AND(M$9&gt;=8/24,M$9&lt;14/24)</formula>
    </cfRule>
    <cfRule type="expression" dxfId="5262" priority="259">
      <formula>M$9&lt;8/24</formula>
    </cfRule>
  </conditionalFormatting>
  <conditionalFormatting sqref="M45:Y48">
    <cfRule type="expression" dxfId="5261" priority="252">
      <formula>M$9&gt;=20/24</formula>
    </cfRule>
    <cfRule type="expression" dxfId="5260" priority="253">
      <formula>AND(M$9&gt;=14/24,M$9&lt;20/24)</formula>
    </cfRule>
    <cfRule type="expression" dxfId="5259" priority="254">
      <formula>AND(M$9&gt;=8/24,M$9&lt;14/24)</formula>
    </cfRule>
    <cfRule type="expression" dxfId="5258" priority="255">
      <formula>M$9&lt;8/24</formula>
    </cfRule>
  </conditionalFormatting>
  <conditionalFormatting sqref="Z37:AE37">
    <cfRule type="expression" dxfId="5257" priority="248">
      <formula>Z$9&gt;=20/24</formula>
    </cfRule>
    <cfRule type="expression" dxfId="5256" priority="249">
      <formula>AND(Z$9&gt;=14/24,Z$9&lt;20/24)</formula>
    </cfRule>
    <cfRule type="expression" dxfId="5255" priority="250">
      <formula>AND(Z$9&gt;=8/24,Z$9&lt;14/24)</formula>
    </cfRule>
    <cfRule type="expression" dxfId="5254" priority="251">
      <formula>Z$9&lt;8/24</formula>
    </cfRule>
  </conditionalFormatting>
  <conditionalFormatting sqref="T42:Y43 T45:AF48">
    <cfRule type="expression" dxfId="5253" priority="240">
      <formula>T$9&gt;=20/24</formula>
    </cfRule>
    <cfRule type="expression" dxfId="5252" priority="241">
      <formula>AND(T$9&gt;=14/24,T$9&lt;20/24)</formula>
    </cfRule>
    <cfRule type="expression" dxfId="5251" priority="242">
      <formula>AND(T$9&gt;=8/24,T$9&lt;14/24)</formula>
    </cfRule>
    <cfRule type="expression" dxfId="5250" priority="243">
      <formula>T$9&lt;8/24</formula>
    </cfRule>
  </conditionalFormatting>
  <conditionalFormatting sqref="T49:AF49">
    <cfRule type="expression" dxfId="5249" priority="236">
      <formula>T$9&gt;=20/24</formula>
    </cfRule>
    <cfRule type="expression" dxfId="5248" priority="237">
      <formula>AND(T$9&gt;=14/24,T$9&lt;20/24)</formula>
    </cfRule>
    <cfRule type="expression" dxfId="5247" priority="238">
      <formula>AND(T$9&gt;=8/24,T$9&lt;14/24)</formula>
    </cfRule>
    <cfRule type="expression" dxfId="5246" priority="239">
      <formula>T$9&lt;8/24</formula>
    </cfRule>
  </conditionalFormatting>
  <conditionalFormatting sqref="T50:AF50">
    <cfRule type="expression" dxfId="5245" priority="232">
      <formula>T$9&gt;=20/24</formula>
    </cfRule>
    <cfRule type="expression" dxfId="5244" priority="233">
      <formula>AND(T$9&gt;=14/24,T$9&lt;20/24)</formula>
    </cfRule>
    <cfRule type="expression" dxfId="5243" priority="234">
      <formula>AND(T$9&gt;=8/24,T$9&lt;14/24)</formula>
    </cfRule>
    <cfRule type="expression" dxfId="5242" priority="235">
      <formula>T$9&lt;8/24</formula>
    </cfRule>
  </conditionalFormatting>
  <conditionalFormatting sqref="T60:V67 Z60:AF67">
    <cfRule type="expression" dxfId="5241" priority="228">
      <formula>T$9&gt;=20/24</formula>
    </cfRule>
    <cfRule type="expression" dxfId="5240" priority="229">
      <formula>AND(T$9&gt;=14/24,T$9&lt;20/24)</formula>
    </cfRule>
    <cfRule type="expression" dxfId="5239" priority="230">
      <formula>AND(T$9&gt;=8/24,T$9&lt;14/24)</formula>
    </cfRule>
    <cfRule type="expression" dxfId="5238" priority="231">
      <formula>T$9&lt;8/24</formula>
    </cfRule>
  </conditionalFormatting>
  <conditionalFormatting sqref="U94:AA97">
    <cfRule type="expression" dxfId="5237" priority="220">
      <formula>U$9&gt;=20/24</formula>
    </cfRule>
    <cfRule type="expression" dxfId="5236" priority="221">
      <formula>AND(U$9&gt;=14/24,U$9&lt;20/24)</formula>
    </cfRule>
    <cfRule type="expression" dxfId="5235" priority="222">
      <formula>AND(U$9&gt;=8/24,U$9&lt;14/24)</formula>
    </cfRule>
    <cfRule type="expression" dxfId="5234" priority="223">
      <formula>U$9&lt;8/24</formula>
    </cfRule>
  </conditionalFormatting>
  <conditionalFormatting sqref="AG51 E11:R11 C44:D44 E44:F45 G44:R50 G12:R14 C39:R43 S11:X14 G16:Y16 Y12:Y14 C38:AF38 Y11:AF11 E37:AF37 Z34:AF34 Z12:AF32 C51:AF56 Z36:AF36 S39:AF50">
    <cfRule type="expression" dxfId="5233" priority="219">
      <formula>C11&gt;$AG11</formula>
    </cfRule>
  </conditionalFormatting>
  <conditionalFormatting sqref="A101:A157 A84:A97 A11:A14 A16:A32 A45:A72 A80:A82 A74:A78 A35:A43 A170:A200">
    <cfRule type="expression" dxfId="5232" priority="218">
      <formula>$AH11=0</formula>
    </cfRule>
  </conditionalFormatting>
  <conditionalFormatting sqref="U98:AA98">
    <cfRule type="expression" dxfId="5231" priority="214">
      <formula>U$9&gt;=20/24</formula>
    </cfRule>
    <cfRule type="expression" dxfId="5230" priority="215">
      <formula>AND(U$9&gt;=14/24,U$9&lt;20/24)</formula>
    </cfRule>
    <cfRule type="expression" dxfId="5229" priority="216">
      <formula>AND(U$9&gt;=8/24,U$9&lt;14/24)</formula>
    </cfRule>
    <cfRule type="expression" dxfId="5228" priority="217">
      <formula>U$9&lt;8/24</formula>
    </cfRule>
  </conditionalFormatting>
  <conditionalFormatting sqref="A98">
    <cfRule type="expression" dxfId="5227" priority="213">
      <formula>$AH98=0</formula>
    </cfRule>
  </conditionalFormatting>
  <conditionalFormatting sqref="AL32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5226" priority="196">
      <formula>Z$9&gt;=20/24</formula>
    </cfRule>
    <cfRule type="expression" dxfId="5225" priority="197">
      <formula>AND(Z$9&gt;=14/24,Z$9&lt;20/24)</formula>
    </cfRule>
    <cfRule type="expression" dxfId="5224" priority="198">
      <formula>AND(Z$9&gt;=8/24,Z$9&lt;14/24)</formula>
    </cfRule>
    <cfRule type="expression" dxfId="5223" priority="199">
      <formula>Z$9&lt;8/24</formula>
    </cfRule>
  </conditionalFormatting>
  <conditionalFormatting sqref="A34">
    <cfRule type="expression" dxfId="5222" priority="187">
      <formula>$AH34=0</formula>
    </cfRule>
  </conditionalFormatting>
  <conditionalFormatting sqref="A83">
    <cfRule type="expression" dxfId="5221" priority="186">
      <formula>$AH83=0</formula>
    </cfRule>
  </conditionalFormatting>
  <conditionalFormatting sqref="Z15:AF15">
    <cfRule type="expression" dxfId="5220" priority="182">
      <formula>Z$9&gt;=20/24</formula>
    </cfRule>
    <cfRule type="expression" dxfId="5219" priority="183">
      <formula>AND(Z$9&gt;=14/24,Z$9&lt;20/24)</formula>
    </cfRule>
    <cfRule type="expression" dxfId="5218" priority="184">
      <formula>AND(Z$9&gt;=8/24,Z$9&lt;14/24)</formula>
    </cfRule>
    <cfRule type="expression" dxfId="5217" priority="185">
      <formula>Z$9&lt;8/24</formula>
    </cfRule>
  </conditionalFormatting>
  <conditionalFormatting sqref="G15:Y15">
    <cfRule type="expression" dxfId="5216" priority="177">
      <formula>G15&gt;$AG15</formula>
    </cfRule>
  </conditionalFormatting>
  <conditionalFormatting sqref="A15">
    <cfRule type="expression" dxfId="5215" priority="176">
      <formula>$AH15=0</formula>
    </cfRule>
  </conditionalFormatting>
  <conditionalFormatting sqref="A164:A169">
    <cfRule type="expression" dxfId="5214" priority="175">
      <formula>$AH164=0</formula>
    </cfRule>
  </conditionalFormatting>
  <conditionalFormatting sqref="A158:A163">
    <cfRule type="expression" dxfId="5213" priority="174">
      <formula>$AH158=0</formula>
    </cfRule>
  </conditionalFormatting>
  <conditionalFormatting sqref="Z44:AF44">
    <cfRule type="expression" dxfId="5212" priority="170">
      <formula>Z$9&gt;=20/24</formula>
    </cfRule>
    <cfRule type="expression" dxfId="5211" priority="171">
      <formula>AND(Z$9&gt;=14/24,Z$9&lt;20/24)</formula>
    </cfRule>
    <cfRule type="expression" dxfId="5210" priority="172">
      <formula>AND(Z$9&gt;=8/24,Z$9&lt;14/24)</formula>
    </cfRule>
    <cfRule type="expression" dxfId="5209" priority="173">
      <formula>Z$9&lt;8/24</formula>
    </cfRule>
  </conditionalFormatting>
  <conditionalFormatting sqref="M44:AF44">
    <cfRule type="expression" dxfId="5208" priority="166">
      <formula>M$9&gt;=20/24</formula>
    </cfRule>
    <cfRule type="expression" dxfId="5207" priority="167">
      <formula>AND(M$9&gt;=14/24,M$9&lt;20/24)</formula>
    </cfRule>
    <cfRule type="expression" dxfId="5206" priority="168">
      <formula>AND(M$9&gt;=8/24,M$9&lt;14/24)</formula>
    </cfRule>
    <cfRule type="expression" dxfId="5205" priority="169">
      <formula>M$9&lt;8/24</formula>
    </cfRule>
  </conditionalFormatting>
  <conditionalFormatting sqref="T44:AF44">
    <cfRule type="expression" dxfId="5204" priority="162">
      <formula>T$9&gt;=20/24</formula>
    </cfRule>
    <cfRule type="expression" dxfId="5203" priority="163">
      <formula>AND(T$9&gt;=14/24,T$9&lt;20/24)</formula>
    </cfRule>
    <cfRule type="expression" dxfId="5202" priority="164">
      <formula>AND(T$9&gt;=8/24,T$9&lt;14/24)</formula>
    </cfRule>
    <cfRule type="expression" dxfId="5201" priority="165">
      <formula>T$9&lt;8/24</formula>
    </cfRule>
  </conditionalFormatting>
  <conditionalFormatting sqref="A44">
    <cfRule type="expression" dxfId="5200" priority="161">
      <formula>$AH44=0</formula>
    </cfRule>
  </conditionalFormatting>
  <conditionalFormatting sqref="A79">
    <cfRule type="expression" dxfId="5199" priority="160">
      <formula>$AH79=0</formula>
    </cfRule>
  </conditionalFormatting>
  <conditionalFormatting sqref="A73">
    <cfRule type="expression" dxfId="5198" priority="159">
      <formula>$AH73=0</formula>
    </cfRule>
  </conditionalFormatting>
  <conditionalFormatting sqref="AL34:AL35 AL7:AL31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W60:Y67">
    <cfRule type="expression" dxfId="5197" priority="155">
      <formula>W$9&gt;=20/24</formula>
    </cfRule>
    <cfRule type="expression" dxfId="5196" priority="156">
      <formula>AND(W$9&gt;=14/24,W$9&lt;20/24)</formula>
    </cfRule>
    <cfRule type="expression" dxfId="5195" priority="157">
      <formula>AND(W$9&gt;=8/24,W$9&lt;14/24)</formula>
    </cfRule>
    <cfRule type="expression" dxfId="5194" priority="158">
      <formula>W$9&lt;8/24</formula>
    </cfRule>
  </conditionalFormatting>
  <conditionalFormatting sqref="C84:R91 S85:Y91">
    <cfRule type="expression" dxfId="5193" priority="147">
      <formula>C$9&gt;=20/24</formula>
    </cfRule>
    <cfRule type="expression" dxfId="5192" priority="148">
      <formula>AND(C$9&gt;=14/24,C$9&lt;20/24)</formula>
    </cfRule>
    <cfRule type="expression" dxfId="5191" priority="149">
      <formula>AND(C$9&gt;=8/24,C$9&lt;14/24)</formula>
    </cfRule>
    <cfRule type="expression" dxfId="5190" priority="150">
      <formula>C$9&lt;8/24</formula>
    </cfRule>
  </conditionalFormatting>
  <conditionalFormatting sqref="S84:Y84">
    <cfRule type="expression" dxfId="5189" priority="143">
      <formula>S$9&gt;=20/24</formula>
    </cfRule>
    <cfRule type="expression" dxfId="5188" priority="144">
      <formula>AND(S$9&gt;=14/24,S$9&lt;20/24)</formula>
    </cfRule>
    <cfRule type="expression" dxfId="5187" priority="145">
      <formula>AND(S$9&gt;=8/24,S$9&lt;14/24)</formula>
    </cfRule>
    <cfRule type="expression" dxfId="5186" priority="146">
      <formula>S$9&lt;8/24</formula>
    </cfRule>
  </conditionalFormatting>
  <conditionalFormatting sqref="C95:M97 C94:F94">
    <cfRule type="expression" dxfId="5185" priority="139">
      <formula>C$9&gt;=20/24</formula>
    </cfRule>
    <cfRule type="expression" dxfId="5184" priority="140">
      <formula>AND(C$9&gt;=14/24,C$9&lt;20/24)</formula>
    </cfRule>
    <cfRule type="expression" dxfId="5183" priority="141">
      <formula>AND(C$9&gt;=8/24,C$9&lt;14/24)</formula>
    </cfRule>
    <cfRule type="expression" dxfId="5182" priority="142">
      <formula>C$9&lt;8/24</formula>
    </cfRule>
  </conditionalFormatting>
  <conditionalFormatting sqref="N95:R97 O94:R94">
    <cfRule type="expression" dxfId="5181" priority="135">
      <formula>N$9&gt;=20/24</formula>
    </cfRule>
    <cfRule type="expression" dxfId="5180" priority="136">
      <formula>AND(N$9&gt;=14/24,N$9&lt;20/24)</formula>
    </cfRule>
    <cfRule type="expression" dxfId="5179" priority="137">
      <formula>AND(N$9&gt;=8/24,N$9&lt;14/24)</formula>
    </cfRule>
    <cfRule type="expression" dxfId="5178" priority="138">
      <formula>N$9&lt;8/24</formula>
    </cfRule>
  </conditionalFormatting>
  <conditionalFormatting sqref="S94:T97">
    <cfRule type="expression" dxfId="5177" priority="131">
      <formula>S$9&gt;=20/24</formula>
    </cfRule>
    <cfRule type="expression" dxfId="5176" priority="132">
      <formula>AND(S$9&gt;=14/24,S$9&lt;20/24)</formula>
    </cfRule>
    <cfRule type="expression" dxfId="5175" priority="133">
      <formula>AND(S$9&gt;=8/24,S$9&lt;14/24)</formula>
    </cfRule>
    <cfRule type="expression" dxfId="5174" priority="134">
      <formula>S$9&lt;8/24</formula>
    </cfRule>
  </conditionalFormatting>
  <conditionalFormatting sqref="C98:M98">
    <cfRule type="expression" dxfId="5173" priority="127">
      <formula>C$9&gt;=20/24</formula>
    </cfRule>
    <cfRule type="expression" dxfId="5172" priority="128">
      <formula>AND(C$9&gt;=14/24,C$9&lt;20/24)</formula>
    </cfRule>
    <cfRule type="expression" dxfId="5171" priority="129">
      <formula>AND(C$9&gt;=8/24,C$9&lt;14/24)</formula>
    </cfRule>
    <cfRule type="expression" dxfId="5170" priority="130">
      <formula>C$9&lt;8/24</formula>
    </cfRule>
  </conditionalFormatting>
  <conditionalFormatting sqref="N98:R98">
    <cfRule type="expression" dxfId="5169" priority="123">
      <formula>N$9&gt;=20/24</formula>
    </cfRule>
    <cfRule type="expression" dxfId="5168" priority="124">
      <formula>AND(N$9&gt;=14/24,N$9&lt;20/24)</formula>
    </cfRule>
    <cfRule type="expression" dxfId="5167" priority="125">
      <formula>AND(N$9&gt;=8/24,N$9&lt;14/24)</formula>
    </cfRule>
    <cfRule type="expression" dxfId="5166" priority="126">
      <formula>N$9&lt;8/24</formula>
    </cfRule>
  </conditionalFormatting>
  <conditionalFormatting sqref="S98:T98">
    <cfRule type="expression" dxfId="5165" priority="119">
      <formula>S$9&gt;=20/24</formula>
    </cfRule>
    <cfRule type="expression" dxfId="5164" priority="120">
      <formula>AND(S$9&gt;=14/24,S$9&lt;20/24)</formula>
    </cfRule>
    <cfRule type="expression" dxfId="5163" priority="121">
      <formula>AND(S$9&gt;=8/24,S$9&lt;14/24)</formula>
    </cfRule>
    <cfRule type="expression" dxfId="5162" priority="122">
      <formula>S$9&lt;8/24</formula>
    </cfRule>
  </conditionalFormatting>
  <conditionalFormatting sqref="M94:N94">
    <cfRule type="expression" dxfId="5161" priority="115">
      <formula>M$9&gt;=20/24</formula>
    </cfRule>
    <cfRule type="expression" dxfId="5160" priority="116">
      <formula>AND(M$9&gt;=14/24,M$9&lt;20/24)</formula>
    </cfRule>
    <cfRule type="expression" dxfId="5159" priority="117">
      <formula>AND(M$9&gt;=8/24,M$9&lt;14/24)</formula>
    </cfRule>
    <cfRule type="expression" dxfId="5158" priority="118">
      <formula>M$9&lt;8/24</formula>
    </cfRule>
  </conditionalFormatting>
  <conditionalFormatting sqref="G94:L94">
    <cfRule type="expression" dxfId="5157" priority="111">
      <formula>G$9&gt;=20/24</formula>
    </cfRule>
    <cfRule type="expression" dxfId="5156" priority="112">
      <formula>AND(G$9&gt;=14/24,G$9&lt;20/24)</formula>
    </cfRule>
    <cfRule type="expression" dxfId="5155" priority="113">
      <formula>AND(G$9&gt;=8/24,G$9&lt;14/24)</formula>
    </cfRule>
    <cfRule type="expression" dxfId="5154" priority="114">
      <formula>G$9&lt;8/24</formula>
    </cfRule>
  </conditionalFormatting>
  <conditionalFormatting sqref="U94:W94">
    <cfRule type="expression" dxfId="5153" priority="107">
      <formula>U$9&gt;=20/24</formula>
    </cfRule>
    <cfRule type="expression" dxfId="5152" priority="108">
      <formula>AND(U$9&gt;=14/24,U$9&lt;20/24)</formula>
    </cfRule>
    <cfRule type="expression" dxfId="5151" priority="109">
      <formula>AND(U$9&gt;=8/24,U$9&lt;14/24)</formula>
    </cfRule>
    <cfRule type="expression" dxfId="5150" priority="110">
      <formula>U$9&lt;8/24</formula>
    </cfRule>
  </conditionalFormatting>
  <conditionalFormatting sqref="N94:T94">
    <cfRule type="expression" dxfId="5149" priority="103">
      <formula>N$9&gt;=20/24</formula>
    </cfRule>
    <cfRule type="expression" dxfId="5148" priority="104">
      <formula>AND(N$9&gt;=14/24,N$9&lt;20/24)</formula>
    </cfRule>
    <cfRule type="expression" dxfId="5147" priority="105">
      <formula>AND(N$9&gt;=8/24,N$9&lt;14/24)</formula>
    </cfRule>
    <cfRule type="expression" dxfId="5146" priority="106">
      <formula>N$9&lt;8/24</formula>
    </cfRule>
  </conditionalFormatting>
  <conditionalFormatting sqref="U99:AA100">
    <cfRule type="expression" dxfId="5145" priority="99">
      <formula>U$9&gt;=20/24</formula>
    </cfRule>
    <cfRule type="expression" dxfId="5144" priority="100">
      <formula>AND(U$9&gt;=14/24,U$9&lt;20/24)</formula>
    </cfRule>
    <cfRule type="expression" dxfId="5143" priority="101">
      <formula>AND(U$9&gt;=8/24,U$9&lt;14/24)</formula>
    </cfRule>
    <cfRule type="expression" dxfId="5142" priority="102">
      <formula>U$9&lt;8/24</formula>
    </cfRule>
  </conditionalFormatting>
  <conditionalFormatting sqref="C99:M100">
    <cfRule type="expression" dxfId="5141" priority="95">
      <formula>C$9&gt;=20/24</formula>
    </cfRule>
    <cfRule type="expression" dxfId="5140" priority="96">
      <formula>AND(C$9&gt;=14/24,C$9&lt;20/24)</formula>
    </cfRule>
    <cfRule type="expression" dxfId="5139" priority="97">
      <formula>AND(C$9&gt;=8/24,C$9&lt;14/24)</formula>
    </cfRule>
    <cfRule type="expression" dxfId="5138" priority="98">
      <formula>C$9&lt;8/24</formula>
    </cfRule>
  </conditionalFormatting>
  <conditionalFormatting sqref="N99:R100">
    <cfRule type="expression" dxfId="5137" priority="91">
      <formula>N$9&gt;=20/24</formula>
    </cfRule>
    <cfRule type="expression" dxfId="5136" priority="92">
      <formula>AND(N$9&gt;=14/24,N$9&lt;20/24)</formula>
    </cfRule>
    <cfRule type="expression" dxfId="5135" priority="93">
      <formula>AND(N$9&gt;=8/24,N$9&lt;14/24)</formula>
    </cfRule>
    <cfRule type="expression" dxfId="5134" priority="94">
      <formula>N$9&lt;8/24</formula>
    </cfRule>
  </conditionalFormatting>
  <conditionalFormatting sqref="S99:T100">
    <cfRule type="expression" dxfId="5133" priority="87">
      <formula>S$9&gt;=20/24</formula>
    </cfRule>
    <cfRule type="expression" dxfId="5132" priority="88">
      <formula>AND(S$9&gt;=14/24,S$9&lt;20/24)</formula>
    </cfRule>
    <cfRule type="expression" dxfId="5131" priority="89">
      <formula>AND(S$9&gt;=8/24,S$9&lt;14/24)</formula>
    </cfRule>
    <cfRule type="expression" dxfId="5130" priority="90">
      <formula>S$9&lt;8/24</formula>
    </cfRule>
  </conditionalFormatting>
  <conditionalFormatting sqref="AC58:AE59">
    <cfRule type="expression" dxfId="5129" priority="71">
      <formula>AC$9&gt;=20/24</formula>
    </cfRule>
    <cfRule type="expression" dxfId="5128" priority="72">
      <formula>AND(AC$9&gt;=14/24,AC$9&lt;20/24)</formula>
    </cfRule>
    <cfRule type="expression" dxfId="5127" priority="73">
      <formula>AND(AC$9&gt;=8/24,AC$9&lt;14/24)</formula>
    </cfRule>
    <cfRule type="expression" dxfId="5126" priority="74">
      <formula>AC$9&lt;8/24</formula>
    </cfRule>
  </conditionalFormatting>
  <conditionalFormatting sqref="AL3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125" priority="304">
      <formula>C$9&gt;=20/24</formula>
    </cfRule>
    <cfRule type="expression" dxfId="5124" priority="305">
      <formula>AND(C$9&gt;=14/24,C$9&lt;20/24)</formula>
    </cfRule>
    <cfRule type="expression" dxfId="5123" priority="306">
      <formula>AND(C$9&gt;=8/24,C$9&lt;14/24)</formula>
    </cfRule>
    <cfRule type="expression" dxfId="5122" priority="307">
      <formula>C$9&lt;8/24</formula>
    </cfRule>
  </conditionalFormatting>
  <conditionalFormatting sqref="A201">
    <cfRule type="expression" dxfId="5121" priority="308">
      <formula>$AH201=0</formula>
    </cfRule>
  </conditionalFormatting>
  <conditionalFormatting sqref="AG213">
    <cfRule type="expression" dxfId="5120" priority="309">
      <formula>B$9&gt;=20/24</formula>
    </cfRule>
    <cfRule type="expression" dxfId="5119" priority="310">
      <formula>AND(B$9&gt;=14/24,B$9&lt;20/24)</formula>
    </cfRule>
    <cfRule type="expression" dxfId="5118" priority="311">
      <formula>AND(B$9&gt;=8/24,B$9&lt;14/24)</formula>
    </cfRule>
    <cfRule type="expression" dxfId="5117" priority="312">
      <formula>B$9&lt;8/24</formula>
    </cfRule>
  </conditionalFormatting>
  <conditionalFormatting sqref="S8">
    <cfRule type="expression" dxfId="5116" priority="65">
      <formula>U$9&gt;=20/24</formula>
    </cfRule>
    <cfRule type="expression" dxfId="5115" priority="66">
      <formula>AND(U$9&gt;=14/24,U$9&lt;20/24)</formula>
    </cfRule>
    <cfRule type="expression" dxfId="5114" priority="67">
      <formula>AND(U$9&gt;=8/24,U$9&lt;14/24)</formula>
    </cfRule>
    <cfRule type="expression" dxfId="5113" priority="68">
      <formula>U$9&lt;8/24</formula>
    </cfRule>
  </conditionalFormatting>
  <conditionalFormatting sqref="AB8">
    <cfRule type="expression" dxfId="5112" priority="61">
      <formula>AD$9&gt;=20/24</formula>
    </cfRule>
    <cfRule type="expression" dxfId="5111" priority="62">
      <formula>AND(AD$9&gt;=14/24,AD$9&lt;20/24)</formula>
    </cfRule>
    <cfRule type="expression" dxfId="5110" priority="63">
      <formula>AND(AD$9&gt;=8/24,AD$9&lt;14/24)</formula>
    </cfRule>
    <cfRule type="expression" dxfId="5109" priority="64">
      <formula>AD$9&lt;8/24</formula>
    </cfRule>
  </conditionalFormatting>
  <conditionalFormatting sqref="AH213:AX213">
    <cfRule type="expression" dxfId="5108" priority="313">
      <formula>AG$9&gt;=20/24</formula>
    </cfRule>
    <cfRule type="expression" dxfId="5107" priority="314">
      <formula>AND(AG$9&gt;=14/24,AG$9&lt;20/24)</formula>
    </cfRule>
    <cfRule type="expression" dxfId="5106" priority="315">
      <formula>AND(AG$9&gt;=8/24,AG$9&lt;14/24)</formula>
    </cfRule>
    <cfRule type="expression" dxfId="5105" priority="316">
      <formula>AG$9&lt;8/24</formula>
    </cfRule>
  </conditionalFormatting>
  <conditionalFormatting sqref="T213">
    <cfRule type="expression" dxfId="5104" priority="317">
      <formula>AX$9&gt;=20/24</formula>
    </cfRule>
    <cfRule type="expression" dxfId="5103" priority="318">
      <formula>AND(AX$9&gt;=14/24,AX$9&lt;20/24)</formula>
    </cfRule>
    <cfRule type="expression" dxfId="5102" priority="319">
      <formula>AND(AX$9&gt;=8/24,AX$9&lt;14/24)</formula>
    </cfRule>
    <cfRule type="expression" dxfId="5101" priority="320">
      <formula>AX$9&lt;8/24</formula>
    </cfRule>
  </conditionalFormatting>
  <conditionalFormatting sqref="A99:A100">
    <cfRule type="expression" dxfId="5100" priority="60">
      <formula>$AH99=0</formula>
    </cfRule>
  </conditionalFormatting>
  <conditionalFormatting sqref="Z33:AF33">
    <cfRule type="expression" dxfId="5099" priority="52">
      <formula>Z$9&gt;=20/24</formula>
    </cfRule>
    <cfRule type="expression" dxfId="5098" priority="53">
      <formula>AND(Z$9&gt;=14/24,Z$9&lt;20/24)</formula>
    </cfRule>
    <cfRule type="expression" dxfId="5097" priority="54">
      <formula>AND(Z$9&gt;=8/24,Z$9&lt;14/24)</formula>
    </cfRule>
    <cfRule type="expression" dxfId="5096" priority="55">
      <formula>Z$9&lt;8/24</formula>
    </cfRule>
  </conditionalFormatting>
  <conditionalFormatting sqref="Z33:AF33">
    <cfRule type="expression" dxfId="5095" priority="47">
      <formula>Z33&gt;$AG33</formula>
    </cfRule>
  </conditionalFormatting>
  <conditionalFormatting sqref="B94:B100 B53:B61 B68:B91 B11:D14 B16:F31 E12:F14 G17:Y31 B36:Y36">
    <cfRule type="expression" dxfId="5094" priority="43">
      <formula>B$9&gt;=20/24</formula>
    </cfRule>
    <cfRule type="expression" dxfId="5093" priority="44">
      <formula>AND(B$9&gt;=14/24,B$9&lt;20/24)</formula>
    </cfRule>
    <cfRule type="expression" dxfId="5092" priority="45">
      <formula>AND(B$9&gt;=8/24,B$9&lt;14/24)</formula>
    </cfRule>
    <cfRule type="expression" dxfId="5091" priority="46">
      <formula>B$9&lt;8/24</formula>
    </cfRule>
  </conditionalFormatting>
  <conditionalFormatting sqref="B32:Y32">
    <cfRule type="expression" dxfId="5090" priority="39">
      <formula>B$9&gt;=20/24</formula>
    </cfRule>
    <cfRule type="expression" dxfId="5089" priority="40">
      <formula>AND(B$9&gt;=14/24,B$9&lt;20/24)</formula>
    </cfRule>
    <cfRule type="expression" dxfId="5088" priority="41">
      <formula>AND(B$9&gt;=8/24,B$9&lt;14/24)</formula>
    </cfRule>
    <cfRule type="expression" dxfId="5087" priority="42">
      <formula>B$9&lt;8/24</formula>
    </cfRule>
  </conditionalFormatting>
  <conditionalFormatting sqref="B37:D37">
    <cfRule type="expression" dxfId="5086" priority="35">
      <formula>B$9&gt;=20/24</formula>
    </cfRule>
    <cfRule type="expression" dxfId="5085" priority="36">
      <formula>AND(B$9&gt;=14/24,B$9&lt;20/24)</formula>
    </cfRule>
    <cfRule type="expression" dxfId="5084" priority="37">
      <formula>AND(B$9&gt;=8/24,B$9&lt;14/24)</formula>
    </cfRule>
    <cfRule type="expression" dxfId="5083" priority="38">
      <formula>B$9&lt;8/24</formula>
    </cfRule>
  </conditionalFormatting>
  <conditionalFormatting sqref="B35:AF35">
    <cfRule type="expression" dxfId="5082" priority="31">
      <formula>B$9&gt;=20/24</formula>
    </cfRule>
    <cfRule type="expression" dxfId="5081" priority="32">
      <formula>AND(B$9&gt;=14/24,B$9&lt;20/24)</formula>
    </cfRule>
    <cfRule type="expression" dxfId="5080" priority="33">
      <formula>AND(B$9&gt;=8/24,B$9&lt;14/24)</formula>
    </cfRule>
    <cfRule type="expression" dxfId="5079" priority="34">
      <formula>B$9&lt;8/24</formula>
    </cfRule>
  </conditionalFormatting>
  <conditionalFormatting sqref="B45:D48 E46:F48">
    <cfRule type="expression" dxfId="5078" priority="27">
      <formula>B$9&gt;=20/24</formula>
    </cfRule>
    <cfRule type="expression" dxfId="5077" priority="28">
      <formula>AND(B$9&gt;=14/24,B$9&lt;20/24)</formula>
    </cfRule>
    <cfRule type="expression" dxfId="5076" priority="29">
      <formula>AND(B$9&gt;=8/24,B$9&lt;14/24)</formula>
    </cfRule>
    <cfRule type="expression" dxfId="5075" priority="30">
      <formula>B$9&lt;8/24</formula>
    </cfRule>
  </conditionalFormatting>
  <conditionalFormatting sqref="B49:F49">
    <cfRule type="expression" dxfId="5074" priority="23">
      <formula>B$9&gt;=20/24</formula>
    </cfRule>
    <cfRule type="expression" dxfId="5073" priority="24">
      <formula>AND(B$9&gt;=14/24,B$9&lt;20/24)</formula>
    </cfRule>
    <cfRule type="expression" dxfId="5072" priority="25">
      <formula>AND(B$9&gt;=8/24,B$9&lt;14/24)</formula>
    </cfRule>
    <cfRule type="expression" dxfId="5071" priority="26">
      <formula>B$9&lt;8/24</formula>
    </cfRule>
  </conditionalFormatting>
  <conditionalFormatting sqref="B50:F50">
    <cfRule type="expression" dxfId="5070" priority="19">
      <formula>B$9&gt;=20/24</formula>
    </cfRule>
    <cfRule type="expression" dxfId="5069" priority="20">
      <formula>AND(B$9&gt;=14/24,B$9&lt;20/24)</formula>
    </cfRule>
    <cfRule type="expression" dxfId="5068" priority="21">
      <formula>AND(B$9&gt;=8/24,B$9&lt;14/24)</formula>
    </cfRule>
    <cfRule type="expression" dxfId="5067" priority="22">
      <formula>B$9&lt;8/24</formula>
    </cfRule>
  </conditionalFormatting>
  <conditionalFormatting sqref="B62:S67">
    <cfRule type="expression" dxfId="5066" priority="15">
      <formula>B$9&gt;=20/24</formula>
    </cfRule>
    <cfRule type="expression" dxfId="5065" priority="16">
      <formula>AND(B$9&gt;=14/24,B$9&lt;20/24)</formula>
    </cfRule>
    <cfRule type="expression" dxfId="5064" priority="17">
      <formula>AND(B$9&gt;=8/24,B$9&lt;14/24)</formula>
    </cfRule>
    <cfRule type="expression" dxfId="5063" priority="18">
      <formula>B$9&lt;8/24</formula>
    </cfRule>
  </conditionalFormatting>
  <conditionalFormatting sqref="B34:B56 B11:D32 C34:D37 C45:D50 E12:F32 E46:F50 G17:Y32 E34:Y34 E36:Y36 E35:AF35">
    <cfRule type="expression" dxfId="5062" priority="14">
      <formula>B11&gt;$AG11</formula>
    </cfRule>
  </conditionalFormatting>
  <conditionalFormatting sqref="B34:Y34">
    <cfRule type="expression" dxfId="5061" priority="10">
      <formula>B$9&gt;=20/24</formula>
    </cfRule>
    <cfRule type="expression" dxfId="5060" priority="11">
      <formula>AND(B$9&gt;=14/24,B$9&lt;20/24)</formula>
    </cfRule>
    <cfRule type="expression" dxfId="5059" priority="12">
      <formula>AND(B$9&gt;=8/24,B$9&lt;14/24)</formula>
    </cfRule>
    <cfRule type="expression" dxfId="5058" priority="13">
      <formula>B$9&lt;8/24</formula>
    </cfRule>
  </conditionalFormatting>
  <conditionalFormatting sqref="B15:F15">
    <cfRule type="expression" dxfId="5057" priority="6">
      <formula>B$9&gt;=20/24</formula>
    </cfRule>
    <cfRule type="expression" dxfId="5056" priority="7">
      <formula>AND(B$9&gt;=14/24,B$9&lt;20/24)</formula>
    </cfRule>
    <cfRule type="expression" dxfId="5055" priority="8">
      <formula>AND(B$9&gt;=8/24,B$9&lt;14/24)</formula>
    </cfRule>
    <cfRule type="expression" dxfId="5054" priority="9">
      <formula>B$9&lt;8/24</formula>
    </cfRule>
  </conditionalFormatting>
  <conditionalFormatting sqref="B33:Y33">
    <cfRule type="expression" dxfId="5053" priority="2">
      <formula>B$9&gt;=20/24</formula>
    </cfRule>
    <cfRule type="expression" dxfId="5052" priority="3">
      <formula>AND(B$9&gt;=14/24,B$9&lt;20/24)</formula>
    </cfRule>
    <cfRule type="expression" dxfId="5051" priority="4">
      <formula>AND(B$9&gt;=8/24,B$9&lt;14/24)</formula>
    </cfRule>
    <cfRule type="expression" dxfId="5050" priority="5">
      <formula>B$9&lt;8/24</formula>
    </cfRule>
  </conditionalFormatting>
  <conditionalFormatting sqref="B33:Y33">
    <cfRule type="expression" dxfId="5049" priority="1">
      <formula>B33&gt;$AG33</formula>
    </cfRule>
  </conditionalFormatting>
  <pageMargins left="0.7" right="0.7" top="0.75" bottom="0.75" header="0.3" footer="0.3"/>
  <pageSetup paperSize="9" orientation="landscape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0" id="{A342C263-5C23-4FE0-99AF-A423343AEC8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M9" sqref="M9:M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2078/12/14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105</v>
      </c>
      <c r="C5" s="157">
        <f t="shared" si="0"/>
        <v>124.5</v>
      </c>
      <c r="D5" s="157">
        <f t="shared" si="0"/>
        <v>274.8</v>
      </c>
      <c r="E5" s="157">
        <f t="shared" si="0"/>
        <v>342.7</v>
      </c>
      <c r="F5" s="157">
        <f t="shared" si="0"/>
        <v>335</v>
      </c>
      <c r="G5" s="157">
        <f t="shared" si="0"/>
        <v>346.8</v>
      </c>
      <c r="H5" s="157">
        <f t="shared" si="0"/>
        <v>409.09999999999997</v>
      </c>
      <c r="I5" s="157">
        <f t="shared" si="0"/>
        <v>210.7</v>
      </c>
      <c r="J5" s="157">
        <f t="shared" si="0"/>
        <v>300.2</v>
      </c>
      <c r="K5" s="157">
        <f t="shared" si="0"/>
        <v>287</v>
      </c>
      <c r="L5" s="157">
        <f t="shared" si="0"/>
        <v>324.7</v>
      </c>
      <c r="M5" s="157">
        <f t="shared" si="0"/>
        <v>334.9</v>
      </c>
      <c r="N5" s="157">
        <f t="shared" si="0"/>
        <v>409.70000000000005</v>
      </c>
      <c r="O5" s="157">
        <f t="shared" si="0"/>
        <v>469.09999999999997</v>
      </c>
      <c r="P5" s="157">
        <f t="shared" si="0"/>
        <v>525.09999999999991</v>
      </c>
      <c r="Q5" s="157">
        <f t="shared" si="0"/>
        <v>469.9</v>
      </c>
      <c r="R5" s="157">
        <f t="shared" si="0"/>
        <v>585</v>
      </c>
      <c r="S5" s="157">
        <f t="shared" si="0"/>
        <v>642</v>
      </c>
      <c r="T5" s="157">
        <f t="shared" si="0"/>
        <v>659</v>
      </c>
      <c r="U5" s="157">
        <f t="shared" si="0"/>
        <v>466.4</v>
      </c>
      <c r="V5" s="157">
        <f t="shared" si="0"/>
        <v>489</v>
      </c>
      <c r="W5" s="157">
        <f t="shared" si="0"/>
        <v>468</v>
      </c>
      <c r="X5" s="157">
        <f t="shared" si="0"/>
        <v>186.3</v>
      </c>
      <c r="Y5" s="157">
        <f t="shared" si="0"/>
        <v>244</v>
      </c>
      <c r="Z5" s="157">
        <f t="shared" si="0"/>
        <v>223</v>
      </c>
      <c r="AA5" s="157">
        <f t="shared" si="0"/>
        <v>228.4</v>
      </c>
      <c r="AB5" s="157">
        <f t="shared" si="0"/>
        <v>215.86</v>
      </c>
      <c r="AC5" s="157">
        <f t="shared" si="0"/>
        <v>219</v>
      </c>
      <c r="AD5" s="157">
        <f t="shared" si="0"/>
        <v>182.87</v>
      </c>
      <c r="AE5" s="157">
        <f t="shared" si="0"/>
        <v>193.52</v>
      </c>
      <c r="AF5" s="157">
        <f>B68</f>
        <v>113.5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1461MW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Load=1160</v>
      </c>
      <c r="B7" s="146">
        <f>B75</f>
        <v>1213.0400000000002</v>
      </c>
      <c r="C7" s="146">
        <f t="shared" ref="C7:AF7" si="1">C75</f>
        <v>1188.0400000000002</v>
      </c>
      <c r="D7" s="146">
        <f t="shared" si="1"/>
        <v>1173.8400000000001</v>
      </c>
      <c r="E7" s="146">
        <f t="shared" si="1"/>
        <v>1160.04</v>
      </c>
      <c r="F7" s="146">
        <f t="shared" si="1"/>
        <v>1174.3399999999999</v>
      </c>
      <c r="G7" s="146">
        <f t="shared" si="1"/>
        <v>1182.8399999999999</v>
      </c>
      <c r="H7" s="146">
        <f t="shared" si="1"/>
        <v>1216.04</v>
      </c>
      <c r="I7" s="146">
        <f t="shared" si="1"/>
        <v>1249.94</v>
      </c>
      <c r="J7" s="146">
        <f t="shared" si="1"/>
        <v>1283.24</v>
      </c>
      <c r="K7" s="146">
        <f t="shared" si="1"/>
        <v>1384.1399999999999</v>
      </c>
      <c r="L7" s="146">
        <f t="shared" si="1"/>
        <v>1445.3400000000001</v>
      </c>
      <c r="M7" s="146">
        <f t="shared" si="1"/>
        <v>1460.74</v>
      </c>
      <c r="N7" s="146">
        <f t="shared" si="1"/>
        <v>1429.54</v>
      </c>
      <c r="O7" s="146">
        <f t="shared" si="1"/>
        <v>1408.3400000000001</v>
      </c>
      <c r="P7" s="146">
        <f t="shared" si="1"/>
        <v>1445.74</v>
      </c>
      <c r="Q7" s="146">
        <f t="shared" si="1"/>
        <v>1441.84</v>
      </c>
      <c r="R7" s="146">
        <f t="shared" si="1"/>
        <v>1448.94</v>
      </c>
      <c r="S7" s="146">
        <f t="shared" si="1"/>
        <v>1469.64</v>
      </c>
      <c r="T7" s="146">
        <f t="shared" si="1"/>
        <v>1446.24</v>
      </c>
      <c r="U7" s="146">
        <f t="shared" si="1"/>
        <v>1533.24</v>
      </c>
      <c r="V7" s="146">
        <f t="shared" si="1"/>
        <v>1407.74</v>
      </c>
      <c r="W7" s="146">
        <f t="shared" si="1"/>
        <v>1588.84</v>
      </c>
      <c r="X7" s="146">
        <f t="shared" si="1"/>
        <v>1539.24</v>
      </c>
      <c r="Y7" s="146">
        <f t="shared" si="1"/>
        <v>1556.44</v>
      </c>
      <c r="Z7" s="146">
        <f t="shared" si="1"/>
        <v>1633.24</v>
      </c>
      <c r="AA7" s="146">
        <f t="shared" si="1"/>
        <v>1598.74</v>
      </c>
      <c r="AB7" s="146">
        <f t="shared" si="1"/>
        <v>1565.44</v>
      </c>
      <c r="AC7" s="146">
        <f t="shared" si="1"/>
        <v>1469.5</v>
      </c>
      <c r="AD7" s="146">
        <f t="shared" si="1"/>
        <v>1434.44</v>
      </c>
      <c r="AE7" s="146">
        <f t="shared" si="1"/>
        <v>1302.5100000000002</v>
      </c>
      <c r="AF7" s="146">
        <f t="shared" si="1"/>
        <v>1231.96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90</v>
      </c>
      <c r="C11" s="127">
        <v>80</v>
      </c>
      <c r="D11" s="127">
        <v>40</v>
      </c>
      <c r="E11" s="127">
        <v>12</v>
      </c>
      <c r="F11" s="127">
        <v>12</v>
      </c>
      <c r="G11" s="127">
        <v>12</v>
      </c>
      <c r="H11" s="127">
        <v>12</v>
      </c>
      <c r="I11" s="127">
        <v>12</v>
      </c>
      <c r="J11" s="127">
        <v>260</v>
      </c>
      <c r="K11" s="127">
        <v>250</v>
      </c>
      <c r="L11" s="127">
        <v>290</v>
      </c>
      <c r="M11" s="103">
        <v>250</v>
      </c>
      <c r="N11" s="103">
        <v>230</v>
      </c>
      <c r="O11" s="103">
        <v>140</v>
      </c>
      <c r="P11" s="103">
        <v>152</v>
      </c>
      <c r="Q11" s="103">
        <v>80</v>
      </c>
      <c r="R11" s="135">
        <v>150</v>
      </c>
      <c r="S11" s="103">
        <v>60</v>
      </c>
      <c r="T11" s="103">
        <v>15</v>
      </c>
      <c r="U11" s="103">
        <v>15</v>
      </c>
      <c r="V11" s="103">
        <v>12</v>
      </c>
      <c r="W11" s="103">
        <v>50</v>
      </c>
      <c r="X11" s="103">
        <v>12</v>
      </c>
      <c r="Y11" s="103">
        <v>180</v>
      </c>
      <c r="Z11" s="179">
        <v>230</v>
      </c>
      <c r="AA11" s="103">
        <v>230</v>
      </c>
      <c r="AB11" s="103">
        <v>200</v>
      </c>
      <c r="AC11" s="103">
        <v>170</v>
      </c>
      <c r="AD11" s="103">
        <v>130</v>
      </c>
      <c r="AE11" s="103">
        <v>80</v>
      </c>
      <c r="AF11" s="103">
        <v>80</v>
      </c>
      <c r="AG11" s="54">
        <v>456</v>
      </c>
      <c r="AH11" s="21">
        <f>MAX(B11:AF11)</f>
        <v>290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27">
        <v>27</v>
      </c>
      <c r="AA12" s="127">
        <v>27</v>
      </c>
      <c r="AB12" s="127">
        <v>27</v>
      </c>
      <c r="AC12" s="127">
        <v>27</v>
      </c>
      <c r="AD12" s="127">
        <v>27</v>
      </c>
      <c r="AE12" s="127">
        <v>27</v>
      </c>
      <c r="AF12" s="127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15.4</v>
      </c>
      <c r="C13" s="127">
        <v>15.4</v>
      </c>
      <c r="D13" s="127">
        <v>15.4</v>
      </c>
      <c r="E13" s="127">
        <v>15.4</v>
      </c>
      <c r="F13" s="127">
        <v>15.4</v>
      </c>
      <c r="G13" s="127">
        <v>15.4</v>
      </c>
      <c r="H13" s="127">
        <v>15.4</v>
      </c>
      <c r="I13" s="127">
        <v>15.4</v>
      </c>
      <c r="J13" s="127">
        <v>15.4</v>
      </c>
      <c r="K13" s="127">
        <v>15.4</v>
      </c>
      <c r="L13" s="127">
        <v>15.4</v>
      </c>
      <c r="M13" s="127">
        <v>16.399999999999999</v>
      </c>
      <c r="N13" s="127">
        <v>16.600000000000001</v>
      </c>
      <c r="O13" s="127">
        <v>16.600000000000001</v>
      </c>
      <c r="P13" s="127">
        <v>17.399999999999999</v>
      </c>
      <c r="Q13" s="127">
        <v>17.5</v>
      </c>
      <c r="R13" s="127">
        <v>17.5</v>
      </c>
      <c r="S13" s="127">
        <v>17.5</v>
      </c>
      <c r="T13" s="127">
        <v>17.5</v>
      </c>
      <c r="U13" s="127">
        <v>17.5</v>
      </c>
      <c r="V13" s="127">
        <v>17.5</v>
      </c>
      <c r="W13" s="127">
        <v>17.5</v>
      </c>
      <c r="X13" s="127">
        <v>17.5</v>
      </c>
      <c r="Y13" s="127">
        <v>17.5</v>
      </c>
      <c r="Z13" s="127">
        <v>17.5</v>
      </c>
      <c r="AA13" s="127">
        <v>17.5</v>
      </c>
      <c r="AB13" s="127">
        <v>17.5</v>
      </c>
      <c r="AC13" s="127">
        <v>17.5</v>
      </c>
      <c r="AD13" s="127">
        <v>17.5</v>
      </c>
      <c r="AE13" s="127">
        <v>17.5</v>
      </c>
      <c r="AF13" s="127">
        <v>17.5</v>
      </c>
      <c r="AG13" s="134">
        <v>52.4</v>
      </c>
      <c r="AH13" s="21">
        <f t="shared" si="2"/>
        <v>17.5</v>
      </c>
      <c r="AI13" s="20">
        <f t="shared" si="3"/>
        <v>15.4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25.1</v>
      </c>
      <c r="C14" s="127">
        <v>25.1</v>
      </c>
      <c r="D14" s="127">
        <v>25.1</v>
      </c>
      <c r="E14" s="127">
        <v>25.1</v>
      </c>
      <c r="F14" s="127">
        <v>25.1</v>
      </c>
      <c r="G14" s="127">
        <v>25.1</v>
      </c>
      <c r="H14" s="127">
        <v>25.1</v>
      </c>
      <c r="I14" s="127">
        <v>25.1</v>
      </c>
      <c r="J14" s="127">
        <v>25.1</v>
      </c>
      <c r="K14" s="127">
        <v>25.1</v>
      </c>
      <c r="L14" s="127">
        <v>25.1</v>
      </c>
      <c r="M14" s="103">
        <v>25.3</v>
      </c>
      <c r="N14" s="103">
        <v>25.4</v>
      </c>
      <c r="O14" s="103">
        <v>25.4</v>
      </c>
      <c r="P14" s="103">
        <v>25.4</v>
      </c>
      <c r="Q14" s="103">
        <v>25.5</v>
      </c>
      <c r="R14" s="103">
        <v>25.5</v>
      </c>
      <c r="S14" s="103">
        <v>25.5</v>
      </c>
      <c r="T14" s="103">
        <v>25.5</v>
      </c>
      <c r="U14" s="103">
        <v>25.5</v>
      </c>
      <c r="V14" s="103">
        <v>25.5</v>
      </c>
      <c r="W14" s="103">
        <v>25.5</v>
      </c>
      <c r="X14" s="103">
        <v>25.5</v>
      </c>
      <c r="Y14" s="103">
        <v>25.5</v>
      </c>
      <c r="Z14" s="103">
        <v>25.5</v>
      </c>
      <c r="AA14" s="103">
        <v>25.5</v>
      </c>
      <c r="AB14" s="103">
        <v>25.5</v>
      </c>
      <c r="AC14" s="103">
        <v>25.5</v>
      </c>
      <c r="AD14" s="103">
        <v>25.5</v>
      </c>
      <c r="AE14" s="103">
        <v>25.5</v>
      </c>
      <c r="AF14" s="103">
        <v>25.5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22.8</v>
      </c>
      <c r="C15" s="123">
        <v>22.8</v>
      </c>
      <c r="D15" s="123">
        <v>22.8</v>
      </c>
      <c r="E15" s="123">
        <v>22.8</v>
      </c>
      <c r="F15" s="123">
        <v>22.8</v>
      </c>
      <c r="G15" s="123">
        <v>22.8</v>
      </c>
      <c r="H15" s="123">
        <v>22.8</v>
      </c>
      <c r="I15" s="123">
        <v>22.8</v>
      </c>
      <c r="J15" s="123">
        <v>22.8</v>
      </c>
      <c r="K15" s="123">
        <v>22.8</v>
      </c>
      <c r="L15" s="123">
        <v>22.8</v>
      </c>
      <c r="M15" s="103">
        <v>22.8</v>
      </c>
      <c r="N15" s="103">
        <v>22.8</v>
      </c>
      <c r="O15" s="103">
        <v>22.8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103">
        <v>22.7</v>
      </c>
      <c r="V15" s="103">
        <v>22.7</v>
      </c>
      <c r="W15" s="103">
        <v>22.7</v>
      </c>
      <c r="X15" s="103">
        <v>22.7</v>
      </c>
      <c r="Y15" s="103">
        <v>22.7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22.7</v>
      </c>
      <c r="AE15" s="103">
        <v>22.7</v>
      </c>
      <c r="AF15" s="103">
        <v>22.7</v>
      </c>
      <c r="AG15" s="108">
        <v>45</v>
      </c>
      <c r="AH15" s="21">
        <f t="shared" si="2"/>
        <v>22.8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18</v>
      </c>
      <c r="C16" s="127">
        <v>18</v>
      </c>
      <c r="D16" s="127">
        <v>18</v>
      </c>
      <c r="E16" s="127">
        <v>18</v>
      </c>
      <c r="F16" s="127">
        <v>18</v>
      </c>
      <c r="G16" s="127">
        <v>18</v>
      </c>
      <c r="H16" s="127">
        <v>18</v>
      </c>
      <c r="I16" s="127">
        <v>18</v>
      </c>
      <c r="J16" s="127">
        <v>18</v>
      </c>
      <c r="K16" s="127">
        <v>18</v>
      </c>
      <c r="L16" s="127">
        <v>18</v>
      </c>
      <c r="M16" s="103">
        <v>14</v>
      </c>
      <c r="N16" s="103">
        <v>14</v>
      </c>
      <c r="O16" s="103">
        <v>14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70">
        <v>10</v>
      </c>
      <c r="X16" s="70">
        <v>10</v>
      </c>
      <c r="Y16" s="70">
        <v>10</v>
      </c>
      <c r="Z16" s="70">
        <v>10</v>
      </c>
      <c r="AA16" s="70">
        <v>10</v>
      </c>
      <c r="AB16" s="70">
        <v>10</v>
      </c>
      <c r="AC16" s="70">
        <v>10</v>
      </c>
      <c r="AD16" s="70">
        <v>10</v>
      </c>
      <c r="AE16" s="70">
        <v>10</v>
      </c>
      <c r="AF16" s="70">
        <v>10</v>
      </c>
      <c r="AG16" s="134">
        <v>45</v>
      </c>
      <c r="AH16" s="21">
        <f t="shared" si="2"/>
        <v>18</v>
      </c>
      <c r="AI16" s="20">
        <f t="shared" si="3"/>
        <v>0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10.9</v>
      </c>
      <c r="C19" s="127">
        <v>10.9</v>
      </c>
      <c r="D19" s="127">
        <v>10.9</v>
      </c>
      <c r="E19" s="127">
        <v>10.9</v>
      </c>
      <c r="F19" s="127">
        <v>10.9</v>
      </c>
      <c r="G19" s="127">
        <v>10.9</v>
      </c>
      <c r="H19" s="127">
        <v>10.9</v>
      </c>
      <c r="I19" s="127">
        <v>10.9</v>
      </c>
      <c r="J19" s="127">
        <v>10.9</v>
      </c>
      <c r="K19" s="127">
        <v>10.9</v>
      </c>
      <c r="L19" s="127">
        <v>10.9</v>
      </c>
      <c r="M19" s="103">
        <v>10.9</v>
      </c>
      <c r="N19" s="103">
        <v>10.9</v>
      </c>
      <c r="O19" s="103">
        <v>10.9</v>
      </c>
      <c r="P19" s="103">
        <v>10.9</v>
      </c>
      <c r="Q19" s="103">
        <v>10.9</v>
      </c>
      <c r="R19" s="103">
        <v>10.9</v>
      </c>
      <c r="S19" s="103">
        <v>10.9</v>
      </c>
      <c r="T19" s="103">
        <v>10.9</v>
      </c>
      <c r="U19" s="103">
        <v>10.9</v>
      </c>
      <c r="V19" s="103">
        <v>10.9</v>
      </c>
      <c r="W19" s="103">
        <v>10.9</v>
      </c>
      <c r="X19" s="103">
        <v>10.9</v>
      </c>
      <c r="Y19" s="103">
        <v>10.9</v>
      </c>
      <c r="Z19" s="103">
        <v>10.9</v>
      </c>
      <c r="AA19" s="103">
        <v>10.9</v>
      </c>
      <c r="AB19" s="103">
        <v>10.9</v>
      </c>
      <c r="AC19" s="103">
        <v>10.9</v>
      </c>
      <c r="AD19" s="103">
        <v>10.9</v>
      </c>
      <c r="AE19" s="103">
        <v>10.9</v>
      </c>
      <c r="AF19" s="103">
        <v>10.9</v>
      </c>
      <c r="AG19" s="134">
        <v>30</v>
      </c>
      <c r="AH19" s="21">
        <f t="shared" si="2"/>
        <v>10.9</v>
      </c>
      <c r="AI19" s="20">
        <f t="shared" si="3"/>
        <v>10.9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7.2</v>
      </c>
      <c r="C20" s="127">
        <v>7.2</v>
      </c>
      <c r="D20" s="127">
        <v>7.2</v>
      </c>
      <c r="E20" s="127">
        <v>7.2</v>
      </c>
      <c r="F20" s="127">
        <v>7.2</v>
      </c>
      <c r="G20" s="127">
        <v>7.2</v>
      </c>
      <c r="H20" s="127">
        <v>7.2</v>
      </c>
      <c r="I20" s="127">
        <v>7.2</v>
      </c>
      <c r="J20" s="127">
        <v>7.2</v>
      </c>
      <c r="K20" s="127">
        <v>7.2</v>
      </c>
      <c r="L20" s="127">
        <v>7.2</v>
      </c>
      <c r="M20" s="103">
        <v>7.2</v>
      </c>
      <c r="N20" s="103">
        <v>7.2</v>
      </c>
      <c r="O20" s="103">
        <v>7.2</v>
      </c>
      <c r="P20" s="103">
        <v>7.2</v>
      </c>
      <c r="Q20" s="103">
        <v>7.2</v>
      </c>
      <c r="R20" s="103">
        <v>7.2</v>
      </c>
      <c r="S20" s="103">
        <v>7.2</v>
      </c>
      <c r="T20" s="103">
        <v>7.2</v>
      </c>
      <c r="U20" s="103">
        <v>7.2</v>
      </c>
      <c r="V20" s="103">
        <v>7.2</v>
      </c>
      <c r="W20" s="103">
        <v>7.2</v>
      </c>
      <c r="X20" s="103">
        <v>7.2</v>
      </c>
      <c r="Y20" s="103">
        <v>7.2</v>
      </c>
      <c r="Z20" s="103">
        <v>7.2</v>
      </c>
      <c r="AA20" s="103">
        <v>7.2</v>
      </c>
      <c r="AB20" s="103">
        <v>7.2</v>
      </c>
      <c r="AC20" s="103">
        <v>7.2</v>
      </c>
      <c r="AD20" s="103">
        <v>7.2</v>
      </c>
      <c r="AE20" s="103">
        <v>7.2</v>
      </c>
      <c r="AF20" s="103">
        <v>7.2</v>
      </c>
      <c r="AG20" s="134">
        <v>27</v>
      </c>
      <c r="AH20" s="21">
        <f t="shared" si="2"/>
        <v>7.2</v>
      </c>
      <c r="AI20" s="20">
        <f t="shared" si="3"/>
        <v>7.2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19.600000000000001</v>
      </c>
      <c r="C22" s="127">
        <v>19.600000000000001</v>
      </c>
      <c r="D22" s="127">
        <v>20.399999999999999</v>
      </c>
      <c r="E22" s="127">
        <v>20.399999999999999</v>
      </c>
      <c r="F22" s="127">
        <v>20.399999999999999</v>
      </c>
      <c r="G22" s="127">
        <v>20.399999999999999</v>
      </c>
      <c r="H22" s="127">
        <v>20.399999999999999</v>
      </c>
      <c r="I22" s="127">
        <v>20.399999999999999</v>
      </c>
      <c r="J22" s="127">
        <v>20.399999999999999</v>
      </c>
      <c r="K22" s="127">
        <v>20.399999999999999</v>
      </c>
      <c r="L22" s="127">
        <v>20.399999999999999</v>
      </c>
      <c r="M22" s="103">
        <v>20.399999999999999</v>
      </c>
      <c r="N22" s="103">
        <v>20.399999999999999</v>
      </c>
      <c r="O22" s="103">
        <v>20.399999999999999</v>
      </c>
      <c r="P22" s="103">
        <v>18.899999999999999</v>
      </c>
      <c r="Q22" s="103">
        <v>18.899999999999999</v>
      </c>
      <c r="R22" s="103">
        <v>18.899999999999999</v>
      </c>
      <c r="S22" s="103">
        <v>18.899999999999999</v>
      </c>
      <c r="T22" s="103">
        <v>18.899999999999999</v>
      </c>
      <c r="U22" s="103">
        <v>18.899999999999999</v>
      </c>
      <c r="V22" s="103">
        <v>18.899999999999999</v>
      </c>
      <c r="W22" s="103">
        <v>18.899999999999999</v>
      </c>
      <c r="X22" s="103">
        <v>18.899999999999999</v>
      </c>
      <c r="Y22" s="103">
        <v>18.899999999999999</v>
      </c>
      <c r="Z22" s="103">
        <v>18.899999999999999</v>
      </c>
      <c r="AA22" s="103">
        <v>18.899999999999999</v>
      </c>
      <c r="AB22" s="103">
        <v>18.899999999999999</v>
      </c>
      <c r="AC22" s="103">
        <v>18.899999999999999</v>
      </c>
      <c r="AD22" s="103">
        <v>18.899999999999999</v>
      </c>
      <c r="AE22" s="103">
        <v>18.899999999999999</v>
      </c>
      <c r="AF22" s="103">
        <v>18.899999999999999</v>
      </c>
      <c r="AG22" s="134">
        <v>25</v>
      </c>
      <c r="AH22" s="21">
        <f t="shared" si="2"/>
        <v>20.399999999999999</v>
      </c>
      <c r="AI22" s="20">
        <f t="shared" si="3"/>
        <v>18.899999999999999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4.8</v>
      </c>
      <c r="U23" s="103">
        <v>4.8</v>
      </c>
      <c r="V23" s="103">
        <v>4.8</v>
      </c>
      <c r="W23" s="103">
        <v>4.8</v>
      </c>
      <c r="X23" s="103">
        <v>4.8</v>
      </c>
      <c r="Y23" s="103">
        <v>4.8</v>
      </c>
      <c r="Z23" s="103">
        <v>4.8</v>
      </c>
      <c r="AA23" s="103">
        <v>4.8</v>
      </c>
      <c r="AB23" s="103">
        <v>4.8</v>
      </c>
      <c r="AC23" s="103">
        <v>4.8</v>
      </c>
      <c r="AD23" s="103">
        <v>4.8</v>
      </c>
      <c r="AE23" s="103">
        <v>4.8</v>
      </c>
      <c r="AF23" s="103">
        <v>4.8</v>
      </c>
      <c r="AG23" s="134">
        <v>25</v>
      </c>
      <c r="AH23" s="21">
        <f t="shared" si="2"/>
        <v>4.8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9.1</v>
      </c>
      <c r="C24" s="127">
        <v>9.1</v>
      </c>
      <c r="D24" s="127">
        <v>9.1</v>
      </c>
      <c r="E24" s="127">
        <v>9.1</v>
      </c>
      <c r="F24" s="127">
        <v>9.1</v>
      </c>
      <c r="G24" s="127">
        <v>9.1</v>
      </c>
      <c r="H24" s="127">
        <v>9.1</v>
      </c>
      <c r="I24" s="127">
        <v>9.1</v>
      </c>
      <c r="J24" s="127">
        <v>9.1</v>
      </c>
      <c r="K24" s="127">
        <v>9.1</v>
      </c>
      <c r="L24" s="127">
        <v>9.1</v>
      </c>
      <c r="M24" s="103">
        <v>9.1</v>
      </c>
      <c r="N24" s="103">
        <v>9.1</v>
      </c>
      <c r="O24" s="103">
        <v>9.1</v>
      </c>
      <c r="P24" s="103">
        <v>6.4</v>
      </c>
      <c r="Q24" s="103">
        <v>6.4</v>
      </c>
      <c r="R24" s="103">
        <v>6.4</v>
      </c>
      <c r="S24" s="103">
        <v>6.4</v>
      </c>
      <c r="T24" s="103">
        <v>6.4</v>
      </c>
      <c r="U24" s="103">
        <v>6.4</v>
      </c>
      <c r="V24" s="103">
        <v>6.4</v>
      </c>
      <c r="W24" s="103">
        <v>6.4</v>
      </c>
      <c r="X24" s="103">
        <v>6.4</v>
      </c>
      <c r="Y24" s="103">
        <v>6.4</v>
      </c>
      <c r="Z24" s="103">
        <v>6.4</v>
      </c>
      <c r="AA24" s="103">
        <v>6.4</v>
      </c>
      <c r="AB24" s="103">
        <v>6.4</v>
      </c>
      <c r="AC24" s="103">
        <v>6.4</v>
      </c>
      <c r="AD24" s="103">
        <v>6.4</v>
      </c>
      <c r="AE24" s="103">
        <v>6.4</v>
      </c>
      <c r="AF24" s="103">
        <v>6.4</v>
      </c>
      <c r="AG24" s="134">
        <v>25</v>
      </c>
      <c r="AH24" s="21">
        <f t="shared" si="2"/>
        <v>9.1</v>
      </c>
      <c r="AI24" s="20">
        <f t="shared" si="3"/>
        <v>6.4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5</v>
      </c>
      <c r="K35" s="123">
        <v>5</v>
      </c>
      <c r="L35" s="123">
        <v>5</v>
      </c>
      <c r="M35" s="103">
        <v>5</v>
      </c>
      <c r="N35" s="103">
        <v>5</v>
      </c>
      <c r="O35" s="103">
        <v>5</v>
      </c>
      <c r="P35" s="103">
        <v>5</v>
      </c>
      <c r="Q35" s="103">
        <v>5</v>
      </c>
      <c r="R35" s="103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5</v>
      </c>
      <c r="AA35" s="103">
        <v>5</v>
      </c>
      <c r="AB35" s="103">
        <v>5</v>
      </c>
      <c r="AC35" s="103">
        <v>5</v>
      </c>
      <c r="AD35" s="103">
        <v>5</v>
      </c>
      <c r="AE35" s="103">
        <v>5</v>
      </c>
      <c r="AF35" s="103">
        <v>5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35</v>
      </c>
      <c r="C37" s="123">
        <v>35</v>
      </c>
      <c r="D37" s="123">
        <v>34.5</v>
      </c>
      <c r="E37" s="123">
        <f>16.2+18.6</f>
        <v>34.799999999999997</v>
      </c>
      <c r="F37" s="123">
        <f>15.8+17.9</f>
        <v>33.700000000000003</v>
      </c>
      <c r="G37" s="123">
        <f>15.8+16.7</f>
        <v>32.5</v>
      </c>
      <c r="H37" s="123">
        <f>15.6+16</f>
        <v>31.6</v>
      </c>
      <c r="I37" s="123">
        <f>15.8+16</f>
        <v>31.8</v>
      </c>
      <c r="J37" s="123">
        <f>16+15.8</f>
        <v>31.8</v>
      </c>
      <c r="K37" s="123">
        <f>15.6+16</f>
        <v>31.6</v>
      </c>
      <c r="L37" s="123">
        <f>15.5+16.1</f>
        <v>31.6</v>
      </c>
      <c r="M37" s="128">
        <v>32.5</v>
      </c>
      <c r="N37" s="128">
        <v>33</v>
      </c>
      <c r="O37" s="128">
        <v>35.1</v>
      </c>
      <c r="P37" s="128">
        <v>34.799999999999997</v>
      </c>
      <c r="Q37" s="128">
        <v>36.6</v>
      </c>
      <c r="R37" s="128">
        <v>36</v>
      </c>
      <c r="S37" s="128">
        <v>36</v>
      </c>
      <c r="T37" s="128">
        <v>38</v>
      </c>
      <c r="U37" s="128">
        <v>38</v>
      </c>
      <c r="V37" s="128">
        <v>38</v>
      </c>
      <c r="W37" s="128">
        <v>38</v>
      </c>
      <c r="X37" s="128">
        <v>32</v>
      </c>
      <c r="Y37" s="128">
        <v>31</v>
      </c>
      <c r="Z37" s="128">
        <v>31</v>
      </c>
      <c r="AA37" s="128">
        <v>31</v>
      </c>
      <c r="AB37" s="128">
        <f>15.9+16.2</f>
        <v>32.1</v>
      </c>
      <c r="AC37" s="128">
        <f>15.8+17.1</f>
        <v>32.900000000000006</v>
      </c>
      <c r="AD37" s="128">
        <f>15.9+17.7</f>
        <v>33.6</v>
      </c>
      <c r="AE37" s="128">
        <f>16.2+17.8</f>
        <v>34</v>
      </c>
      <c r="AF37" s="128">
        <f>16+19.5</f>
        <v>35.5</v>
      </c>
      <c r="AG37" s="106">
        <v>240</v>
      </c>
      <c r="AH37" s="21">
        <f t="shared" si="2"/>
        <v>38</v>
      </c>
      <c r="AI37" s="20">
        <f t="shared" si="3"/>
        <v>31</v>
      </c>
      <c r="AK37" s="42"/>
    </row>
    <row r="38" spans="1:88" ht="15.75" thickBot="1" x14ac:dyDescent="0.3">
      <c r="A38" s="100" t="s">
        <v>173</v>
      </c>
      <c r="B38" s="99">
        <f>SUM(B11:B36)</f>
        <v>479.50000000000006</v>
      </c>
      <c r="C38" s="99">
        <f t="shared" ref="C38:AF38" si="4">SUM(C11:C36)</f>
        <v>469.50000000000006</v>
      </c>
      <c r="D38" s="99">
        <f t="shared" si="4"/>
        <v>430.3</v>
      </c>
      <c r="E38" s="99">
        <f t="shared" si="4"/>
        <v>402.29999999999995</v>
      </c>
      <c r="F38" s="99">
        <f t="shared" si="4"/>
        <v>402.29999999999995</v>
      </c>
      <c r="G38" s="99">
        <f t="shared" si="4"/>
        <v>402.29999999999995</v>
      </c>
      <c r="H38" s="99">
        <f t="shared" si="4"/>
        <v>402.29999999999995</v>
      </c>
      <c r="I38" s="99">
        <f t="shared" si="4"/>
        <v>402.29999999999995</v>
      </c>
      <c r="J38" s="99">
        <f t="shared" si="4"/>
        <v>655.29999999999995</v>
      </c>
      <c r="K38" s="99">
        <f t="shared" si="4"/>
        <v>645.29999999999995</v>
      </c>
      <c r="L38" s="99">
        <f t="shared" si="4"/>
        <v>685.30000000000007</v>
      </c>
      <c r="M38" s="99">
        <f t="shared" si="4"/>
        <v>642.5</v>
      </c>
      <c r="N38" s="99">
        <f t="shared" si="4"/>
        <v>622.79999999999995</v>
      </c>
      <c r="O38" s="99">
        <f t="shared" si="4"/>
        <v>532.79999999999995</v>
      </c>
      <c r="P38" s="99">
        <f t="shared" si="4"/>
        <v>527.29999999999995</v>
      </c>
      <c r="Q38" s="99">
        <f t="shared" si="4"/>
        <v>455.5</v>
      </c>
      <c r="R38" s="99">
        <f t="shared" si="4"/>
        <v>525.5</v>
      </c>
      <c r="S38" s="99">
        <f t="shared" si="4"/>
        <v>435.49999999999994</v>
      </c>
      <c r="T38" s="99">
        <f t="shared" si="4"/>
        <v>390.5</v>
      </c>
      <c r="U38" s="99">
        <f t="shared" si="4"/>
        <v>390.5</v>
      </c>
      <c r="V38" s="99">
        <f t="shared" si="4"/>
        <v>387.5</v>
      </c>
      <c r="W38" s="99">
        <f t="shared" si="4"/>
        <v>435.49999999999994</v>
      </c>
      <c r="X38" s="99">
        <f t="shared" si="4"/>
        <v>397.5</v>
      </c>
      <c r="Y38" s="99">
        <f t="shared" si="4"/>
        <v>565.5</v>
      </c>
      <c r="Z38" s="99">
        <f t="shared" si="4"/>
        <v>615.5</v>
      </c>
      <c r="AA38" s="99">
        <f t="shared" si="4"/>
        <v>615.5</v>
      </c>
      <c r="AB38" s="99">
        <f t="shared" si="4"/>
        <v>585.5</v>
      </c>
      <c r="AC38" s="99">
        <f t="shared" si="4"/>
        <v>555.5</v>
      </c>
      <c r="AD38" s="99">
        <f t="shared" si="4"/>
        <v>515.5</v>
      </c>
      <c r="AE38" s="99">
        <f t="shared" si="4"/>
        <v>465.50000000000006</v>
      </c>
      <c r="AF38" s="99">
        <f t="shared" si="4"/>
        <v>465.50000000000006</v>
      </c>
      <c r="AG38" s="106">
        <f>SUM(AG11:AG37)</f>
        <v>1492.8299999999997</v>
      </c>
      <c r="AH38" s="21">
        <f t="shared" si="2"/>
        <v>685.30000000000007</v>
      </c>
      <c r="AI38" s="20">
        <f t="shared" si="3"/>
        <v>387.5</v>
      </c>
      <c r="AK38" s="42"/>
    </row>
    <row r="39" spans="1:88" x14ac:dyDescent="0.25">
      <c r="A39" s="109" t="s">
        <v>172</v>
      </c>
      <c r="B39" s="127">
        <v>91</v>
      </c>
      <c r="C39" s="127">
        <v>80.7</v>
      </c>
      <c r="D39" s="123">
        <v>71</v>
      </c>
      <c r="E39" s="123">
        <v>45</v>
      </c>
      <c r="F39" s="123">
        <v>30</v>
      </c>
      <c r="G39" s="123">
        <v>30.8</v>
      </c>
      <c r="H39" s="123">
        <v>30.6</v>
      </c>
      <c r="I39" s="123">
        <v>29.7</v>
      </c>
      <c r="J39" s="123">
        <v>48.4</v>
      </c>
      <c r="K39" s="123">
        <v>70.900000000000006</v>
      </c>
      <c r="L39" s="123">
        <v>106.1</v>
      </c>
      <c r="M39" s="103">
        <v>126.4</v>
      </c>
      <c r="N39" s="103">
        <v>113.6</v>
      </c>
      <c r="O39" s="103">
        <v>106.4</v>
      </c>
      <c r="P39" s="103">
        <v>106.5</v>
      </c>
      <c r="Q39" s="103">
        <v>105.8</v>
      </c>
      <c r="R39" s="103">
        <v>105.8</v>
      </c>
      <c r="S39" s="103">
        <v>106</v>
      </c>
      <c r="T39" s="103">
        <v>97</v>
      </c>
      <c r="U39" s="103">
        <v>97</v>
      </c>
      <c r="V39" s="103">
        <v>70</v>
      </c>
      <c r="W39" s="103">
        <v>77</v>
      </c>
      <c r="X39" s="103">
        <v>71</v>
      </c>
      <c r="Y39" s="103">
        <v>145</v>
      </c>
      <c r="Z39" s="103">
        <v>145</v>
      </c>
      <c r="AA39" s="103">
        <v>145</v>
      </c>
      <c r="AB39" s="103">
        <v>144.5</v>
      </c>
      <c r="AC39" s="103">
        <v>144.5</v>
      </c>
      <c r="AD39" s="103">
        <v>144.5</v>
      </c>
      <c r="AE39" s="103">
        <v>110</v>
      </c>
      <c r="AF39" s="103">
        <v>81.099999999999994</v>
      </c>
      <c r="AG39" s="108">
        <v>144</v>
      </c>
      <c r="AH39" s="21">
        <f t="shared" si="2"/>
        <v>145</v>
      </c>
      <c r="AI39" s="20">
        <f t="shared" si="3"/>
        <v>29.7</v>
      </c>
      <c r="AK39" s="42"/>
    </row>
    <row r="40" spans="1:88" x14ac:dyDescent="0.25">
      <c r="A40" s="107" t="s">
        <v>171</v>
      </c>
      <c r="B40" s="123">
        <v>23.2</v>
      </c>
      <c r="C40" s="123">
        <v>23.2</v>
      </c>
      <c r="D40" s="123">
        <v>35.5</v>
      </c>
      <c r="E40" s="123">
        <v>0</v>
      </c>
      <c r="F40" s="123">
        <v>0</v>
      </c>
      <c r="G40" s="123">
        <v>0</v>
      </c>
      <c r="H40" s="123">
        <v>0</v>
      </c>
      <c r="I40" s="123">
        <v>24.3</v>
      </c>
      <c r="J40" s="123">
        <v>70.400000000000006</v>
      </c>
      <c r="K40" s="123">
        <v>69.7</v>
      </c>
      <c r="L40" s="123">
        <v>69.900000000000006</v>
      </c>
      <c r="M40" s="73">
        <v>69</v>
      </c>
      <c r="N40" s="73">
        <v>62.1</v>
      </c>
      <c r="O40" s="73">
        <v>59.7</v>
      </c>
      <c r="P40" s="73">
        <v>59.5</v>
      </c>
      <c r="Q40" s="73">
        <v>70.2</v>
      </c>
      <c r="R40" s="73">
        <v>70.599999999999994</v>
      </c>
      <c r="S40" s="73">
        <v>70.900000000000006</v>
      </c>
      <c r="T40" s="73">
        <v>60.9</v>
      </c>
      <c r="U40" s="73">
        <v>60.9</v>
      </c>
      <c r="V40" s="73">
        <v>48.5</v>
      </c>
      <c r="W40" s="73">
        <v>48</v>
      </c>
      <c r="X40" s="73">
        <v>46.4</v>
      </c>
      <c r="Y40" s="73">
        <v>63</v>
      </c>
      <c r="Z40" s="73">
        <v>63</v>
      </c>
      <c r="AA40" s="73">
        <v>63</v>
      </c>
      <c r="AB40" s="73">
        <v>60.9</v>
      </c>
      <c r="AC40" s="73">
        <v>60</v>
      </c>
      <c r="AD40" s="73">
        <v>60.1</v>
      </c>
      <c r="AE40" s="73">
        <v>51.9</v>
      </c>
      <c r="AF40" s="73">
        <v>34.700000000000003</v>
      </c>
      <c r="AG40" s="106">
        <v>70</v>
      </c>
      <c r="AH40" s="21">
        <f t="shared" si="2"/>
        <v>70.900000000000006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46.4</v>
      </c>
      <c r="C41" s="123">
        <v>47</v>
      </c>
      <c r="D41" s="123">
        <v>46.1</v>
      </c>
      <c r="E41" s="123">
        <v>17.8</v>
      </c>
      <c r="F41" s="123">
        <v>0</v>
      </c>
      <c r="G41" s="123">
        <v>0</v>
      </c>
      <c r="H41" s="123">
        <v>0</v>
      </c>
      <c r="I41" s="123">
        <v>20</v>
      </c>
      <c r="J41" s="123">
        <v>69</v>
      </c>
      <c r="K41" s="123">
        <v>69.3</v>
      </c>
      <c r="L41" s="123">
        <v>68.8</v>
      </c>
      <c r="M41" s="73">
        <v>68.5</v>
      </c>
      <c r="N41" s="73">
        <v>68.3</v>
      </c>
      <c r="O41" s="73">
        <v>67.400000000000006</v>
      </c>
      <c r="P41" s="73">
        <v>46.4</v>
      </c>
      <c r="Q41" s="73">
        <v>46</v>
      </c>
      <c r="R41" s="73">
        <v>36</v>
      </c>
      <c r="S41" s="73">
        <v>36.4</v>
      </c>
      <c r="T41" s="73">
        <v>33</v>
      </c>
      <c r="U41" s="73">
        <v>33</v>
      </c>
      <c r="V41" s="73">
        <v>17</v>
      </c>
      <c r="W41" s="73">
        <v>22</v>
      </c>
      <c r="X41" s="73">
        <v>39</v>
      </c>
      <c r="Y41" s="73">
        <v>69</v>
      </c>
      <c r="Z41" s="73">
        <v>69</v>
      </c>
      <c r="AA41" s="73">
        <v>69</v>
      </c>
      <c r="AB41" s="73">
        <v>69.099999999999994</v>
      </c>
      <c r="AC41" s="73">
        <v>68.599999999999994</v>
      </c>
      <c r="AD41" s="73">
        <v>68.400000000000006</v>
      </c>
      <c r="AE41" s="73">
        <v>68.2</v>
      </c>
      <c r="AF41" s="73">
        <v>57</v>
      </c>
      <c r="AG41" s="106">
        <v>69</v>
      </c>
      <c r="AH41" s="21">
        <f t="shared" si="2"/>
        <v>69.3</v>
      </c>
      <c r="AI41" s="20">
        <f t="shared" si="3"/>
        <v>0</v>
      </c>
      <c r="AK41" s="42"/>
    </row>
    <row r="42" spans="1:88" x14ac:dyDescent="0.25">
      <c r="A42" s="107" t="s">
        <v>169</v>
      </c>
      <c r="B42" s="123">
        <v>57.2</v>
      </c>
      <c r="C42" s="123">
        <v>60.4</v>
      </c>
      <c r="D42" s="123">
        <v>60.4</v>
      </c>
      <c r="E42" s="123">
        <v>60.2</v>
      </c>
      <c r="F42" s="123">
        <v>60.2</v>
      </c>
      <c r="G42" s="123">
        <v>60.4</v>
      </c>
      <c r="H42" s="123">
        <v>60.4</v>
      </c>
      <c r="I42" s="123">
        <v>60.4</v>
      </c>
      <c r="J42" s="123">
        <v>60.4</v>
      </c>
      <c r="K42" s="123">
        <v>60.4</v>
      </c>
      <c r="L42" s="123">
        <v>60.7</v>
      </c>
      <c r="M42" s="73">
        <v>60.9</v>
      </c>
      <c r="N42" s="73">
        <v>60.9</v>
      </c>
      <c r="O42" s="73">
        <v>60.7</v>
      </c>
      <c r="P42" s="73">
        <v>60.9</v>
      </c>
      <c r="Q42" s="73">
        <v>60.7</v>
      </c>
      <c r="R42" s="73">
        <v>60.7</v>
      </c>
      <c r="S42" s="73">
        <v>60.7</v>
      </c>
      <c r="T42" s="73">
        <v>60.7</v>
      </c>
      <c r="U42" s="73">
        <v>60.7</v>
      </c>
      <c r="V42" s="73">
        <v>60.9</v>
      </c>
      <c r="W42" s="73">
        <v>60.4</v>
      </c>
      <c r="X42" s="73">
        <v>60.4</v>
      </c>
      <c r="Y42" s="73">
        <v>60.4</v>
      </c>
      <c r="Z42" s="73">
        <v>60.4</v>
      </c>
      <c r="AA42" s="73">
        <v>60.4</v>
      </c>
      <c r="AB42" s="73">
        <v>60.4</v>
      </c>
      <c r="AC42" s="73">
        <v>60.4</v>
      </c>
      <c r="AD42" s="73">
        <v>60.4</v>
      </c>
      <c r="AE42" s="73">
        <v>60.7</v>
      </c>
      <c r="AF42" s="73">
        <v>60.9</v>
      </c>
      <c r="AG42" s="106">
        <v>60</v>
      </c>
      <c r="AH42" s="21">
        <f t="shared" si="2"/>
        <v>60.9</v>
      </c>
      <c r="AI42" s="20">
        <f t="shared" si="3"/>
        <v>57.2</v>
      </c>
      <c r="AK42" s="42"/>
    </row>
    <row r="43" spans="1:88" x14ac:dyDescent="0.25">
      <c r="A43" s="107" t="s">
        <v>168</v>
      </c>
      <c r="B43" s="123">
        <v>5.8</v>
      </c>
      <c r="C43" s="123">
        <v>5.8</v>
      </c>
      <c r="D43" s="123">
        <v>9.6</v>
      </c>
      <c r="E43" s="123">
        <v>9.6</v>
      </c>
      <c r="F43" s="123">
        <v>9.6</v>
      </c>
      <c r="G43" s="123">
        <v>13</v>
      </c>
      <c r="H43" s="123">
        <v>13</v>
      </c>
      <c r="I43" s="123">
        <v>13</v>
      </c>
      <c r="J43" s="123">
        <v>20</v>
      </c>
      <c r="K43" s="123">
        <v>20</v>
      </c>
      <c r="L43" s="123">
        <v>19.2</v>
      </c>
      <c r="M43" s="103">
        <v>19.8</v>
      </c>
      <c r="N43" s="103">
        <v>18.100000000000001</v>
      </c>
      <c r="O43" s="103">
        <v>18.5</v>
      </c>
      <c r="P43" s="103">
        <v>20</v>
      </c>
      <c r="Q43" s="103">
        <v>23</v>
      </c>
      <c r="R43" s="103">
        <v>25</v>
      </c>
      <c r="S43" s="103">
        <v>20</v>
      </c>
      <c r="T43" s="103">
        <v>15</v>
      </c>
      <c r="U43" s="103">
        <v>15</v>
      </c>
      <c r="V43" s="103">
        <v>10.3</v>
      </c>
      <c r="W43" s="103">
        <v>9.8000000000000007</v>
      </c>
      <c r="X43" s="103">
        <v>9.8000000000000007</v>
      </c>
      <c r="Y43" s="103">
        <v>18.5</v>
      </c>
      <c r="Z43" s="103">
        <v>18.5</v>
      </c>
      <c r="AA43" s="103">
        <v>18.5</v>
      </c>
      <c r="AB43" s="103">
        <v>18.5</v>
      </c>
      <c r="AC43" s="103">
        <v>18.5</v>
      </c>
      <c r="AD43" s="103">
        <v>18.5</v>
      </c>
      <c r="AE43" s="73">
        <v>15</v>
      </c>
      <c r="AF43" s="73">
        <v>8.6999999999999993</v>
      </c>
      <c r="AG43" s="106">
        <v>30</v>
      </c>
      <c r="AH43" s="21">
        <f t="shared" si="2"/>
        <v>25</v>
      </c>
      <c r="AI43" s="20">
        <f t="shared" si="3"/>
        <v>5.8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3</v>
      </c>
      <c r="K44" s="123">
        <v>3</v>
      </c>
      <c r="L44" s="123">
        <v>3</v>
      </c>
      <c r="M44" s="123">
        <v>4</v>
      </c>
      <c r="N44" s="123">
        <v>4</v>
      </c>
      <c r="O44" s="103">
        <v>6</v>
      </c>
      <c r="P44" s="103">
        <v>7</v>
      </c>
      <c r="Q44" s="103">
        <v>8</v>
      </c>
      <c r="R44" s="103">
        <v>8</v>
      </c>
      <c r="S44" s="103">
        <v>8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8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15</v>
      </c>
      <c r="C45" s="123">
        <v>15</v>
      </c>
      <c r="D45" s="123">
        <v>15</v>
      </c>
      <c r="E45" s="123">
        <v>15</v>
      </c>
      <c r="F45" s="123">
        <v>15</v>
      </c>
      <c r="G45" s="123">
        <v>15</v>
      </c>
      <c r="H45" s="123">
        <v>15</v>
      </c>
      <c r="I45" s="123">
        <v>15</v>
      </c>
      <c r="J45" s="123">
        <v>15</v>
      </c>
      <c r="K45" s="123">
        <v>15</v>
      </c>
      <c r="L45" s="123">
        <v>15</v>
      </c>
      <c r="M45" s="123">
        <v>15</v>
      </c>
      <c r="N45" s="123">
        <v>15</v>
      </c>
      <c r="O45" s="103">
        <v>17.100000000000001</v>
      </c>
      <c r="P45" s="103">
        <v>18.7</v>
      </c>
      <c r="Q45" s="103">
        <v>17.100000000000001</v>
      </c>
      <c r="R45" s="103">
        <v>17.100000000000001</v>
      </c>
      <c r="S45" s="103">
        <v>17.100000000000001</v>
      </c>
      <c r="T45" s="103">
        <v>17.100000000000001</v>
      </c>
      <c r="U45" s="103">
        <v>17.100000000000001</v>
      </c>
      <c r="V45" s="103">
        <v>17.100000000000001</v>
      </c>
      <c r="W45" s="103">
        <v>17.100000000000001</v>
      </c>
      <c r="X45" s="103">
        <v>17.100000000000001</v>
      </c>
      <c r="Y45" s="103">
        <v>17.100000000000001</v>
      </c>
      <c r="Z45" s="103">
        <v>17.100000000000001</v>
      </c>
      <c r="AA45" s="103">
        <v>17.100000000000001</v>
      </c>
      <c r="AB45" s="103">
        <v>17.100000000000001</v>
      </c>
      <c r="AC45" s="103">
        <v>17.100000000000001</v>
      </c>
      <c r="AD45" s="103">
        <v>17.100000000000001</v>
      </c>
      <c r="AE45" s="103">
        <v>17.100000000000001</v>
      </c>
      <c r="AF45" s="103">
        <v>17.100000000000001</v>
      </c>
      <c r="AG45" s="106">
        <v>24</v>
      </c>
      <c r="AH45" s="21">
        <f t="shared" si="2"/>
        <v>18.7</v>
      </c>
      <c r="AI45" s="20">
        <f t="shared" si="3"/>
        <v>15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  <c r="AC46" s="123">
        <v>0</v>
      </c>
      <c r="AD46" s="12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23">
        <v>12</v>
      </c>
      <c r="AA47" s="123">
        <v>12</v>
      </c>
      <c r="AB47" s="123">
        <v>12</v>
      </c>
      <c r="AC47" s="123">
        <v>12</v>
      </c>
      <c r="AD47" s="12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6.8</v>
      </c>
      <c r="C48" s="123">
        <v>6.8</v>
      </c>
      <c r="D48" s="123">
        <v>6.8</v>
      </c>
      <c r="E48" s="123">
        <v>6.8</v>
      </c>
      <c r="F48" s="123">
        <v>6.8</v>
      </c>
      <c r="G48" s="123">
        <v>6.8</v>
      </c>
      <c r="H48" s="123">
        <v>6.8</v>
      </c>
      <c r="I48" s="123">
        <v>6.8</v>
      </c>
      <c r="J48" s="123">
        <v>6.8</v>
      </c>
      <c r="K48" s="123">
        <v>6.8</v>
      </c>
      <c r="L48" s="123">
        <v>6.8</v>
      </c>
      <c r="M48" s="123">
        <v>6.8</v>
      </c>
      <c r="N48" s="123">
        <v>6.8</v>
      </c>
      <c r="O48" s="123">
        <v>6.8</v>
      </c>
      <c r="P48" s="123">
        <v>6.8</v>
      </c>
      <c r="Q48" s="123">
        <v>6.8</v>
      </c>
      <c r="R48" s="123">
        <v>6.8</v>
      </c>
      <c r="S48" s="123">
        <v>6.8</v>
      </c>
      <c r="T48" s="123">
        <v>6.8</v>
      </c>
      <c r="U48" s="123">
        <v>6.8</v>
      </c>
      <c r="V48" s="123">
        <v>6.8</v>
      </c>
      <c r="W48" s="123">
        <v>6.8</v>
      </c>
      <c r="X48" s="123">
        <v>6.8</v>
      </c>
      <c r="Y48" s="123">
        <v>6.8</v>
      </c>
      <c r="Z48" s="123">
        <v>6.8</v>
      </c>
      <c r="AA48" s="123">
        <v>6.8</v>
      </c>
      <c r="AB48" s="123">
        <v>6.8</v>
      </c>
      <c r="AC48" s="123">
        <v>6.8</v>
      </c>
      <c r="AD48" s="123">
        <v>6.8</v>
      </c>
      <c r="AE48" s="103">
        <v>6.8</v>
      </c>
      <c r="AF48" s="103">
        <v>6.8</v>
      </c>
      <c r="AG48" s="106">
        <v>14</v>
      </c>
      <c r="AH48" s="21">
        <f t="shared" si="2"/>
        <v>6.8</v>
      </c>
      <c r="AI48" s="20">
        <f t="shared" si="3"/>
        <v>6.8</v>
      </c>
      <c r="AK48" s="42"/>
    </row>
    <row r="49" spans="1:37" x14ac:dyDescent="0.25">
      <c r="A49" s="107" t="s">
        <v>162</v>
      </c>
      <c r="B49" s="123">
        <v>6.3</v>
      </c>
      <c r="C49" s="123">
        <v>6.3</v>
      </c>
      <c r="D49" s="123">
        <v>6.3</v>
      </c>
      <c r="E49" s="123">
        <v>6.3</v>
      </c>
      <c r="F49" s="123">
        <v>6.3</v>
      </c>
      <c r="G49" s="123">
        <v>6.3</v>
      </c>
      <c r="H49" s="123">
        <v>6.3</v>
      </c>
      <c r="I49" s="123">
        <v>6.3</v>
      </c>
      <c r="J49" s="123">
        <v>6.3</v>
      </c>
      <c r="K49" s="123">
        <v>6.3</v>
      </c>
      <c r="L49" s="123">
        <v>6.3</v>
      </c>
      <c r="M49" s="123">
        <v>6.3</v>
      </c>
      <c r="N49" s="123">
        <v>6.3</v>
      </c>
      <c r="O49" s="123">
        <v>6.3</v>
      </c>
      <c r="P49" s="123">
        <v>6.3</v>
      </c>
      <c r="Q49" s="123">
        <v>6.3</v>
      </c>
      <c r="R49" s="123">
        <v>6.3</v>
      </c>
      <c r="S49" s="123">
        <v>6.3</v>
      </c>
      <c r="T49" s="123">
        <v>6.3</v>
      </c>
      <c r="U49" s="123">
        <v>6.3</v>
      </c>
      <c r="V49" s="123">
        <v>6.3</v>
      </c>
      <c r="W49" s="123">
        <v>6.3</v>
      </c>
      <c r="X49" s="123">
        <v>6.3</v>
      </c>
      <c r="Y49" s="123">
        <v>6.3</v>
      </c>
      <c r="Z49" s="123">
        <v>6.3</v>
      </c>
      <c r="AA49" s="123">
        <v>6.3</v>
      </c>
      <c r="AB49" s="123">
        <v>6.3</v>
      </c>
      <c r="AC49" s="123">
        <v>6.3</v>
      </c>
      <c r="AD49" s="123">
        <v>6.3</v>
      </c>
      <c r="AE49" s="103">
        <v>6.3</v>
      </c>
      <c r="AF49" s="103">
        <v>6.3</v>
      </c>
      <c r="AG49" s="106">
        <v>10.050000000000001</v>
      </c>
      <c r="AH49" s="21">
        <f t="shared" si="2"/>
        <v>6.3</v>
      </c>
      <c r="AI49" s="20">
        <f t="shared" si="3"/>
        <v>6.3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23">
        <v>2.5</v>
      </c>
      <c r="AA50" s="123">
        <v>2.5</v>
      </c>
      <c r="AB50" s="123">
        <v>2.5</v>
      </c>
      <c r="AC50" s="123">
        <v>2.5</v>
      </c>
      <c r="AD50" s="12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269.74000000000007</v>
      </c>
      <c r="C52" s="99">
        <f t="shared" ref="C52:AF52" si="6">SUM(C39:C51)</f>
        <v>263.24000000000007</v>
      </c>
      <c r="D52" s="99">
        <f t="shared" si="6"/>
        <v>268.74</v>
      </c>
      <c r="E52" s="99">
        <f t="shared" si="6"/>
        <v>178.74</v>
      </c>
      <c r="F52" s="99">
        <f t="shared" si="6"/>
        <v>145.94</v>
      </c>
      <c r="G52" s="99">
        <f t="shared" si="6"/>
        <v>150.34</v>
      </c>
      <c r="H52" s="99">
        <f t="shared" si="6"/>
        <v>150.14000000000001</v>
      </c>
      <c r="I52" s="99">
        <f t="shared" si="6"/>
        <v>193.54000000000002</v>
      </c>
      <c r="J52" s="99">
        <f t="shared" si="6"/>
        <v>317.34000000000009</v>
      </c>
      <c r="K52" s="99">
        <f t="shared" si="6"/>
        <v>339.44000000000005</v>
      </c>
      <c r="L52" s="99">
        <f t="shared" si="6"/>
        <v>373.84000000000003</v>
      </c>
      <c r="M52" s="99">
        <f t="shared" si="6"/>
        <v>394.74</v>
      </c>
      <c r="N52" s="99">
        <f t="shared" si="6"/>
        <v>373.14000000000004</v>
      </c>
      <c r="O52" s="99">
        <f t="shared" si="6"/>
        <v>366.94000000000011</v>
      </c>
      <c r="P52" s="99">
        <f t="shared" si="6"/>
        <v>350.14000000000004</v>
      </c>
      <c r="Q52" s="99">
        <f t="shared" si="6"/>
        <v>361.94000000000005</v>
      </c>
      <c r="R52" s="99">
        <f t="shared" si="6"/>
        <v>354.34000000000003</v>
      </c>
      <c r="S52" s="99">
        <f t="shared" si="6"/>
        <v>350.24000000000007</v>
      </c>
      <c r="T52" s="99">
        <f t="shared" si="6"/>
        <v>314.84000000000009</v>
      </c>
      <c r="U52" s="99">
        <f t="shared" si="6"/>
        <v>314.84000000000009</v>
      </c>
      <c r="V52" s="99">
        <f t="shared" si="6"/>
        <v>254.94000000000003</v>
      </c>
      <c r="W52" s="99">
        <f t="shared" si="6"/>
        <v>265.44000000000005</v>
      </c>
      <c r="X52" s="99">
        <f t="shared" si="6"/>
        <v>274.84000000000003</v>
      </c>
      <c r="Y52" s="99">
        <f t="shared" si="6"/>
        <v>404.14000000000004</v>
      </c>
      <c r="Z52" s="99">
        <f t="shared" si="6"/>
        <v>404.14000000000004</v>
      </c>
      <c r="AA52" s="99">
        <f t="shared" si="6"/>
        <v>404.14000000000004</v>
      </c>
      <c r="AB52" s="99">
        <f t="shared" si="6"/>
        <v>401.64000000000004</v>
      </c>
      <c r="AC52" s="99">
        <f t="shared" si="6"/>
        <v>400.24000000000007</v>
      </c>
      <c r="AD52" s="99">
        <f t="shared" si="6"/>
        <v>400.14000000000004</v>
      </c>
      <c r="AE52" s="99">
        <f t="shared" si="6"/>
        <v>354.04000000000008</v>
      </c>
      <c r="AF52" s="99">
        <f t="shared" si="6"/>
        <v>290.64000000000004</v>
      </c>
      <c r="AG52" s="98">
        <f>SUM(AG39:AG51)</f>
        <v>489.91</v>
      </c>
      <c r="AH52" s="21">
        <f t="shared" si="2"/>
        <v>404.14000000000004</v>
      </c>
      <c r="AI52" s="20">
        <f t="shared" si="3"/>
        <v>145.94</v>
      </c>
      <c r="AK52" s="42"/>
    </row>
    <row r="53" spans="1:37" x14ac:dyDescent="0.25">
      <c r="A53" s="109" t="s">
        <v>159</v>
      </c>
      <c r="B53" s="103">
        <v>59.7</v>
      </c>
      <c r="C53" s="103">
        <v>59.7</v>
      </c>
      <c r="D53" s="103">
        <v>59.7</v>
      </c>
      <c r="E53" s="123">
        <v>14</v>
      </c>
      <c r="F53" s="123">
        <v>24.1</v>
      </c>
      <c r="G53" s="123">
        <v>30</v>
      </c>
      <c r="H53" s="123">
        <v>50</v>
      </c>
      <c r="I53" s="123">
        <v>40</v>
      </c>
      <c r="J53" s="123">
        <v>60</v>
      </c>
      <c r="K53" s="123">
        <v>60</v>
      </c>
      <c r="L53" s="123">
        <v>60</v>
      </c>
      <c r="M53" s="122">
        <v>59.1</v>
      </c>
      <c r="N53" s="122">
        <v>59.1</v>
      </c>
      <c r="O53" s="122">
        <v>59.3</v>
      </c>
      <c r="P53" s="122">
        <v>59.6</v>
      </c>
      <c r="Q53" s="103">
        <v>59.7</v>
      </c>
      <c r="R53" s="103">
        <v>59.3</v>
      </c>
      <c r="S53" s="103">
        <v>59.3</v>
      </c>
      <c r="T53" s="103">
        <v>59.3</v>
      </c>
      <c r="U53" s="103">
        <v>59.3</v>
      </c>
      <c r="V53" s="103">
        <v>59.3</v>
      </c>
      <c r="W53" s="103">
        <v>59.3</v>
      </c>
      <c r="X53" s="103">
        <v>59.3</v>
      </c>
      <c r="Y53" s="103">
        <v>59.4</v>
      </c>
      <c r="Z53" s="103">
        <v>43</v>
      </c>
      <c r="AA53" s="103">
        <v>30</v>
      </c>
      <c r="AB53" s="103">
        <v>29.3</v>
      </c>
      <c r="AC53" s="103">
        <v>29.3</v>
      </c>
      <c r="AD53" s="103">
        <v>29.3</v>
      </c>
      <c r="AE53" s="103">
        <v>29.3</v>
      </c>
      <c r="AF53" s="103">
        <v>20</v>
      </c>
      <c r="AG53" s="108">
        <v>60</v>
      </c>
      <c r="AH53" s="21">
        <f t="shared" si="2"/>
        <v>60</v>
      </c>
      <c r="AI53" s="20">
        <f t="shared" si="3"/>
        <v>14</v>
      </c>
      <c r="AK53" s="42"/>
    </row>
    <row r="54" spans="1:37" x14ac:dyDescent="0.25">
      <c r="A54" s="107" t="s">
        <v>158</v>
      </c>
      <c r="B54" s="73">
        <v>29.7</v>
      </c>
      <c r="C54" s="73">
        <v>29.7</v>
      </c>
      <c r="D54" s="73">
        <v>29.7</v>
      </c>
      <c r="E54" s="123">
        <v>29.4</v>
      </c>
      <c r="F54" s="123">
        <v>6.8</v>
      </c>
      <c r="G54" s="123">
        <v>11.1</v>
      </c>
      <c r="H54" s="123">
        <v>12.3</v>
      </c>
      <c r="I54" s="123">
        <v>18.3</v>
      </c>
      <c r="J54" s="123">
        <v>29.2</v>
      </c>
      <c r="K54" s="123">
        <v>28.7</v>
      </c>
      <c r="L54" s="123">
        <v>28.7</v>
      </c>
      <c r="M54" s="122">
        <v>29.1</v>
      </c>
      <c r="N54" s="122">
        <v>29</v>
      </c>
      <c r="O54" s="122">
        <v>29</v>
      </c>
      <c r="P54" s="122">
        <v>29</v>
      </c>
      <c r="Q54" s="73">
        <v>29</v>
      </c>
      <c r="R54" s="73">
        <v>29.2</v>
      </c>
      <c r="S54" s="103">
        <v>29</v>
      </c>
      <c r="T54" s="103">
        <v>29</v>
      </c>
      <c r="U54" s="103">
        <v>29</v>
      </c>
      <c r="V54" s="103">
        <v>29</v>
      </c>
      <c r="W54" s="103">
        <v>29</v>
      </c>
      <c r="X54" s="103">
        <v>29</v>
      </c>
      <c r="Y54" s="73">
        <v>30.1</v>
      </c>
      <c r="Z54" s="73">
        <v>19.5</v>
      </c>
      <c r="AA54" s="73">
        <v>19</v>
      </c>
      <c r="AB54" s="73">
        <v>15.1</v>
      </c>
      <c r="AC54" s="73">
        <v>13.6</v>
      </c>
      <c r="AD54" s="73">
        <v>15</v>
      </c>
      <c r="AE54" s="73">
        <v>15.2</v>
      </c>
      <c r="AF54" s="73">
        <v>9</v>
      </c>
      <c r="AG54" s="106">
        <v>32</v>
      </c>
      <c r="AH54" s="21">
        <f t="shared" si="2"/>
        <v>30.1</v>
      </c>
      <c r="AI54" s="20">
        <f t="shared" si="3"/>
        <v>6.8</v>
      </c>
      <c r="AK54" s="42"/>
    </row>
    <row r="55" spans="1:37" ht="15.75" thickBot="1" x14ac:dyDescent="0.3">
      <c r="A55" s="121" t="s">
        <v>157</v>
      </c>
      <c r="B55" s="118">
        <v>10.9</v>
      </c>
      <c r="C55" s="118">
        <v>10.9</v>
      </c>
      <c r="D55" s="118">
        <v>10.9</v>
      </c>
      <c r="E55" s="120">
        <v>10.8</v>
      </c>
      <c r="F55" s="120">
        <v>2.5</v>
      </c>
      <c r="G55" s="120">
        <v>4.0999999999999996</v>
      </c>
      <c r="H55" s="120">
        <v>4.5</v>
      </c>
      <c r="I55" s="120">
        <v>6.7</v>
      </c>
      <c r="J55" s="120">
        <v>10.7</v>
      </c>
      <c r="K55" s="120">
        <v>10.5</v>
      </c>
      <c r="L55" s="120">
        <v>10.5</v>
      </c>
      <c r="M55" s="119">
        <v>10.6</v>
      </c>
      <c r="N55" s="119">
        <v>10.6</v>
      </c>
      <c r="O55" s="119">
        <v>10.6</v>
      </c>
      <c r="P55" s="119">
        <v>10.6</v>
      </c>
      <c r="Q55" s="118">
        <v>10.6</v>
      </c>
      <c r="R55" s="118">
        <v>10.7</v>
      </c>
      <c r="S55" s="103">
        <v>10.6</v>
      </c>
      <c r="T55" s="103">
        <v>10.6</v>
      </c>
      <c r="U55" s="103">
        <v>10.6</v>
      </c>
      <c r="V55" s="103">
        <v>10.6</v>
      </c>
      <c r="W55" s="103">
        <v>10.6</v>
      </c>
      <c r="X55" s="103">
        <v>10.6</v>
      </c>
      <c r="Y55" s="118">
        <v>11</v>
      </c>
      <c r="Z55" s="118">
        <v>7.1</v>
      </c>
      <c r="AA55" s="118">
        <v>7.1</v>
      </c>
      <c r="AB55" s="118">
        <v>5.5</v>
      </c>
      <c r="AC55" s="118">
        <v>5</v>
      </c>
      <c r="AD55" s="118">
        <v>5.5</v>
      </c>
      <c r="AE55" s="118">
        <v>5.6</v>
      </c>
      <c r="AF55" s="118">
        <v>3.3</v>
      </c>
      <c r="AG55" s="117">
        <v>14</v>
      </c>
      <c r="AH55" s="21">
        <f t="shared" si="2"/>
        <v>11</v>
      </c>
      <c r="AI55" s="20">
        <f t="shared" si="3"/>
        <v>2.5</v>
      </c>
      <c r="AK55" s="42"/>
    </row>
    <row r="56" spans="1:37" ht="15.75" thickBot="1" x14ac:dyDescent="0.3">
      <c r="A56" s="100" t="s">
        <v>156</v>
      </c>
      <c r="B56" s="99">
        <f>SUM(B53:B55)</f>
        <v>100.30000000000001</v>
      </c>
      <c r="C56" s="99">
        <f>SUM(C53:C55)</f>
        <v>100.30000000000001</v>
      </c>
      <c r="D56" s="99">
        <f t="shared" ref="D56:AF56" si="7">SUM(D53:D55)</f>
        <v>100.30000000000001</v>
      </c>
      <c r="E56" s="99">
        <f t="shared" si="7"/>
        <v>54.2</v>
      </c>
      <c r="F56" s="99">
        <f t="shared" si="7"/>
        <v>33.400000000000006</v>
      </c>
      <c r="G56" s="99">
        <f t="shared" si="7"/>
        <v>45.2</v>
      </c>
      <c r="H56" s="99">
        <f t="shared" si="7"/>
        <v>66.8</v>
      </c>
      <c r="I56" s="99">
        <f t="shared" si="7"/>
        <v>65</v>
      </c>
      <c r="J56" s="99">
        <f t="shared" si="7"/>
        <v>99.9</v>
      </c>
      <c r="K56" s="99">
        <f t="shared" si="7"/>
        <v>99.2</v>
      </c>
      <c r="L56" s="99">
        <f t="shared" si="7"/>
        <v>99.2</v>
      </c>
      <c r="M56" s="99">
        <f t="shared" si="7"/>
        <v>98.8</v>
      </c>
      <c r="N56" s="99">
        <f t="shared" si="7"/>
        <v>98.699999999999989</v>
      </c>
      <c r="O56" s="99">
        <f t="shared" si="7"/>
        <v>98.899999999999991</v>
      </c>
      <c r="P56" s="99">
        <f t="shared" si="7"/>
        <v>99.199999999999989</v>
      </c>
      <c r="Q56" s="99">
        <f t="shared" si="7"/>
        <v>99.3</v>
      </c>
      <c r="R56" s="99">
        <f t="shared" si="7"/>
        <v>99.2</v>
      </c>
      <c r="S56" s="99">
        <f t="shared" si="7"/>
        <v>98.899999999999991</v>
      </c>
      <c r="T56" s="99">
        <f t="shared" si="7"/>
        <v>98.899999999999991</v>
      </c>
      <c r="U56" s="99">
        <f t="shared" si="7"/>
        <v>98.899999999999991</v>
      </c>
      <c r="V56" s="99">
        <f t="shared" si="7"/>
        <v>98.899999999999991</v>
      </c>
      <c r="W56" s="99">
        <f t="shared" si="7"/>
        <v>98.899999999999991</v>
      </c>
      <c r="X56" s="99">
        <f t="shared" si="7"/>
        <v>98.899999999999991</v>
      </c>
      <c r="Y56" s="99">
        <f t="shared" si="7"/>
        <v>100.5</v>
      </c>
      <c r="Z56" s="99">
        <f t="shared" si="7"/>
        <v>69.599999999999994</v>
      </c>
      <c r="AA56" s="99">
        <f t="shared" si="7"/>
        <v>56.1</v>
      </c>
      <c r="AB56" s="99">
        <f t="shared" si="7"/>
        <v>49.9</v>
      </c>
      <c r="AC56" s="99">
        <f t="shared" si="7"/>
        <v>47.9</v>
      </c>
      <c r="AD56" s="99">
        <f t="shared" si="7"/>
        <v>49.8</v>
      </c>
      <c r="AE56" s="99">
        <f t="shared" si="7"/>
        <v>50.1</v>
      </c>
      <c r="AF56" s="99">
        <f t="shared" si="7"/>
        <v>32.299999999999997</v>
      </c>
      <c r="AG56" s="98">
        <f>SUM(AG53:AG55)</f>
        <v>106</v>
      </c>
      <c r="AH56" s="21">
        <f t="shared" si="2"/>
        <v>100.5</v>
      </c>
      <c r="AI56" s="20">
        <f t="shared" si="3"/>
        <v>32.299999999999997</v>
      </c>
      <c r="AK56" s="42"/>
    </row>
    <row r="57" spans="1:37" x14ac:dyDescent="0.25">
      <c r="A57" s="109" t="s">
        <v>135</v>
      </c>
      <c r="B57" s="103">
        <v>47.6</v>
      </c>
      <c r="C57" s="103">
        <v>48</v>
      </c>
      <c r="D57" s="103">
        <v>58</v>
      </c>
      <c r="E57" s="103">
        <v>56.8</v>
      </c>
      <c r="F57" s="103">
        <v>55.4</v>
      </c>
      <c r="G57" s="103">
        <v>52</v>
      </c>
      <c r="H57" s="103">
        <v>52.8</v>
      </c>
      <c r="I57" s="103">
        <v>53.2</v>
      </c>
      <c r="J57" s="103">
        <v>52</v>
      </c>
      <c r="K57" s="103">
        <v>56.6</v>
      </c>
      <c r="L57" s="103">
        <v>53.6</v>
      </c>
      <c r="M57" s="103">
        <v>55.3</v>
      </c>
      <c r="N57" s="103">
        <v>53.7</v>
      </c>
      <c r="O57" s="103">
        <v>51.3</v>
      </c>
      <c r="P57" s="103">
        <v>49.2</v>
      </c>
      <c r="Q57" s="103">
        <v>73.7</v>
      </c>
      <c r="R57" s="103">
        <v>80</v>
      </c>
      <c r="S57" s="103">
        <v>76</v>
      </c>
      <c r="T57" s="103">
        <v>75</v>
      </c>
      <c r="U57" s="103">
        <v>75</v>
      </c>
      <c r="V57" s="103">
        <v>73.400000000000006</v>
      </c>
      <c r="W57" s="103">
        <v>75</v>
      </c>
      <c r="X57" s="103">
        <v>71</v>
      </c>
      <c r="Y57" s="103">
        <v>62.3</v>
      </c>
      <c r="Z57" s="103">
        <v>76</v>
      </c>
      <c r="AA57" s="103">
        <v>74</v>
      </c>
      <c r="AB57" s="103">
        <v>71.400000000000006</v>
      </c>
      <c r="AC57" s="103">
        <v>70.66</v>
      </c>
      <c r="AD57" s="103">
        <v>67.2</v>
      </c>
      <c r="AE57" s="103">
        <v>63.97</v>
      </c>
      <c r="AF57" s="103">
        <v>67.12</v>
      </c>
      <c r="AG57" s="108"/>
      <c r="AH57" s="21">
        <f t="shared" si="2"/>
        <v>80</v>
      </c>
      <c r="AI57" s="20">
        <f t="shared" si="3"/>
        <v>47.6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68.3</v>
      </c>
      <c r="L58" s="73">
        <v>67.2</v>
      </c>
      <c r="M58" s="103">
        <v>75.599999999999994</v>
      </c>
      <c r="N58" s="103">
        <v>75.8</v>
      </c>
      <c r="O58" s="103">
        <v>68.099999999999994</v>
      </c>
      <c r="P58" s="103">
        <v>74.099999999999994</v>
      </c>
      <c r="Q58" s="103">
        <v>69.5</v>
      </c>
      <c r="R58" s="103">
        <v>75.099999999999994</v>
      </c>
      <c r="S58" s="103">
        <v>77</v>
      </c>
      <c r="T58" s="103">
        <v>113</v>
      </c>
      <c r="U58" s="103">
        <v>164</v>
      </c>
      <c r="V58" s="103">
        <v>164</v>
      </c>
      <c r="W58" s="103">
        <v>165</v>
      </c>
      <c r="X58" s="116">
        <v>165</v>
      </c>
      <c r="Y58" s="116">
        <v>50</v>
      </c>
      <c r="Z58" s="116">
        <v>80</v>
      </c>
      <c r="AA58" s="116">
        <v>77</v>
      </c>
      <c r="AB58" s="116">
        <v>85</v>
      </c>
      <c r="AC58" s="116">
        <v>83.2</v>
      </c>
      <c r="AD58" s="73">
        <v>79.8</v>
      </c>
      <c r="AE58" s="73">
        <v>70.099999999999994</v>
      </c>
      <c r="AF58" s="73">
        <v>70</v>
      </c>
      <c r="AG58" s="106"/>
      <c r="AH58" s="21">
        <f t="shared" si="2"/>
        <v>165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38.9</v>
      </c>
      <c r="C59" s="73">
        <v>30</v>
      </c>
      <c r="D59" s="73">
        <v>39.5</v>
      </c>
      <c r="E59" s="73">
        <v>191</v>
      </c>
      <c r="F59" s="73">
        <v>260.3</v>
      </c>
      <c r="G59" s="73">
        <v>256</v>
      </c>
      <c r="H59" s="103">
        <v>267</v>
      </c>
      <c r="I59" s="103">
        <v>258.39999999999998</v>
      </c>
      <c r="J59" s="103">
        <v>50</v>
      </c>
      <c r="K59" s="103">
        <v>44</v>
      </c>
      <c r="L59" s="103">
        <v>18</v>
      </c>
      <c r="M59" s="73">
        <v>38.4</v>
      </c>
      <c r="N59" s="73">
        <v>41.5</v>
      </c>
      <c r="O59" s="73">
        <v>121.6</v>
      </c>
      <c r="P59" s="73">
        <v>184.6</v>
      </c>
      <c r="Q59" s="73">
        <v>219.3</v>
      </c>
      <c r="R59" s="73">
        <v>160</v>
      </c>
      <c r="S59" s="73">
        <v>270</v>
      </c>
      <c r="T59" s="73">
        <v>294</v>
      </c>
      <c r="U59" s="73">
        <v>260</v>
      </c>
      <c r="V59" s="73">
        <v>102</v>
      </c>
      <c r="W59" s="73">
        <v>110</v>
      </c>
      <c r="X59" s="115">
        <v>110</v>
      </c>
      <c r="Y59" s="115">
        <v>47</v>
      </c>
      <c r="Z59" s="115">
        <v>61</v>
      </c>
      <c r="AA59" s="115">
        <v>45</v>
      </c>
      <c r="AB59" s="115">
        <v>45</v>
      </c>
      <c r="AC59" s="115">
        <v>35</v>
      </c>
      <c r="AD59" s="73">
        <v>45</v>
      </c>
      <c r="AE59" s="73">
        <v>21.8</v>
      </c>
      <c r="AF59" s="73">
        <v>29.4</v>
      </c>
      <c r="AG59" s="113"/>
      <c r="AH59" s="21">
        <f t="shared" si="2"/>
        <v>294</v>
      </c>
      <c r="AI59" s="20">
        <f t="shared" si="3"/>
        <v>18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37.4</v>
      </c>
      <c r="J60" s="77">
        <v>48</v>
      </c>
      <c r="K60" s="77">
        <v>48</v>
      </c>
      <c r="L60" s="77">
        <v>49.6</v>
      </c>
      <c r="M60" s="73">
        <v>56</v>
      </c>
      <c r="N60" s="73">
        <v>61.1</v>
      </c>
      <c r="O60" s="73">
        <v>58.8</v>
      </c>
      <c r="P60" s="73">
        <v>58.9</v>
      </c>
      <c r="Q60" s="73">
        <v>53.9</v>
      </c>
      <c r="R60" s="73">
        <v>58.7</v>
      </c>
      <c r="S60" s="73">
        <v>58</v>
      </c>
      <c r="T60" s="73">
        <v>54</v>
      </c>
      <c r="U60" s="73">
        <v>54</v>
      </c>
      <c r="V60" s="73">
        <v>40</v>
      </c>
      <c r="W60" s="73">
        <v>40</v>
      </c>
      <c r="X60" s="73">
        <v>24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113"/>
      <c r="AH60" s="21">
        <f t="shared" si="2"/>
        <v>61.1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77">
        <v>33.1</v>
      </c>
      <c r="J61" s="77">
        <v>33.700000000000003</v>
      </c>
      <c r="K61" s="77">
        <v>56.3</v>
      </c>
      <c r="L61" s="77">
        <v>71.599999999999994</v>
      </c>
      <c r="M61" s="103">
        <v>72.400000000000006</v>
      </c>
      <c r="N61" s="103">
        <v>75.8</v>
      </c>
      <c r="O61" s="103">
        <v>82.9</v>
      </c>
      <c r="P61" s="103">
        <v>75.3</v>
      </c>
      <c r="Q61" s="103">
        <v>81.7</v>
      </c>
      <c r="R61" s="103">
        <v>69.099999999999994</v>
      </c>
      <c r="S61" s="103">
        <v>77</v>
      </c>
      <c r="T61" s="103">
        <v>79</v>
      </c>
      <c r="U61" s="103">
        <v>79</v>
      </c>
      <c r="V61" s="103">
        <v>60</v>
      </c>
      <c r="W61" s="103">
        <v>72</v>
      </c>
      <c r="X61" s="103">
        <v>71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82.9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6</v>
      </c>
      <c r="C62" s="67">
        <v>6</v>
      </c>
      <c r="D62" s="67">
        <v>6</v>
      </c>
      <c r="E62" s="67">
        <v>6</v>
      </c>
      <c r="F62" s="67">
        <v>6</v>
      </c>
      <c r="G62" s="67">
        <v>6</v>
      </c>
      <c r="H62" s="67">
        <v>6</v>
      </c>
      <c r="I62" s="67">
        <v>6</v>
      </c>
      <c r="J62" s="67">
        <v>6</v>
      </c>
      <c r="K62" s="67">
        <v>6</v>
      </c>
      <c r="L62" s="67">
        <v>6</v>
      </c>
      <c r="M62" s="67">
        <v>6</v>
      </c>
      <c r="N62" s="67">
        <v>6</v>
      </c>
      <c r="O62" s="67">
        <v>6</v>
      </c>
      <c r="P62" s="67">
        <v>6</v>
      </c>
      <c r="Q62" s="67">
        <v>6</v>
      </c>
      <c r="R62" s="67">
        <v>6</v>
      </c>
      <c r="S62" s="67">
        <v>6</v>
      </c>
      <c r="T62" s="67">
        <v>6</v>
      </c>
      <c r="U62" s="67">
        <v>6</v>
      </c>
      <c r="V62" s="67">
        <v>6</v>
      </c>
      <c r="W62" s="67">
        <v>6</v>
      </c>
      <c r="X62" s="67">
        <v>6</v>
      </c>
      <c r="Y62" s="67">
        <v>6</v>
      </c>
      <c r="Z62" s="67">
        <v>6</v>
      </c>
      <c r="AA62" s="67">
        <v>6</v>
      </c>
      <c r="AB62" s="67">
        <v>6</v>
      </c>
      <c r="AC62" s="67">
        <v>6</v>
      </c>
      <c r="AD62" s="67">
        <v>6</v>
      </c>
      <c r="AE62" s="67">
        <v>6</v>
      </c>
      <c r="AF62" s="67">
        <v>6</v>
      </c>
      <c r="AG62" s="113"/>
      <c r="AH62" s="21">
        <f t="shared" si="2"/>
        <v>6</v>
      </c>
      <c r="AI62" s="20">
        <f t="shared" si="3"/>
        <v>6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10</v>
      </c>
      <c r="C66" s="70">
        <v>10</v>
      </c>
      <c r="D66" s="70">
        <v>10</v>
      </c>
      <c r="E66" s="70">
        <v>10</v>
      </c>
      <c r="F66" s="70">
        <v>10</v>
      </c>
      <c r="G66" s="70">
        <v>10</v>
      </c>
      <c r="H66" s="70">
        <v>10</v>
      </c>
      <c r="I66" s="70">
        <v>10</v>
      </c>
      <c r="J66" s="70">
        <v>10</v>
      </c>
      <c r="K66" s="70">
        <v>10</v>
      </c>
      <c r="L66" s="70">
        <v>10</v>
      </c>
      <c r="M66" s="70">
        <v>10</v>
      </c>
      <c r="N66" s="70">
        <v>10</v>
      </c>
      <c r="O66" s="70">
        <v>10</v>
      </c>
      <c r="P66" s="70">
        <v>10</v>
      </c>
      <c r="Q66" s="70">
        <v>10</v>
      </c>
      <c r="R66" s="70">
        <v>10</v>
      </c>
      <c r="S66" s="70">
        <v>10</v>
      </c>
      <c r="T66" s="70">
        <v>10</v>
      </c>
      <c r="U66" s="70">
        <v>10</v>
      </c>
      <c r="V66" s="70">
        <v>10</v>
      </c>
      <c r="W66" s="70">
        <v>10</v>
      </c>
      <c r="X66" s="70">
        <v>10</v>
      </c>
      <c r="Y66" s="70">
        <v>10</v>
      </c>
      <c r="Z66" s="70">
        <v>10</v>
      </c>
      <c r="AA66" s="70">
        <v>10</v>
      </c>
      <c r="AB66" s="70">
        <v>10</v>
      </c>
      <c r="AC66" s="70">
        <v>10</v>
      </c>
      <c r="AD66" s="70">
        <v>10</v>
      </c>
      <c r="AE66" s="70">
        <v>10</v>
      </c>
      <c r="AF66" s="70">
        <v>10</v>
      </c>
      <c r="AG66" s="102"/>
      <c r="AH66" s="21">
        <f t="shared" si="2"/>
        <v>10</v>
      </c>
      <c r="AI66" s="20">
        <f t="shared" si="3"/>
        <v>10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113.5</v>
      </c>
      <c r="C68" s="99">
        <f>SUM(C57:C67)</f>
        <v>105</v>
      </c>
      <c r="D68" s="99">
        <f t="shared" ref="D68:AF68" si="8">SUM(D57:D67)</f>
        <v>124.5</v>
      </c>
      <c r="E68" s="99">
        <f t="shared" si="8"/>
        <v>274.8</v>
      </c>
      <c r="F68" s="99">
        <f t="shared" si="8"/>
        <v>342.7</v>
      </c>
      <c r="G68" s="99">
        <f t="shared" si="8"/>
        <v>335</v>
      </c>
      <c r="H68" s="99">
        <f t="shared" si="8"/>
        <v>346.8</v>
      </c>
      <c r="I68" s="99">
        <f t="shared" si="8"/>
        <v>409.09999999999997</v>
      </c>
      <c r="J68" s="99">
        <f t="shared" si="8"/>
        <v>210.7</v>
      </c>
      <c r="K68" s="99">
        <f t="shared" si="8"/>
        <v>300.2</v>
      </c>
      <c r="L68" s="99">
        <f t="shared" si="8"/>
        <v>287</v>
      </c>
      <c r="M68" s="99">
        <f t="shared" si="8"/>
        <v>324.7</v>
      </c>
      <c r="N68" s="99">
        <f t="shared" si="8"/>
        <v>334.9</v>
      </c>
      <c r="O68" s="99">
        <f t="shared" si="8"/>
        <v>409.70000000000005</v>
      </c>
      <c r="P68" s="99">
        <f t="shared" si="8"/>
        <v>469.09999999999997</v>
      </c>
      <c r="Q68" s="99">
        <f t="shared" si="8"/>
        <v>525.09999999999991</v>
      </c>
      <c r="R68" s="99">
        <f t="shared" si="8"/>
        <v>469.9</v>
      </c>
      <c r="S68" s="99">
        <f t="shared" si="8"/>
        <v>585</v>
      </c>
      <c r="T68" s="99">
        <f t="shared" si="8"/>
        <v>642</v>
      </c>
      <c r="U68" s="99">
        <f t="shared" si="8"/>
        <v>659</v>
      </c>
      <c r="V68" s="99">
        <f t="shared" si="8"/>
        <v>466.4</v>
      </c>
      <c r="W68" s="99">
        <f t="shared" si="8"/>
        <v>489</v>
      </c>
      <c r="X68" s="99">
        <f t="shared" si="8"/>
        <v>468</v>
      </c>
      <c r="Y68" s="99">
        <f t="shared" si="8"/>
        <v>186.3</v>
      </c>
      <c r="Z68" s="99">
        <f t="shared" si="8"/>
        <v>244</v>
      </c>
      <c r="AA68" s="99">
        <f t="shared" si="8"/>
        <v>223</v>
      </c>
      <c r="AB68" s="99">
        <f t="shared" si="8"/>
        <v>228.4</v>
      </c>
      <c r="AC68" s="99">
        <f t="shared" si="8"/>
        <v>215.86</v>
      </c>
      <c r="AD68" s="99">
        <f t="shared" si="8"/>
        <v>219</v>
      </c>
      <c r="AE68" s="99">
        <f t="shared" si="8"/>
        <v>182.87</v>
      </c>
      <c r="AF68" s="99">
        <f t="shared" si="8"/>
        <v>193.52</v>
      </c>
      <c r="AG68" s="98">
        <f>SUM(AG57:AG67)</f>
        <v>0</v>
      </c>
      <c r="AH68" s="21">
        <f t="shared" si="2"/>
        <v>659</v>
      </c>
      <c r="AI68" s="20">
        <f t="shared" si="3"/>
        <v>105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963.04000000000019</v>
      </c>
      <c r="C73" s="110">
        <f>C68+C56+C52+C38+C72</f>
        <v>938.04000000000019</v>
      </c>
      <c r="D73" s="110">
        <f t="shared" ref="D73:AG73" si="10">D68+D56+D52+D38+D72</f>
        <v>923.84</v>
      </c>
      <c r="E73" s="110">
        <f t="shared" si="10"/>
        <v>910.04</v>
      </c>
      <c r="F73" s="110">
        <f t="shared" si="10"/>
        <v>924.33999999999992</v>
      </c>
      <c r="G73" s="110">
        <f t="shared" si="10"/>
        <v>932.83999999999992</v>
      </c>
      <c r="H73" s="110">
        <f t="shared" si="10"/>
        <v>966.04</v>
      </c>
      <c r="I73" s="110">
        <f t="shared" si="10"/>
        <v>1069.94</v>
      </c>
      <c r="J73" s="110">
        <f t="shared" si="10"/>
        <v>1283.24</v>
      </c>
      <c r="K73" s="110">
        <f t="shared" si="10"/>
        <v>1384.1399999999999</v>
      </c>
      <c r="L73" s="110">
        <f t="shared" si="10"/>
        <v>1445.3400000000001</v>
      </c>
      <c r="M73" s="110">
        <f t="shared" si="10"/>
        <v>1460.74</v>
      </c>
      <c r="N73" s="110">
        <f t="shared" si="10"/>
        <v>1429.54</v>
      </c>
      <c r="O73" s="110">
        <f t="shared" si="10"/>
        <v>1408.3400000000001</v>
      </c>
      <c r="P73" s="110">
        <f t="shared" si="10"/>
        <v>1445.74</v>
      </c>
      <c r="Q73" s="110">
        <f t="shared" si="10"/>
        <v>1441.84</v>
      </c>
      <c r="R73" s="110">
        <f t="shared" si="10"/>
        <v>1448.94</v>
      </c>
      <c r="S73" s="110">
        <f t="shared" si="10"/>
        <v>1469.64</v>
      </c>
      <c r="T73" s="110">
        <f t="shared" si="10"/>
        <v>1446.24</v>
      </c>
      <c r="U73" s="110">
        <f t="shared" si="10"/>
        <v>1463.24</v>
      </c>
      <c r="V73" s="110">
        <f t="shared" si="10"/>
        <v>1207.74</v>
      </c>
      <c r="W73" s="110">
        <f t="shared" si="10"/>
        <v>1288.8399999999999</v>
      </c>
      <c r="X73" s="110">
        <f t="shared" si="10"/>
        <v>1239.24</v>
      </c>
      <c r="Y73" s="110">
        <f t="shared" si="10"/>
        <v>1256.44</v>
      </c>
      <c r="Z73" s="110">
        <f t="shared" si="10"/>
        <v>1333.24</v>
      </c>
      <c r="AA73" s="110">
        <f t="shared" si="10"/>
        <v>1298.74</v>
      </c>
      <c r="AB73" s="110">
        <f t="shared" si="10"/>
        <v>1265.44</v>
      </c>
      <c r="AC73" s="110">
        <f t="shared" si="10"/>
        <v>1219.5</v>
      </c>
      <c r="AD73" s="110">
        <f t="shared" si="10"/>
        <v>1184.44</v>
      </c>
      <c r="AE73" s="110">
        <f t="shared" si="10"/>
        <v>1052.5100000000002</v>
      </c>
      <c r="AF73" s="110">
        <f t="shared" si="10"/>
        <v>981.96</v>
      </c>
      <c r="AG73" s="110">
        <f t="shared" si="10"/>
        <v>2144.14</v>
      </c>
      <c r="AH73" s="21">
        <f t="shared" si="2"/>
        <v>1469.64</v>
      </c>
      <c r="AI73" s="20">
        <f t="shared" si="3"/>
        <v>910.04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250</v>
      </c>
      <c r="C74" s="111">
        <v>250</v>
      </c>
      <c r="D74" s="111">
        <v>250</v>
      </c>
      <c r="E74" s="111">
        <v>250</v>
      </c>
      <c r="F74" s="111">
        <v>250</v>
      </c>
      <c r="G74" s="111">
        <v>250</v>
      </c>
      <c r="H74" s="111">
        <v>250</v>
      </c>
      <c r="I74" s="111">
        <v>180</v>
      </c>
      <c r="J74" s="111">
        <v>0</v>
      </c>
      <c r="K74" s="111">
        <v>0</v>
      </c>
      <c r="L74" s="111"/>
      <c r="M74" s="111"/>
      <c r="N74" s="111"/>
      <c r="O74" s="111"/>
      <c r="P74" s="111"/>
      <c r="Q74" s="111"/>
      <c r="R74" s="111"/>
      <c r="S74" s="111"/>
      <c r="T74" s="111"/>
      <c r="U74" s="111">
        <v>70</v>
      </c>
      <c r="V74" s="111">
        <v>200</v>
      </c>
      <c r="W74" s="111">
        <v>300</v>
      </c>
      <c r="X74" s="111">
        <v>300</v>
      </c>
      <c r="Y74" s="111">
        <v>300</v>
      </c>
      <c r="Z74" s="111">
        <v>300</v>
      </c>
      <c r="AA74" s="111">
        <v>300</v>
      </c>
      <c r="AB74" s="111">
        <v>300</v>
      </c>
      <c r="AC74" s="111">
        <v>250</v>
      </c>
      <c r="AD74" s="111">
        <v>250</v>
      </c>
      <c r="AE74" s="111">
        <v>250</v>
      </c>
      <c r="AF74" s="111">
        <v>250</v>
      </c>
      <c r="AG74" s="98"/>
      <c r="AH74" s="21">
        <f t="shared" si="2"/>
        <v>300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1213.0400000000002</v>
      </c>
      <c r="C75" s="110">
        <f>C73+C74</f>
        <v>1188.0400000000002</v>
      </c>
      <c r="D75" s="110">
        <f t="shared" ref="D75:AF75" si="11">D72+D68+D56+D52+D38+D74</f>
        <v>1173.8400000000001</v>
      </c>
      <c r="E75" s="110">
        <f t="shared" si="11"/>
        <v>1160.04</v>
      </c>
      <c r="F75" s="110">
        <f t="shared" si="11"/>
        <v>1174.3399999999999</v>
      </c>
      <c r="G75" s="110">
        <f t="shared" si="11"/>
        <v>1182.8399999999999</v>
      </c>
      <c r="H75" s="110">
        <f t="shared" si="11"/>
        <v>1216.04</v>
      </c>
      <c r="I75" s="110">
        <f t="shared" si="11"/>
        <v>1249.94</v>
      </c>
      <c r="J75" s="110">
        <f t="shared" si="11"/>
        <v>1283.24</v>
      </c>
      <c r="K75" s="110">
        <f t="shared" si="11"/>
        <v>1384.1399999999999</v>
      </c>
      <c r="L75" s="110">
        <f t="shared" si="11"/>
        <v>1445.3400000000001</v>
      </c>
      <c r="M75" s="110">
        <f t="shared" si="11"/>
        <v>1460.74</v>
      </c>
      <c r="N75" s="110">
        <f t="shared" si="11"/>
        <v>1429.54</v>
      </c>
      <c r="O75" s="110">
        <f t="shared" si="11"/>
        <v>1408.3400000000001</v>
      </c>
      <c r="P75" s="110">
        <f t="shared" si="11"/>
        <v>1445.74</v>
      </c>
      <c r="Q75" s="110">
        <f t="shared" si="11"/>
        <v>1441.84</v>
      </c>
      <c r="R75" s="110">
        <f t="shared" si="11"/>
        <v>1448.94</v>
      </c>
      <c r="S75" s="110">
        <f t="shared" si="11"/>
        <v>1469.64</v>
      </c>
      <c r="T75" s="110">
        <f t="shared" si="11"/>
        <v>1446.24</v>
      </c>
      <c r="U75" s="110">
        <f t="shared" si="11"/>
        <v>1533.24</v>
      </c>
      <c r="V75" s="110">
        <f t="shared" si="11"/>
        <v>1407.74</v>
      </c>
      <c r="W75" s="110">
        <f t="shared" si="11"/>
        <v>1588.84</v>
      </c>
      <c r="X75" s="110">
        <f t="shared" si="11"/>
        <v>1539.24</v>
      </c>
      <c r="Y75" s="110">
        <f t="shared" si="11"/>
        <v>1556.44</v>
      </c>
      <c r="Z75" s="110">
        <f t="shared" si="11"/>
        <v>1633.24</v>
      </c>
      <c r="AA75" s="110">
        <f t="shared" si="11"/>
        <v>1598.74</v>
      </c>
      <c r="AB75" s="110">
        <f t="shared" si="11"/>
        <v>1565.44</v>
      </c>
      <c r="AC75" s="110">
        <f t="shared" si="11"/>
        <v>1469.5</v>
      </c>
      <c r="AD75" s="110">
        <f t="shared" si="11"/>
        <v>1434.44</v>
      </c>
      <c r="AE75" s="110">
        <f t="shared" si="11"/>
        <v>1302.5100000000002</v>
      </c>
      <c r="AF75" s="110">
        <f t="shared" si="11"/>
        <v>1231.96</v>
      </c>
      <c r="AG75" s="98">
        <f>AG72+AG68+AG56+AG52+AG38+AG74</f>
        <v>2144.14</v>
      </c>
      <c r="AH75" s="21">
        <f t="shared" si="2"/>
        <v>1633.24</v>
      </c>
      <c r="AI75" s="20">
        <f t="shared" si="3"/>
        <v>1160.04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2426.0800000000004</v>
      </c>
      <c r="C83" s="99">
        <f t="shared" ref="C83:AG83" si="20">SUM(C70:C82)</f>
        <v>2376.0800000000004</v>
      </c>
      <c r="D83" s="99">
        <f t="shared" si="20"/>
        <v>2347.6800000000003</v>
      </c>
      <c r="E83" s="99">
        <f t="shared" si="20"/>
        <v>2320.08</v>
      </c>
      <c r="F83" s="99">
        <f t="shared" si="20"/>
        <v>2348.6799999999998</v>
      </c>
      <c r="G83" s="99">
        <f t="shared" si="20"/>
        <v>2365.6799999999998</v>
      </c>
      <c r="H83" s="99">
        <f t="shared" si="20"/>
        <v>2432.08</v>
      </c>
      <c r="I83" s="99">
        <f t="shared" si="20"/>
        <v>2499.88</v>
      </c>
      <c r="J83" s="99">
        <f t="shared" si="20"/>
        <v>2566.48</v>
      </c>
      <c r="K83" s="99">
        <f t="shared" si="20"/>
        <v>2768.2799999999997</v>
      </c>
      <c r="L83" s="99">
        <f t="shared" si="20"/>
        <v>2890.6800000000003</v>
      </c>
      <c r="M83" s="99">
        <f t="shared" si="20"/>
        <v>2921.48</v>
      </c>
      <c r="N83" s="99">
        <f t="shared" si="20"/>
        <v>2859.08</v>
      </c>
      <c r="O83" s="99">
        <f t="shared" si="20"/>
        <v>2816.6800000000003</v>
      </c>
      <c r="P83" s="99">
        <f t="shared" si="20"/>
        <v>2891.48</v>
      </c>
      <c r="Q83" s="99">
        <f t="shared" si="20"/>
        <v>2883.68</v>
      </c>
      <c r="R83" s="99">
        <f t="shared" si="20"/>
        <v>2897.88</v>
      </c>
      <c r="S83" s="99">
        <f t="shared" si="20"/>
        <v>2939.28</v>
      </c>
      <c r="T83" s="99">
        <f t="shared" si="20"/>
        <v>2892.48</v>
      </c>
      <c r="U83" s="99">
        <f t="shared" si="20"/>
        <v>3066.48</v>
      </c>
      <c r="V83" s="99">
        <f t="shared" si="20"/>
        <v>2815.48</v>
      </c>
      <c r="W83" s="99">
        <f t="shared" si="20"/>
        <v>3177.68</v>
      </c>
      <c r="X83" s="99">
        <f t="shared" si="20"/>
        <v>3078.48</v>
      </c>
      <c r="Y83" s="99">
        <f t="shared" si="20"/>
        <v>3112.88</v>
      </c>
      <c r="Z83" s="99">
        <f t="shared" si="20"/>
        <v>3266.48</v>
      </c>
      <c r="AA83" s="99">
        <f t="shared" si="20"/>
        <v>3197.48</v>
      </c>
      <c r="AB83" s="99">
        <f t="shared" si="20"/>
        <v>3130.88</v>
      </c>
      <c r="AC83" s="99">
        <f t="shared" si="20"/>
        <v>2939</v>
      </c>
      <c r="AD83" s="99">
        <f t="shared" si="20"/>
        <v>2868.88</v>
      </c>
      <c r="AE83" s="99">
        <f t="shared" si="20"/>
        <v>2605.0200000000004</v>
      </c>
      <c r="AF83" s="99">
        <f t="shared" si="20"/>
        <v>2463.92</v>
      </c>
      <c r="AG83" s="98">
        <f t="shared" si="20"/>
        <v>4360.08</v>
      </c>
      <c r="AH83" s="21">
        <f t="shared" si="13"/>
        <v>3266.48</v>
      </c>
      <c r="AI83" s="20">
        <f t="shared" si="14"/>
        <v>2320.08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50.006</v>
      </c>
      <c r="C84" s="96">
        <v>49.99</v>
      </c>
      <c r="D84" s="96">
        <v>49.965000000000003</v>
      </c>
      <c r="E84" s="96">
        <v>50.034999999999997</v>
      </c>
      <c r="F84" s="96">
        <v>50.01</v>
      </c>
      <c r="G84" s="96">
        <v>50.021000000000001</v>
      </c>
      <c r="H84" s="96">
        <v>49.991</v>
      </c>
      <c r="I84" s="96">
        <v>50.037999999999997</v>
      </c>
      <c r="J84" s="96">
        <v>50.054000000000002</v>
      </c>
      <c r="K84" s="96">
        <v>50.048999999999999</v>
      </c>
      <c r="L84" s="96">
        <v>50.09</v>
      </c>
      <c r="M84" s="96">
        <v>49.951000000000001</v>
      </c>
      <c r="N84" s="96">
        <v>50.006</v>
      </c>
      <c r="O84" s="96">
        <v>50.04</v>
      </c>
      <c r="P84" s="96">
        <v>50.012</v>
      </c>
      <c r="Q84" s="96">
        <v>50.023000000000003</v>
      </c>
      <c r="R84" s="96">
        <v>50.064999999999998</v>
      </c>
      <c r="S84" s="96">
        <v>50.03</v>
      </c>
      <c r="T84" s="96">
        <v>49.918999999999997</v>
      </c>
      <c r="U84" s="96">
        <v>50.04</v>
      </c>
      <c r="V84" s="96">
        <v>50.02</v>
      </c>
      <c r="W84" s="96" t="s">
        <v>229</v>
      </c>
      <c r="X84" s="96">
        <v>49.94</v>
      </c>
      <c r="Y84" s="96">
        <v>49.914999999999999</v>
      </c>
      <c r="Z84" s="96">
        <v>49.97</v>
      </c>
      <c r="AA84" s="96">
        <v>49.78</v>
      </c>
      <c r="AB84" s="96">
        <v>49.95</v>
      </c>
      <c r="AC84" s="96">
        <v>50.05</v>
      </c>
      <c r="AD84" s="96">
        <v>50.04</v>
      </c>
      <c r="AE84" s="96">
        <v>49.82</v>
      </c>
      <c r="AF84" s="96">
        <v>49.94</v>
      </c>
      <c r="AG84" s="95"/>
      <c r="AH84" s="21">
        <f t="shared" si="13"/>
        <v>50.09</v>
      </c>
      <c r="AI84" s="20">
        <f t="shared" si="14"/>
        <v>49.78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130.4</v>
      </c>
      <c r="C85" s="73">
        <v>131.1</v>
      </c>
      <c r="D85" s="73">
        <v>131</v>
      </c>
      <c r="E85" s="73">
        <v>131.6</v>
      </c>
      <c r="F85" s="73">
        <v>129.4</v>
      </c>
      <c r="G85" s="73">
        <v>130.6</v>
      </c>
      <c r="H85" s="73">
        <v>129.69999999999999</v>
      </c>
      <c r="I85" s="73">
        <v>129</v>
      </c>
      <c r="J85" s="73">
        <v>128.5</v>
      </c>
      <c r="K85" s="73">
        <v>127.2</v>
      </c>
      <c r="L85" s="73">
        <v>126.5</v>
      </c>
      <c r="M85" s="73">
        <v>126.5</v>
      </c>
      <c r="N85" s="73">
        <v>126.5</v>
      </c>
      <c r="O85" s="73">
        <v>126.3</v>
      </c>
      <c r="P85" s="73">
        <v>124.9</v>
      </c>
      <c r="Q85" s="73">
        <v>125.5</v>
      </c>
      <c r="R85" s="73">
        <v>125.4</v>
      </c>
      <c r="S85" s="73">
        <v>125</v>
      </c>
      <c r="T85" s="73">
        <v>125</v>
      </c>
      <c r="U85" s="73">
        <v>125</v>
      </c>
      <c r="V85" s="73">
        <v>125</v>
      </c>
      <c r="W85" s="73">
        <v>125</v>
      </c>
      <c r="X85" s="94">
        <v>129</v>
      </c>
      <c r="Y85" s="94">
        <v>127</v>
      </c>
      <c r="Z85" s="94">
        <v>126.6</v>
      </c>
      <c r="AA85" s="94">
        <v>127</v>
      </c>
      <c r="AB85" s="94">
        <v>127.8</v>
      </c>
      <c r="AC85" s="94">
        <v>128.5</v>
      </c>
      <c r="AD85" s="73">
        <v>128.80000000000001</v>
      </c>
      <c r="AE85" s="73">
        <v>128.80000000000001</v>
      </c>
      <c r="AF85" s="73">
        <v>130.4</v>
      </c>
      <c r="AG85" s="89"/>
      <c r="AH85" s="21">
        <f t="shared" si="13"/>
        <v>131.6</v>
      </c>
      <c r="AI85" s="20">
        <f t="shared" si="14"/>
        <v>124.9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133.6</v>
      </c>
      <c r="C86" s="73">
        <v>134.4</v>
      </c>
      <c r="D86" s="73">
        <v>134.30000000000001</v>
      </c>
      <c r="E86" s="73">
        <v>134.30000000000001</v>
      </c>
      <c r="F86" s="73">
        <v>132.30000000000001</v>
      </c>
      <c r="G86" s="73">
        <v>133.30000000000001</v>
      </c>
      <c r="H86" s="73">
        <v>132.19999999999999</v>
      </c>
      <c r="I86" s="73">
        <v>131.19999999999999</v>
      </c>
      <c r="J86" s="73">
        <v>130.69999999999999</v>
      </c>
      <c r="K86" s="73">
        <v>129.30000000000001</v>
      </c>
      <c r="L86" s="73">
        <v>128.69999999999999</v>
      </c>
      <c r="M86" s="73">
        <v>128.69999999999999</v>
      </c>
      <c r="N86" s="73">
        <v>128.69999999999999</v>
      </c>
      <c r="O86" s="73">
        <v>128.69999999999999</v>
      </c>
      <c r="P86" s="73">
        <v>127.8</v>
      </c>
      <c r="Q86" s="73">
        <v>128.4</v>
      </c>
      <c r="R86" s="73">
        <v>128.30000000000001</v>
      </c>
      <c r="S86" s="73">
        <v>128</v>
      </c>
      <c r="T86" s="73">
        <v>128</v>
      </c>
      <c r="U86" s="73">
        <v>128</v>
      </c>
      <c r="V86" s="73">
        <v>128</v>
      </c>
      <c r="W86" s="73">
        <v>128</v>
      </c>
      <c r="X86" s="94">
        <v>130</v>
      </c>
      <c r="Y86" s="94">
        <v>129</v>
      </c>
      <c r="Z86" s="94">
        <v>128.69999999999999</v>
      </c>
      <c r="AA86" s="94">
        <v>129</v>
      </c>
      <c r="AB86" s="94">
        <v>130.30000000000001</v>
      </c>
      <c r="AC86" s="94">
        <v>131.19999999999999</v>
      </c>
      <c r="AD86" s="73">
        <v>131.80000000000001</v>
      </c>
      <c r="AE86" s="73">
        <v>131.9</v>
      </c>
      <c r="AF86" s="73">
        <v>133.30000000000001</v>
      </c>
      <c r="AG86" s="89"/>
      <c r="AH86" s="21">
        <f t="shared" si="13"/>
        <v>134.4</v>
      </c>
      <c r="AI86" s="20">
        <f t="shared" si="14"/>
        <v>127.8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129.1</v>
      </c>
      <c r="C87" s="73">
        <v>130.80000000000001</v>
      </c>
      <c r="D87" s="73">
        <v>131.19999999999999</v>
      </c>
      <c r="E87" s="73">
        <v>132.6</v>
      </c>
      <c r="F87" s="73">
        <v>130.4</v>
      </c>
      <c r="G87" s="73">
        <v>130.69999999999999</v>
      </c>
      <c r="H87" s="73">
        <v>129.9</v>
      </c>
      <c r="I87" s="73">
        <v>126.6</v>
      </c>
      <c r="J87" s="73">
        <v>123.2</v>
      </c>
      <c r="K87" s="73">
        <v>126.3</v>
      </c>
      <c r="L87" s="73">
        <v>128.19999999999999</v>
      </c>
      <c r="M87" s="73">
        <v>123.8</v>
      </c>
      <c r="N87" s="73">
        <v>124.6</v>
      </c>
      <c r="O87" s="73">
        <v>124.1</v>
      </c>
      <c r="P87" s="73">
        <v>120.7</v>
      </c>
      <c r="Q87" s="73">
        <v>124.9</v>
      </c>
      <c r="R87" s="73">
        <v>125.1</v>
      </c>
      <c r="S87" s="73">
        <v>126</v>
      </c>
      <c r="T87" s="73">
        <v>126</v>
      </c>
      <c r="U87" s="73">
        <v>126</v>
      </c>
      <c r="V87" s="73">
        <v>126</v>
      </c>
      <c r="W87" s="73">
        <v>126</v>
      </c>
      <c r="X87" s="94">
        <v>131</v>
      </c>
      <c r="Y87" s="94">
        <v>127</v>
      </c>
      <c r="Z87" s="94">
        <v>128</v>
      </c>
      <c r="AA87" s="94">
        <v>129</v>
      </c>
      <c r="AB87" s="94">
        <v>130.4</v>
      </c>
      <c r="AC87" s="94">
        <v>131.19999999999999</v>
      </c>
      <c r="AD87" s="73">
        <v>129.6</v>
      </c>
      <c r="AE87" s="73">
        <v>130</v>
      </c>
      <c r="AF87" s="73">
        <v>131</v>
      </c>
      <c r="AG87" s="89"/>
      <c r="AH87" s="21">
        <f t="shared" si="13"/>
        <v>132.6</v>
      </c>
      <c r="AI87" s="20">
        <f t="shared" si="14"/>
        <v>120.7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131.4</v>
      </c>
      <c r="C88" s="73">
        <v>133.1</v>
      </c>
      <c r="D88" s="73">
        <v>133.6</v>
      </c>
      <c r="E88" s="73">
        <v>135</v>
      </c>
      <c r="F88" s="73">
        <v>131.80000000000001</v>
      </c>
      <c r="G88" s="73">
        <v>132.19999999999999</v>
      </c>
      <c r="H88" s="73">
        <v>131.1</v>
      </c>
      <c r="I88" s="73">
        <v>133.4</v>
      </c>
      <c r="J88" s="73">
        <v>127.4</v>
      </c>
      <c r="K88" s="73">
        <v>130.9</v>
      </c>
      <c r="L88" s="73">
        <v>128.4</v>
      </c>
      <c r="M88" s="73">
        <v>125.5</v>
      </c>
      <c r="N88" s="73">
        <v>125.7</v>
      </c>
      <c r="O88" s="73">
        <v>125.7</v>
      </c>
      <c r="P88" s="73">
        <v>122</v>
      </c>
      <c r="Q88" s="73">
        <v>127</v>
      </c>
      <c r="R88" s="73">
        <v>127.3</v>
      </c>
      <c r="S88" s="73">
        <v>126</v>
      </c>
      <c r="T88" s="73">
        <v>128</v>
      </c>
      <c r="U88" s="73">
        <v>128</v>
      </c>
      <c r="V88" s="73">
        <v>128</v>
      </c>
      <c r="W88" s="73">
        <v>128</v>
      </c>
      <c r="X88" s="94">
        <v>131</v>
      </c>
      <c r="Y88" s="94">
        <v>127</v>
      </c>
      <c r="Z88" s="94">
        <v>128</v>
      </c>
      <c r="AA88" s="94">
        <v>129</v>
      </c>
      <c r="AB88" s="94">
        <v>131.30000000000001</v>
      </c>
      <c r="AC88" s="94">
        <v>132.80000000000001</v>
      </c>
      <c r="AD88" s="73">
        <v>132.19999999999999</v>
      </c>
      <c r="AE88" s="73">
        <v>132.80000000000001</v>
      </c>
      <c r="AF88" s="73">
        <v>131.9</v>
      </c>
      <c r="AG88" s="89"/>
      <c r="AH88" s="21">
        <f t="shared" si="13"/>
        <v>135</v>
      </c>
      <c r="AI88" s="20">
        <f t="shared" si="14"/>
        <v>122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132.80000000000001</v>
      </c>
      <c r="C89" s="66">
        <v>134</v>
      </c>
      <c r="D89" s="66">
        <v>134.4</v>
      </c>
      <c r="E89" s="66">
        <v>131.19999999999999</v>
      </c>
      <c r="F89" s="66">
        <v>129.4</v>
      </c>
      <c r="G89" s="66">
        <v>134.80000000000001</v>
      </c>
      <c r="H89" s="66">
        <v>131.5</v>
      </c>
      <c r="I89" s="66">
        <v>128</v>
      </c>
      <c r="J89" s="66">
        <v>131.1</v>
      </c>
      <c r="K89" s="66">
        <v>129.9</v>
      </c>
      <c r="L89" s="66">
        <v>135</v>
      </c>
      <c r="M89" s="66">
        <v>135.69999999999999</v>
      </c>
      <c r="N89" s="66">
        <v>132.19999999999999</v>
      </c>
      <c r="O89" s="66">
        <v>134.1</v>
      </c>
      <c r="P89" s="66">
        <v>135.69999999999999</v>
      </c>
      <c r="Q89" s="66">
        <v>134</v>
      </c>
      <c r="R89" s="66">
        <v>134</v>
      </c>
      <c r="S89" s="66">
        <v>134</v>
      </c>
      <c r="T89" s="66">
        <v>131</v>
      </c>
      <c r="U89" s="66">
        <v>131</v>
      </c>
      <c r="V89" s="66">
        <v>131</v>
      </c>
      <c r="W89" s="66">
        <v>131</v>
      </c>
      <c r="X89" s="94">
        <v>134</v>
      </c>
      <c r="Y89" s="94">
        <v>135.80000000000001</v>
      </c>
      <c r="Z89" s="94">
        <v>134</v>
      </c>
      <c r="AA89" s="94">
        <v>135</v>
      </c>
      <c r="AB89" s="94">
        <v>134.69999999999999</v>
      </c>
      <c r="AC89" s="94">
        <v>135.5</v>
      </c>
      <c r="AD89" s="66">
        <v>135.69999999999999</v>
      </c>
      <c r="AE89" s="66">
        <v>136</v>
      </c>
      <c r="AF89" s="66">
        <v>135.69999999999999</v>
      </c>
      <c r="AG89" s="91"/>
      <c r="AH89" s="21">
        <f t="shared" si="13"/>
        <v>136</v>
      </c>
      <c r="AI89" s="20">
        <f t="shared" si="14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134.9</v>
      </c>
      <c r="C90" s="73">
        <v>135.5</v>
      </c>
      <c r="D90" s="73">
        <v>134.19999999999999</v>
      </c>
      <c r="E90" s="73">
        <v>135.1</v>
      </c>
      <c r="F90" s="73">
        <v>136.30000000000001</v>
      </c>
      <c r="G90" s="73">
        <v>136.6</v>
      </c>
      <c r="H90" s="73">
        <v>133.30000000000001</v>
      </c>
      <c r="I90" s="73">
        <v>133.30000000000001</v>
      </c>
      <c r="J90" s="73">
        <v>129.19999999999999</v>
      </c>
      <c r="K90" s="73">
        <v>134</v>
      </c>
      <c r="L90" s="73">
        <v>130.9</v>
      </c>
      <c r="M90" s="73">
        <v>124.5</v>
      </c>
      <c r="N90" s="73">
        <v>132.19999999999999</v>
      </c>
      <c r="O90" s="73">
        <v>131.5</v>
      </c>
      <c r="P90" s="73">
        <v>131.5</v>
      </c>
      <c r="Q90" s="73">
        <v>132.69999999999999</v>
      </c>
      <c r="R90" s="73">
        <v>130.9</v>
      </c>
      <c r="S90" s="73">
        <v>130.9</v>
      </c>
      <c r="T90" s="73">
        <v>136</v>
      </c>
      <c r="U90" s="73">
        <v>136</v>
      </c>
      <c r="V90" s="73">
        <v>136</v>
      </c>
      <c r="W90" s="73">
        <v>136</v>
      </c>
      <c r="X90" s="94">
        <v>132</v>
      </c>
      <c r="Y90" s="94">
        <v>133.80000000000001</v>
      </c>
      <c r="Z90" s="94">
        <v>130</v>
      </c>
      <c r="AA90" s="94">
        <v>128</v>
      </c>
      <c r="AB90" s="94">
        <v>134</v>
      </c>
      <c r="AC90" s="94">
        <v>131.9</v>
      </c>
      <c r="AD90" s="73">
        <v>132.5</v>
      </c>
      <c r="AE90" s="73">
        <v>132.80000000000001</v>
      </c>
      <c r="AF90" s="73">
        <v>134.6</v>
      </c>
      <c r="AG90" s="89"/>
      <c r="AH90" s="21">
        <f t="shared" si="13"/>
        <v>136.6</v>
      </c>
      <c r="AI90" s="20">
        <f t="shared" si="14"/>
        <v>124.5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67.2</v>
      </c>
      <c r="C91" s="87">
        <v>67.7</v>
      </c>
      <c r="D91" s="87">
        <v>67.7</v>
      </c>
      <c r="E91" s="87">
        <v>67.8</v>
      </c>
      <c r="F91" s="87">
        <v>66.8</v>
      </c>
      <c r="G91" s="87">
        <v>67.2</v>
      </c>
      <c r="H91" s="87">
        <v>66.8</v>
      </c>
      <c r="I91" s="87">
        <v>66.8</v>
      </c>
      <c r="J91" s="87">
        <v>65.8</v>
      </c>
      <c r="K91" s="87">
        <v>65.099999999999994</v>
      </c>
      <c r="L91" s="87">
        <v>65.3</v>
      </c>
      <c r="M91" s="87">
        <v>65.099999999999994</v>
      </c>
      <c r="N91" s="87">
        <v>65.2</v>
      </c>
      <c r="O91" s="87">
        <v>65.099999999999994</v>
      </c>
      <c r="P91" s="87">
        <v>64.7</v>
      </c>
      <c r="Q91" s="87">
        <v>65</v>
      </c>
      <c r="R91" s="87">
        <v>64.900000000000006</v>
      </c>
      <c r="S91" s="87">
        <v>64.900000000000006</v>
      </c>
      <c r="T91" s="87">
        <v>65</v>
      </c>
      <c r="U91" s="87">
        <v>65</v>
      </c>
      <c r="V91" s="87">
        <v>65</v>
      </c>
      <c r="W91" s="87">
        <v>65</v>
      </c>
      <c r="X91" s="87">
        <v>65.5</v>
      </c>
      <c r="Y91" s="87">
        <v>65</v>
      </c>
      <c r="Z91" s="87">
        <v>65</v>
      </c>
      <c r="AA91" s="87">
        <v>65.2</v>
      </c>
      <c r="AB91" s="87">
        <v>66</v>
      </c>
      <c r="AC91" s="87">
        <v>66.5</v>
      </c>
      <c r="AD91" s="87">
        <v>66.7</v>
      </c>
      <c r="AE91" s="87">
        <v>66.400000000000006</v>
      </c>
      <c r="AF91" s="87">
        <v>67.2</v>
      </c>
      <c r="AG91" s="86"/>
      <c r="AH91" s="21">
        <f t="shared" si="13"/>
        <v>67.8</v>
      </c>
      <c r="AI91" s="20">
        <f t="shared" si="14"/>
        <v>64.7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174.03999999999996</v>
      </c>
      <c r="C93" s="82">
        <f t="shared" si="21"/>
        <v>164.74</v>
      </c>
      <c r="D93" s="82">
        <f t="shared" si="21"/>
        <v>160.23999999999998</v>
      </c>
      <c r="E93" s="82">
        <f t="shared" si="21"/>
        <v>161.63999999999999</v>
      </c>
      <c r="F93" s="82">
        <f t="shared" si="21"/>
        <v>168.04</v>
      </c>
      <c r="G93" s="80">
        <f t="shared" si="21"/>
        <v>188.23999999999998</v>
      </c>
      <c r="H93" s="80">
        <f t="shared" si="21"/>
        <v>213.23999999999998</v>
      </c>
      <c r="I93" s="80">
        <f t="shared" si="21"/>
        <v>213.23999999999998</v>
      </c>
      <c r="J93" s="80">
        <f t="shared" si="21"/>
        <v>292.34000000000003</v>
      </c>
      <c r="K93" s="80">
        <f t="shared" si="21"/>
        <v>317.34000000000003</v>
      </c>
      <c r="L93" s="80">
        <f t="shared" si="21"/>
        <v>336.64000000000004</v>
      </c>
      <c r="M93" s="80">
        <f t="shared" si="21"/>
        <v>338.14000000000004</v>
      </c>
      <c r="N93" s="80">
        <f t="shared" si="21"/>
        <v>319.14000000000004</v>
      </c>
      <c r="O93" s="80">
        <f t="shared" si="21"/>
        <v>321.14000000000004</v>
      </c>
      <c r="P93" s="80">
        <f t="shared" si="21"/>
        <v>313.74</v>
      </c>
      <c r="Q93" s="80">
        <f t="shared" si="21"/>
        <v>302.24000000000007</v>
      </c>
      <c r="R93" s="80">
        <f t="shared" si="21"/>
        <v>304.44000000000005</v>
      </c>
      <c r="S93" s="80">
        <f t="shared" si="21"/>
        <v>309.04000000000008</v>
      </c>
      <c r="T93" s="80">
        <f t="shared" si="21"/>
        <v>301.64000000000004</v>
      </c>
      <c r="U93" s="80">
        <f t="shared" si="21"/>
        <v>307.04000000000008</v>
      </c>
      <c r="V93" s="80">
        <f t="shared" si="21"/>
        <v>328.24</v>
      </c>
      <c r="W93" s="80">
        <f t="shared" si="21"/>
        <v>340.74</v>
      </c>
      <c r="X93" s="80">
        <f t="shared" si="21"/>
        <v>349.74</v>
      </c>
      <c r="Y93" s="80">
        <f t="shared" si="21"/>
        <v>367.24</v>
      </c>
      <c r="Z93" s="80">
        <f t="shared" si="21"/>
        <v>371.74</v>
      </c>
      <c r="AA93" s="80">
        <f t="shared" si="21"/>
        <v>372.74</v>
      </c>
      <c r="AB93" s="80">
        <f t="shared" si="21"/>
        <v>318.24</v>
      </c>
      <c r="AC93" s="80">
        <f t="shared" si="21"/>
        <v>290.14000000000004</v>
      </c>
      <c r="AD93" s="80">
        <f t="shared" si="21"/>
        <v>241.34</v>
      </c>
      <c r="AE93" s="80">
        <f t="shared" si="21"/>
        <v>214.23999999999998</v>
      </c>
      <c r="AF93" s="80">
        <f t="shared" si="21"/>
        <v>181.43999999999997</v>
      </c>
      <c r="AG93" s="79"/>
      <c r="AH93" s="21">
        <f>MAX(C93:AF93)</f>
        <v>372.74</v>
      </c>
      <c r="AI93" s="20">
        <f>MIN(C93:AF93)</f>
        <v>160.23999999999998</v>
      </c>
    </row>
    <row r="94" spans="1:88" x14ac:dyDescent="0.25">
      <c r="A94" s="48" t="s">
        <v>122</v>
      </c>
      <c r="B94" s="78">
        <v>8.6999999999999993</v>
      </c>
      <c r="C94" s="77">
        <v>7.3</v>
      </c>
      <c r="D94" s="77">
        <v>17</v>
      </c>
      <c r="E94" s="77">
        <v>-25.9</v>
      </c>
      <c r="F94" s="77">
        <v>-41</v>
      </c>
      <c r="G94" s="76">
        <v>-35.4</v>
      </c>
      <c r="H94" s="76">
        <v>-38.299999999999997</v>
      </c>
      <c r="I94" s="76">
        <v>-38.299999999999997</v>
      </c>
      <c r="J94" s="76">
        <v>21.8</v>
      </c>
      <c r="K94" s="76">
        <v>22.1</v>
      </c>
      <c r="L94" s="76">
        <v>35.5</v>
      </c>
      <c r="M94" s="75">
        <v>49.3</v>
      </c>
      <c r="N94" s="76">
        <v>40.6</v>
      </c>
      <c r="O94" s="76">
        <v>44.5</v>
      </c>
      <c r="P94" s="76">
        <v>23.3</v>
      </c>
      <c r="Q94" s="76">
        <v>27.5</v>
      </c>
      <c r="R94" s="76">
        <v>26.6</v>
      </c>
      <c r="S94" s="76">
        <v>24</v>
      </c>
      <c r="T94" s="76">
        <v>6.6</v>
      </c>
      <c r="U94" s="75">
        <v>8</v>
      </c>
      <c r="V94" s="75">
        <v>10</v>
      </c>
      <c r="W94" s="75">
        <v>12</v>
      </c>
      <c r="X94" s="76">
        <v>21</v>
      </c>
      <c r="Y94" s="76">
        <v>61</v>
      </c>
      <c r="Z94" s="76">
        <v>51</v>
      </c>
      <c r="AA94" s="76">
        <v>59</v>
      </c>
      <c r="AB94" s="76">
        <v>48.1</v>
      </c>
      <c r="AC94" s="75">
        <v>49.4</v>
      </c>
      <c r="AD94" s="75">
        <v>44.9</v>
      </c>
      <c r="AE94" s="75">
        <v>50.8</v>
      </c>
      <c r="AF94" s="75">
        <v>27.5</v>
      </c>
      <c r="AG94" s="3">
        <v>75</v>
      </c>
      <c r="AH94" s="21">
        <f t="shared" ref="AH94:AH100" si="22">IF(ABS(MAX(C94:AF94))&gt;ABS(MIN(C94:AF94)),MAX(C94:AF94),MIN(C94:AF94))</f>
        <v>61</v>
      </c>
      <c r="AI94" s="64">
        <f t="shared" ref="AI94:AI100" si="23">INDEX($C$9:$AF$9,1,MATCH(AH94,C94:AF94,0))</f>
        <v>0.77083333333333337</v>
      </c>
    </row>
    <row r="95" spans="1:88" x14ac:dyDescent="0.25">
      <c r="A95" s="45" t="s">
        <v>121</v>
      </c>
      <c r="B95" s="74">
        <v>-34.9</v>
      </c>
      <c r="C95" s="67">
        <v>-39</v>
      </c>
      <c r="D95" s="67">
        <v>-41.9</v>
      </c>
      <c r="E95" s="67">
        <v>-32</v>
      </c>
      <c r="F95" s="67">
        <v>-36</v>
      </c>
      <c r="G95" s="67">
        <v>-26</v>
      </c>
      <c r="H95" s="67">
        <v>-15</v>
      </c>
      <c r="I95" s="67">
        <v>-15</v>
      </c>
      <c r="J95" s="67">
        <v>-6</v>
      </c>
      <c r="K95" s="67">
        <v>3</v>
      </c>
      <c r="L95" s="67">
        <v>7.4</v>
      </c>
      <c r="M95" s="67">
        <v>4.2</v>
      </c>
      <c r="N95" s="67">
        <v>-1.2</v>
      </c>
      <c r="O95" s="67">
        <v>-1.5</v>
      </c>
      <c r="P95" s="67">
        <v>-1.8</v>
      </c>
      <c r="Q95" s="67">
        <v>-4.5999999999999996</v>
      </c>
      <c r="R95" s="67">
        <v>-3.3</v>
      </c>
      <c r="S95" s="67">
        <v>0</v>
      </c>
      <c r="T95" s="67">
        <v>7.6</v>
      </c>
      <c r="U95" s="67">
        <v>5</v>
      </c>
      <c r="V95" s="67">
        <v>4</v>
      </c>
      <c r="W95" s="67">
        <v>3</v>
      </c>
      <c r="X95" s="67">
        <v>40</v>
      </c>
      <c r="Y95" s="67">
        <v>24</v>
      </c>
      <c r="Z95" s="67">
        <v>23</v>
      </c>
      <c r="AA95" s="67">
        <v>18</v>
      </c>
      <c r="AB95" s="67">
        <f>2.4-1.3</f>
        <v>1.0999999999999999</v>
      </c>
      <c r="AC95" s="73">
        <f>-2.4-7.4</f>
        <v>-9.8000000000000007</v>
      </c>
      <c r="AD95" s="73">
        <f>-10.5-16.5</f>
        <v>-27</v>
      </c>
      <c r="AE95" s="73">
        <f>-15.5-22.4</f>
        <v>-37.9</v>
      </c>
      <c r="AF95" s="73">
        <f>-20.5-25.9</f>
        <v>-46.4</v>
      </c>
      <c r="AG95" s="3">
        <v>240</v>
      </c>
      <c r="AH95" s="21">
        <f t="shared" si="22"/>
        <v>-46.4</v>
      </c>
      <c r="AI95" s="64">
        <f t="shared" si="23"/>
        <v>0.95833333333333304</v>
      </c>
    </row>
    <row r="96" spans="1:88" x14ac:dyDescent="0.25">
      <c r="A96" s="45" t="s">
        <v>120</v>
      </c>
      <c r="B96" s="74">
        <v>28.3</v>
      </c>
      <c r="C96" s="67">
        <v>26.3</v>
      </c>
      <c r="D96" s="67">
        <v>25.7</v>
      </c>
      <c r="E96" s="67">
        <v>9</v>
      </c>
      <c r="F96" s="67">
        <v>12.2</v>
      </c>
      <c r="G96" s="67">
        <v>17.7</v>
      </c>
      <c r="H96" s="67">
        <v>25.7</v>
      </c>
      <c r="I96" s="67">
        <v>25.7</v>
      </c>
      <c r="J96" s="67">
        <v>33.6</v>
      </c>
      <c r="K96" s="67">
        <v>33.4</v>
      </c>
      <c r="L96" s="67">
        <v>32.1</v>
      </c>
      <c r="M96" s="67">
        <v>34.799999999999997</v>
      </c>
      <c r="N96" s="67">
        <v>37.4</v>
      </c>
      <c r="O96" s="67">
        <v>37.9</v>
      </c>
      <c r="P96" s="67">
        <v>28.3</v>
      </c>
      <c r="Q96" s="67">
        <v>29.1</v>
      </c>
      <c r="R96" s="67">
        <v>30.3</v>
      </c>
      <c r="S96" s="67">
        <v>26</v>
      </c>
      <c r="T96" s="67">
        <v>29.2</v>
      </c>
      <c r="U96" s="67">
        <v>30</v>
      </c>
      <c r="V96" s="67">
        <v>30</v>
      </c>
      <c r="W96" s="67">
        <v>41</v>
      </c>
      <c r="X96" s="67">
        <v>50</v>
      </c>
      <c r="Y96" s="67">
        <v>47</v>
      </c>
      <c r="Z96" s="67">
        <v>41</v>
      </c>
      <c r="AA96" s="67">
        <v>40</v>
      </c>
      <c r="AB96" s="67">
        <v>28.2</v>
      </c>
      <c r="AC96" s="73">
        <v>25.5</v>
      </c>
      <c r="AD96" s="73">
        <v>21.4</v>
      </c>
      <c r="AE96" s="73">
        <v>18.899999999999999</v>
      </c>
      <c r="AF96" s="73">
        <v>11.5</v>
      </c>
      <c r="AG96" s="3">
        <v>60</v>
      </c>
      <c r="AH96" s="21">
        <f t="shared" si="22"/>
        <v>50</v>
      </c>
      <c r="AI96" s="64">
        <f t="shared" si="23"/>
        <v>0.75</v>
      </c>
    </row>
    <row r="97" spans="1:37" x14ac:dyDescent="0.25">
      <c r="A97" s="41" t="s">
        <v>119</v>
      </c>
      <c r="B97" s="71">
        <v>-7.3</v>
      </c>
      <c r="C97" s="70">
        <v>-12.3</v>
      </c>
      <c r="D97" s="70">
        <v>-23.8</v>
      </c>
      <c r="E97" s="70">
        <v>27.5</v>
      </c>
      <c r="F97" s="70">
        <v>49.8</v>
      </c>
      <c r="G97" s="70">
        <v>48.7</v>
      </c>
      <c r="H97" s="70">
        <v>57.6</v>
      </c>
      <c r="I97" s="70">
        <v>57.6</v>
      </c>
      <c r="J97" s="70">
        <v>56.7</v>
      </c>
      <c r="K97" s="70">
        <v>72.599999999999994</v>
      </c>
      <c r="L97" s="70">
        <v>75.099999999999994</v>
      </c>
      <c r="M97" s="70">
        <v>62.1</v>
      </c>
      <c r="N97" s="70">
        <v>54.6</v>
      </c>
      <c r="O97" s="70">
        <v>48.6</v>
      </c>
      <c r="P97" s="70">
        <v>71.099999999999994</v>
      </c>
      <c r="Q97" s="70">
        <v>58.2</v>
      </c>
      <c r="R97" s="70">
        <v>58.8</v>
      </c>
      <c r="S97" s="70">
        <v>67</v>
      </c>
      <c r="T97" s="70">
        <v>74.2</v>
      </c>
      <c r="U97" s="70">
        <v>80</v>
      </c>
      <c r="V97" s="70">
        <v>100</v>
      </c>
      <c r="W97" s="70">
        <v>101</v>
      </c>
      <c r="X97" s="70">
        <v>55</v>
      </c>
      <c r="Y97" s="70">
        <v>51.5</v>
      </c>
      <c r="Z97" s="70">
        <v>73</v>
      </c>
      <c r="AA97" s="70">
        <v>72</v>
      </c>
      <c r="AB97" s="70">
        <v>57.1</v>
      </c>
      <c r="AC97" s="69">
        <v>41.3</v>
      </c>
      <c r="AD97" s="69">
        <v>18.3</v>
      </c>
      <c r="AE97" s="69">
        <v>-1.6</v>
      </c>
      <c r="AF97" s="69">
        <v>4.5999999999999996</v>
      </c>
      <c r="AG97" s="72">
        <v>120</v>
      </c>
      <c r="AH97" s="21">
        <f t="shared" si="22"/>
        <v>101</v>
      </c>
      <c r="AI97" s="64">
        <f t="shared" si="23"/>
        <v>0.72916666666666663</v>
      </c>
    </row>
    <row r="98" spans="1:37" x14ac:dyDescent="0.25">
      <c r="A98" s="41" t="s">
        <v>118</v>
      </c>
      <c r="B98" s="71">
        <v>0</v>
      </c>
      <c r="C98" s="70">
        <v>-3.3</v>
      </c>
      <c r="D98" s="70">
        <v>-10.9</v>
      </c>
      <c r="E98" s="70">
        <v>36.6</v>
      </c>
      <c r="F98" s="70">
        <v>54.8</v>
      </c>
      <c r="G98" s="70">
        <v>53.1</v>
      </c>
      <c r="H98" s="70">
        <v>58.3</v>
      </c>
      <c r="I98" s="70">
        <v>58.3</v>
      </c>
      <c r="J98" s="70">
        <v>30.9</v>
      </c>
      <c r="K98" s="70">
        <v>47.8</v>
      </c>
      <c r="L98" s="70">
        <v>47.6</v>
      </c>
      <c r="M98" s="70">
        <v>37.5</v>
      </c>
      <c r="N98" s="70">
        <v>31.9</v>
      </c>
      <c r="O98" s="70">
        <v>34.200000000000003</v>
      </c>
      <c r="P98" s="70">
        <v>57.5</v>
      </c>
      <c r="Q98" s="70">
        <v>52</v>
      </c>
      <c r="R98" s="70">
        <v>52.7</v>
      </c>
      <c r="S98" s="70">
        <v>60</v>
      </c>
      <c r="T98" s="70">
        <v>70.8</v>
      </c>
      <c r="U98" s="70">
        <v>50</v>
      </c>
      <c r="V98" s="70">
        <v>35</v>
      </c>
      <c r="W98" s="70">
        <v>15</v>
      </c>
      <c r="X98" s="70">
        <v>39</v>
      </c>
      <c r="Y98" s="70">
        <v>27</v>
      </c>
      <c r="Z98" s="70">
        <v>48</v>
      </c>
      <c r="AA98" s="70">
        <v>47</v>
      </c>
      <c r="AB98" s="70">
        <v>39.799999999999997</v>
      </c>
      <c r="AC98" s="69">
        <v>32</v>
      </c>
      <c r="AD98" s="69">
        <v>18.2</v>
      </c>
      <c r="AE98" s="69">
        <v>41.3</v>
      </c>
      <c r="AF98" s="69">
        <v>14.2</v>
      </c>
      <c r="AG98" s="72"/>
      <c r="AH98" s="21">
        <f t="shared" si="22"/>
        <v>70.8</v>
      </c>
      <c r="AI98" s="64">
        <f t="shared" si="23"/>
        <v>0.625</v>
      </c>
    </row>
    <row r="99" spans="1:37" x14ac:dyDescent="0.25">
      <c r="A99" s="41" t="s">
        <v>117</v>
      </c>
      <c r="B99" s="71">
        <v>51.2</v>
      </c>
      <c r="C99" s="70">
        <v>50.9</v>
      </c>
      <c r="D99" s="70">
        <v>46.4</v>
      </c>
      <c r="E99" s="70">
        <v>64.3</v>
      </c>
      <c r="F99" s="70">
        <v>68.599999999999994</v>
      </c>
      <c r="G99" s="70">
        <v>60.1</v>
      </c>
      <c r="H99" s="70">
        <v>62.8</v>
      </c>
      <c r="I99" s="70">
        <v>62.8</v>
      </c>
      <c r="J99" s="70">
        <v>65.2</v>
      </c>
      <c r="K99" s="70">
        <v>64.400000000000006</v>
      </c>
      <c r="L99" s="70">
        <v>44.6</v>
      </c>
      <c r="M99" s="70">
        <v>36.200000000000003</v>
      </c>
      <c r="N99" s="70">
        <v>40.1</v>
      </c>
      <c r="O99" s="70">
        <v>32.9</v>
      </c>
      <c r="P99" s="70">
        <v>41.1</v>
      </c>
      <c r="Q99" s="70">
        <v>41.6</v>
      </c>
      <c r="R99" s="70">
        <v>38</v>
      </c>
      <c r="S99" s="70">
        <v>39</v>
      </c>
      <c r="T99" s="70">
        <v>55.7</v>
      </c>
      <c r="U99" s="70">
        <v>40</v>
      </c>
      <c r="V99" s="70">
        <v>32</v>
      </c>
      <c r="W99" s="70">
        <v>29</v>
      </c>
      <c r="X99" s="70">
        <v>32</v>
      </c>
      <c r="Y99" s="70">
        <v>12</v>
      </c>
      <c r="Z99" s="70">
        <v>22</v>
      </c>
      <c r="AA99" s="70">
        <v>27</v>
      </c>
      <c r="AB99" s="70">
        <v>31.6</v>
      </c>
      <c r="AC99" s="69">
        <v>32.6</v>
      </c>
      <c r="AD99" s="69">
        <v>34.1</v>
      </c>
      <c r="AE99" s="69">
        <v>28.2</v>
      </c>
      <c r="AF99" s="69">
        <v>40.799999999999997</v>
      </c>
      <c r="AG99" s="65"/>
      <c r="AH99" s="21">
        <f t="shared" si="22"/>
        <v>68.599999999999994</v>
      </c>
      <c r="AI99" s="64">
        <f t="shared" si="23"/>
        <v>0.16666666666666699</v>
      </c>
    </row>
    <row r="100" spans="1:37" ht="15.75" thickBot="1" x14ac:dyDescent="0.3">
      <c r="A100" s="68" t="s">
        <v>116</v>
      </c>
      <c r="B100" s="66">
        <v>66.3</v>
      </c>
      <c r="C100" s="67">
        <v>62.5</v>
      </c>
      <c r="D100" s="67">
        <v>59.3</v>
      </c>
      <c r="E100" s="67">
        <v>58.4</v>
      </c>
      <c r="F100" s="67">
        <v>60.7</v>
      </c>
      <c r="G100" s="67">
        <v>60.2</v>
      </c>
      <c r="H100" s="67">
        <v>61.2</v>
      </c>
      <c r="I100" s="67">
        <v>61.2</v>
      </c>
      <c r="J100" s="67">
        <v>99.4</v>
      </c>
      <c r="K100" s="67">
        <v>70.2</v>
      </c>
      <c r="L100" s="67">
        <v>76.099999999999994</v>
      </c>
      <c r="M100" s="67">
        <v>84</v>
      </c>
      <c r="N100" s="67">
        <v>83.3</v>
      </c>
      <c r="O100" s="67">
        <v>84.1</v>
      </c>
      <c r="P100" s="67">
        <v>88.4</v>
      </c>
      <c r="Q100" s="67">
        <v>81.2</v>
      </c>
      <c r="R100" s="67">
        <v>85.3</v>
      </c>
      <c r="S100" s="67">
        <v>72</v>
      </c>
      <c r="T100" s="67">
        <v>56</v>
      </c>
      <c r="U100" s="67">
        <v>40</v>
      </c>
      <c r="V100" s="67">
        <v>20</v>
      </c>
      <c r="W100" s="67">
        <v>15</v>
      </c>
      <c r="X100" s="67">
        <v>0</v>
      </c>
      <c r="Y100" s="67">
        <v>60</v>
      </c>
      <c r="Z100" s="67">
        <v>56</v>
      </c>
      <c r="AA100" s="67">
        <v>55</v>
      </c>
      <c r="AB100" s="67">
        <v>45.3</v>
      </c>
      <c r="AC100" s="66">
        <v>47.1</v>
      </c>
      <c r="AD100" s="66">
        <v>44.3</v>
      </c>
      <c r="AE100" s="66">
        <v>41.3</v>
      </c>
      <c r="AF100" s="66">
        <v>35.4</v>
      </c>
      <c r="AG100" s="65"/>
      <c r="AH100" s="21">
        <f t="shared" si="22"/>
        <v>99.4</v>
      </c>
      <c r="AI100" s="64">
        <f t="shared" si="23"/>
        <v>0.27083333333333331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1460.74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14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2078/12/14)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2078/12/14)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1213.0400000000002</v>
      </c>
      <c r="U214" s="9">
        <f t="shared" si="60"/>
        <v>1188.0400000000002</v>
      </c>
      <c r="V214" s="9">
        <f t="shared" si="60"/>
        <v>1173.8400000000001</v>
      </c>
      <c r="W214" s="9">
        <f t="shared" si="60"/>
        <v>1160.04</v>
      </c>
      <c r="X214" s="9">
        <f t="shared" si="60"/>
        <v>1174.3399999999999</v>
      </c>
      <c r="Y214" s="9">
        <f t="shared" si="60"/>
        <v>1182.8399999999999</v>
      </c>
      <c r="Z214" s="9">
        <f t="shared" si="60"/>
        <v>1216.04</v>
      </c>
      <c r="AA214" s="9">
        <f t="shared" si="60"/>
        <v>1249.94</v>
      </c>
      <c r="AB214" s="9">
        <f t="shared" si="60"/>
        <v>1283.24</v>
      </c>
      <c r="AC214" s="9">
        <f t="shared" si="60"/>
        <v>1384.1399999999999</v>
      </c>
      <c r="AD214" s="9">
        <f t="shared" si="60"/>
        <v>1445.3400000000001</v>
      </c>
      <c r="AE214" s="9">
        <f t="shared" si="60"/>
        <v>1460.74</v>
      </c>
      <c r="AF214" s="9">
        <f t="shared" si="60"/>
        <v>1429.54</v>
      </c>
      <c r="AG214" s="9">
        <f t="shared" si="60"/>
        <v>1408.3400000000001</v>
      </c>
      <c r="AH214" s="9">
        <f t="shared" si="60"/>
        <v>1445.74</v>
      </c>
      <c r="AI214" s="9">
        <f t="shared" si="60"/>
        <v>1441.84</v>
      </c>
      <c r="AJ214" s="9">
        <f t="shared" si="60"/>
        <v>1448.94</v>
      </c>
      <c r="AK214" s="9">
        <f t="shared" si="60"/>
        <v>1469.64</v>
      </c>
      <c r="AL214" s="9">
        <f t="shared" si="60"/>
        <v>1446.24</v>
      </c>
      <c r="AM214" s="9">
        <f t="shared" si="60"/>
        <v>1533.24</v>
      </c>
      <c r="AN214" s="9">
        <f t="shared" si="60"/>
        <v>1407.74</v>
      </c>
      <c r="AO214" s="9">
        <f t="shared" si="60"/>
        <v>1588.84</v>
      </c>
      <c r="AP214" s="9">
        <f t="shared" si="60"/>
        <v>1539.24</v>
      </c>
      <c r="AQ214" s="9">
        <f t="shared" si="60"/>
        <v>1556.44</v>
      </c>
      <c r="AR214" s="9">
        <f t="shared" si="60"/>
        <v>1633.24</v>
      </c>
      <c r="AS214" s="9">
        <f t="shared" si="60"/>
        <v>1598.74</v>
      </c>
      <c r="AT214" s="9">
        <f t="shared" si="60"/>
        <v>1565.44</v>
      </c>
      <c r="AU214" s="9">
        <f t="shared" si="60"/>
        <v>1469.5</v>
      </c>
      <c r="AV214" s="9">
        <f t="shared" si="60"/>
        <v>1434.44</v>
      </c>
      <c r="AW214" s="9">
        <f t="shared" si="60"/>
        <v>1302.5100000000002</v>
      </c>
      <c r="AX214" s="9">
        <f t="shared" si="60"/>
        <v>1231.96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C57:L57 P39:R39 M39:O42 P40:Q42 R42 R40:T41 AB81:AF81 B81:R81 C56:AF56 B82:AF83 D194:AF200 B194:B200 C68:AF72 AD84:AF91 B84:B91 B9:AF10 B192:AF192 B53:B72 AG73 AC94:AF100 B94:B100 U213:AF213 C58:C67 C53:D55 M37:R37 B36:R36 D60:R67 D58:W59 M16:V32 M53:AF55 U40:Z42 B73:AF80 S62:AC67 X85:AC91 N45:AD48 W17:AF32 S36:AF37 M11:AF14 Z40:AF43">
    <cfRule type="expression" dxfId="5047" priority="251">
      <formula>B$9&gt;=20/24</formula>
    </cfRule>
    <cfRule type="expression" dxfId="5046" priority="252">
      <formula>AND(B$9&gt;=14/24,B$9&lt;20/24)</formula>
    </cfRule>
    <cfRule type="expression" dxfId="5045" priority="253">
      <formula>AND(B$9&gt;=8/24,B$9&lt;14/24)</formula>
    </cfRule>
    <cfRule type="expression" dxfId="5044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043" priority="246">
      <formula>M$9&gt;=20/24</formula>
    </cfRule>
    <cfRule type="expression" dxfId="5042" priority="247">
      <formula>AND(M$9&gt;=14/24,M$9&lt;20/24)</formula>
    </cfRule>
    <cfRule type="expression" dxfId="5041" priority="248">
      <formula>AND(M$9&gt;=8/24,M$9&lt;14/24)</formula>
    </cfRule>
    <cfRule type="expression" dxfId="5040" priority="249">
      <formula>M$9&lt;8/24</formula>
    </cfRule>
  </conditionalFormatting>
  <conditionalFormatting sqref="M43:R43">
    <cfRule type="expression" dxfId="5039" priority="242">
      <formula>M$9&gt;=20/24</formula>
    </cfRule>
    <cfRule type="expression" dxfId="5038" priority="243">
      <formula>AND(M$9&gt;=14/24,M$9&lt;20/24)</formula>
    </cfRule>
    <cfRule type="expression" dxfId="5037" priority="244">
      <formula>AND(M$9&gt;=8/24,M$9&lt;14/24)</formula>
    </cfRule>
    <cfRule type="expression" dxfId="5036" priority="245">
      <formula>M$9&lt;8/24</formula>
    </cfRule>
  </conditionalFormatting>
  <conditionalFormatting sqref="S39:AF39">
    <cfRule type="expression" dxfId="5035" priority="234">
      <formula>S$9&gt;=20/24</formula>
    </cfRule>
    <cfRule type="expression" dxfId="5034" priority="235">
      <formula>AND(S$9&gt;=14/24,S$9&lt;20/24)</formula>
    </cfRule>
    <cfRule type="expression" dxfId="5033" priority="236">
      <formula>AND(S$9&gt;=8/24,S$9&lt;14/24)</formula>
    </cfRule>
    <cfRule type="expression" dxfId="5032" priority="237">
      <formula>S$9&lt;8/24</formula>
    </cfRule>
  </conditionalFormatting>
  <conditionalFormatting sqref="S57:AF57">
    <cfRule type="expression" dxfId="5031" priority="230">
      <formula>S$9&gt;=20/24</formula>
    </cfRule>
    <cfRule type="expression" dxfId="5030" priority="231">
      <formula>AND(S$9&gt;=14/24,S$9&lt;20/24)</formula>
    </cfRule>
    <cfRule type="expression" dxfId="5029" priority="232">
      <formula>AND(S$9&gt;=8/24,S$9&lt;14/24)</formula>
    </cfRule>
    <cfRule type="expression" dxfId="5028" priority="233">
      <formula>S$9&lt;8/24</formula>
    </cfRule>
  </conditionalFormatting>
  <conditionalFormatting sqref="S81:AA81">
    <cfRule type="expression" dxfId="5027" priority="226">
      <formula>S$9&gt;=20/24</formula>
    </cfRule>
    <cfRule type="expression" dxfId="5026" priority="227">
      <formula>AND(S$9&gt;=14/24,S$9&lt;20/24)</formula>
    </cfRule>
    <cfRule type="expression" dxfId="5025" priority="228">
      <formula>AND(S$9&gt;=8/24,S$9&lt;14/24)</formula>
    </cfRule>
    <cfRule type="expression" dxfId="5024" priority="229">
      <formula>S$9&lt;8/24</formula>
    </cfRule>
  </conditionalFormatting>
  <conditionalFormatting sqref="U84:AC84">
    <cfRule type="expression" dxfId="5023" priority="222">
      <formula>U$9&gt;=20/24</formula>
    </cfRule>
    <cfRule type="expression" dxfId="5022" priority="223">
      <formula>AND(U$9&gt;=14/24,U$9&lt;20/24)</formula>
    </cfRule>
    <cfRule type="expression" dxfId="5021" priority="224">
      <formula>AND(U$9&gt;=8/24,U$9&lt;14/24)</formula>
    </cfRule>
    <cfRule type="expression" dxfId="5020" priority="225">
      <formula>U$9&lt;8/24</formula>
    </cfRule>
  </conditionalFormatting>
  <conditionalFormatting sqref="M35:AF35">
    <cfRule type="expression" dxfId="5019" priority="218">
      <formula>M$9&gt;=20/24</formula>
    </cfRule>
    <cfRule type="expression" dxfId="5018" priority="219">
      <formula>AND(M$9&gt;=14/24,M$9&lt;20/24)</formula>
    </cfRule>
    <cfRule type="expression" dxfId="5017" priority="220">
      <formula>AND(M$9&gt;=8/24,M$9&lt;14/24)</formula>
    </cfRule>
    <cfRule type="expression" dxfId="5016" priority="221">
      <formula>M$9&lt;8/24</formula>
    </cfRule>
  </conditionalFormatting>
  <conditionalFormatting sqref="M49:AD49">
    <cfRule type="expression" dxfId="5015" priority="214">
      <formula>M$9&gt;=20/24</formula>
    </cfRule>
    <cfRule type="expression" dxfId="5014" priority="215">
      <formula>AND(M$9&gt;=14/24,M$9&lt;20/24)</formula>
    </cfRule>
    <cfRule type="expression" dxfId="5013" priority="216">
      <formula>AND(M$9&gt;=8/24,M$9&lt;14/24)</formula>
    </cfRule>
    <cfRule type="expression" dxfId="5012" priority="217">
      <formula>M$9&lt;8/24</formula>
    </cfRule>
  </conditionalFormatting>
  <conditionalFormatting sqref="M50:AD50">
    <cfRule type="expression" dxfId="5011" priority="210">
      <formula>M$9&gt;=20/24</formula>
    </cfRule>
    <cfRule type="expression" dxfId="5010" priority="211">
      <formula>AND(M$9&gt;=14/24,M$9&lt;20/24)</formula>
    </cfRule>
    <cfRule type="expression" dxfId="5009" priority="212">
      <formula>AND(M$9&gt;=8/24,M$9&lt;14/24)</formula>
    </cfRule>
    <cfRule type="expression" dxfId="5008" priority="213">
      <formula>M$9&lt;8/24</formula>
    </cfRule>
  </conditionalFormatting>
  <conditionalFormatting sqref="M45:AD48">
    <cfRule type="expression" dxfId="5007" priority="206">
      <formula>M$9&gt;=20/24</formula>
    </cfRule>
    <cfRule type="expression" dxfId="5006" priority="207">
      <formula>AND(M$9&gt;=14/24,M$9&lt;20/24)</formula>
    </cfRule>
    <cfRule type="expression" dxfId="5005" priority="208">
      <formula>AND(M$9&gt;=8/24,M$9&lt;14/24)</formula>
    </cfRule>
    <cfRule type="expression" dxfId="5004" priority="209">
      <formula>M$9&lt;8/24</formula>
    </cfRule>
  </conditionalFormatting>
  <conditionalFormatting sqref="S42:U43 U43:AD43 S45:AF48">
    <cfRule type="expression" dxfId="5003" priority="194">
      <formula>S$9&gt;=20/24</formula>
    </cfRule>
    <cfRule type="expression" dxfId="5002" priority="195">
      <formula>AND(S$9&gt;=14/24,S$9&lt;20/24)</formula>
    </cfRule>
    <cfRule type="expression" dxfId="5001" priority="196">
      <formula>AND(S$9&gt;=8/24,S$9&lt;14/24)</formula>
    </cfRule>
    <cfRule type="expression" dxfId="5000" priority="197">
      <formula>S$9&lt;8/24</formula>
    </cfRule>
  </conditionalFormatting>
  <conditionalFormatting sqref="S49:AF49">
    <cfRule type="expression" dxfId="4999" priority="190">
      <formula>S$9&gt;=20/24</formula>
    </cfRule>
    <cfRule type="expression" dxfId="4998" priority="191">
      <formula>AND(S$9&gt;=14/24,S$9&lt;20/24)</formula>
    </cfRule>
    <cfRule type="expression" dxfId="4997" priority="192">
      <formula>AND(S$9&gt;=8/24,S$9&lt;14/24)</formula>
    </cfRule>
    <cfRule type="expression" dxfId="4996" priority="193">
      <formula>S$9&lt;8/24</formula>
    </cfRule>
  </conditionalFormatting>
  <conditionalFormatting sqref="S50:AF50">
    <cfRule type="expression" dxfId="4995" priority="186">
      <formula>S$9&gt;=20/24</formula>
    </cfRule>
    <cfRule type="expression" dxfId="4994" priority="187">
      <formula>AND(S$9&gt;=14/24,S$9&lt;20/24)</formula>
    </cfRule>
    <cfRule type="expression" dxfId="4993" priority="188">
      <formula>AND(S$9&gt;=8/24,S$9&lt;14/24)</formula>
    </cfRule>
    <cfRule type="expression" dxfId="4992" priority="189">
      <formula>S$9&lt;8/24</formula>
    </cfRule>
  </conditionalFormatting>
  <conditionalFormatting sqref="S60:U61 X60:AC61 AD60:AF67">
    <cfRule type="expression" dxfId="4991" priority="182">
      <formula>S$9&gt;=20/24</formula>
    </cfRule>
    <cfRule type="expression" dxfId="4990" priority="183">
      <formula>AND(S$9&gt;=14/24,S$9&lt;20/24)</formula>
    </cfRule>
    <cfRule type="expression" dxfId="4989" priority="184">
      <formula>AND(S$9&gt;=8/24,S$9&lt;14/24)</formula>
    </cfRule>
    <cfRule type="expression" dxfId="4988" priority="185">
      <formula>S$9&lt;8/24</formula>
    </cfRule>
  </conditionalFormatting>
  <conditionalFormatting sqref="U94:AB97">
    <cfRule type="expression" dxfId="4987" priority="174">
      <formula>U$9&gt;=20/24</formula>
    </cfRule>
    <cfRule type="expression" dxfId="4986" priority="175">
      <formula>AND(U$9&gt;=14/24,U$9&lt;20/24)</formula>
    </cfRule>
    <cfRule type="expression" dxfId="4985" priority="176">
      <formula>AND(U$9&gt;=8/24,U$9&lt;14/24)</formula>
    </cfRule>
    <cfRule type="expression" dxfId="4984" priority="177">
      <formula>U$9&lt;8/24</formula>
    </cfRule>
  </conditionalFormatting>
  <conditionalFormatting sqref="AG51 I11:T11 B11:H32 I12:L32 M12:N37 B34:N36 O12:O36 P16:R36 B37:R37 P12:T14 S16:V37 U11:AF14 W17:AF37 B38:AF56">
    <cfRule type="expression" dxfId="4983" priority="173">
      <formula>B11&gt;$AG11</formula>
    </cfRule>
  </conditionalFormatting>
  <conditionalFormatting sqref="A101:A157 A84:A97 A11:A14 A16:A32 A45:A72 A80:A82 A74:A78 A35:A43 A170:A200">
    <cfRule type="expression" dxfId="4982" priority="172">
      <formula>$AH11=0</formula>
    </cfRule>
  </conditionalFormatting>
  <conditionalFormatting sqref="U98:AB98">
    <cfRule type="expression" dxfId="4981" priority="168">
      <formula>U$9&gt;=20/24</formula>
    </cfRule>
    <cfRule type="expression" dxfId="4980" priority="169">
      <formula>AND(U$9&gt;=14/24,U$9&lt;20/24)</formula>
    </cfRule>
    <cfRule type="expression" dxfId="4979" priority="170">
      <formula>AND(U$9&gt;=8/24,U$9&lt;14/24)</formula>
    </cfRule>
    <cfRule type="expression" dxfId="4978" priority="171">
      <formula>U$9&lt;8/24</formula>
    </cfRule>
  </conditionalFormatting>
  <conditionalFormatting sqref="A98">
    <cfRule type="expression" dxfId="4977" priority="167">
      <formula>$AH98=0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M34:AF34">
    <cfRule type="expression" dxfId="4976" priority="146">
      <formula>M$9&gt;=20/24</formula>
    </cfRule>
    <cfRule type="expression" dxfId="4975" priority="147">
      <formula>AND(M$9&gt;=14/24,M$9&lt;20/24)</formula>
    </cfRule>
    <cfRule type="expression" dxfId="4974" priority="148">
      <formula>AND(M$9&gt;=8/24,M$9&lt;14/24)</formula>
    </cfRule>
    <cfRule type="expression" dxfId="4973" priority="149">
      <formula>M$9&lt;8/24</formula>
    </cfRule>
  </conditionalFormatting>
  <conditionalFormatting sqref="A34">
    <cfRule type="expression" dxfId="4972" priority="141">
      <formula>$AH34=0</formula>
    </cfRule>
  </conditionalFormatting>
  <conditionalFormatting sqref="A83">
    <cfRule type="expression" dxfId="4971" priority="140">
      <formula>$AH83=0</formula>
    </cfRule>
  </conditionalFormatting>
  <conditionalFormatting sqref="M15:AF15">
    <cfRule type="expression" dxfId="4970" priority="132">
      <formula>M$9&gt;=20/24</formula>
    </cfRule>
    <cfRule type="expression" dxfId="4969" priority="133">
      <formula>AND(M$9&gt;=14/24,M$9&lt;20/24)</formula>
    </cfRule>
    <cfRule type="expression" dxfId="4968" priority="134">
      <formula>AND(M$9&gt;=8/24,M$9&lt;14/24)</formula>
    </cfRule>
    <cfRule type="expression" dxfId="4967" priority="135">
      <formula>M$9&lt;8/24</formula>
    </cfRule>
  </conditionalFormatting>
  <conditionalFormatting sqref="M15:AF15">
    <cfRule type="expression" dxfId="4966" priority="131">
      <formula>M15&gt;$AG15</formula>
    </cfRule>
  </conditionalFormatting>
  <conditionalFormatting sqref="A15">
    <cfRule type="expression" dxfId="4965" priority="130">
      <formula>$AH15=0</formula>
    </cfRule>
  </conditionalFormatting>
  <conditionalFormatting sqref="A164:A169">
    <cfRule type="expression" dxfId="4964" priority="129">
      <formula>$AH164=0</formula>
    </cfRule>
  </conditionalFormatting>
  <conditionalFormatting sqref="A158:A163">
    <cfRule type="expression" dxfId="4963" priority="128">
      <formula>$AH158=0</formula>
    </cfRule>
  </conditionalFormatting>
  <conditionalFormatting sqref="Z44:AF44">
    <cfRule type="expression" dxfId="4962" priority="124">
      <formula>Z$9&gt;=20/24</formula>
    </cfRule>
    <cfRule type="expression" dxfId="4961" priority="125">
      <formula>AND(Z$9&gt;=14/24,Z$9&lt;20/24)</formula>
    </cfRule>
    <cfRule type="expression" dxfId="4960" priority="126">
      <formula>AND(Z$9&gt;=8/24,Z$9&lt;14/24)</formula>
    </cfRule>
    <cfRule type="expression" dxfId="4959" priority="127">
      <formula>Z$9&lt;8/24</formula>
    </cfRule>
  </conditionalFormatting>
  <conditionalFormatting sqref="M44:R44">
    <cfRule type="expression" dxfId="4958" priority="120">
      <formula>M$9&gt;=20/24</formula>
    </cfRule>
    <cfRule type="expression" dxfId="4957" priority="121">
      <formula>AND(M$9&gt;=14/24,M$9&lt;20/24)</formula>
    </cfRule>
    <cfRule type="expression" dxfId="4956" priority="122">
      <formula>AND(M$9&gt;=8/24,M$9&lt;14/24)</formula>
    </cfRule>
    <cfRule type="expression" dxfId="4955" priority="123">
      <formula>M$9&lt;8/24</formula>
    </cfRule>
  </conditionalFormatting>
  <conditionalFormatting sqref="S44:AD44">
    <cfRule type="expression" dxfId="4954" priority="116">
      <formula>S$9&gt;=20/24</formula>
    </cfRule>
    <cfRule type="expression" dxfId="4953" priority="117">
      <formula>AND(S$9&gt;=14/24,S$9&lt;20/24)</formula>
    </cfRule>
    <cfRule type="expression" dxfId="4952" priority="118">
      <formula>AND(S$9&gt;=8/24,S$9&lt;14/24)</formula>
    </cfRule>
    <cfRule type="expression" dxfId="4951" priority="119">
      <formula>S$9&lt;8/24</formula>
    </cfRule>
  </conditionalFormatting>
  <conditionalFormatting sqref="A44">
    <cfRule type="expression" dxfId="4950" priority="115">
      <formula>$AH44=0</formula>
    </cfRule>
  </conditionalFormatting>
  <conditionalFormatting sqref="A79">
    <cfRule type="expression" dxfId="4949" priority="114">
      <formula>$AH79=0</formula>
    </cfRule>
  </conditionalFormatting>
  <conditionalFormatting sqref="A73">
    <cfRule type="expression" dxfId="4948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V60:W61">
    <cfRule type="expression" dxfId="4947" priority="109">
      <formula>V$9&gt;=20/24</formula>
    </cfRule>
    <cfRule type="expression" dxfId="4946" priority="110">
      <formula>AND(V$9&gt;=14/24,V$9&lt;20/24)</formula>
    </cfRule>
    <cfRule type="expression" dxfId="4945" priority="111">
      <formula>AND(V$9&gt;=8/24,V$9&lt;14/24)</formula>
    </cfRule>
    <cfRule type="expression" dxfId="4944" priority="112">
      <formula>V$9&lt;8/24</formula>
    </cfRule>
  </conditionalFormatting>
  <conditionalFormatting sqref="C84:R91 S85:W91">
    <cfRule type="expression" dxfId="4943" priority="101">
      <formula>C$9&gt;=20/24</formula>
    </cfRule>
    <cfRule type="expression" dxfId="4942" priority="102">
      <formula>AND(C$9&gt;=14/24,C$9&lt;20/24)</formula>
    </cfRule>
    <cfRule type="expression" dxfId="4941" priority="103">
      <formula>AND(C$9&gt;=8/24,C$9&lt;14/24)</formula>
    </cfRule>
    <cfRule type="expression" dxfId="4940" priority="104">
      <formula>C$9&lt;8/24</formula>
    </cfRule>
  </conditionalFormatting>
  <conditionalFormatting sqref="S84:T84">
    <cfRule type="expression" dxfId="4939" priority="97">
      <formula>S$9&gt;=20/24</formula>
    </cfRule>
    <cfRule type="expression" dxfId="4938" priority="98">
      <formula>AND(S$9&gt;=14/24,S$9&lt;20/24)</formula>
    </cfRule>
    <cfRule type="expression" dxfId="4937" priority="99">
      <formula>AND(S$9&gt;=8/24,S$9&lt;14/24)</formula>
    </cfRule>
    <cfRule type="expression" dxfId="4936" priority="100">
      <formula>S$9&lt;8/24</formula>
    </cfRule>
  </conditionalFormatting>
  <conditionalFormatting sqref="C94:F94 C95:M97">
    <cfRule type="expression" dxfId="4935" priority="93">
      <formula>C$9&gt;=20/24</formula>
    </cfRule>
    <cfRule type="expression" dxfId="4934" priority="94">
      <formula>AND(C$9&gt;=14/24,C$9&lt;20/24)</formula>
    </cfRule>
    <cfRule type="expression" dxfId="4933" priority="95">
      <formula>AND(C$9&gt;=8/24,C$9&lt;14/24)</formula>
    </cfRule>
    <cfRule type="expression" dxfId="4932" priority="96">
      <formula>C$9&lt;8/24</formula>
    </cfRule>
  </conditionalFormatting>
  <conditionalFormatting sqref="N95:R97 O94:R94">
    <cfRule type="expression" dxfId="4931" priority="89">
      <formula>N$9&gt;=20/24</formula>
    </cfRule>
    <cfRule type="expression" dxfId="4930" priority="90">
      <formula>AND(N$9&gt;=14/24,N$9&lt;20/24)</formula>
    </cfRule>
    <cfRule type="expression" dxfId="4929" priority="91">
      <formula>AND(N$9&gt;=8/24,N$9&lt;14/24)</formula>
    </cfRule>
    <cfRule type="expression" dxfId="4928" priority="92">
      <formula>N$9&lt;8/24</formula>
    </cfRule>
  </conditionalFormatting>
  <conditionalFormatting sqref="S94:T97">
    <cfRule type="expression" dxfId="4927" priority="85">
      <formula>S$9&gt;=20/24</formula>
    </cfRule>
    <cfRule type="expression" dxfId="4926" priority="86">
      <formula>AND(S$9&gt;=14/24,S$9&lt;20/24)</formula>
    </cfRule>
    <cfRule type="expression" dxfId="4925" priority="87">
      <formula>AND(S$9&gt;=8/24,S$9&lt;14/24)</formula>
    </cfRule>
    <cfRule type="expression" dxfId="4924" priority="88">
      <formula>S$9&lt;8/24</formula>
    </cfRule>
  </conditionalFormatting>
  <conditionalFormatting sqref="C98:M98">
    <cfRule type="expression" dxfId="4923" priority="81">
      <formula>C$9&gt;=20/24</formula>
    </cfRule>
    <cfRule type="expression" dxfId="4922" priority="82">
      <formula>AND(C$9&gt;=14/24,C$9&lt;20/24)</formula>
    </cfRule>
    <cfRule type="expression" dxfId="4921" priority="83">
      <formula>AND(C$9&gt;=8/24,C$9&lt;14/24)</formula>
    </cfRule>
    <cfRule type="expression" dxfId="4920" priority="84">
      <formula>C$9&lt;8/24</formula>
    </cfRule>
  </conditionalFormatting>
  <conditionalFormatting sqref="N98:R98">
    <cfRule type="expression" dxfId="4919" priority="77">
      <formula>N$9&gt;=20/24</formula>
    </cfRule>
    <cfRule type="expression" dxfId="4918" priority="78">
      <formula>AND(N$9&gt;=14/24,N$9&lt;20/24)</formula>
    </cfRule>
    <cfRule type="expression" dxfId="4917" priority="79">
      <formula>AND(N$9&gt;=8/24,N$9&lt;14/24)</formula>
    </cfRule>
    <cfRule type="expression" dxfId="4916" priority="80">
      <formula>N$9&lt;8/24</formula>
    </cfRule>
  </conditionalFormatting>
  <conditionalFormatting sqref="S98:T98">
    <cfRule type="expression" dxfId="4915" priority="73">
      <formula>S$9&gt;=20/24</formula>
    </cfRule>
    <cfRule type="expression" dxfId="4914" priority="74">
      <formula>AND(S$9&gt;=14/24,S$9&lt;20/24)</formula>
    </cfRule>
    <cfRule type="expression" dxfId="4913" priority="75">
      <formula>AND(S$9&gt;=8/24,S$9&lt;14/24)</formula>
    </cfRule>
    <cfRule type="expression" dxfId="4912" priority="76">
      <formula>S$9&lt;8/24</formula>
    </cfRule>
  </conditionalFormatting>
  <conditionalFormatting sqref="M94:N94">
    <cfRule type="expression" dxfId="4911" priority="69">
      <formula>M$9&gt;=20/24</formula>
    </cfRule>
    <cfRule type="expression" dxfId="4910" priority="70">
      <formula>AND(M$9&gt;=14/24,M$9&lt;20/24)</formula>
    </cfRule>
    <cfRule type="expression" dxfId="4909" priority="71">
      <formula>AND(M$9&gt;=8/24,M$9&lt;14/24)</formula>
    </cfRule>
    <cfRule type="expression" dxfId="4908" priority="72">
      <formula>M$9&lt;8/24</formula>
    </cfRule>
  </conditionalFormatting>
  <conditionalFormatting sqref="G94:L94">
    <cfRule type="expression" dxfId="4907" priority="65">
      <formula>G$9&gt;=20/24</formula>
    </cfRule>
    <cfRule type="expression" dxfId="4906" priority="66">
      <formula>AND(G$9&gt;=14/24,G$9&lt;20/24)</formula>
    </cfRule>
    <cfRule type="expression" dxfId="4905" priority="67">
      <formula>AND(G$9&gt;=8/24,G$9&lt;14/24)</formula>
    </cfRule>
    <cfRule type="expression" dxfId="4904" priority="68">
      <formula>G$9&lt;8/24</formula>
    </cfRule>
  </conditionalFormatting>
  <conditionalFormatting sqref="U94:W94">
    <cfRule type="expression" dxfId="4903" priority="61">
      <formula>U$9&gt;=20/24</formula>
    </cfRule>
    <cfRule type="expression" dxfId="4902" priority="62">
      <formula>AND(U$9&gt;=14/24,U$9&lt;20/24)</formula>
    </cfRule>
    <cfRule type="expression" dxfId="4901" priority="63">
      <formula>AND(U$9&gt;=8/24,U$9&lt;14/24)</formula>
    </cfRule>
    <cfRule type="expression" dxfId="4900" priority="64">
      <formula>U$9&lt;8/24</formula>
    </cfRule>
  </conditionalFormatting>
  <conditionalFormatting sqref="N94:T94">
    <cfRule type="expression" dxfId="4899" priority="57">
      <formula>N$9&gt;=20/24</formula>
    </cfRule>
    <cfRule type="expression" dxfId="4898" priority="58">
      <formula>AND(N$9&gt;=14/24,N$9&lt;20/24)</formula>
    </cfRule>
    <cfRule type="expression" dxfId="4897" priority="59">
      <formula>AND(N$9&gt;=8/24,N$9&lt;14/24)</formula>
    </cfRule>
    <cfRule type="expression" dxfId="4896" priority="60">
      <formula>N$9&lt;8/24</formula>
    </cfRule>
  </conditionalFormatting>
  <conditionalFormatting sqref="U99:AB100">
    <cfRule type="expression" dxfId="4895" priority="53">
      <formula>U$9&gt;=20/24</formula>
    </cfRule>
    <cfRule type="expression" dxfId="4894" priority="54">
      <formula>AND(U$9&gt;=14/24,U$9&lt;20/24)</formula>
    </cfRule>
    <cfRule type="expression" dxfId="4893" priority="55">
      <formula>AND(U$9&gt;=8/24,U$9&lt;14/24)</formula>
    </cfRule>
    <cfRule type="expression" dxfId="4892" priority="56">
      <formula>U$9&lt;8/24</formula>
    </cfRule>
  </conditionalFormatting>
  <conditionalFormatting sqref="C99:M100">
    <cfRule type="expression" dxfId="4891" priority="49">
      <formula>C$9&gt;=20/24</formula>
    </cfRule>
    <cfRule type="expression" dxfId="4890" priority="50">
      <formula>AND(C$9&gt;=14/24,C$9&lt;20/24)</formula>
    </cfRule>
    <cfRule type="expression" dxfId="4889" priority="51">
      <formula>AND(C$9&gt;=8/24,C$9&lt;14/24)</formula>
    </cfRule>
    <cfRule type="expression" dxfId="4888" priority="52">
      <formula>C$9&lt;8/24</formula>
    </cfRule>
  </conditionalFormatting>
  <conditionalFormatting sqref="N99:R100">
    <cfRule type="expression" dxfId="4887" priority="45">
      <formula>N$9&gt;=20/24</formula>
    </cfRule>
    <cfRule type="expression" dxfId="4886" priority="46">
      <formula>AND(N$9&gt;=14/24,N$9&lt;20/24)</formula>
    </cfRule>
    <cfRule type="expression" dxfId="4885" priority="47">
      <formula>AND(N$9&gt;=8/24,N$9&lt;14/24)</formula>
    </cfRule>
    <cfRule type="expression" dxfId="4884" priority="48">
      <formula>N$9&lt;8/24</formula>
    </cfRule>
  </conditionalFormatting>
  <conditionalFormatting sqref="S99:T100">
    <cfRule type="expression" dxfId="4883" priority="41">
      <formula>S$9&gt;=20/24</formula>
    </cfRule>
    <cfRule type="expression" dxfId="4882" priority="42">
      <formula>AND(S$9&gt;=14/24,S$9&lt;20/24)</formula>
    </cfRule>
    <cfRule type="expression" dxfId="4881" priority="43">
      <formula>AND(S$9&gt;=8/24,S$9&lt;14/24)</formula>
    </cfRule>
    <cfRule type="expression" dxfId="4880" priority="44">
      <formula>S$9&lt;8/24</formula>
    </cfRule>
  </conditionalFormatting>
  <conditionalFormatting sqref="W16:AF16">
    <cfRule type="expression" dxfId="4879" priority="37">
      <formula>W$9&gt;=20/24</formula>
    </cfRule>
    <cfRule type="expression" dxfId="4878" priority="38">
      <formula>AND(W$9&gt;=14/24,W$9&lt;20/24)</formula>
    </cfRule>
    <cfRule type="expression" dxfId="4877" priority="39">
      <formula>AND(W$9&gt;=8/24,W$9&lt;14/24)</formula>
    </cfRule>
    <cfRule type="expression" dxfId="4876" priority="40">
      <formula>W$9&lt;8/24</formula>
    </cfRule>
  </conditionalFormatting>
  <conditionalFormatting sqref="AD58:AF59">
    <cfRule type="expression" dxfId="4875" priority="25">
      <formula>AD$9&gt;=20/24</formula>
    </cfRule>
    <cfRule type="expression" dxfId="4874" priority="26">
      <formula>AND(AD$9&gt;=14/24,AD$9&lt;20/24)</formula>
    </cfRule>
    <cfRule type="expression" dxfId="4873" priority="27">
      <formula>AND(AD$9&gt;=8/24,AD$9&lt;14/24)</formula>
    </cfRule>
    <cfRule type="expression" dxfId="4872" priority="28">
      <formula>AD$9&lt;8/24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71" priority="258">
      <formula>C$9&gt;=20/24</formula>
    </cfRule>
    <cfRule type="expression" dxfId="4870" priority="259">
      <formula>AND(C$9&gt;=14/24,C$9&lt;20/24)</formula>
    </cfRule>
    <cfRule type="expression" dxfId="4869" priority="260">
      <formula>AND(C$9&gt;=8/24,C$9&lt;14/24)</formula>
    </cfRule>
    <cfRule type="expression" dxfId="4868" priority="261">
      <formula>C$9&lt;8/24</formula>
    </cfRule>
  </conditionalFormatting>
  <conditionalFormatting sqref="A201">
    <cfRule type="expression" dxfId="4867" priority="262">
      <formula>$AH201=0</formula>
    </cfRule>
  </conditionalFormatting>
  <conditionalFormatting sqref="AG213">
    <cfRule type="expression" dxfId="4866" priority="263">
      <formula>B$9&gt;=20/24</formula>
    </cfRule>
    <cfRule type="expression" dxfId="4865" priority="264">
      <formula>AND(B$9&gt;=14/24,B$9&lt;20/24)</formula>
    </cfRule>
    <cfRule type="expression" dxfId="4864" priority="265">
      <formula>AND(B$9&gt;=8/24,B$9&lt;14/24)</formula>
    </cfRule>
    <cfRule type="expression" dxfId="4863" priority="266">
      <formula>B$9&lt;8/24</formula>
    </cfRule>
  </conditionalFormatting>
  <conditionalFormatting sqref="S8">
    <cfRule type="expression" dxfId="4862" priority="19">
      <formula>U$9&gt;=20/24</formula>
    </cfRule>
    <cfRule type="expression" dxfId="4861" priority="20">
      <formula>AND(U$9&gt;=14/24,U$9&lt;20/24)</formula>
    </cfRule>
    <cfRule type="expression" dxfId="4860" priority="21">
      <formula>AND(U$9&gt;=8/24,U$9&lt;14/24)</formula>
    </cfRule>
    <cfRule type="expression" dxfId="4859" priority="22">
      <formula>U$9&lt;8/24</formula>
    </cfRule>
  </conditionalFormatting>
  <conditionalFormatting sqref="AB8">
    <cfRule type="expression" dxfId="4858" priority="15">
      <formula>AD$9&gt;=20/24</formula>
    </cfRule>
    <cfRule type="expression" dxfId="4857" priority="16">
      <formula>AND(AD$9&gt;=14/24,AD$9&lt;20/24)</formula>
    </cfRule>
    <cfRule type="expression" dxfId="4856" priority="17">
      <formula>AND(AD$9&gt;=8/24,AD$9&lt;14/24)</formula>
    </cfRule>
    <cfRule type="expression" dxfId="4855" priority="18">
      <formula>AD$9&lt;8/24</formula>
    </cfRule>
  </conditionalFormatting>
  <conditionalFormatting sqref="AH213:AX213">
    <cfRule type="expression" dxfId="4854" priority="267">
      <formula>AG$9&gt;=20/24</formula>
    </cfRule>
    <cfRule type="expression" dxfId="4853" priority="268">
      <formula>AND(AG$9&gt;=14/24,AG$9&lt;20/24)</formula>
    </cfRule>
    <cfRule type="expression" dxfId="4852" priority="269">
      <formula>AND(AG$9&gt;=8/24,AG$9&lt;14/24)</formula>
    </cfRule>
    <cfRule type="expression" dxfId="4851" priority="270">
      <formula>AG$9&lt;8/24</formula>
    </cfRule>
  </conditionalFormatting>
  <conditionalFormatting sqref="T213">
    <cfRule type="expression" dxfId="4850" priority="271">
      <formula>AX$9&gt;=20/24</formula>
    </cfRule>
    <cfRule type="expression" dxfId="4849" priority="272">
      <formula>AND(AX$9&gt;=14/24,AX$9&lt;20/24)</formula>
    </cfRule>
    <cfRule type="expression" dxfId="4848" priority="273">
      <formula>AND(AX$9&gt;=8/24,AX$9&lt;14/24)</formula>
    </cfRule>
    <cfRule type="expression" dxfId="4847" priority="274">
      <formula>AX$9&lt;8/24</formula>
    </cfRule>
  </conditionalFormatting>
  <conditionalFormatting sqref="A99:A100">
    <cfRule type="expression" dxfId="4846" priority="14">
      <formula>$AH99=0</formula>
    </cfRule>
  </conditionalFormatting>
  <conditionalFormatting sqref="M33:AF33">
    <cfRule type="expression" dxfId="4845" priority="10">
      <formula>M$9&gt;=20/24</formula>
    </cfRule>
    <cfRule type="expression" dxfId="4844" priority="11">
      <formula>AND(M$9&gt;=14/24,M$9&lt;20/24)</formula>
    </cfRule>
    <cfRule type="expression" dxfId="4843" priority="12">
      <formula>AND(M$9&gt;=8/24,M$9&lt;14/24)</formula>
    </cfRule>
    <cfRule type="expression" dxfId="4842" priority="13">
      <formula>M$9&lt;8/24</formula>
    </cfRule>
  </conditionalFormatting>
  <conditionalFormatting sqref="B33:AF33">
    <cfRule type="expression" dxfId="4841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C52A1850-8631-433A-8655-7BE2836659A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CJ47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G70" sqref="G7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2078/12/15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172.8</v>
      </c>
      <c r="C5" s="157">
        <f t="shared" si="0"/>
        <v>169.4</v>
      </c>
      <c r="D5" s="157">
        <f t="shared" si="0"/>
        <v>328.3</v>
      </c>
      <c r="E5" s="157">
        <f t="shared" si="0"/>
        <v>314.5</v>
      </c>
      <c r="F5" s="157">
        <f t="shared" si="0"/>
        <v>319</v>
      </c>
      <c r="G5" s="157">
        <f t="shared" si="0"/>
        <v>332.1</v>
      </c>
      <c r="H5" s="157">
        <f t="shared" si="0"/>
        <v>365</v>
      </c>
      <c r="I5" s="157">
        <f t="shared" si="0"/>
        <v>294.60000000000002</v>
      </c>
      <c r="J5" s="157">
        <f t="shared" si="0"/>
        <v>318.10000000000002</v>
      </c>
      <c r="K5" s="157">
        <f t="shared" si="0"/>
        <v>358.9</v>
      </c>
      <c r="L5" s="157">
        <f t="shared" si="0"/>
        <v>379.1</v>
      </c>
      <c r="M5" s="157">
        <f t="shared" si="0"/>
        <v>408.59999999999997</v>
      </c>
      <c r="N5" s="157">
        <f t="shared" si="0"/>
        <v>438.30000000000007</v>
      </c>
      <c r="O5" s="157">
        <f t="shared" si="0"/>
        <v>513</v>
      </c>
      <c r="P5" s="157">
        <f t="shared" si="0"/>
        <v>534.70000000000005</v>
      </c>
      <c r="Q5" s="157">
        <f t="shared" si="0"/>
        <v>544</v>
      </c>
      <c r="R5" s="157">
        <f t="shared" si="0"/>
        <v>526.9</v>
      </c>
      <c r="S5" s="157">
        <f t="shared" si="0"/>
        <v>498.40000000000003</v>
      </c>
      <c r="T5" s="157">
        <f t="shared" si="0"/>
        <v>458</v>
      </c>
      <c r="U5" s="157">
        <f t="shared" si="0"/>
        <v>468</v>
      </c>
      <c r="V5" s="157">
        <f t="shared" si="0"/>
        <v>439.26000000000005</v>
      </c>
      <c r="W5" s="157">
        <f t="shared" si="0"/>
        <v>414</v>
      </c>
      <c r="X5" s="157">
        <f t="shared" si="0"/>
        <v>285</v>
      </c>
      <c r="Y5" s="157">
        <f t="shared" si="0"/>
        <v>197.7</v>
      </c>
      <c r="Z5" s="157">
        <f t="shared" si="0"/>
        <v>128</v>
      </c>
      <c r="AA5" s="157">
        <f t="shared" si="0"/>
        <v>157.15</v>
      </c>
      <c r="AB5" s="157">
        <f t="shared" si="0"/>
        <v>131.4</v>
      </c>
      <c r="AC5" s="157">
        <f t="shared" si="0"/>
        <v>128.19999999999999</v>
      </c>
      <c r="AD5" s="157">
        <f t="shared" si="0"/>
        <v>131.07</v>
      </c>
      <c r="AE5" s="157">
        <f t="shared" si="0"/>
        <v>135.97999999999999</v>
      </c>
      <c r="AF5" s="157">
        <f>B68</f>
        <v>193.52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1460MW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Load=1099</v>
      </c>
      <c r="B7" s="146">
        <f>B75</f>
        <v>1231.96</v>
      </c>
      <c r="C7" s="146">
        <f t="shared" ref="C7:AF7" si="1">C75</f>
        <v>1162.8400000000001</v>
      </c>
      <c r="D7" s="146">
        <f t="shared" si="1"/>
        <v>1145.6399999999999</v>
      </c>
      <c r="E7" s="146">
        <f t="shared" si="1"/>
        <v>1111.94</v>
      </c>
      <c r="F7" s="146">
        <f t="shared" si="1"/>
        <v>1098.8399999999999</v>
      </c>
      <c r="G7" s="146">
        <f t="shared" si="1"/>
        <v>1129.1399999999999</v>
      </c>
      <c r="H7" s="146">
        <f t="shared" si="1"/>
        <v>1183.6399999999999</v>
      </c>
      <c r="I7" s="146">
        <f t="shared" si="1"/>
        <v>1235.94</v>
      </c>
      <c r="J7" s="146">
        <f t="shared" si="1"/>
        <v>1285.54</v>
      </c>
      <c r="K7" s="146">
        <f t="shared" si="1"/>
        <v>1338.8400000000001</v>
      </c>
      <c r="L7" s="146">
        <f t="shared" si="1"/>
        <v>1459.8400000000001</v>
      </c>
      <c r="M7" s="146">
        <f t="shared" si="1"/>
        <v>1437.8400000000001</v>
      </c>
      <c r="N7" s="146">
        <f t="shared" si="1"/>
        <v>1407.04</v>
      </c>
      <c r="O7" s="146">
        <f t="shared" si="1"/>
        <v>1433.14</v>
      </c>
      <c r="P7" s="146">
        <f t="shared" si="1"/>
        <v>1428.24</v>
      </c>
      <c r="Q7" s="146">
        <f t="shared" si="1"/>
        <v>1417.64</v>
      </c>
      <c r="R7" s="146">
        <f t="shared" si="1"/>
        <v>1447.54</v>
      </c>
      <c r="S7" s="146">
        <f t="shared" si="1"/>
        <v>1439.14</v>
      </c>
      <c r="T7" s="146">
        <f t="shared" si="1"/>
        <v>1428.24</v>
      </c>
      <c r="U7" s="146">
        <f t="shared" si="1"/>
        <v>1404.1399999999999</v>
      </c>
      <c r="V7" s="146">
        <f t="shared" si="1"/>
        <v>1441.7399999999998</v>
      </c>
      <c r="W7" s="146">
        <f t="shared" si="1"/>
        <v>1439.4</v>
      </c>
      <c r="X7" s="146">
        <f t="shared" si="1"/>
        <v>1344.84</v>
      </c>
      <c r="Y7" s="146">
        <f t="shared" si="1"/>
        <v>1593.6399999999999</v>
      </c>
      <c r="Z7" s="146">
        <f t="shared" si="1"/>
        <v>1636.54</v>
      </c>
      <c r="AA7" s="146">
        <f t="shared" si="1"/>
        <v>1620.2400000000002</v>
      </c>
      <c r="AB7" s="146">
        <f t="shared" si="1"/>
        <v>1574.19</v>
      </c>
      <c r="AC7" s="146">
        <f t="shared" si="1"/>
        <v>1542.3400000000001</v>
      </c>
      <c r="AD7" s="146">
        <f t="shared" si="1"/>
        <v>1475.24</v>
      </c>
      <c r="AE7" s="146">
        <f t="shared" si="1"/>
        <v>1378.91</v>
      </c>
      <c r="AF7" s="146">
        <f t="shared" si="1"/>
        <v>1256.1199999999999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100</v>
      </c>
      <c r="C11" s="127">
        <v>100</v>
      </c>
      <c r="D11" s="127">
        <v>100</v>
      </c>
      <c r="E11" s="127">
        <v>12</v>
      </c>
      <c r="F11" s="127">
        <v>12</v>
      </c>
      <c r="G11" s="127">
        <v>12</v>
      </c>
      <c r="H11" s="127">
        <v>25</v>
      </c>
      <c r="I11" s="127">
        <v>25</v>
      </c>
      <c r="J11" s="127">
        <v>170</v>
      </c>
      <c r="K11" s="127">
        <v>200</v>
      </c>
      <c r="L11" s="127">
        <v>280</v>
      </c>
      <c r="M11" s="103">
        <v>240</v>
      </c>
      <c r="N11" s="103">
        <v>130</v>
      </c>
      <c r="O11" s="103">
        <v>130</v>
      </c>
      <c r="P11" s="103">
        <v>100</v>
      </c>
      <c r="Q11" s="103">
        <v>120</v>
      </c>
      <c r="R11" s="103">
        <v>110</v>
      </c>
      <c r="S11" s="103">
        <v>110</v>
      </c>
      <c r="T11" s="103">
        <v>110</v>
      </c>
      <c r="U11" s="103">
        <v>150</v>
      </c>
      <c r="V11" s="103">
        <v>180</v>
      </c>
      <c r="W11" s="103">
        <v>180</v>
      </c>
      <c r="X11" s="103">
        <v>140</v>
      </c>
      <c r="Y11" s="103">
        <v>170</v>
      </c>
      <c r="Z11" s="179">
        <v>280</v>
      </c>
      <c r="AA11" s="103">
        <v>330</v>
      </c>
      <c r="AB11" s="103">
        <v>310</v>
      </c>
      <c r="AC11" s="103">
        <v>310</v>
      </c>
      <c r="AD11" s="103">
        <v>270</v>
      </c>
      <c r="AE11" s="103">
        <v>200</v>
      </c>
      <c r="AF11" s="127">
        <v>120</v>
      </c>
      <c r="AG11" s="54">
        <v>456</v>
      </c>
      <c r="AH11" s="21">
        <f>MAX(B11:AF11)</f>
        <v>330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77">
        <v>27</v>
      </c>
      <c r="U12" s="77">
        <v>27</v>
      </c>
      <c r="V12" s="77">
        <v>27</v>
      </c>
      <c r="W12" s="77">
        <v>27</v>
      </c>
      <c r="X12" s="77">
        <v>27</v>
      </c>
      <c r="Y12" s="77">
        <v>27</v>
      </c>
      <c r="Z12" s="77">
        <v>27</v>
      </c>
      <c r="AA12" s="77">
        <v>27</v>
      </c>
      <c r="AB12" s="77">
        <v>27</v>
      </c>
      <c r="AC12" s="103">
        <v>27</v>
      </c>
      <c r="AD12" s="103">
        <v>27</v>
      </c>
      <c r="AE12" s="103">
        <v>27</v>
      </c>
      <c r="AF12" s="127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17.5</v>
      </c>
      <c r="C13" s="127">
        <v>17.5</v>
      </c>
      <c r="D13" s="127">
        <v>17.5</v>
      </c>
      <c r="E13" s="127">
        <v>15.7</v>
      </c>
      <c r="F13" s="127">
        <v>15.7</v>
      </c>
      <c r="G13" s="127">
        <v>15.7</v>
      </c>
      <c r="H13" s="127">
        <v>15.7</v>
      </c>
      <c r="I13" s="127">
        <v>15.7</v>
      </c>
      <c r="J13" s="127">
        <v>15.7</v>
      </c>
      <c r="K13" s="127">
        <v>15.7</v>
      </c>
      <c r="L13" s="127">
        <v>15.7</v>
      </c>
      <c r="M13" s="127">
        <v>15.7</v>
      </c>
      <c r="N13" s="127">
        <v>15.7</v>
      </c>
      <c r="O13" s="127">
        <v>15.7</v>
      </c>
      <c r="P13" s="127">
        <v>15.7</v>
      </c>
      <c r="Q13" s="127">
        <v>17</v>
      </c>
      <c r="R13" s="127">
        <v>17</v>
      </c>
      <c r="S13" s="127">
        <v>17</v>
      </c>
      <c r="T13" s="77">
        <v>17.100000000000001</v>
      </c>
      <c r="U13" s="77">
        <v>17.100000000000001</v>
      </c>
      <c r="V13" s="77">
        <v>17.100000000000001</v>
      </c>
      <c r="W13" s="77">
        <v>17.100000000000001</v>
      </c>
      <c r="X13" s="77">
        <v>17.100000000000001</v>
      </c>
      <c r="Y13" s="77">
        <v>17.100000000000001</v>
      </c>
      <c r="Z13" s="77">
        <v>23</v>
      </c>
      <c r="AA13" s="77">
        <v>19</v>
      </c>
      <c r="AB13" s="77">
        <v>17.399999999999999</v>
      </c>
      <c r="AC13" s="103">
        <v>17.399999999999999</v>
      </c>
      <c r="AD13" s="103">
        <v>15.7</v>
      </c>
      <c r="AE13" s="103">
        <v>15.6</v>
      </c>
      <c r="AF13" s="127">
        <v>15.9</v>
      </c>
      <c r="AG13" s="134">
        <v>52.4</v>
      </c>
      <c r="AH13" s="21">
        <f t="shared" si="2"/>
        <v>23</v>
      </c>
      <c r="AI13" s="20">
        <f t="shared" si="3"/>
        <v>15.6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25.5</v>
      </c>
      <c r="C14" s="127">
        <v>25.5</v>
      </c>
      <c r="D14" s="127">
        <v>25.5</v>
      </c>
      <c r="E14" s="127">
        <v>25.3</v>
      </c>
      <c r="F14" s="127">
        <v>25.3</v>
      </c>
      <c r="G14" s="127">
        <v>25.3</v>
      </c>
      <c r="H14" s="127">
        <v>25.3</v>
      </c>
      <c r="I14" s="127">
        <v>25.3</v>
      </c>
      <c r="J14" s="127">
        <v>25.3</v>
      </c>
      <c r="K14" s="127">
        <v>25.3</v>
      </c>
      <c r="L14" s="127">
        <v>25.3</v>
      </c>
      <c r="M14" s="103">
        <v>25.3</v>
      </c>
      <c r="N14" s="103">
        <v>25.3</v>
      </c>
      <c r="O14" s="103">
        <v>25.3</v>
      </c>
      <c r="P14" s="103">
        <v>25.3</v>
      </c>
      <c r="Q14" s="103">
        <v>25.2</v>
      </c>
      <c r="R14" s="103">
        <v>25.4</v>
      </c>
      <c r="S14" s="103">
        <v>25.4</v>
      </c>
      <c r="T14" s="67">
        <v>25.1</v>
      </c>
      <c r="U14" s="67">
        <v>25.1</v>
      </c>
      <c r="V14" s="67">
        <v>25.1</v>
      </c>
      <c r="W14" s="67">
        <v>25.1</v>
      </c>
      <c r="X14" s="67">
        <v>25.1</v>
      </c>
      <c r="Y14" s="67">
        <v>25.1</v>
      </c>
      <c r="Z14" s="67">
        <v>25.1</v>
      </c>
      <c r="AA14" s="67">
        <v>25.1</v>
      </c>
      <c r="AB14" s="67">
        <v>25.1</v>
      </c>
      <c r="AC14" s="103">
        <v>25.4</v>
      </c>
      <c r="AD14" s="103">
        <v>25.4</v>
      </c>
      <c r="AE14" s="103">
        <v>25.4</v>
      </c>
      <c r="AF14" s="127">
        <v>25.4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22.7</v>
      </c>
      <c r="C15" s="123">
        <v>22.7</v>
      </c>
      <c r="D15" s="123">
        <v>22.7</v>
      </c>
      <c r="E15" s="123">
        <v>22.9</v>
      </c>
      <c r="F15" s="123">
        <v>22.9</v>
      </c>
      <c r="G15" s="123">
        <v>22.9</v>
      </c>
      <c r="H15" s="123">
        <v>22.9</v>
      </c>
      <c r="I15" s="123">
        <v>22.9</v>
      </c>
      <c r="J15" s="123">
        <v>22.9</v>
      </c>
      <c r="K15" s="123">
        <v>22.9</v>
      </c>
      <c r="L15" s="123">
        <v>22.9</v>
      </c>
      <c r="M15" s="103">
        <v>22.9</v>
      </c>
      <c r="N15" s="103">
        <v>22.9</v>
      </c>
      <c r="O15" s="103">
        <v>22.9</v>
      </c>
      <c r="P15" s="103">
        <v>22.9</v>
      </c>
      <c r="Q15" s="103">
        <v>22.7</v>
      </c>
      <c r="R15" s="103">
        <v>22.7</v>
      </c>
      <c r="S15" s="103">
        <v>22.7</v>
      </c>
      <c r="T15" s="67">
        <v>22.7</v>
      </c>
      <c r="U15" s="67">
        <v>22.7</v>
      </c>
      <c r="V15" s="67">
        <v>22.7</v>
      </c>
      <c r="W15" s="67">
        <v>22.7</v>
      </c>
      <c r="X15" s="67">
        <v>22.7</v>
      </c>
      <c r="Y15" s="67">
        <v>22.7</v>
      </c>
      <c r="Z15" s="67">
        <v>22.7</v>
      </c>
      <c r="AA15" s="67">
        <v>22.7</v>
      </c>
      <c r="AB15" s="67">
        <v>22.8</v>
      </c>
      <c r="AC15" s="67">
        <v>22.8</v>
      </c>
      <c r="AD15" s="67">
        <v>22.8</v>
      </c>
      <c r="AE15" s="103">
        <v>22.9</v>
      </c>
      <c r="AF15" s="123">
        <v>22.8</v>
      </c>
      <c r="AG15" s="108">
        <v>45</v>
      </c>
      <c r="AH15" s="21">
        <f t="shared" si="2"/>
        <v>22.9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3">
        <v>14</v>
      </c>
      <c r="C16" s="123">
        <v>14</v>
      </c>
      <c r="D16" s="123">
        <v>14</v>
      </c>
      <c r="E16" s="123">
        <v>14</v>
      </c>
      <c r="F16" s="123">
        <v>14</v>
      </c>
      <c r="G16" s="123">
        <v>14</v>
      </c>
      <c r="H16" s="123">
        <v>14</v>
      </c>
      <c r="I16" s="123">
        <v>14</v>
      </c>
      <c r="J16" s="123">
        <v>14</v>
      </c>
      <c r="K16" s="123">
        <v>14</v>
      </c>
      <c r="L16" s="123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67">
        <v>14</v>
      </c>
      <c r="U16" s="67">
        <v>14</v>
      </c>
      <c r="V16" s="67">
        <v>14</v>
      </c>
      <c r="W16" s="67">
        <v>14</v>
      </c>
      <c r="X16" s="67">
        <v>14</v>
      </c>
      <c r="Y16" s="67">
        <v>14</v>
      </c>
      <c r="Z16" s="67">
        <v>14</v>
      </c>
      <c r="AA16" s="67">
        <v>14</v>
      </c>
      <c r="AB16" s="67">
        <v>14</v>
      </c>
      <c r="AC16" s="67">
        <v>14</v>
      </c>
      <c r="AD16" s="67">
        <v>14</v>
      </c>
      <c r="AE16" s="67">
        <v>14</v>
      </c>
      <c r="AF16" s="67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67">
        <v>6.5</v>
      </c>
      <c r="U17" s="67">
        <v>6.5</v>
      </c>
      <c r="V17" s="67">
        <v>6.5</v>
      </c>
      <c r="W17" s="67">
        <v>6.5</v>
      </c>
      <c r="X17" s="67">
        <v>6.5</v>
      </c>
      <c r="Y17" s="67">
        <v>6.5</v>
      </c>
      <c r="Z17" s="67">
        <v>6.5</v>
      </c>
      <c r="AA17" s="67">
        <v>6.5</v>
      </c>
      <c r="AB17" s="67">
        <v>6.5</v>
      </c>
      <c r="AC17" s="67">
        <v>6.5</v>
      </c>
      <c r="AD17" s="67">
        <v>6.5</v>
      </c>
      <c r="AE17" s="67">
        <v>6.5</v>
      </c>
      <c r="AF17" s="67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10.9</v>
      </c>
      <c r="C19" s="127">
        <v>10.9</v>
      </c>
      <c r="D19" s="127">
        <v>10.9</v>
      </c>
      <c r="E19" s="127">
        <v>11.9</v>
      </c>
      <c r="F19" s="127">
        <v>11.9</v>
      </c>
      <c r="G19" s="127">
        <v>11.9</v>
      </c>
      <c r="H19" s="127">
        <v>11.9</v>
      </c>
      <c r="I19" s="127">
        <v>11.9</v>
      </c>
      <c r="J19" s="127">
        <v>11.9</v>
      </c>
      <c r="K19" s="127">
        <v>11.9</v>
      </c>
      <c r="L19" s="127">
        <v>11.9</v>
      </c>
      <c r="M19" s="103">
        <v>11.9</v>
      </c>
      <c r="N19" s="103">
        <v>11.9</v>
      </c>
      <c r="O19" s="103">
        <v>11.9</v>
      </c>
      <c r="P19" s="103">
        <v>11.9</v>
      </c>
      <c r="Q19" s="103">
        <v>11.7</v>
      </c>
      <c r="R19" s="103">
        <v>10.7</v>
      </c>
      <c r="S19" s="103">
        <v>10.7</v>
      </c>
      <c r="T19" s="103">
        <v>10.7</v>
      </c>
      <c r="U19" s="103">
        <v>10.7</v>
      </c>
      <c r="V19" s="103">
        <v>10.7</v>
      </c>
      <c r="W19" s="103">
        <v>10.7</v>
      </c>
      <c r="X19" s="103">
        <v>10.7</v>
      </c>
      <c r="Y19" s="103">
        <v>10.7</v>
      </c>
      <c r="Z19" s="103">
        <v>10.7</v>
      </c>
      <c r="AA19" s="103">
        <v>10.7</v>
      </c>
      <c r="AB19" s="103">
        <v>13.2</v>
      </c>
      <c r="AC19" s="103">
        <v>13.2</v>
      </c>
      <c r="AD19" s="103">
        <v>13.2</v>
      </c>
      <c r="AE19" s="103">
        <v>13.2</v>
      </c>
      <c r="AF19" s="103">
        <v>13.2</v>
      </c>
      <c r="AG19" s="134">
        <v>30</v>
      </c>
      <c r="AH19" s="21">
        <f t="shared" si="2"/>
        <v>13.2</v>
      </c>
      <c r="AI19" s="20">
        <f t="shared" si="3"/>
        <v>10.7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7.2</v>
      </c>
      <c r="C20" s="127">
        <v>7.2</v>
      </c>
      <c r="D20" s="127">
        <v>7.2</v>
      </c>
      <c r="E20" s="127">
        <v>7.2</v>
      </c>
      <c r="F20" s="127">
        <v>7.2</v>
      </c>
      <c r="G20" s="127">
        <v>7.2</v>
      </c>
      <c r="H20" s="127">
        <v>7.2</v>
      </c>
      <c r="I20" s="127">
        <v>7.2</v>
      </c>
      <c r="J20" s="127">
        <v>7.2</v>
      </c>
      <c r="K20" s="127">
        <v>7.2</v>
      </c>
      <c r="L20" s="127">
        <v>7.2</v>
      </c>
      <c r="M20" s="103">
        <v>7.2</v>
      </c>
      <c r="N20" s="103">
        <v>7.2</v>
      </c>
      <c r="O20" s="103">
        <v>7.2</v>
      </c>
      <c r="P20" s="103">
        <v>7.2</v>
      </c>
      <c r="Q20" s="103">
        <v>7.2</v>
      </c>
      <c r="R20" s="103">
        <v>7.2</v>
      </c>
      <c r="S20" s="103">
        <v>7.2</v>
      </c>
      <c r="T20" s="103">
        <v>7.2</v>
      </c>
      <c r="U20" s="103">
        <v>7.2</v>
      </c>
      <c r="V20" s="103">
        <v>7.2</v>
      </c>
      <c r="W20" s="103">
        <v>7.2</v>
      </c>
      <c r="X20" s="103">
        <v>7.2</v>
      </c>
      <c r="Y20" s="103">
        <v>7.2</v>
      </c>
      <c r="Z20" s="103">
        <v>7.2</v>
      </c>
      <c r="AA20" s="103">
        <v>7.2</v>
      </c>
      <c r="AB20" s="103">
        <v>7.2</v>
      </c>
      <c r="AC20" s="103">
        <v>7.2</v>
      </c>
      <c r="AD20" s="103">
        <v>7.2</v>
      </c>
      <c r="AE20" s="103">
        <v>7.2</v>
      </c>
      <c r="AF20" s="103">
        <v>7.2</v>
      </c>
      <c r="AG20" s="134">
        <v>27</v>
      </c>
      <c r="AH20" s="21">
        <f t="shared" si="2"/>
        <v>7.2</v>
      </c>
      <c r="AI20" s="20">
        <f t="shared" si="3"/>
        <v>7.2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18.899999999999999</v>
      </c>
      <c r="C22" s="127">
        <v>18.899999999999999</v>
      </c>
      <c r="D22" s="127">
        <v>18.899999999999999</v>
      </c>
      <c r="E22" s="127">
        <v>19</v>
      </c>
      <c r="F22" s="127">
        <v>19</v>
      </c>
      <c r="G22" s="127">
        <v>19</v>
      </c>
      <c r="H22" s="127">
        <v>19</v>
      </c>
      <c r="I22" s="127">
        <v>19</v>
      </c>
      <c r="J22" s="127">
        <v>19</v>
      </c>
      <c r="K22" s="127">
        <v>19</v>
      </c>
      <c r="L22" s="127">
        <v>19</v>
      </c>
      <c r="M22" s="103">
        <v>19</v>
      </c>
      <c r="N22" s="103">
        <v>19</v>
      </c>
      <c r="O22" s="103">
        <v>19</v>
      </c>
      <c r="P22" s="103">
        <v>19</v>
      </c>
      <c r="Q22" s="103">
        <v>22.5</v>
      </c>
      <c r="R22" s="103">
        <v>21.4</v>
      </c>
      <c r="S22" s="103">
        <v>21.4</v>
      </c>
      <c r="T22" s="103">
        <v>21.4</v>
      </c>
      <c r="U22" s="103">
        <v>21.4</v>
      </c>
      <c r="V22" s="103">
        <v>21.4</v>
      </c>
      <c r="W22" s="103">
        <v>21.4</v>
      </c>
      <c r="X22" s="103">
        <v>21.4</v>
      </c>
      <c r="Y22" s="103">
        <v>21.4</v>
      </c>
      <c r="Z22" s="103">
        <v>21.4</v>
      </c>
      <c r="AA22" s="103">
        <v>21.4</v>
      </c>
      <c r="AB22" s="103">
        <v>21.4</v>
      </c>
      <c r="AC22" s="103">
        <v>21.4</v>
      </c>
      <c r="AD22" s="103">
        <v>21.4</v>
      </c>
      <c r="AE22" s="103">
        <v>22</v>
      </c>
      <c r="AF22" s="103">
        <v>22</v>
      </c>
      <c r="AG22" s="134">
        <v>25</v>
      </c>
      <c r="AH22" s="21">
        <f t="shared" si="2"/>
        <v>22.5</v>
      </c>
      <c r="AI22" s="20">
        <f t="shared" si="3"/>
        <v>18.899999999999999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4.8</v>
      </c>
      <c r="C23" s="127">
        <v>4.8</v>
      </c>
      <c r="D23" s="127">
        <v>4.8</v>
      </c>
      <c r="E23" s="127">
        <v>4.8</v>
      </c>
      <c r="F23" s="127">
        <v>4.8</v>
      </c>
      <c r="G23" s="127">
        <v>4.8</v>
      </c>
      <c r="H23" s="127">
        <v>4.8</v>
      </c>
      <c r="I23" s="127">
        <v>4.8</v>
      </c>
      <c r="J23" s="127">
        <v>4.8</v>
      </c>
      <c r="K23" s="127">
        <v>4.8</v>
      </c>
      <c r="L23" s="127">
        <v>4.8</v>
      </c>
      <c r="M23" s="103">
        <v>4.8</v>
      </c>
      <c r="N23" s="103">
        <v>4.8</v>
      </c>
      <c r="O23" s="103">
        <v>4.8</v>
      </c>
      <c r="P23" s="103">
        <v>4.8</v>
      </c>
      <c r="Q23" s="103">
        <v>4.8</v>
      </c>
      <c r="R23" s="103">
        <v>4.8</v>
      </c>
      <c r="S23" s="103">
        <v>4.8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4.8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6.4</v>
      </c>
      <c r="C24" s="127">
        <v>6.4</v>
      </c>
      <c r="D24" s="127">
        <v>6.4</v>
      </c>
      <c r="E24" s="127">
        <v>8.1</v>
      </c>
      <c r="F24" s="127">
        <v>8.1</v>
      </c>
      <c r="G24" s="127">
        <v>8.1</v>
      </c>
      <c r="H24" s="127">
        <v>7.4</v>
      </c>
      <c r="I24" s="127">
        <v>7.4</v>
      </c>
      <c r="J24" s="127">
        <v>7.4</v>
      </c>
      <c r="K24" s="127">
        <v>7.4</v>
      </c>
      <c r="L24" s="127">
        <v>7.4</v>
      </c>
      <c r="M24" s="103">
        <v>7.4</v>
      </c>
      <c r="N24" s="103">
        <v>7.4</v>
      </c>
      <c r="O24" s="103">
        <v>7.4</v>
      </c>
      <c r="P24" s="103">
        <v>7.4</v>
      </c>
      <c r="Q24" s="103">
        <v>5.8</v>
      </c>
      <c r="R24" s="103">
        <v>5.7</v>
      </c>
      <c r="S24" s="103">
        <v>5.7</v>
      </c>
      <c r="T24" s="103">
        <v>5.7</v>
      </c>
      <c r="U24" s="103">
        <v>5.7</v>
      </c>
      <c r="V24" s="103">
        <v>5.7</v>
      </c>
      <c r="W24" s="103">
        <v>5.7</v>
      </c>
      <c r="X24" s="103">
        <v>5.7</v>
      </c>
      <c r="Y24" s="103">
        <v>5.7</v>
      </c>
      <c r="Z24" s="103">
        <v>5.7</v>
      </c>
      <c r="AA24" s="103">
        <v>5.7</v>
      </c>
      <c r="AB24" s="103">
        <v>6.5</v>
      </c>
      <c r="AC24" s="103">
        <v>6.5</v>
      </c>
      <c r="AD24" s="103">
        <v>6.5</v>
      </c>
      <c r="AE24" s="103">
        <v>6.5</v>
      </c>
      <c r="AF24" s="103">
        <v>6.5</v>
      </c>
      <c r="AG24" s="134">
        <v>25</v>
      </c>
      <c r="AH24" s="21">
        <f t="shared" si="2"/>
        <v>8.1</v>
      </c>
      <c r="AI24" s="20">
        <f t="shared" si="3"/>
        <v>5.7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35.5</v>
      </c>
      <c r="C37" s="123">
        <v>35.5</v>
      </c>
      <c r="D37" s="123">
        <v>35.5</v>
      </c>
      <c r="E37" s="123">
        <f>20.3+17.1</f>
        <v>37.400000000000006</v>
      </c>
      <c r="F37" s="123">
        <f>20.1+16.9</f>
        <v>37</v>
      </c>
      <c r="G37" s="123">
        <f>18.8+17.6</f>
        <v>36.400000000000006</v>
      </c>
      <c r="H37" s="123">
        <f>18.6+17.5</f>
        <v>36.1</v>
      </c>
      <c r="I37" s="123">
        <f>18.5+17.7</f>
        <v>36.200000000000003</v>
      </c>
      <c r="J37" s="123">
        <f>17.4+17.1</f>
        <v>34.5</v>
      </c>
      <c r="K37" s="123">
        <f>17.3+15.3</f>
        <v>32.6</v>
      </c>
      <c r="L37" s="123">
        <f>18.3+14.7</f>
        <v>33</v>
      </c>
      <c r="M37" s="128">
        <f>16.7+18.8</f>
        <v>35.5</v>
      </c>
      <c r="N37" s="128">
        <f>15.4+20</f>
        <v>35.4</v>
      </c>
      <c r="O37" s="128">
        <f>15.6+19.4</f>
        <v>35</v>
      </c>
      <c r="P37" s="128">
        <f>16.1+20.1</f>
        <v>36.200000000000003</v>
      </c>
      <c r="Q37" s="128">
        <f>16.7+19.9</f>
        <v>36.599999999999994</v>
      </c>
      <c r="R37" s="128">
        <f>16.6+19.9</f>
        <v>36.5</v>
      </c>
      <c r="S37" s="128">
        <f>16.6+19.9</f>
        <v>36.5</v>
      </c>
      <c r="T37" s="128">
        <f>16.6+19.9</f>
        <v>36.5</v>
      </c>
      <c r="U37" s="128">
        <f>16.6+19.9</f>
        <v>36.5</v>
      </c>
      <c r="V37" s="128">
        <v>34</v>
      </c>
      <c r="W37" s="128">
        <v>34</v>
      </c>
      <c r="X37" s="128">
        <v>32</v>
      </c>
      <c r="Y37" s="128">
        <v>31</v>
      </c>
      <c r="Z37" s="128">
        <v>31</v>
      </c>
      <c r="AA37" s="128">
        <v>31</v>
      </c>
      <c r="AB37" s="128">
        <v>30.8</v>
      </c>
      <c r="AC37" s="128">
        <v>31.1</v>
      </c>
      <c r="AD37" s="128">
        <v>32.9</v>
      </c>
      <c r="AE37" s="128">
        <v>34.6</v>
      </c>
      <c r="AF37" s="123">
        <v>34.6</v>
      </c>
      <c r="AG37" s="106">
        <v>240</v>
      </c>
      <c r="AH37" s="21">
        <f t="shared" si="2"/>
        <v>37.400000000000006</v>
      </c>
      <c r="AI37" s="20">
        <f t="shared" si="3"/>
        <v>30.8</v>
      </c>
      <c r="AK37" s="42"/>
    </row>
    <row r="38" spans="1:88" ht="15.75" thickBot="1" x14ac:dyDescent="0.3">
      <c r="A38" s="100" t="s">
        <v>173</v>
      </c>
      <c r="B38" s="99">
        <v>465.50000000000006</v>
      </c>
      <c r="C38" s="99">
        <f t="shared" ref="C38:AF38" si="4">SUM(C11:C36)</f>
        <v>484.5</v>
      </c>
      <c r="D38" s="99">
        <f t="shared" si="4"/>
        <v>484.5</v>
      </c>
      <c r="E38" s="99">
        <f t="shared" si="4"/>
        <v>397.5</v>
      </c>
      <c r="F38" s="99">
        <f t="shared" si="4"/>
        <v>397.5</v>
      </c>
      <c r="G38" s="99">
        <f t="shared" si="4"/>
        <v>397.5</v>
      </c>
      <c r="H38" s="99">
        <f t="shared" si="4"/>
        <v>409.79999999999995</v>
      </c>
      <c r="I38" s="99">
        <f t="shared" si="4"/>
        <v>409.79999999999995</v>
      </c>
      <c r="J38" s="99">
        <f t="shared" si="4"/>
        <v>554.79999999999995</v>
      </c>
      <c r="K38" s="99">
        <f t="shared" si="4"/>
        <v>584.79999999999995</v>
      </c>
      <c r="L38" s="99">
        <f t="shared" si="4"/>
        <v>664.8</v>
      </c>
      <c r="M38" s="99">
        <f t="shared" si="4"/>
        <v>624.79999999999995</v>
      </c>
      <c r="N38" s="99">
        <f t="shared" si="4"/>
        <v>514.79999999999995</v>
      </c>
      <c r="O38" s="99">
        <f t="shared" si="4"/>
        <v>514.79999999999995</v>
      </c>
      <c r="P38" s="99">
        <f t="shared" si="4"/>
        <v>484.8</v>
      </c>
      <c r="Q38" s="99">
        <f t="shared" si="4"/>
        <v>507.5</v>
      </c>
      <c r="R38" s="99">
        <f t="shared" si="4"/>
        <v>495.5</v>
      </c>
      <c r="S38" s="99">
        <f t="shared" si="4"/>
        <v>495.5</v>
      </c>
      <c r="T38" s="99">
        <f t="shared" si="4"/>
        <v>495.39999999999992</v>
      </c>
      <c r="U38" s="99">
        <f t="shared" si="4"/>
        <v>535.39999999999986</v>
      </c>
      <c r="V38" s="99">
        <f t="shared" si="4"/>
        <v>565.39999999999986</v>
      </c>
      <c r="W38" s="99">
        <f t="shared" si="4"/>
        <v>565.39999999999986</v>
      </c>
      <c r="X38" s="99">
        <f t="shared" si="4"/>
        <v>525.39999999999986</v>
      </c>
      <c r="Y38" s="99">
        <f t="shared" si="4"/>
        <v>555.39999999999986</v>
      </c>
      <c r="Z38" s="99">
        <f t="shared" si="4"/>
        <v>671.3</v>
      </c>
      <c r="AA38" s="99">
        <f t="shared" si="4"/>
        <v>717.30000000000007</v>
      </c>
      <c r="AB38" s="99">
        <f t="shared" si="4"/>
        <v>699.1</v>
      </c>
      <c r="AC38" s="99">
        <f t="shared" si="4"/>
        <v>699.4</v>
      </c>
      <c r="AD38" s="99">
        <f t="shared" si="4"/>
        <v>657.69999999999993</v>
      </c>
      <c r="AE38" s="99">
        <f t="shared" si="4"/>
        <v>588.29999999999995</v>
      </c>
      <c r="AF38" s="99">
        <f t="shared" si="4"/>
        <v>508.5</v>
      </c>
      <c r="AG38" s="106">
        <f>SUM(AG11:AG37)</f>
        <v>1492.8299999999997</v>
      </c>
      <c r="AH38" s="21">
        <f t="shared" si="2"/>
        <v>717.30000000000007</v>
      </c>
      <c r="AI38" s="20">
        <f t="shared" si="3"/>
        <v>397.5</v>
      </c>
      <c r="AK38" s="42"/>
    </row>
    <row r="39" spans="1:88" x14ac:dyDescent="0.25">
      <c r="A39" s="109" t="s">
        <v>172</v>
      </c>
      <c r="B39" s="127">
        <v>76</v>
      </c>
      <c r="C39" s="127">
        <v>60.8</v>
      </c>
      <c r="D39" s="127">
        <v>61</v>
      </c>
      <c r="E39" s="123">
        <v>0</v>
      </c>
      <c r="F39" s="123">
        <v>0</v>
      </c>
      <c r="G39" s="123">
        <v>0</v>
      </c>
      <c r="H39" s="123">
        <v>0</v>
      </c>
      <c r="I39" s="123">
        <v>25</v>
      </c>
      <c r="J39" s="123">
        <v>90.3</v>
      </c>
      <c r="K39" s="123">
        <v>96</v>
      </c>
      <c r="L39" s="123">
        <v>96.4</v>
      </c>
      <c r="M39" s="103">
        <v>111.2</v>
      </c>
      <c r="N39" s="103">
        <v>131.30000000000001</v>
      </c>
      <c r="O39" s="103">
        <v>131.80000000000001</v>
      </c>
      <c r="P39" s="103">
        <v>111</v>
      </c>
      <c r="Q39" s="103">
        <v>111.1</v>
      </c>
      <c r="R39" s="103">
        <v>126.3</v>
      </c>
      <c r="S39" s="103">
        <v>126</v>
      </c>
      <c r="T39" s="103">
        <v>126.2</v>
      </c>
      <c r="U39" s="103">
        <v>126</v>
      </c>
      <c r="V39" s="103">
        <v>126.6</v>
      </c>
      <c r="W39" s="103">
        <v>144</v>
      </c>
      <c r="X39" s="103">
        <v>145.5</v>
      </c>
      <c r="Y39" s="103">
        <v>145.5</v>
      </c>
      <c r="Z39" s="103">
        <v>145.30000000000001</v>
      </c>
      <c r="AA39" s="103">
        <v>145.30000000000001</v>
      </c>
      <c r="AB39" s="103">
        <v>125.4</v>
      </c>
      <c r="AC39" s="103">
        <v>121.1</v>
      </c>
      <c r="AD39" s="103">
        <v>106.8</v>
      </c>
      <c r="AE39" s="103">
        <v>96.9</v>
      </c>
      <c r="AF39" s="127">
        <v>80.8</v>
      </c>
      <c r="AG39" s="108">
        <v>144</v>
      </c>
      <c r="AH39" s="21">
        <f t="shared" si="2"/>
        <v>145.5</v>
      </c>
      <c r="AI39" s="20">
        <f t="shared" si="3"/>
        <v>0</v>
      </c>
      <c r="AK39" s="42"/>
    </row>
    <row r="40" spans="1:88" x14ac:dyDescent="0.25">
      <c r="A40" s="107" t="s">
        <v>171</v>
      </c>
      <c r="B40" s="123">
        <v>24</v>
      </c>
      <c r="C40" s="123">
        <v>24.6</v>
      </c>
      <c r="D40" s="123">
        <v>20.9</v>
      </c>
      <c r="E40" s="123">
        <v>0</v>
      </c>
      <c r="F40" s="123">
        <v>0</v>
      </c>
      <c r="G40" s="123">
        <v>20.6</v>
      </c>
      <c r="H40" s="123">
        <v>50.3</v>
      </c>
      <c r="I40" s="123">
        <v>50</v>
      </c>
      <c r="J40" s="123">
        <v>69.8</v>
      </c>
      <c r="K40" s="123">
        <v>71.900000000000006</v>
      </c>
      <c r="L40" s="123">
        <v>71.5</v>
      </c>
      <c r="M40" s="73">
        <v>70.900000000000006</v>
      </c>
      <c r="N40" s="73">
        <v>71</v>
      </c>
      <c r="O40" s="73">
        <v>69.099999999999994</v>
      </c>
      <c r="P40" s="73">
        <v>71</v>
      </c>
      <c r="Q40" s="73">
        <v>70.900000000000006</v>
      </c>
      <c r="R40" s="73">
        <v>70.900000000000006</v>
      </c>
      <c r="S40" s="73">
        <v>71</v>
      </c>
      <c r="T40" s="73">
        <v>71</v>
      </c>
      <c r="U40" s="73">
        <v>71.8</v>
      </c>
      <c r="V40" s="73">
        <v>72</v>
      </c>
      <c r="W40" s="73">
        <v>71.599999999999994</v>
      </c>
      <c r="X40" s="73">
        <v>50</v>
      </c>
      <c r="Y40" s="73">
        <v>72</v>
      </c>
      <c r="Z40" s="73">
        <v>70</v>
      </c>
      <c r="AA40" s="73">
        <v>70</v>
      </c>
      <c r="AB40" s="73">
        <v>51.5</v>
      </c>
      <c r="AC40" s="73">
        <v>51.2</v>
      </c>
      <c r="AD40" s="73">
        <v>51</v>
      </c>
      <c r="AE40" s="73">
        <v>45.8</v>
      </c>
      <c r="AF40" s="123">
        <v>23.2</v>
      </c>
      <c r="AG40" s="106">
        <v>70</v>
      </c>
      <c r="AH40" s="21">
        <f t="shared" si="2"/>
        <v>72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51</v>
      </c>
      <c r="C41" s="123">
        <v>51</v>
      </c>
      <c r="D41" s="123">
        <v>40.700000000000003</v>
      </c>
      <c r="E41" s="123">
        <v>16.5</v>
      </c>
      <c r="F41" s="123">
        <v>17.7</v>
      </c>
      <c r="G41" s="123">
        <v>17.899999999999999</v>
      </c>
      <c r="H41" s="123">
        <v>17.3</v>
      </c>
      <c r="I41" s="123">
        <v>32</v>
      </c>
      <c r="J41" s="123">
        <v>46</v>
      </c>
      <c r="K41" s="123">
        <v>46</v>
      </c>
      <c r="L41" s="123">
        <v>68.5</v>
      </c>
      <c r="M41" s="73">
        <v>60.8</v>
      </c>
      <c r="N41" s="73">
        <v>60.6</v>
      </c>
      <c r="O41" s="73">
        <v>60.5</v>
      </c>
      <c r="P41" s="73">
        <v>60.8</v>
      </c>
      <c r="Q41" s="73">
        <v>45.3</v>
      </c>
      <c r="R41" s="73">
        <v>45.8</v>
      </c>
      <c r="S41" s="73">
        <v>45.8</v>
      </c>
      <c r="T41" s="73">
        <v>71.5</v>
      </c>
      <c r="U41" s="73">
        <v>46</v>
      </c>
      <c r="V41" s="73">
        <v>46.6</v>
      </c>
      <c r="W41" s="73">
        <v>51.4</v>
      </c>
      <c r="X41" s="73">
        <v>52</v>
      </c>
      <c r="Y41" s="73">
        <v>52</v>
      </c>
      <c r="Z41" s="73">
        <v>68.400000000000006</v>
      </c>
      <c r="AA41" s="73">
        <v>68.400000000000006</v>
      </c>
      <c r="AB41" s="73">
        <v>63.7</v>
      </c>
      <c r="AC41" s="73">
        <v>61.6</v>
      </c>
      <c r="AD41" s="73">
        <v>61.8</v>
      </c>
      <c r="AE41" s="73">
        <v>51.4</v>
      </c>
      <c r="AF41" s="123">
        <v>67.7</v>
      </c>
      <c r="AG41" s="106">
        <v>69</v>
      </c>
      <c r="AH41" s="21">
        <f t="shared" si="2"/>
        <v>71.5</v>
      </c>
      <c r="AI41" s="20">
        <f t="shared" si="3"/>
        <v>16.5</v>
      </c>
      <c r="AK41" s="42"/>
    </row>
    <row r="42" spans="1:88" x14ac:dyDescent="0.25">
      <c r="A42" s="107" t="s">
        <v>169</v>
      </c>
      <c r="B42" s="123">
        <v>60.9</v>
      </c>
      <c r="C42" s="12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73">
        <v>60.9</v>
      </c>
      <c r="N42" s="73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123">
        <v>60.9</v>
      </c>
      <c r="AG42" s="106">
        <v>60</v>
      </c>
      <c r="AH42" s="21">
        <f t="shared" si="2"/>
        <v>60.9</v>
      </c>
      <c r="AI42" s="20">
        <f t="shared" si="3"/>
        <v>60.9</v>
      </c>
      <c r="AK42" s="42"/>
    </row>
    <row r="43" spans="1:88" x14ac:dyDescent="0.25">
      <c r="A43" s="107" t="s">
        <v>168</v>
      </c>
      <c r="B43" s="123">
        <v>10</v>
      </c>
      <c r="C43" s="123">
        <v>10</v>
      </c>
      <c r="D43" s="123">
        <v>10</v>
      </c>
      <c r="E43" s="123">
        <v>10</v>
      </c>
      <c r="F43" s="123">
        <v>10</v>
      </c>
      <c r="G43" s="123">
        <v>15</v>
      </c>
      <c r="H43" s="123">
        <v>15</v>
      </c>
      <c r="I43" s="123">
        <v>15</v>
      </c>
      <c r="J43" s="123">
        <v>15</v>
      </c>
      <c r="K43" s="123">
        <v>20</v>
      </c>
      <c r="L43" s="123">
        <v>20</v>
      </c>
      <c r="M43" s="103">
        <v>18.8</v>
      </c>
      <c r="N43" s="103">
        <v>20</v>
      </c>
      <c r="O43" s="103">
        <v>17.600000000000001</v>
      </c>
      <c r="P43" s="103">
        <v>17.100000000000001</v>
      </c>
      <c r="Q43" s="103">
        <v>23</v>
      </c>
      <c r="R43" s="103">
        <v>18.7</v>
      </c>
      <c r="S43" s="103">
        <v>19.5</v>
      </c>
      <c r="T43" s="103">
        <v>13.8</v>
      </c>
      <c r="U43" s="103">
        <v>13.8</v>
      </c>
      <c r="V43" s="103">
        <v>10</v>
      </c>
      <c r="W43" s="103">
        <v>10</v>
      </c>
      <c r="X43" s="103">
        <v>20</v>
      </c>
      <c r="Y43" s="103">
        <v>20</v>
      </c>
      <c r="Z43" s="73">
        <v>20</v>
      </c>
      <c r="AA43" s="73">
        <v>28</v>
      </c>
      <c r="AB43" s="73">
        <v>28</v>
      </c>
      <c r="AC43" s="73">
        <v>28</v>
      </c>
      <c r="AD43" s="73">
        <v>20</v>
      </c>
      <c r="AE43" s="73">
        <v>15</v>
      </c>
      <c r="AF43" s="123">
        <v>10</v>
      </c>
      <c r="AG43" s="106">
        <v>30</v>
      </c>
      <c r="AH43" s="21">
        <f t="shared" si="2"/>
        <v>28</v>
      </c>
      <c r="AI43" s="20">
        <f t="shared" si="3"/>
        <v>10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2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17.100000000000001</v>
      </c>
      <c r="C45" s="123">
        <v>17.100000000000001</v>
      </c>
      <c r="D45" s="123">
        <v>17.100000000000001</v>
      </c>
      <c r="E45" s="123">
        <v>17.600000000000001</v>
      </c>
      <c r="F45" s="123">
        <v>17.100000000000001</v>
      </c>
      <c r="G45" s="123">
        <v>17.100000000000001</v>
      </c>
      <c r="H45" s="123">
        <v>17.100000000000001</v>
      </c>
      <c r="I45" s="123">
        <v>17.100000000000001</v>
      </c>
      <c r="J45" s="123">
        <v>17.100000000000001</v>
      </c>
      <c r="K45" s="123">
        <v>17.100000000000001</v>
      </c>
      <c r="L45" s="123">
        <v>17.100000000000001</v>
      </c>
      <c r="M45" s="103">
        <v>17.8</v>
      </c>
      <c r="N45" s="103">
        <v>17.8</v>
      </c>
      <c r="O45" s="103">
        <v>17.8</v>
      </c>
      <c r="P45" s="103">
        <v>17.3</v>
      </c>
      <c r="Q45" s="103">
        <v>17.3</v>
      </c>
      <c r="R45" s="103">
        <v>17.8</v>
      </c>
      <c r="S45" s="103">
        <v>17.8</v>
      </c>
      <c r="T45" s="103">
        <v>17.600000000000001</v>
      </c>
      <c r="U45" s="103">
        <v>17.600000000000001</v>
      </c>
      <c r="V45" s="103">
        <v>17.600000000000001</v>
      </c>
      <c r="W45" s="103">
        <v>17.600000000000001</v>
      </c>
      <c r="X45" s="103">
        <v>17.600000000000001</v>
      </c>
      <c r="Y45" s="103">
        <v>17.600000000000001</v>
      </c>
      <c r="Z45" s="103">
        <v>17.600000000000001</v>
      </c>
      <c r="AA45" s="103">
        <v>17.600000000000001</v>
      </c>
      <c r="AB45" s="103">
        <v>17.600000000000001</v>
      </c>
      <c r="AC45" s="103">
        <v>17.600000000000001</v>
      </c>
      <c r="AD45" s="103">
        <v>17.600000000000001</v>
      </c>
      <c r="AE45" s="103">
        <v>17.600000000000001</v>
      </c>
      <c r="AF45" s="123">
        <v>17.600000000000001</v>
      </c>
      <c r="AG45" s="106">
        <v>24</v>
      </c>
      <c r="AH45" s="21">
        <f t="shared" si="2"/>
        <v>17.8</v>
      </c>
      <c r="AI45" s="20">
        <f t="shared" si="3"/>
        <v>17.100000000000001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6.8</v>
      </c>
      <c r="C48" s="123">
        <v>6.8</v>
      </c>
      <c r="D48" s="123">
        <v>6.8</v>
      </c>
      <c r="E48" s="123">
        <v>6.8</v>
      </c>
      <c r="F48" s="123">
        <v>6.8</v>
      </c>
      <c r="G48" s="123">
        <v>6.8</v>
      </c>
      <c r="H48" s="123">
        <v>6.8</v>
      </c>
      <c r="I48" s="123">
        <v>6.8</v>
      </c>
      <c r="J48" s="123">
        <v>6.8</v>
      </c>
      <c r="K48" s="123">
        <v>6.8</v>
      </c>
      <c r="L48" s="123">
        <v>6.8</v>
      </c>
      <c r="M48" s="103">
        <v>7.1</v>
      </c>
      <c r="N48" s="103">
        <v>7.1</v>
      </c>
      <c r="O48" s="103">
        <v>7.1</v>
      </c>
      <c r="P48" s="103">
        <v>7.1</v>
      </c>
      <c r="Q48" s="103">
        <v>7.1</v>
      </c>
      <c r="R48" s="103">
        <v>7.1</v>
      </c>
      <c r="S48" s="103">
        <v>7.1</v>
      </c>
      <c r="T48" s="103">
        <v>7.1</v>
      </c>
      <c r="U48" s="103">
        <v>7.1</v>
      </c>
      <c r="V48" s="103">
        <v>7.1</v>
      </c>
      <c r="W48" s="103">
        <v>7.1</v>
      </c>
      <c r="X48" s="103">
        <v>7.1</v>
      </c>
      <c r="Y48" s="103">
        <v>7.1</v>
      </c>
      <c r="Z48" s="103">
        <v>7.1</v>
      </c>
      <c r="AA48" s="103">
        <v>7.1</v>
      </c>
      <c r="AB48" s="103">
        <v>7.1</v>
      </c>
      <c r="AC48" s="103">
        <v>7.1</v>
      </c>
      <c r="AD48" s="103">
        <v>7.1</v>
      </c>
      <c r="AE48" s="103">
        <v>7.1</v>
      </c>
      <c r="AF48" s="103">
        <v>7.1</v>
      </c>
      <c r="AG48" s="106">
        <v>14</v>
      </c>
      <c r="AH48" s="21">
        <f t="shared" si="2"/>
        <v>7.1</v>
      </c>
      <c r="AI48" s="20">
        <f t="shared" si="3"/>
        <v>6.8</v>
      </c>
      <c r="AK48" s="42"/>
    </row>
    <row r="49" spans="1:37" x14ac:dyDescent="0.25">
      <c r="A49" s="107" t="s">
        <v>162</v>
      </c>
      <c r="B49" s="123">
        <v>6.3</v>
      </c>
      <c r="C49" s="123">
        <v>6.3</v>
      </c>
      <c r="D49" s="123">
        <v>6.3</v>
      </c>
      <c r="E49" s="123">
        <v>6.3</v>
      </c>
      <c r="F49" s="123">
        <v>6.3</v>
      </c>
      <c r="G49" s="123">
        <v>6.3</v>
      </c>
      <c r="H49" s="123">
        <v>6.3</v>
      </c>
      <c r="I49" s="123">
        <v>6.3</v>
      </c>
      <c r="J49" s="123">
        <v>6.3</v>
      </c>
      <c r="K49" s="123">
        <v>6.3</v>
      </c>
      <c r="L49" s="123">
        <v>6.3</v>
      </c>
      <c r="M49" s="103">
        <v>6.6</v>
      </c>
      <c r="N49" s="103">
        <v>6.6</v>
      </c>
      <c r="O49" s="103">
        <v>6.6</v>
      </c>
      <c r="P49" s="103">
        <v>6.6</v>
      </c>
      <c r="Q49" s="103">
        <v>6.6</v>
      </c>
      <c r="R49" s="103">
        <v>6.6</v>
      </c>
      <c r="S49" s="103">
        <v>6.6</v>
      </c>
      <c r="T49" s="103">
        <v>6.6</v>
      </c>
      <c r="U49" s="103">
        <v>6.6</v>
      </c>
      <c r="V49" s="103">
        <v>6.6</v>
      </c>
      <c r="W49" s="103">
        <v>6.6</v>
      </c>
      <c r="X49" s="103">
        <v>6.6</v>
      </c>
      <c r="Y49" s="103">
        <v>6.6</v>
      </c>
      <c r="Z49" s="103">
        <v>6.6</v>
      </c>
      <c r="AA49" s="103">
        <v>6.6</v>
      </c>
      <c r="AB49" s="103">
        <v>6.6</v>
      </c>
      <c r="AC49" s="103">
        <v>6.6</v>
      </c>
      <c r="AD49" s="103">
        <v>6.6</v>
      </c>
      <c r="AE49" s="103">
        <v>6.6</v>
      </c>
      <c r="AF49" s="103">
        <v>6.6</v>
      </c>
      <c r="AG49" s="106">
        <v>10.050000000000001</v>
      </c>
      <c r="AH49" s="21">
        <f t="shared" si="2"/>
        <v>6.6</v>
      </c>
      <c r="AI49" s="20">
        <f t="shared" si="3"/>
        <v>6.3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v>290.64000000000004</v>
      </c>
      <c r="C52" s="99">
        <f t="shared" ref="C52:AF52" si="6">SUM(C39:C51)</f>
        <v>255.54000000000002</v>
      </c>
      <c r="D52" s="99">
        <f t="shared" si="6"/>
        <v>241.74</v>
      </c>
      <c r="E52" s="99">
        <f t="shared" si="6"/>
        <v>136.13999999999999</v>
      </c>
      <c r="F52" s="99">
        <f t="shared" si="6"/>
        <v>136.83999999999997</v>
      </c>
      <c r="G52" s="99">
        <f t="shared" si="6"/>
        <v>162.64000000000001</v>
      </c>
      <c r="H52" s="99">
        <f t="shared" si="6"/>
        <v>191.74</v>
      </c>
      <c r="I52" s="99">
        <f t="shared" si="6"/>
        <v>231.14000000000001</v>
      </c>
      <c r="J52" s="99">
        <f t="shared" si="6"/>
        <v>330.24000000000007</v>
      </c>
      <c r="K52" s="99">
        <f t="shared" si="6"/>
        <v>343.04000000000008</v>
      </c>
      <c r="L52" s="99">
        <f t="shared" si="6"/>
        <v>365.54000000000008</v>
      </c>
      <c r="M52" s="99">
        <f t="shared" si="6"/>
        <v>372.1400000000001</v>
      </c>
      <c r="N52" s="99">
        <f t="shared" si="6"/>
        <v>393.34000000000009</v>
      </c>
      <c r="O52" s="99">
        <f t="shared" si="6"/>
        <v>389.44000000000005</v>
      </c>
      <c r="P52" s="99">
        <f t="shared" si="6"/>
        <v>369.84000000000009</v>
      </c>
      <c r="Q52" s="99">
        <f t="shared" si="6"/>
        <v>360.24000000000007</v>
      </c>
      <c r="R52" s="99">
        <f t="shared" si="6"/>
        <v>372.14000000000004</v>
      </c>
      <c r="S52" s="99">
        <f t="shared" si="6"/>
        <v>372.74000000000007</v>
      </c>
      <c r="T52" s="99">
        <f t="shared" si="6"/>
        <v>392.74000000000007</v>
      </c>
      <c r="U52" s="99">
        <f t="shared" si="6"/>
        <v>367.84000000000009</v>
      </c>
      <c r="V52" s="99">
        <f t="shared" si="6"/>
        <v>365.44000000000005</v>
      </c>
      <c r="W52" s="99">
        <f t="shared" si="6"/>
        <v>387.24000000000007</v>
      </c>
      <c r="X52" s="99">
        <f t="shared" si="6"/>
        <v>377.74000000000007</v>
      </c>
      <c r="Y52" s="99">
        <f t="shared" si="6"/>
        <v>399.74000000000007</v>
      </c>
      <c r="Z52" s="99">
        <f t="shared" si="6"/>
        <v>413.94000000000011</v>
      </c>
      <c r="AA52" s="99">
        <f t="shared" si="6"/>
        <v>421.94000000000011</v>
      </c>
      <c r="AB52" s="99">
        <f t="shared" si="6"/>
        <v>378.84000000000009</v>
      </c>
      <c r="AC52" s="99">
        <f t="shared" si="6"/>
        <v>372.1400000000001</v>
      </c>
      <c r="AD52" s="99">
        <f t="shared" si="6"/>
        <v>349.84000000000009</v>
      </c>
      <c r="AE52" s="99">
        <f t="shared" si="6"/>
        <v>319.34000000000009</v>
      </c>
      <c r="AF52" s="99">
        <f t="shared" si="6"/>
        <v>291.94000000000005</v>
      </c>
      <c r="AG52" s="98">
        <f>SUM(AG39:AG51)</f>
        <v>489.91</v>
      </c>
      <c r="AH52" s="21">
        <f t="shared" si="2"/>
        <v>421.94000000000011</v>
      </c>
      <c r="AI52" s="20">
        <f t="shared" si="3"/>
        <v>136.13999999999999</v>
      </c>
      <c r="AK52" s="42"/>
    </row>
    <row r="53" spans="1:37" x14ac:dyDescent="0.25">
      <c r="A53" s="109" t="s">
        <v>159</v>
      </c>
      <c r="B53" s="103">
        <v>0</v>
      </c>
      <c r="C53" s="123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19.7</v>
      </c>
      <c r="K53" s="123">
        <v>30.2</v>
      </c>
      <c r="L53" s="123">
        <v>30.2</v>
      </c>
      <c r="M53" s="122">
        <v>39.299999999999997</v>
      </c>
      <c r="N53" s="122">
        <v>55.9</v>
      </c>
      <c r="O53" s="122">
        <v>60</v>
      </c>
      <c r="P53" s="122">
        <v>38.799999999999997</v>
      </c>
      <c r="Q53" s="103">
        <v>10</v>
      </c>
      <c r="R53" s="103">
        <v>25.4</v>
      </c>
      <c r="S53" s="103">
        <v>26</v>
      </c>
      <c r="T53" s="103">
        <v>26</v>
      </c>
      <c r="U53" s="103">
        <v>26</v>
      </c>
      <c r="V53" s="103">
        <v>26</v>
      </c>
      <c r="W53" s="103">
        <v>30.2</v>
      </c>
      <c r="X53" s="103">
        <v>14</v>
      </c>
      <c r="Y53" s="103">
        <v>34</v>
      </c>
      <c r="Z53" s="103">
        <v>34.1</v>
      </c>
      <c r="AA53" s="103">
        <v>35</v>
      </c>
      <c r="AB53" s="103">
        <v>29.6</v>
      </c>
      <c r="AC53" s="103">
        <v>29.6</v>
      </c>
      <c r="AD53" s="103">
        <v>29.6</v>
      </c>
      <c r="AE53" s="103">
        <v>29.6</v>
      </c>
      <c r="AF53" s="103">
        <v>29.6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0</v>
      </c>
      <c r="C54" s="123">
        <v>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4.5</v>
      </c>
      <c r="K54" s="123">
        <v>9.3000000000000007</v>
      </c>
      <c r="L54" s="123">
        <v>14.9</v>
      </c>
      <c r="M54" s="122">
        <v>16.5</v>
      </c>
      <c r="N54" s="122">
        <v>25.2</v>
      </c>
      <c r="O54" s="122">
        <v>22.4</v>
      </c>
      <c r="P54" s="122">
        <v>16</v>
      </c>
      <c r="Q54" s="73">
        <v>3.8</v>
      </c>
      <c r="R54" s="73">
        <v>7.7</v>
      </c>
      <c r="S54" s="103">
        <v>13.2</v>
      </c>
      <c r="T54" s="103">
        <v>11.5</v>
      </c>
      <c r="U54" s="103">
        <v>12.4</v>
      </c>
      <c r="V54" s="103">
        <v>12.4</v>
      </c>
      <c r="W54" s="73">
        <v>12.7</v>
      </c>
      <c r="X54" s="73">
        <v>10.3</v>
      </c>
      <c r="Y54" s="73">
        <v>14.3</v>
      </c>
      <c r="Z54" s="73">
        <v>14.3</v>
      </c>
      <c r="AA54" s="73">
        <v>13</v>
      </c>
      <c r="AB54" s="73">
        <v>14.3</v>
      </c>
      <c r="AC54" s="73">
        <v>14.5</v>
      </c>
      <c r="AD54" s="73">
        <v>14.6</v>
      </c>
      <c r="AE54" s="73">
        <v>15.1</v>
      </c>
      <c r="AF54" s="73">
        <v>14.7</v>
      </c>
      <c r="AG54" s="106">
        <v>32</v>
      </c>
      <c r="AH54" s="21">
        <f t="shared" si="2"/>
        <v>25.2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0</v>
      </c>
      <c r="C55" s="120">
        <v>0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1.7</v>
      </c>
      <c r="K55" s="120">
        <v>3.4</v>
      </c>
      <c r="L55" s="120">
        <v>5.5</v>
      </c>
      <c r="M55" s="119">
        <v>6</v>
      </c>
      <c r="N55" s="119">
        <v>9.1999999999999993</v>
      </c>
      <c r="O55" s="119">
        <v>8.1999999999999993</v>
      </c>
      <c r="P55" s="119">
        <v>5.8</v>
      </c>
      <c r="Q55" s="118">
        <v>1.4</v>
      </c>
      <c r="R55" s="118">
        <v>2.8</v>
      </c>
      <c r="S55" s="103">
        <v>4.8</v>
      </c>
      <c r="T55" s="103">
        <v>4.2</v>
      </c>
      <c r="U55" s="103">
        <v>4.5</v>
      </c>
      <c r="V55" s="103">
        <v>4.5</v>
      </c>
      <c r="W55" s="118">
        <v>4.5999999999999996</v>
      </c>
      <c r="X55" s="118">
        <v>3.4</v>
      </c>
      <c r="Y55" s="118">
        <v>5.2</v>
      </c>
      <c r="Z55" s="118">
        <v>5.2</v>
      </c>
      <c r="AA55" s="118">
        <v>5</v>
      </c>
      <c r="AB55" s="118">
        <v>5.2</v>
      </c>
      <c r="AC55" s="118">
        <v>5.3</v>
      </c>
      <c r="AD55" s="118">
        <v>5.3</v>
      </c>
      <c r="AE55" s="118">
        <v>5.5</v>
      </c>
      <c r="AF55" s="118">
        <v>5.4</v>
      </c>
      <c r="AG55" s="117">
        <v>14</v>
      </c>
      <c r="AH55" s="21">
        <f t="shared" si="2"/>
        <v>9.1999999999999993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v>32.299999999999997</v>
      </c>
      <c r="C56" s="99">
        <f>SUM(C53:C55)</f>
        <v>0</v>
      </c>
      <c r="D56" s="99">
        <f t="shared" ref="D56:AF56" si="7">SUM(D53:D55)</f>
        <v>0</v>
      </c>
      <c r="E56" s="99">
        <f t="shared" si="7"/>
        <v>0</v>
      </c>
      <c r="F56" s="99">
        <f t="shared" si="7"/>
        <v>0</v>
      </c>
      <c r="G56" s="99">
        <f t="shared" si="7"/>
        <v>0</v>
      </c>
      <c r="H56" s="99">
        <f t="shared" si="7"/>
        <v>0</v>
      </c>
      <c r="I56" s="99">
        <f t="shared" si="7"/>
        <v>0</v>
      </c>
      <c r="J56" s="99">
        <f t="shared" si="7"/>
        <v>25.9</v>
      </c>
      <c r="K56" s="99">
        <f t="shared" si="7"/>
        <v>42.9</v>
      </c>
      <c r="L56" s="99">
        <f t="shared" si="7"/>
        <v>50.6</v>
      </c>
      <c r="M56" s="99">
        <f t="shared" si="7"/>
        <v>61.8</v>
      </c>
      <c r="N56" s="99">
        <f t="shared" si="7"/>
        <v>90.3</v>
      </c>
      <c r="O56" s="99">
        <f t="shared" si="7"/>
        <v>90.600000000000009</v>
      </c>
      <c r="P56" s="99">
        <f t="shared" si="7"/>
        <v>60.599999999999994</v>
      </c>
      <c r="Q56" s="99">
        <f t="shared" si="7"/>
        <v>15.200000000000001</v>
      </c>
      <c r="R56" s="99">
        <f t="shared" si="7"/>
        <v>35.9</v>
      </c>
      <c r="S56" s="99">
        <f t="shared" si="7"/>
        <v>44</v>
      </c>
      <c r="T56" s="99">
        <f t="shared" si="7"/>
        <v>41.7</v>
      </c>
      <c r="U56" s="99">
        <f t="shared" si="7"/>
        <v>42.9</v>
      </c>
      <c r="V56" s="99">
        <f t="shared" si="7"/>
        <v>42.9</v>
      </c>
      <c r="W56" s="99">
        <f t="shared" si="7"/>
        <v>47.5</v>
      </c>
      <c r="X56" s="99">
        <f t="shared" si="7"/>
        <v>27.7</v>
      </c>
      <c r="Y56" s="99">
        <f t="shared" si="7"/>
        <v>53.5</v>
      </c>
      <c r="Z56" s="99">
        <f t="shared" si="7"/>
        <v>53.600000000000009</v>
      </c>
      <c r="AA56" s="99">
        <f t="shared" si="7"/>
        <v>53</v>
      </c>
      <c r="AB56" s="99">
        <f t="shared" si="7"/>
        <v>49.100000000000009</v>
      </c>
      <c r="AC56" s="99">
        <f t="shared" si="7"/>
        <v>49.4</v>
      </c>
      <c r="AD56" s="99">
        <f t="shared" si="7"/>
        <v>49.5</v>
      </c>
      <c r="AE56" s="99">
        <f t="shared" si="7"/>
        <v>50.2</v>
      </c>
      <c r="AF56" s="99">
        <f t="shared" si="7"/>
        <v>49.699999999999996</v>
      </c>
      <c r="AG56" s="98">
        <f>SUM(AG53:AG55)</f>
        <v>106</v>
      </c>
      <c r="AH56" s="21">
        <f t="shared" si="2"/>
        <v>90.600000000000009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63</v>
      </c>
      <c r="C57" s="103">
        <v>62</v>
      </c>
      <c r="D57" s="103">
        <v>58.2</v>
      </c>
      <c r="E57" s="103">
        <v>59.3</v>
      </c>
      <c r="F57" s="103">
        <v>54.5</v>
      </c>
      <c r="G57" s="103">
        <v>48</v>
      </c>
      <c r="H57" s="103">
        <v>50</v>
      </c>
      <c r="I57" s="103">
        <v>58</v>
      </c>
      <c r="J57" s="103">
        <v>64</v>
      </c>
      <c r="K57" s="103">
        <v>60</v>
      </c>
      <c r="L57" s="103">
        <v>58.9</v>
      </c>
      <c r="M57" s="103">
        <v>60.9</v>
      </c>
      <c r="N57" s="103">
        <v>71.2</v>
      </c>
      <c r="O57" s="103">
        <v>71.099999999999994</v>
      </c>
      <c r="P57" s="103">
        <v>74.400000000000006</v>
      </c>
      <c r="Q57" s="103">
        <v>76</v>
      </c>
      <c r="R57" s="103">
        <v>74.099999999999994</v>
      </c>
      <c r="S57" s="103">
        <v>76.900000000000006</v>
      </c>
      <c r="T57" s="103">
        <v>70.599999999999994</v>
      </c>
      <c r="U57" s="103">
        <v>70</v>
      </c>
      <c r="V57" s="103">
        <v>76</v>
      </c>
      <c r="W57" s="103">
        <v>65.36</v>
      </c>
      <c r="X57" s="103">
        <v>67</v>
      </c>
      <c r="Y57" s="103">
        <v>64</v>
      </c>
      <c r="Z57" s="103">
        <v>71.7</v>
      </c>
      <c r="AA57" s="103">
        <v>69</v>
      </c>
      <c r="AB57" s="103">
        <v>67.45</v>
      </c>
      <c r="AC57" s="103">
        <v>72.3</v>
      </c>
      <c r="AD57" s="103">
        <v>71.2</v>
      </c>
      <c r="AE57" s="103">
        <v>72.069999999999993</v>
      </c>
      <c r="AF57" s="103">
        <v>69.680000000000007</v>
      </c>
      <c r="AG57" s="108"/>
      <c r="AH57" s="21">
        <f t="shared" si="2"/>
        <v>76.900000000000006</v>
      </c>
      <c r="AI57" s="20">
        <f t="shared" si="3"/>
        <v>48</v>
      </c>
      <c r="AK57" s="42"/>
    </row>
    <row r="58" spans="1:37" x14ac:dyDescent="0.25">
      <c r="A58" s="107" t="s">
        <v>138</v>
      </c>
      <c r="B58" s="73">
        <v>60.3</v>
      </c>
      <c r="C58" s="73">
        <v>55.8</v>
      </c>
      <c r="D58" s="73">
        <v>53.3</v>
      </c>
      <c r="E58" s="73">
        <v>52</v>
      </c>
      <c r="F58" s="73">
        <v>48</v>
      </c>
      <c r="G58" s="73">
        <v>50</v>
      </c>
      <c r="H58" s="73">
        <v>54</v>
      </c>
      <c r="I58" s="73">
        <v>60</v>
      </c>
      <c r="J58" s="73">
        <v>80</v>
      </c>
      <c r="K58" s="73">
        <v>90</v>
      </c>
      <c r="L58" s="73">
        <v>116</v>
      </c>
      <c r="M58" s="103">
        <f>117</f>
        <v>117</v>
      </c>
      <c r="N58" s="103">
        <v>120</v>
      </c>
      <c r="O58" s="103">
        <v>123</v>
      </c>
      <c r="P58" s="103">
        <v>145</v>
      </c>
      <c r="Q58" s="103">
        <f>115+28</f>
        <v>143</v>
      </c>
      <c r="R58" s="103">
        <v>145</v>
      </c>
      <c r="S58" s="103">
        <f>110+30</f>
        <v>140</v>
      </c>
      <c r="T58" s="103">
        <v>135</v>
      </c>
      <c r="U58" s="103">
        <v>140</v>
      </c>
      <c r="V58" s="103">
        <v>160</v>
      </c>
      <c r="W58" s="103">
        <f>108.7+45</f>
        <v>153.69999999999999</v>
      </c>
      <c r="X58" s="116">
        <v>135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160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28.4</v>
      </c>
      <c r="C59" s="73">
        <v>28</v>
      </c>
      <c r="D59" s="73">
        <v>30.9</v>
      </c>
      <c r="E59" s="73">
        <v>190</v>
      </c>
      <c r="F59" s="73">
        <v>185</v>
      </c>
      <c r="G59" s="73">
        <v>194</v>
      </c>
      <c r="H59" s="103">
        <v>201.1</v>
      </c>
      <c r="I59" s="103">
        <v>185</v>
      </c>
      <c r="J59" s="103">
        <v>30</v>
      </c>
      <c r="K59" s="103">
        <v>40</v>
      </c>
      <c r="L59" s="103">
        <v>35</v>
      </c>
      <c r="M59" s="73">
        <v>42.2</v>
      </c>
      <c r="N59" s="73">
        <v>73.099999999999994</v>
      </c>
      <c r="O59" s="73">
        <v>75</v>
      </c>
      <c r="P59" s="73">
        <v>139</v>
      </c>
      <c r="Q59" s="73">
        <v>150</v>
      </c>
      <c r="R59" s="73">
        <v>155.19999999999999</v>
      </c>
      <c r="S59" s="73">
        <v>148</v>
      </c>
      <c r="T59" s="73">
        <v>160</v>
      </c>
      <c r="U59" s="73">
        <v>85</v>
      </c>
      <c r="V59" s="73">
        <v>73</v>
      </c>
      <c r="W59" s="73">
        <v>71.400000000000006</v>
      </c>
      <c r="X59" s="115">
        <v>91</v>
      </c>
      <c r="Y59" s="115">
        <v>100</v>
      </c>
      <c r="Z59" s="115">
        <v>97</v>
      </c>
      <c r="AA59" s="115">
        <v>30</v>
      </c>
      <c r="AB59" s="73">
        <v>55.1</v>
      </c>
      <c r="AC59" s="73">
        <v>24.5</v>
      </c>
      <c r="AD59" s="73">
        <v>22.8</v>
      </c>
      <c r="AE59" s="73">
        <v>25</v>
      </c>
      <c r="AF59" s="73">
        <v>31.6</v>
      </c>
      <c r="AG59" s="113"/>
      <c r="AH59" s="21">
        <f t="shared" si="2"/>
        <v>201.1</v>
      </c>
      <c r="AI59" s="20">
        <f t="shared" si="3"/>
        <v>22.8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15</v>
      </c>
      <c r="J60" s="77">
        <v>48.6</v>
      </c>
      <c r="K60" s="77">
        <v>35</v>
      </c>
      <c r="L60" s="77">
        <v>50</v>
      </c>
      <c r="M60" s="73">
        <v>51.9</v>
      </c>
      <c r="N60" s="73">
        <v>40.299999999999997</v>
      </c>
      <c r="O60" s="73">
        <v>55.1</v>
      </c>
      <c r="P60" s="73">
        <v>53.2</v>
      </c>
      <c r="Q60" s="73">
        <v>56.2</v>
      </c>
      <c r="R60" s="73">
        <v>53.2</v>
      </c>
      <c r="S60" s="73">
        <v>53</v>
      </c>
      <c r="T60" s="73">
        <v>54.8</v>
      </c>
      <c r="U60" s="73">
        <v>56</v>
      </c>
      <c r="V60" s="73">
        <v>56</v>
      </c>
      <c r="W60" s="73">
        <v>49.6</v>
      </c>
      <c r="X60" s="73">
        <v>49</v>
      </c>
      <c r="Y60" s="73">
        <v>49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7">
        <v>0</v>
      </c>
      <c r="AG60" s="113"/>
      <c r="AH60" s="21">
        <f t="shared" si="2"/>
        <v>56.2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20</v>
      </c>
      <c r="J61" s="77">
        <v>45</v>
      </c>
      <c r="K61" s="77">
        <v>66.099999999999994</v>
      </c>
      <c r="L61" s="77">
        <v>70</v>
      </c>
      <c r="M61" s="103">
        <v>78.099999999999994</v>
      </c>
      <c r="N61" s="103">
        <v>75</v>
      </c>
      <c r="O61" s="103">
        <v>85.1</v>
      </c>
      <c r="P61" s="103">
        <v>72.400000000000006</v>
      </c>
      <c r="Q61" s="103">
        <v>80.5</v>
      </c>
      <c r="R61" s="103">
        <v>87.5</v>
      </c>
      <c r="S61" s="103">
        <v>80</v>
      </c>
      <c r="T61" s="103">
        <v>49</v>
      </c>
      <c r="U61" s="103">
        <v>78</v>
      </c>
      <c r="V61" s="103">
        <v>74</v>
      </c>
      <c r="W61" s="103">
        <v>70.2</v>
      </c>
      <c r="X61" s="103">
        <v>43</v>
      </c>
      <c r="Y61" s="103">
        <v>43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87.5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6</v>
      </c>
      <c r="C62" s="67">
        <v>6</v>
      </c>
      <c r="D62" s="73">
        <v>6</v>
      </c>
      <c r="E62" s="73">
        <v>6</v>
      </c>
      <c r="F62" s="73">
        <v>6</v>
      </c>
      <c r="G62" s="73">
        <v>6</v>
      </c>
      <c r="H62" s="73">
        <v>6</v>
      </c>
      <c r="I62" s="73">
        <v>6</v>
      </c>
      <c r="J62" s="73">
        <v>6</v>
      </c>
      <c r="K62" s="73">
        <v>6</v>
      </c>
      <c r="L62" s="73">
        <v>8</v>
      </c>
      <c r="M62" s="73">
        <v>8</v>
      </c>
      <c r="N62" s="67">
        <v>8</v>
      </c>
      <c r="O62" s="67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6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10</v>
      </c>
      <c r="C66" s="70">
        <v>10</v>
      </c>
      <c r="D66" s="77">
        <v>10</v>
      </c>
      <c r="E66" s="77">
        <v>10</v>
      </c>
      <c r="F66" s="77">
        <v>10</v>
      </c>
      <c r="G66" s="77">
        <v>10</v>
      </c>
      <c r="H66" s="77">
        <v>10</v>
      </c>
      <c r="I66" s="77">
        <v>10</v>
      </c>
      <c r="J66" s="77">
        <v>10</v>
      </c>
      <c r="K66" s="77">
        <v>10</v>
      </c>
      <c r="L66" s="77">
        <v>10</v>
      </c>
      <c r="M66" s="73">
        <v>10</v>
      </c>
      <c r="N66" s="73">
        <v>10</v>
      </c>
      <c r="O66" s="73">
        <v>10</v>
      </c>
      <c r="P66" s="73">
        <v>10</v>
      </c>
      <c r="Q66" s="73">
        <v>10</v>
      </c>
      <c r="R66" s="73">
        <v>10</v>
      </c>
      <c r="S66" s="73">
        <v>10</v>
      </c>
      <c r="T66" s="70">
        <v>10</v>
      </c>
      <c r="U66" s="70">
        <v>10</v>
      </c>
      <c r="V66" s="70">
        <v>10</v>
      </c>
      <c r="W66" s="70">
        <v>10</v>
      </c>
      <c r="X66" s="70">
        <v>10</v>
      </c>
      <c r="Y66" s="70">
        <v>10</v>
      </c>
      <c r="Z66" s="70">
        <v>10</v>
      </c>
      <c r="AA66" s="70">
        <v>10</v>
      </c>
      <c r="AB66" s="70">
        <v>15.6</v>
      </c>
      <c r="AC66" s="70">
        <v>15.6</v>
      </c>
      <c r="AD66" s="70">
        <v>15.2</v>
      </c>
      <c r="AE66" s="70">
        <v>15</v>
      </c>
      <c r="AF66" s="70">
        <v>15.7</v>
      </c>
      <c r="AG66" s="102"/>
      <c r="AH66" s="21">
        <f t="shared" si="2"/>
        <v>15.7</v>
      </c>
      <c r="AI66" s="20">
        <f t="shared" si="3"/>
        <v>10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v>193.52</v>
      </c>
      <c r="C68" s="99">
        <f>SUM(C57:C67)</f>
        <v>172.8</v>
      </c>
      <c r="D68" s="99">
        <f t="shared" ref="D68:AF68" si="8">SUM(D57:D67)</f>
        <v>169.4</v>
      </c>
      <c r="E68" s="99">
        <f t="shared" si="8"/>
        <v>328.3</v>
      </c>
      <c r="F68" s="99">
        <f t="shared" si="8"/>
        <v>314.5</v>
      </c>
      <c r="G68" s="99">
        <f t="shared" si="8"/>
        <v>319</v>
      </c>
      <c r="H68" s="99">
        <f t="shared" si="8"/>
        <v>332.1</v>
      </c>
      <c r="I68" s="99">
        <f t="shared" si="8"/>
        <v>365</v>
      </c>
      <c r="J68" s="99">
        <f t="shared" si="8"/>
        <v>294.60000000000002</v>
      </c>
      <c r="K68" s="99">
        <f t="shared" si="8"/>
        <v>318.10000000000002</v>
      </c>
      <c r="L68" s="99">
        <f t="shared" si="8"/>
        <v>358.9</v>
      </c>
      <c r="M68" s="99">
        <f t="shared" si="8"/>
        <v>379.1</v>
      </c>
      <c r="N68" s="99">
        <f t="shared" si="8"/>
        <v>408.59999999999997</v>
      </c>
      <c r="O68" s="99">
        <f t="shared" si="8"/>
        <v>438.30000000000007</v>
      </c>
      <c r="P68" s="99">
        <f t="shared" si="8"/>
        <v>513</v>
      </c>
      <c r="Q68" s="99">
        <f t="shared" si="8"/>
        <v>534.70000000000005</v>
      </c>
      <c r="R68" s="99">
        <f t="shared" si="8"/>
        <v>544</v>
      </c>
      <c r="S68" s="99">
        <f t="shared" si="8"/>
        <v>526.9</v>
      </c>
      <c r="T68" s="99">
        <f t="shared" si="8"/>
        <v>498.40000000000003</v>
      </c>
      <c r="U68" s="99">
        <f t="shared" si="8"/>
        <v>458</v>
      </c>
      <c r="V68" s="99">
        <f t="shared" si="8"/>
        <v>468</v>
      </c>
      <c r="W68" s="99">
        <f t="shared" si="8"/>
        <v>439.26000000000005</v>
      </c>
      <c r="X68" s="99">
        <f t="shared" si="8"/>
        <v>414</v>
      </c>
      <c r="Y68" s="99">
        <f t="shared" si="8"/>
        <v>285</v>
      </c>
      <c r="Z68" s="99">
        <f t="shared" si="8"/>
        <v>197.7</v>
      </c>
      <c r="AA68" s="99">
        <f t="shared" si="8"/>
        <v>128</v>
      </c>
      <c r="AB68" s="99">
        <f t="shared" si="8"/>
        <v>157.15</v>
      </c>
      <c r="AC68" s="99">
        <f t="shared" si="8"/>
        <v>131.4</v>
      </c>
      <c r="AD68" s="99">
        <f t="shared" si="8"/>
        <v>128.19999999999999</v>
      </c>
      <c r="AE68" s="99">
        <f t="shared" si="8"/>
        <v>131.07</v>
      </c>
      <c r="AF68" s="99">
        <f t="shared" si="8"/>
        <v>135.97999999999999</v>
      </c>
      <c r="AG68" s="98">
        <f>SUM(AG57:AG67)</f>
        <v>0</v>
      </c>
      <c r="AH68" s="21">
        <f t="shared" si="2"/>
        <v>544</v>
      </c>
      <c r="AI68" s="20">
        <f t="shared" si="3"/>
        <v>128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v>981.96</v>
      </c>
      <c r="C73" s="110">
        <f>C68+C56+C52+C38+C72</f>
        <v>912.84</v>
      </c>
      <c r="D73" s="110">
        <f t="shared" ref="D73:AG73" si="10">D68+D56+D52+D38+D72</f>
        <v>895.64</v>
      </c>
      <c r="E73" s="110">
        <f t="shared" si="10"/>
        <v>861.94</v>
      </c>
      <c r="F73" s="110">
        <f t="shared" si="10"/>
        <v>848.83999999999992</v>
      </c>
      <c r="G73" s="110">
        <f t="shared" si="10"/>
        <v>879.14</v>
      </c>
      <c r="H73" s="110">
        <f t="shared" si="10"/>
        <v>933.64</v>
      </c>
      <c r="I73" s="110">
        <f t="shared" si="10"/>
        <v>1005.9399999999999</v>
      </c>
      <c r="J73" s="110">
        <f t="shared" si="10"/>
        <v>1205.54</v>
      </c>
      <c r="K73" s="110">
        <f t="shared" si="10"/>
        <v>1288.8400000000001</v>
      </c>
      <c r="L73" s="110">
        <f t="shared" si="10"/>
        <v>1439.8400000000001</v>
      </c>
      <c r="M73" s="110">
        <f t="shared" si="10"/>
        <v>1437.8400000000001</v>
      </c>
      <c r="N73" s="110">
        <f t="shared" si="10"/>
        <v>1407.04</v>
      </c>
      <c r="O73" s="110">
        <f t="shared" si="10"/>
        <v>1433.14</v>
      </c>
      <c r="P73" s="110">
        <f t="shared" si="10"/>
        <v>1428.24</v>
      </c>
      <c r="Q73" s="110">
        <f t="shared" si="10"/>
        <v>1417.64</v>
      </c>
      <c r="R73" s="110">
        <f t="shared" si="10"/>
        <v>1447.54</v>
      </c>
      <c r="S73" s="110">
        <f t="shared" si="10"/>
        <v>1439.14</v>
      </c>
      <c r="T73" s="110">
        <f t="shared" si="10"/>
        <v>1428.24</v>
      </c>
      <c r="U73" s="110">
        <f t="shared" si="10"/>
        <v>1404.1399999999999</v>
      </c>
      <c r="V73" s="110">
        <f t="shared" si="10"/>
        <v>1441.7399999999998</v>
      </c>
      <c r="W73" s="110">
        <f t="shared" si="10"/>
        <v>1439.4</v>
      </c>
      <c r="X73" s="110">
        <f t="shared" si="10"/>
        <v>1344.84</v>
      </c>
      <c r="Y73" s="110">
        <f t="shared" si="10"/>
        <v>1293.6399999999999</v>
      </c>
      <c r="Z73" s="110">
        <f t="shared" si="10"/>
        <v>1336.54</v>
      </c>
      <c r="AA73" s="110">
        <f t="shared" si="10"/>
        <v>1320.2400000000002</v>
      </c>
      <c r="AB73" s="110">
        <f t="shared" si="10"/>
        <v>1284.19</v>
      </c>
      <c r="AC73" s="110">
        <f t="shared" si="10"/>
        <v>1252.3400000000001</v>
      </c>
      <c r="AD73" s="110">
        <f t="shared" si="10"/>
        <v>1185.24</v>
      </c>
      <c r="AE73" s="110">
        <f t="shared" si="10"/>
        <v>1088.9100000000001</v>
      </c>
      <c r="AF73" s="110">
        <f t="shared" si="10"/>
        <v>986.12</v>
      </c>
      <c r="AG73" s="110">
        <f t="shared" si="10"/>
        <v>2144.14</v>
      </c>
      <c r="AH73" s="21">
        <f t="shared" si="2"/>
        <v>1447.54</v>
      </c>
      <c r="AI73" s="20">
        <f t="shared" si="3"/>
        <v>848.83999999999992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250</v>
      </c>
      <c r="C74" s="111">
        <v>250</v>
      </c>
      <c r="D74" s="111">
        <v>250</v>
      </c>
      <c r="E74" s="111">
        <v>250</v>
      </c>
      <c r="F74" s="111">
        <v>250</v>
      </c>
      <c r="G74" s="111">
        <v>250</v>
      </c>
      <c r="H74" s="111">
        <v>250</v>
      </c>
      <c r="I74" s="111">
        <v>230</v>
      </c>
      <c r="J74" s="111">
        <v>80</v>
      </c>
      <c r="K74" s="111">
        <v>50</v>
      </c>
      <c r="L74" s="111">
        <v>20</v>
      </c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>
        <v>300</v>
      </c>
      <c r="Z74" s="111">
        <v>300</v>
      </c>
      <c r="AA74" s="111">
        <v>300</v>
      </c>
      <c r="AB74" s="111">
        <v>290</v>
      </c>
      <c r="AC74" s="111">
        <v>290</v>
      </c>
      <c r="AD74" s="111">
        <v>290</v>
      </c>
      <c r="AE74" s="111">
        <v>290</v>
      </c>
      <c r="AF74" s="111">
        <v>270</v>
      </c>
      <c r="AG74" s="98"/>
      <c r="AH74" s="21">
        <f t="shared" si="2"/>
        <v>300</v>
      </c>
      <c r="AI74" s="20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v>1231.96</v>
      </c>
      <c r="C75" s="110">
        <f>C73+C74</f>
        <v>1162.8400000000001</v>
      </c>
      <c r="D75" s="110">
        <f t="shared" ref="D75:AF75" si="11">D72+D68+D56+D52+D38+D74</f>
        <v>1145.6399999999999</v>
      </c>
      <c r="E75" s="110">
        <f t="shared" si="11"/>
        <v>1111.94</v>
      </c>
      <c r="F75" s="110">
        <f t="shared" si="11"/>
        <v>1098.8399999999999</v>
      </c>
      <c r="G75" s="110">
        <f t="shared" si="11"/>
        <v>1129.1399999999999</v>
      </c>
      <c r="H75" s="110">
        <f t="shared" si="11"/>
        <v>1183.6399999999999</v>
      </c>
      <c r="I75" s="110">
        <f t="shared" si="11"/>
        <v>1235.94</v>
      </c>
      <c r="J75" s="110">
        <f t="shared" si="11"/>
        <v>1285.54</v>
      </c>
      <c r="K75" s="110">
        <f t="shared" si="11"/>
        <v>1338.8400000000001</v>
      </c>
      <c r="L75" s="110">
        <f t="shared" si="11"/>
        <v>1459.8400000000001</v>
      </c>
      <c r="M75" s="110">
        <f t="shared" si="11"/>
        <v>1437.8400000000001</v>
      </c>
      <c r="N75" s="110">
        <f t="shared" si="11"/>
        <v>1407.04</v>
      </c>
      <c r="O75" s="110">
        <f t="shared" si="11"/>
        <v>1433.14</v>
      </c>
      <c r="P75" s="110">
        <f t="shared" si="11"/>
        <v>1428.24</v>
      </c>
      <c r="Q75" s="110">
        <f t="shared" si="11"/>
        <v>1417.64</v>
      </c>
      <c r="R75" s="110">
        <f t="shared" si="11"/>
        <v>1447.54</v>
      </c>
      <c r="S75" s="110">
        <f t="shared" si="11"/>
        <v>1439.14</v>
      </c>
      <c r="T75" s="110">
        <f t="shared" si="11"/>
        <v>1428.24</v>
      </c>
      <c r="U75" s="110">
        <f t="shared" si="11"/>
        <v>1404.1399999999999</v>
      </c>
      <c r="V75" s="110">
        <f t="shared" si="11"/>
        <v>1441.7399999999998</v>
      </c>
      <c r="W75" s="110">
        <f t="shared" si="11"/>
        <v>1439.4</v>
      </c>
      <c r="X75" s="110">
        <f t="shared" si="11"/>
        <v>1344.84</v>
      </c>
      <c r="Y75" s="110">
        <f t="shared" si="11"/>
        <v>1593.6399999999999</v>
      </c>
      <c r="Z75" s="110">
        <f t="shared" si="11"/>
        <v>1636.54</v>
      </c>
      <c r="AA75" s="110">
        <f t="shared" si="11"/>
        <v>1620.2400000000002</v>
      </c>
      <c r="AB75" s="110">
        <f t="shared" si="11"/>
        <v>1574.19</v>
      </c>
      <c r="AC75" s="110">
        <f t="shared" si="11"/>
        <v>1542.3400000000001</v>
      </c>
      <c r="AD75" s="110">
        <f t="shared" si="11"/>
        <v>1475.24</v>
      </c>
      <c r="AE75" s="110">
        <f t="shared" si="11"/>
        <v>1378.91</v>
      </c>
      <c r="AF75" s="110">
        <f t="shared" si="11"/>
        <v>1256.1199999999999</v>
      </c>
      <c r="AG75" s="98">
        <f>AG72+AG68+AG56+AG52+AG38+AG74</f>
        <v>2144.14</v>
      </c>
      <c r="AH75" s="21">
        <f t="shared" si="2"/>
        <v>1636.54</v>
      </c>
      <c r="AI75" s="20">
        <f t="shared" si="3"/>
        <v>1098.8399999999999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v>2463.92</v>
      </c>
      <c r="C83" s="99">
        <f t="shared" ref="C83:AG83" si="20">SUM(C70:C82)</f>
        <v>2325.6800000000003</v>
      </c>
      <c r="D83" s="99">
        <f t="shared" si="20"/>
        <v>2291.2799999999997</v>
      </c>
      <c r="E83" s="99">
        <f t="shared" si="20"/>
        <v>2223.88</v>
      </c>
      <c r="F83" s="99">
        <f t="shared" si="20"/>
        <v>2197.6799999999998</v>
      </c>
      <c r="G83" s="99">
        <f t="shared" si="20"/>
        <v>2258.2799999999997</v>
      </c>
      <c r="H83" s="99">
        <f t="shared" si="20"/>
        <v>2367.2799999999997</v>
      </c>
      <c r="I83" s="99">
        <f t="shared" si="20"/>
        <v>2471.88</v>
      </c>
      <c r="J83" s="99">
        <f t="shared" si="20"/>
        <v>2571.08</v>
      </c>
      <c r="K83" s="99">
        <f t="shared" si="20"/>
        <v>2677.6800000000003</v>
      </c>
      <c r="L83" s="99">
        <f t="shared" si="20"/>
        <v>2919.6800000000003</v>
      </c>
      <c r="M83" s="99">
        <f t="shared" si="20"/>
        <v>2875.6800000000003</v>
      </c>
      <c r="N83" s="99">
        <f t="shared" si="20"/>
        <v>2814.08</v>
      </c>
      <c r="O83" s="99">
        <f t="shared" si="20"/>
        <v>2866.28</v>
      </c>
      <c r="P83" s="99">
        <f t="shared" si="20"/>
        <v>2856.48</v>
      </c>
      <c r="Q83" s="99">
        <f t="shared" si="20"/>
        <v>2835.28</v>
      </c>
      <c r="R83" s="99">
        <f t="shared" si="20"/>
        <v>2895.08</v>
      </c>
      <c r="S83" s="99">
        <f t="shared" si="20"/>
        <v>2878.28</v>
      </c>
      <c r="T83" s="99">
        <f t="shared" si="20"/>
        <v>2856.48</v>
      </c>
      <c r="U83" s="99">
        <f t="shared" si="20"/>
        <v>2808.2799999999997</v>
      </c>
      <c r="V83" s="99">
        <f t="shared" si="20"/>
        <v>2883.4799999999996</v>
      </c>
      <c r="W83" s="99">
        <f t="shared" si="20"/>
        <v>2878.8</v>
      </c>
      <c r="X83" s="99">
        <f t="shared" si="20"/>
        <v>2689.68</v>
      </c>
      <c r="Y83" s="99">
        <f t="shared" si="20"/>
        <v>3187.2799999999997</v>
      </c>
      <c r="Z83" s="99">
        <f t="shared" si="20"/>
        <v>3273.08</v>
      </c>
      <c r="AA83" s="99">
        <f t="shared" si="20"/>
        <v>3240.4800000000005</v>
      </c>
      <c r="AB83" s="99">
        <f t="shared" si="20"/>
        <v>3148.38</v>
      </c>
      <c r="AC83" s="99">
        <f t="shared" si="20"/>
        <v>3084.6800000000003</v>
      </c>
      <c r="AD83" s="99">
        <f t="shared" si="20"/>
        <v>2950.48</v>
      </c>
      <c r="AE83" s="99">
        <f t="shared" si="20"/>
        <v>2757.82</v>
      </c>
      <c r="AF83" s="99">
        <f t="shared" si="20"/>
        <v>2512.2399999999998</v>
      </c>
      <c r="AG83" s="98">
        <f t="shared" si="20"/>
        <v>4360.08</v>
      </c>
      <c r="AH83" s="21">
        <f t="shared" si="13"/>
        <v>3273.08</v>
      </c>
      <c r="AI83" s="20">
        <f t="shared" si="14"/>
        <v>2197.6799999999998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50.01</v>
      </c>
      <c r="C84" s="96">
        <v>49.99</v>
      </c>
      <c r="D84" s="96">
        <v>49.99</v>
      </c>
      <c r="E84" s="96">
        <v>49.962000000000003</v>
      </c>
      <c r="F84" s="96">
        <v>49.973999999999997</v>
      </c>
      <c r="G84" s="96">
        <v>49.984999999999999</v>
      </c>
      <c r="H84" s="96">
        <v>49.978999999999999</v>
      </c>
      <c r="I84" s="96">
        <v>49.912999999999997</v>
      </c>
      <c r="J84" s="96">
        <v>49.988999999999997</v>
      </c>
      <c r="K84" s="96">
        <v>50.037999999999997</v>
      </c>
      <c r="L84" s="96">
        <v>50.015000000000001</v>
      </c>
      <c r="M84" s="96">
        <v>50.048000000000002</v>
      </c>
      <c r="N84" s="96">
        <v>50.031999999999996</v>
      </c>
      <c r="O84" s="96">
        <v>50.073999999999998</v>
      </c>
      <c r="P84" s="96">
        <v>50.045999999999999</v>
      </c>
      <c r="Q84" s="96">
        <v>50.04</v>
      </c>
      <c r="R84" s="96">
        <v>50.05</v>
      </c>
      <c r="S84" s="96">
        <v>50.02</v>
      </c>
      <c r="T84" s="96">
        <v>49.98</v>
      </c>
      <c r="U84" s="96">
        <v>49.9</v>
      </c>
      <c r="V84" s="96">
        <v>49.97</v>
      </c>
      <c r="W84" s="96">
        <v>49.962000000000003</v>
      </c>
      <c r="X84" s="96">
        <v>49.94</v>
      </c>
      <c r="Y84" s="96">
        <v>49.93</v>
      </c>
      <c r="Z84" s="96">
        <v>49.84</v>
      </c>
      <c r="AA84" s="96">
        <v>49.78</v>
      </c>
      <c r="AB84" s="96">
        <v>50.039000000000001</v>
      </c>
      <c r="AC84" s="96">
        <v>50.005000000000003</v>
      </c>
      <c r="AD84" s="96">
        <v>50.08</v>
      </c>
      <c r="AE84" s="96">
        <v>50.036999999999999</v>
      </c>
      <c r="AF84" s="96">
        <v>49.905999999999999</v>
      </c>
      <c r="AG84" s="95"/>
      <c r="AH84" s="21">
        <f t="shared" si="13"/>
        <v>50.08</v>
      </c>
      <c r="AI84" s="20">
        <f t="shared" si="14"/>
        <v>49.78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130.19999999999999</v>
      </c>
      <c r="C85" s="73">
        <v>130.30000000000001</v>
      </c>
      <c r="D85" s="73">
        <v>130.30000000000001</v>
      </c>
      <c r="E85" s="73">
        <v>129.19999999999999</v>
      </c>
      <c r="F85" s="73">
        <v>129.4</v>
      </c>
      <c r="G85" s="73">
        <v>128.9</v>
      </c>
      <c r="H85" s="73">
        <v>128.19999999999999</v>
      </c>
      <c r="I85" s="73">
        <v>129</v>
      </c>
      <c r="J85" s="73">
        <v>126.2</v>
      </c>
      <c r="K85" s="73">
        <v>125.5</v>
      </c>
      <c r="L85" s="73">
        <v>124.4</v>
      </c>
      <c r="M85" s="73">
        <v>124.6</v>
      </c>
      <c r="N85" s="73">
        <v>124.4</v>
      </c>
      <c r="O85" s="73">
        <v>124.1</v>
      </c>
      <c r="P85" s="73">
        <v>124.1</v>
      </c>
      <c r="Q85" s="73">
        <v>122.2</v>
      </c>
      <c r="R85" s="73">
        <v>122.6</v>
      </c>
      <c r="S85" s="73">
        <v>122</v>
      </c>
      <c r="T85" s="73">
        <v>122.1</v>
      </c>
      <c r="U85" s="94">
        <v>123.7</v>
      </c>
      <c r="V85" s="94">
        <v>122.6</v>
      </c>
      <c r="W85" s="94">
        <v>124.4</v>
      </c>
      <c r="X85" s="94">
        <v>127</v>
      </c>
      <c r="Y85" s="94">
        <v>127</v>
      </c>
      <c r="Z85" s="94">
        <v>126.8</v>
      </c>
      <c r="AA85" s="94">
        <v>127</v>
      </c>
      <c r="AB85" s="73">
        <v>128</v>
      </c>
      <c r="AC85" s="73">
        <v>128.30000000000001</v>
      </c>
      <c r="AD85" s="73">
        <v>129</v>
      </c>
      <c r="AE85" s="73">
        <v>129.5</v>
      </c>
      <c r="AF85" s="73">
        <v>130.19999999999999</v>
      </c>
      <c r="AG85" s="89"/>
      <c r="AH85" s="21">
        <f t="shared" si="13"/>
        <v>130.30000000000001</v>
      </c>
      <c r="AI85" s="20">
        <f t="shared" si="14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133.4</v>
      </c>
      <c r="C86" s="73">
        <v>133.4</v>
      </c>
      <c r="D86" s="73">
        <v>133.6</v>
      </c>
      <c r="E86" s="73">
        <v>132.4</v>
      </c>
      <c r="F86" s="73">
        <v>132.6</v>
      </c>
      <c r="G86" s="73">
        <v>132</v>
      </c>
      <c r="H86" s="73">
        <v>131.19999999999999</v>
      </c>
      <c r="I86" s="73">
        <v>131.4</v>
      </c>
      <c r="J86" s="73">
        <v>128.80000000000001</v>
      </c>
      <c r="K86" s="73">
        <v>128.19999999999999</v>
      </c>
      <c r="L86" s="73">
        <v>127.3</v>
      </c>
      <c r="M86" s="73">
        <v>128.19999999999999</v>
      </c>
      <c r="N86" s="73">
        <v>127.6</v>
      </c>
      <c r="O86" s="73">
        <v>127.5</v>
      </c>
      <c r="P86" s="73">
        <v>127.6</v>
      </c>
      <c r="Q86" s="73">
        <v>126.1</v>
      </c>
      <c r="R86" s="73">
        <v>126.5</v>
      </c>
      <c r="S86" s="73">
        <v>125.7</v>
      </c>
      <c r="T86" s="73">
        <v>125.7</v>
      </c>
      <c r="U86" s="94">
        <v>127</v>
      </c>
      <c r="V86" s="94">
        <v>126.6</v>
      </c>
      <c r="W86" s="94">
        <v>127.7</v>
      </c>
      <c r="X86" s="94">
        <v>130</v>
      </c>
      <c r="Y86" s="94">
        <v>130</v>
      </c>
      <c r="Z86" s="94">
        <v>129.19999999999999</v>
      </c>
      <c r="AA86" s="94">
        <v>130</v>
      </c>
      <c r="AB86" s="73">
        <v>130.6</v>
      </c>
      <c r="AC86" s="73">
        <v>131.19999999999999</v>
      </c>
      <c r="AD86" s="73">
        <v>131.80000000000001</v>
      </c>
      <c r="AE86" s="73">
        <v>132.69999999999999</v>
      </c>
      <c r="AF86" s="73">
        <v>133.30000000000001</v>
      </c>
      <c r="AG86" s="89"/>
      <c r="AH86" s="21">
        <f t="shared" si="13"/>
        <v>133.6</v>
      </c>
      <c r="AI86" s="20">
        <f t="shared" si="14"/>
        <v>125.7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131.69999999999999</v>
      </c>
      <c r="C87" s="73">
        <v>132.4</v>
      </c>
      <c r="D87" s="73">
        <v>132.6</v>
      </c>
      <c r="E87" s="73">
        <v>130.4</v>
      </c>
      <c r="F87" s="73">
        <v>132.19999999999999</v>
      </c>
      <c r="G87" s="73">
        <v>131</v>
      </c>
      <c r="H87" s="73">
        <v>130.69999999999999</v>
      </c>
      <c r="I87" s="73">
        <v>132</v>
      </c>
      <c r="J87" s="73">
        <v>128.9</v>
      </c>
      <c r="K87" s="73">
        <v>126.8</v>
      </c>
      <c r="L87" s="73">
        <v>127.9</v>
      </c>
      <c r="M87" s="73">
        <v>125.5</v>
      </c>
      <c r="N87" s="73">
        <v>127.8</v>
      </c>
      <c r="O87" s="73">
        <v>27.4</v>
      </c>
      <c r="P87" s="73">
        <v>128.1</v>
      </c>
      <c r="Q87" s="73">
        <v>130.4</v>
      </c>
      <c r="R87" s="73">
        <v>129</v>
      </c>
      <c r="S87" s="73">
        <v>129</v>
      </c>
      <c r="T87" s="73">
        <v>127</v>
      </c>
      <c r="U87" s="73">
        <v>129</v>
      </c>
      <c r="V87" s="73">
        <v>130</v>
      </c>
      <c r="W87" s="73">
        <v>129.6</v>
      </c>
      <c r="X87" s="94">
        <v>131</v>
      </c>
      <c r="Y87" s="94">
        <v>131</v>
      </c>
      <c r="Z87" s="94">
        <v>129.6</v>
      </c>
      <c r="AA87" s="94">
        <v>130.9</v>
      </c>
      <c r="AB87" s="73">
        <v>131.6</v>
      </c>
      <c r="AC87" s="73">
        <v>132</v>
      </c>
      <c r="AD87" s="73">
        <v>131.69999999999999</v>
      </c>
      <c r="AE87" s="73">
        <v>130.5</v>
      </c>
      <c r="AF87" s="73">
        <v>130.19999999999999</v>
      </c>
      <c r="AG87" s="89"/>
      <c r="AH87" s="21">
        <f t="shared" si="13"/>
        <v>132.6</v>
      </c>
      <c r="AI87" s="20">
        <f t="shared" si="14"/>
        <v>27.4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132.6</v>
      </c>
      <c r="C88" s="73">
        <v>133.5</v>
      </c>
      <c r="D88" s="73">
        <v>133.69999999999999</v>
      </c>
      <c r="E88" s="73">
        <v>131.6</v>
      </c>
      <c r="F88" s="73">
        <v>132</v>
      </c>
      <c r="G88" s="73">
        <v>132</v>
      </c>
      <c r="H88" s="73">
        <v>131.6</v>
      </c>
      <c r="I88" s="73">
        <v>131</v>
      </c>
      <c r="J88" s="73">
        <v>131.6</v>
      </c>
      <c r="K88" s="73">
        <v>129.30000000000001</v>
      </c>
      <c r="L88" s="73">
        <v>129.30000000000001</v>
      </c>
      <c r="M88" s="73">
        <v>125.9</v>
      </c>
      <c r="N88" s="73">
        <v>128.19999999999999</v>
      </c>
      <c r="O88" s="73">
        <v>127.5</v>
      </c>
      <c r="P88" s="73">
        <v>128</v>
      </c>
      <c r="Q88" s="73">
        <v>130.5</v>
      </c>
      <c r="R88" s="73">
        <v>130</v>
      </c>
      <c r="S88" s="73">
        <v>128.5</v>
      </c>
      <c r="T88" s="73">
        <v>128.19999999999999</v>
      </c>
      <c r="U88" s="73">
        <v>129</v>
      </c>
      <c r="V88" s="73">
        <v>130</v>
      </c>
      <c r="W88" s="73">
        <v>130.9</v>
      </c>
      <c r="X88" s="94">
        <v>131</v>
      </c>
      <c r="Y88" s="94">
        <v>131</v>
      </c>
      <c r="Z88" s="94">
        <v>129.19999999999999</v>
      </c>
      <c r="AA88" s="94">
        <v>131</v>
      </c>
      <c r="AB88" s="73">
        <v>133.30000000000001</v>
      </c>
      <c r="AC88" s="73">
        <v>133.80000000000001</v>
      </c>
      <c r="AD88" s="73">
        <v>132.80000000000001</v>
      </c>
      <c r="AE88" s="73">
        <v>132.80000000000001</v>
      </c>
      <c r="AF88" s="73">
        <v>132.6</v>
      </c>
      <c r="AG88" s="89"/>
      <c r="AH88" s="21">
        <f t="shared" si="13"/>
        <v>133.80000000000001</v>
      </c>
      <c r="AI88" s="20">
        <f t="shared" si="14"/>
        <v>125.9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136</v>
      </c>
      <c r="C89" s="66">
        <v>134.4</v>
      </c>
      <c r="D89" s="66">
        <v>134.5</v>
      </c>
      <c r="E89" s="66">
        <v>129.19999999999999</v>
      </c>
      <c r="F89" s="66">
        <v>129.1</v>
      </c>
      <c r="G89" s="66">
        <v>127.9</v>
      </c>
      <c r="H89" s="66">
        <v>126.9</v>
      </c>
      <c r="I89" s="66">
        <v>131.9</v>
      </c>
      <c r="J89" s="66">
        <v>131.69999999999999</v>
      </c>
      <c r="K89" s="66">
        <v>130.69999999999999</v>
      </c>
      <c r="L89" s="66">
        <v>131.5</v>
      </c>
      <c r="M89" s="66">
        <v>132.9</v>
      </c>
      <c r="N89" s="66">
        <v>134.69999999999999</v>
      </c>
      <c r="O89" s="66">
        <v>131.9</v>
      </c>
      <c r="P89" s="66">
        <v>130.9</v>
      </c>
      <c r="Q89" s="66">
        <v>132.80000000000001</v>
      </c>
      <c r="R89" s="66">
        <v>132.80000000000001</v>
      </c>
      <c r="S89" s="66">
        <v>131</v>
      </c>
      <c r="T89" s="66">
        <v>131.69999999999999</v>
      </c>
      <c r="U89" s="66">
        <v>133.69999999999999</v>
      </c>
      <c r="V89" s="66">
        <v>131.4</v>
      </c>
      <c r="W89" s="66">
        <v>132.19999999999999</v>
      </c>
      <c r="X89" s="94">
        <v>134</v>
      </c>
      <c r="Y89" s="94">
        <v>134</v>
      </c>
      <c r="Z89" s="94">
        <v>133.6</v>
      </c>
      <c r="AA89" s="94">
        <v>133</v>
      </c>
      <c r="AB89" s="66">
        <v>134.1</v>
      </c>
      <c r="AC89" s="66">
        <v>134.30000000000001</v>
      </c>
      <c r="AD89" s="66">
        <v>136.4</v>
      </c>
      <c r="AE89" s="66">
        <v>133.80000000000001</v>
      </c>
      <c r="AF89" s="66">
        <v>135.80000000000001</v>
      </c>
      <c r="AG89" s="91"/>
      <c r="AH89" s="21">
        <f t="shared" si="13"/>
        <v>136.4</v>
      </c>
      <c r="AI89" s="20">
        <f t="shared" si="14"/>
        <v>126.9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135.30000000000001</v>
      </c>
      <c r="C90" s="73">
        <v>138.4</v>
      </c>
      <c r="D90" s="73">
        <v>136.4</v>
      </c>
      <c r="E90" s="73">
        <v>137.19999999999999</v>
      </c>
      <c r="F90" s="73">
        <v>138</v>
      </c>
      <c r="G90" s="73">
        <v>134</v>
      </c>
      <c r="H90" s="73">
        <v>133.69999999999999</v>
      </c>
      <c r="I90" s="73">
        <v>129.69999999999999</v>
      </c>
      <c r="J90" s="73">
        <v>131.80000000000001</v>
      </c>
      <c r="K90" s="73">
        <v>129.80000000000001</v>
      </c>
      <c r="L90" s="73">
        <v>134.19999999999999</v>
      </c>
      <c r="M90" s="73">
        <v>130.80000000000001</v>
      </c>
      <c r="N90" s="73">
        <v>131.4</v>
      </c>
      <c r="O90" s="73">
        <v>125.6</v>
      </c>
      <c r="P90" s="73">
        <v>131.9</v>
      </c>
      <c r="Q90" s="73">
        <v>134.6</v>
      </c>
      <c r="R90" s="73">
        <v>129.30000000000001</v>
      </c>
      <c r="S90" s="73">
        <v>130</v>
      </c>
      <c r="T90" s="73">
        <v>132.9</v>
      </c>
      <c r="U90" s="73">
        <v>133.5</v>
      </c>
      <c r="V90" s="73">
        <v>128</v>
      </c>
      <c r="W90" s="73">
        <v>130.4</v>
      </c>
      <c r="X90" s="94">
        <v>130</v>
      </c>
      <c r="Y90" s="94">
        <v>130</v>
      </c>
      <c r="Z90" s="94">
        <v>129.80000000000001</v>
      </c>
      <c r="AA90" s="94">
        <v>131</v>
      </c>
      <c r="AB90" s="73">
        <v>136.5</v>
      </c>
      <c r="AC90" s="73">
        <v>136.5</v>
      </c>
      <c r="AD90" s="73">
        <v>136.1</v>
      </c>
      <c r="AE90" s="73">
        <v>137.69999999999999</v>
      </c>
      <c r="AF90" s="73">
        <v>132.69999999999999</v>
      </c>
      <c r="AG90" s="89"/>
      <c r="AH90" s="21">
        <f t="shared" si="13"/>
        <v>138.4</v>
      </c>
      <c r="AI90" s="20">
        <f t="shared" si="14"/>
        <v>125.6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67.3</v>
      </c>
      <c r="C91" s="87">
        <v>67.3</v>
      </c>
      <c r="D91" s="87">
        <v>67.400000000000006</v>
      </c>
      <c r="E91" s="87">
        <v>66.8</v>
      </c>
      <c r="F91" s="87">
        <v>66.900000000000006</v>
      </c>
      <c r="G91" s="87">
        <v>66.599999999999994</v>
      </c>
      <c r="H91" s="87">
        <v>66.099999999999994</v>
      </c>
      <c r="I91" s="87">
        <v>66</v>
      </c>
      <c r="J91" s="87">
        <v>64.599999999999994</v>
      </c>
      <c r="K91" s="87">
        <v>64.400000000000006</v>
      </c>
      <c r="L91" s="87">
        <v>64.5</v>
      </c>
      <c r="M91" s="87">
        <v>64.5</v>
      </c>
      <c r="N91" s="87">
        <v>64.400000000000006</v>
      </c>
      <c r="O91" s="87">
        <v>64.2</v>
      </c>
      <c r="P91" s="87">
        <v>64.5</v>
      </c>
      <c r="Q91" s="87">
        <v>63.6</v>
      </c>
      <c r="R91" s="87">
        <v>63.8</v>
      </c>
      <c r="S91" s="87">
        <v>63.4</v>
      </c>
      <c r="T91" s="87">
        <v>63.4</v>
      </c>
      <c r="U91" s="87">
        <v>63.2</v>
      </c>
      <c r="V91" s="87">
        <v>63.9</v>
      </c>
      <c r="W91" s="87">
        <v>64.599999999999994</v>
      </c>
      <c r="X91" s="87">
        <v>65.5</v>
      </c>
      <c r="Y91" s="87">
        <v>65.5</v>
      </c>
      <c r="Z91" s="87">
        <v>65.3</v>
      </c>
      <c r="AA91" s="87">
        <v>65.5</v>
      </c>
      <c r="AB91" s="87">
        <v>65.900000000000006</v>
      </c>
      <c r="AC91" s="87">
        <v>66.2</v>
      </c>
      <c r="AD91" s="87">
        <v>66.3</v>
      </c>
      <c r="AE91" s="87">
        <v>66.8</v>
      </c>
      <c r="AF91" s="87">
        <v>67.2</v>
      </c>
      <c r="AG91" s="86"/>
      <c r="AH91" s="21">
        <f t="shared" si="13"/>
        <v>67.400000000000006</v>
      </c>
      <c r="AI91" s="20">
        <f t="shared" si="14"/>
        <v>63.2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v>181.43999999999997</v>
      </c>
      <c r="C93" s="82">
        <f t="shared" ref="C93:AF93" si="21">SUM(C15,C18,C21:C22,C42,C44:C45,C47,C49,C94:C97,C103,C109,C115,C124,C126,C138,C145,C148:C149,C156,C158,C160,C164:C166,C168:C170,C175,C181:C182,C184:C186,C194,C199)</f>
        <v>156.03999999999996</v>
      </c>
      <c r="D93" s="82">
        <f t="shared" si="21"/>
        <v>153.23999999999998</v>
      </c>
      <c r="E93" s="82">
        <f t="shared" si="21"/>
        <v>156.44</v>
      </c>
      <c r="F93" s="82">
        <f t="shared" si="21"/>
        <v>159.94</v>
      </c>
      <c r="G93" s="80">
        <f t="shared" si="21"/>
        <v>178.84</v>
      </c>
      <c r="H93" s="80">
        <f t="shared" si="21"/>
        <v>210.04</v>
      </c>
      <c r="I93" s="80">
        <f t="shared" si="21"/>
        <v>247.94</v>
      </c>
      <c r="J93" s="80">
        <f t="shared" si="21"/>
        <v>279.53999999999996</v>
      </c>
      <c r="K93" s="80">
        <f t="shared" si="21"/>
        <v>305.64</v>
      </c>
      <c r="L93" s="80">
        <f t="shared" si="21"/>
        <v>331.74000000000007</v>
      </c>
      <c r="M93" s="80">
        <f t="shared" si="21"/>
        <v>333.24</v>
      </c>
      <c r="N93" s="80">
        <f t="shared" si="21"/>
        <v>310.04000000000002</v>
      </c>
      <c r="O93" s="80">
        <f t="shared" si="21"/>
        <v>308.24</v>
      </c>
      <c r="P93" s="80">
        <f t="shared" si="21"/>
        <v>303.44</v>
      </c>
      <c r="Q93" s="80">
        <f t="shared" si="21"/>
        <v>297.44000000000005</v>
      </c>
      <c r="R93" s="80">
        <f t="shared" si="21"/>
        <v>298.74000000000007</v>
      </c>
      <c r="S93" s="80">
        <f t="shared" si="21"/>
        <v>306.74</v>
      </c>
      <c r="T93" s="80">
        <f t="shared" si="21"/>
        <v>285.04000000000002</v>
      </c>
      <c r="U93" s="80">
        <f t="shared" si="21"/>
        <v>308.54000000000002</v>
      </c>
      <c r="V93" s="80">
        <f t="shared" si="21"/>
        <v>299.74</v>
      </c>
      <c r="W93" s="80">
        <f t="shared" si="21"/>
        <v>329.54</v>
      </c>
      <c r="X93" s="80">
        <f t="shared" si="21"/>
        <v>337.04</v>
      </c>
      <c r="Y93" s="80">
        <f t="shared" si="21"/>
        <v>367.84000000000003</v>
      </c>
      <c r="Z93" s="80">
        <f t="shared" si="21"/>
        <v>378.04</v>
      </c>
      <c r="AA93" s="80">
        <f t="shared" si="21"/>
        <v>362.54</v>
      </c>
      <c r="AB93" s="80">
        <f t="shared" si="21"/>
        <v>327.34000000000003</v>
      </c>
      <c r="AC93" s="80">
        <f t="shared" si="21"/>
        <v>304.64000000000004</v>
      </c>
      <c r="AD93" s="80">
        <f t="shared" si="21"/>
        <v>267.54000000000002</v>
      </c>
      <c r="AE93" s="80">
        <f t="shared" si="21"/>
        <v>221.13999999999996</v>
      </c>
      <c r="AF93" s="80">
        <f t="shared" si="21"/>
        <v>188.53999999999994</v>
      </c>
      <c r="AG93" s="79"/>
      <c r="AH93" s="21">
        <f>MAX(C93:AF93)</f>
        <v>378.04</v>
      </c>
      <c r="AI93" s="20">
        <f>MIN(C93:AF93)</f>
        <v>153.23999999999998</v>
      </c>
    </row>
    <row r="94" spans="1:88" x14ac:dyDescent="0.25">
      <c r="A94" s="48" t="s">
        <v>122</v>
      </c>
      <c r="B94" s="78">
        <v>19.899999999999999</v>
      </c>
      <c r="C94" s="77">
        <v>17.7</v>
      </c>
      <c r="D94" s="77">
        <v>14.7</v>
      </c>
      <c r="E94" s="77">
        <v>-27.8</v>
      </c>
      <c r="F94" s="77">
        <v>-29.1</v>
      </c>
      <c r="G94" s="76">
        <v>-23.3</v>
      </c>
      <c r="H94" s="76">
        <v>-17.100000000000001</v>
      </c>
      <c r="I94" s="76">
        <v>19.3</v>
      </c>
      <c r="J94" s="76">
        <v>42.8</v>
      </c>
      <c r="K94" s="76">
        <v>38.299999999999997</v>
      </c>
      <c r="L94" s="76">
        <v>35</v>
      </c>
      <c r="M94" s="75">
        <v>43.4</v>
      </c>
      <c r="N94" s="76">
        <v>62.7</v>
      </c>
      <c r="O94" s="76">
        <v>63.3</v>
      </c>
      <c r="P94" s="76">
        <v>43.7</v>
      </c>
      <c r="Q94" s="76">
        <v>34.299999999999997</v>
      </c>
      <c r="R94" s="76">
        <v>40.6</v>
      </c>
      <c r="S94" s="76">
        <v>45.5</v>
      </c>
      <c r="T94" s="76">
        <v>37.299999999999997</v>
      </c>
      <c r="U94" s="75">
        <v>46</v>
      </c>
      <c r="V94" s="75">
        <v>37.200000000000003</v>
      </c>
      <c r="W94" s="75">
        <v>39.200000000000003</v>
      </c>
      <c r="X94" s="76">
        <v>41</v>
      </c>
      <c r="Y94" s="76">
        <v>54</v>
      </c>
      <c r="Z94" s="76">
        <v>47</v>
      </c>
      <c r="AA94" s="76">
        <v>48</v>
      </c>
      <c r="AB94" s="75">
        <v>26.7</v>
      </c>
      <c r="AC94" s="75">
        <v>29.4</v>
      </c>
      <c r="AD94" s="75">
        <v>16.8</v>
      </c>
      <c r="AE94" s="75">
        <v>27.7</v>
      </c>
      <c r="AF94" s="75">
        <v>25.1</v>
      </c>
      <c r="AG94" s="3">
        <v>75</v>
      </c>
      <c r="AH94" s="21">
        <f t="shared" ref="AH94:AH100" si="22">IF(ABS(MAX(C94:AF94))&gt;ABS(MIN(C94:AF94)),MAX(C94:AF94),MIN(C94:AF94))</f>
        <v>63.3</v>
      </c>
      <c r="AI94" s="64">
        <f t="shared" ref="AI94:AI100" si="23">INDEX($C$9:$AF$9,1,MATCH(AH94,C94:AF94,0))</f>
        <v>0.41666666666666702</v>
      </c>
    </row>
    <row r="95" spans="1:88" x14ac:dyDescent="0.25">
      <c r="A95" s="45" t="s">
        <v>121</v>
      </c>
      <c r="B95" s="74">
        <f>-25-27.9</f>
        <v>-52.9</v>
      </c>
      <c r="C95" s="67">
        <f>-26.7-29.9</f>
        <v>-56.599999999999994</v>
      </c>
      <c r="D95" s="67">
        <f>-27.1-30.1</f>
        <v>-57.2</v>
      </c>
      <c r="E95" s="67">
        <v>-43</v>
      </c>
      <c r="F95" s="67">
        <v>-40</v>
      </c>
      <c r="G95" s="67">
        <v>-34</v>
      </c>
      <c r="H95" s="67">
        <v>-25</v>
      </c>
      <c r="I95" s="67">
        <v>-11</v>
      </c>
      <c r="J95" s="67">
        <v>-14</v>
      </c>
      <c r="K95" s="67">
        <v>-15</v>
      </c>
      <c r="L95" s="67">
        <v>-6</v>
      </c>
      <c r="M95" s="67">
        <v>-9.4</v>
      </c>
      <c r="N95" s="67">
        <v>-7</v>
      </c>
      <c r="O95" s="67">
        <v>-11</v>
      </c>
      <c r="P95" s="67">
        <v>-9</v>
      </c>
      <c r="Q95" s="67">
        <f>-4.5-6.4</f>
        <v>-10.9</v>
      </c>
      <c r="R95" s="67">
        <f>-4.3-7.4</f>
        <v>-11.7</v>
      </c>
      <c r="S95" s="67">
        <v>-10</v>
      </c>
      <c r="T95" s="67">
        <v>-20</v>
      </c>
      <c r="U95" s="67">
        <v>-11</v>
      </c>
      <c r="V95" s="67">
        <v>-17</v>
      </c>
      <c r="W95" s="67">
        <v>-6</v>
      </c>
      <c r="X95" s="67">
        <v>12</v>
      </c>
      <c r="Y95" s="67">
        <v>20</v>
      </c>
      <c r="Z95" s="67">
        <v>20</v>
      </c>
      <c r="AA95" s="67">
        <v>11</v>
      </c>
      <c r="AB95" s="73">
        <v>3.3</v>
      </c>
      <c r="AC95" s="73">
        <v>-6.5</v>
      </c>
      <c r="AD95" s="73">
        <v>-18</v>
      </c>
      <c r="AE95" s="73">
        <v>-36</v>
      </c>
      <c r="AF95" s="73">
        <v>-48</v>
      </c>
      <c r="AG95" s="3">
        <v>240</v>
      </c>
      <c r="AH95" s="21">
        <f t="shared" si="22"/>
        <v>-57.2</v>
      </c>
      <c r="AI95" s="64">
        <f t="shared" si="23"/>
        <v>8.3333333333333301E-2</v>
      </c>
    </row>
    <row r="96" spans="1:88" x14ac:dyDescent="0.25">
      <c r="A96" s="45" t="s">
        <v>120</v>
      </c>
      <c r="B96" s="74">
        <v>0.5</v>
      </c>
      <c r="C96" s="67">
        <v>-0.9</v>
      </c>
      <c r="D96" s="67">
        <v>-1.1000000000000001</v>
      </c>
      <c r="E96" s="67">
        <v>0.4</v>
      </c>
      <c r="F96" s="67">
        <v>1.6</v>
      </c>
      <c r="G96" s="67">
        <v>3.5</v>
      </c>
      <c r="H96" s="67">
        <v>6.1</v>
      </c>
      <c r="I96" s="67">
        <v>6.4</v>
      </c>
      <c r="J96" s="67">
        <v>13.4</v>
      </c>
      <c r="K96" s="67">
        <v>14.7</v>
      </c>
      <c r="L96" s="67">
        <v>20.3</v>
      </c>
      <c r="M96" s="67">
        <v>17</v>
      </c>
      <c r="N96" s="67">
        <v>27.9</v>
      </c>
      <c r="O96" s="67">
        <v>26.7</v>
      </c>
      <c r="P96" s="67">
        <v>18.5</v>
      </c>
      <c r="Q96" s="67">
        <v>5.0999999999999996</v>
      </c>
      <c r="R96" s="67">
        <v>9.9</v>
      </c>
      <c r="S96" s="67">
        <v>10</v>
      </c>
      <c r="T96" s="67">
        <v>9.8000000000000007</v>
      </c>
      <c r="U96" s="67">
        <v>12</v>
      </c>
      <c r="V96" s="67">
        <v>10</v>
      </c>
      <c r="W96" s="67">
        <v>15</v>
      </c>
      <c r="X96" s="67">
        <v>18</v>
      </c>
      <c r="Y96" s="67">
        <v>36.299999999999997</v>
      </c>
      <c r="Z96" s="67">
        <v>36.5</v>
      </c>
      <c r="AA96" s="67">
        <v>34</v>
      </c>
      <c r="AB96" s="73">
        <v>30.1</v>
      </c>
      <c r="AC96" s="73">
        <v>27.4</v>
      </c>
      <c r="AD96" s="73">
        <v>23.7</v>
      </c>
      <c r="AE96" s="73">
        <v>19.600000000000001</v>
      </c>
      <c r="AF96" s="73">
        <v>20.100000000000001</v>
      </c>
      <c r="AG96" s="3">
        <v>60</v>
      </c>
      <c r="AH96" s="21">
        <f t="shared" si="22"/>
        <v>36.5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13.9</v>
      </c>
      <c r="C97" s="70">
        <v>11.6</v>
      </c>
      <c r="D97" s="70">
        <v>12.6</v>
      </c>
      <c r="E97" s="70">
        <v>41.8</v>
      </c>
      <c r="F97" s="70">
        <v>42.9</v>
      </c>
      <c r="G97" s="70">
        <v>48.1</v>
      </c>
      <c r="H97" s="70">
        <v>61.5</v>
      </c>
      <c r="I97" s="70">
        <v>48.7</v>
      </c>
      <c r="J97" s="70">
        <v>52.8</v>
      </c>
      <c r="K97" s="70">
        <v>83.1</v>
      </c>
      <c r="L97" s="70">
        <v>97.9</v>
      </c>
      <c r="M97" s="70">
        <v>96.7</v>
      </c>
      <c r="N97" s="70">
        <v>40.9</v>
      </c>
      <c r="O97" s="70">
        <v>43.7</v>
      </c>
      <c r="P97" s="70">
        <v>65.2</v>
      </c>
      <c r="Q97" s="70">
        <v>80.599999999999994</v>
      </c>
      <c r="R97" s="70">
        <v>72.2</v>
      </c>
      <c r="S97" s="70">
        <v>73.5</v>
      </c>
      <c r="T97" s="70">
        <v>70.400000000000006</v>
      </c>
      <c r="U97" s="70">
        <v>74</v>
      </c>
      <c r="V97" s="70">
        <v>82</v>
      </c>
      <c r="W97" s="70">
        <v>93.8</v>
      </c>
      <c r="X97" s="70">
        <v>78.5</v>
      </c>
      <c r="Y97" s="70">
        <v>70</v>
      </c>
      <c r="Z97" s="70">
        <v>87</v>
      </c>
      <c r="AA97" s="70">
        <v>82</v>
      </c>
      <c r="AB97" s="69">
        <v>79.599999999999994</v>
      </c>
      <c r="AC97" s="69">
        <v>66.7</v>
      </c>
      <c r="AD97" s="69">
        <v>57.4</v>
      </c>
      <c r="AE97" s="69">
        <v>21.5</v>
      </c>
      <c r="AF97" s="69">
        <v>3.1</v>
      </c>
      <c r="AG97" s="72">
        <v>120</v>
      </c>
      <c r="AH97" s="21">
        <f t="shared" si="22"/>
        <v>97.9</v>
      </c>
      <c r="AI97" s="64">
        <f t="shared" si="23"/>
        <v>0.3125</v>
      </c>
    </row>
    <row r="98" spans="1:37" x14ac:dyDescent="0.25">
      <c r="A98" s="41" t="s">
        <v>118</v>
      </c>
      <c r="B98" s="71">
        <v>20.3</v>
      </c>
      <c r="C98" s="70">
        <v>17.7</v>
      </c>
      <c r="D98" s="70">
        <v>21</v>
      </c>
      <c r="E98" s="70">
        <v>53.1</v>
      </c>
      <c r="F98" s="70">
        <v>53.8</v>
      </c>
      <c r="G98" s="70">
        <v>57</v>
      </c>
      <c r="H98" s="70">
        <v>64.8</v>
      </c>
      <c r="I98" s="70">
        <v>43.9</v>
      </c>
      <c r="J98" s="70">
        <v>37.4</v>
      </c>
      <c r="K98" s="70">
        <v>40</v>
      </c>
      <c r="L98" s="70">
        <v>50</v>
      </c>
      <c r="M98" s="70">
        <v>48.4</v>
      </c>
      <c r="N98" s="70">
        <v>30.2</v>
      </c>
      <c r="O98" s="70">
        <v>31.9</v>
      </c>
      <c r="P98" s="70">
        <v>56.6</v>
      </c>
      <c r="Q98" s="70">
        <v>72.3</v>
      </c>
      <c r="R98" s="70">
        <v>65.5</v>
      </c>
      <c r="S98" s="70">
        <v>62</v>
      </c>
      <c r="T98" s="70">
        <v>70.599999999999994</v>
      </c>
      <c r="U98" s="70">
        <v>50</v>
      </c>
      <c r="V98" s="70">
        <v>70</v>
      </c>
      <c r="W98" s="70">
        <v>55.6</v>
      </c>
      <c r="X98" s="70">
        <v>62</v>
      </c>
      <c r="Y98" s="70">
        <v>48</v>
      </c>
      <c r="Z98" s="70">
        <v>55</v>
      </c>
      <c r="AA98" s="70">
        <v>52</v>
      </c>
      <c r="AB98" s="69">
        <v>55.5</v>
      </c>
      <c r="AC98" s="69">
        <v>45.5</v>
      </c>
      <c r="AD98" s="69">
        <v>41</v>
      </c>
      <c r="AE98" s="69">
        <v>18.5</v>
      </c>
      <c r="AF98" s="69">
        <v>8.1</v>
      </c>
      <c r="AG98" s="72"/>
      <c r="AH98" s="21">
        <f t="shared" si="22"/>
        <v>72.3</v>
      </c>
      <c r="AI98" s="64">
        <f t="shared" si="23"/>
        <v>0.5</v>
      </c>
    </row>
    <row r="99" spans="1:37" x14ac:dyDescent="0.25">
      <c r="A99" s="41" t="s">
        <v>117</v>
      </c>
      <c r="B99" s="71">
        <v>38.799999999999997</v>
      </c>
      <c r="C99" s="70">
        <v>40</v>
      </c>
      <c r="D99" s="70">
        <v>38.299999999999997</v>
      </c>
      <c r="E99" s="70">
        <v>63.1</v>
      </c>
      <c r="F99" s="70">
        <v>64.3</v>
      </c>
      <c r="G99" s="70">
        <v>68.599999999999994</v>
      </c>
      <c r="H99" s="70">
        <v>79.3</v>
      </c>
      <c r="I99" s="70">
        <v>44</v>
      </c>
      <c r="J99" s="70">
        <v>27.8</v>
      </c>
      <c r="K99" s="70">
        <v>32</v>
      </c>
      <c r="L99" s="70">
        <v>43</v>
      </c>
      <c r="M99" s="70">
        <v>31.3</v>
      </c>
      <c r="N99" s="70">
        <v>11.9</v>
      </c>
      <c r="O99" s="70">
        <v>12.6</v>
      </c>
      <c r="P99" s="70">
        <v>47.4</v>
      </c>
      <c r="Q99" s="70">
        <v>43.2</v>
      </c>
      <c r="R99" s="70">
        <v>41</v>
      </c>
      <c r="S99" s="70">
        <v>42</v>
      </c>
      <c r="T99" s="70">
        <v>47.6</v>
      </c>
      <c r="U99" s="70">
        <v>23</v>
      </c>
      <c r="V99" s="70">
        <v>34</v>
      </c>
      <c r="W99" s="70">
        <v>34.6</v>
      </c>
      <c r="X99" s="70">
        <v>23</v>
      </c>
      <c r="Y99" s="70">
        <v>31.5</v>
      </c>
      <c r="Z99" s="70">
        <v>38</v>
      </c>
      <c r="AA99" s="70">
        <v>40</v>
      </c>
      <c r="AB99" s="69">
        <v>50.9</v>
      </c>
      <c r="AC99" s="69">
        <v>47.9</v>
      </c>
      <c r="AD99" s="69">
        <v>56.1</v>
      </c>
      <c r="AE99" s="69">
        <v>53.8</v>
      </c>
      <c r="AF99" s="69">
        <v>46.2</v>
      </c>
      <c r="AG99" s="65"/>
      <c r="AH99" s="21">
        <f t="shared" si="22"/>
        <v>79.3</v>
      </c>
      <c r="AI99" s="64">
        <f t="shared" si="23"/>
        <v>0.22916666666666666</v>
      </c>
    </row>
    <row r="100" spans="1:37" ht="15.75" thickBot="1" x14ac:dyDescent="0.3">
      <c r="A100" s="68" t="s">
        <v>116</v>
      </c>
      <c r="B100" s="66">
        <v>33.799999999999997</v>
      </c>
      <c r="C100" s="67">
        <v>36</v>
      </c>
      <c r="D100" s="67">
        <v>35</v>
      </c>
      <c r="E100" s="67">
        <v>27</v>
      </c>
      <c r="F100" s="67">
        <v>25.7</v>
      </c>
      <c r="G100" s="67">
        <v>26</v>
      </c>
      <c r="H100" s="67">
        <v>25.6</v>
      </c>
      <c r="I100" s="67">
        <v>35</v>
      </c>
      <c r="J100" s="67">
        <v>48</v>
      </c>
      <c r="K100" s="67">
        <v>50</v>
      </c>
      <c r="L100" s="67">
        <v>55</v>
      </c>
      <c r="M100" s="67">
        <v>58.7</v>
      </c>
      <c r="N100" s="67">
        <v>55.4</v>
      </c>
      <c r="O100" s="67">
        <v>57.2</v>
      </c>
      <c r="P100" s="67">
        <v>41.4</v>
      </c>
      <c r="Q100" s="67">
        <v>38.799999999999997</v>
      </c>
      <c r="R100" s="67">
        <v>43.2</v>
      </c>
      <c r="S100" s="67">
        <v>40.5</v>
      </c>
      <c r="T100" s="67">
        <v>39</v>
      </c>
      <c r="U100" s="67">
        <v>37</v>
      </c>
      <c r="V100" s="67">
        <v>52</v>
      </c>
      <c r="W100" s="67">
        <v>53.3</v>
      </c>
      <c r="X100" s="67">
        <v>44</v>
      </c>
      <c r="Y100" s="67">
        <v>86</v>
      </c>
      <c r="Z100" s="67">
        <v>94</v>
      </c>
      <c r="AA100" s="67">
        <v>51</v>
      </c>
      <c r="AB100" s="66">
        <v>83.9</v>
      </c>
      <c r="AC100" s="66">
        <v>81.900000000000006</v>
      </c>
      <c r="AD100" s="66">
        <v>77.7</v>
      </c>
      <c r="AE100" s="66">
        <v>70.8</v>
      </c>
      <c r="AF100" s="66">
        <v>60.5</v>
      </c>
      <c r="AG100" s="65"/>
      <c r="AH100" s="21">
        <f t="shared" si="22"/>
        <v>94</v>
      </c>
      <c r="AI100" s="64">
        <f t="shared" si="23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1459.8400000000001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15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2078/12/15)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2078/12/15)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1231.96</v>
      </c>
      <c r="U214" s="9">
        <f t="shared" si="60"/>
        <v>1162.8400000000001</v>
      </c>
      <c r="V214" s="9">
        <f t="shared" si="60"/>
        <v>1145.6399999999999</v>
      </c>
      <c r="W214" s="9">
        <f t="shared" si="60"/>
        <v>1111.94</v>
      </c>
      <c r="X214" s="9">
        <f t="shared" si="60"/>
        <v>1098.8399999999999</v>
      </c>
      <c r="Y214" s="9">
        <f t="shared" si="60"/>
        <v>1129.1399999999999</v>
      </c>
      <c r="Z214" s="9">
        <f t="shared" si="60"/>
        <v>1183.6399999999999</v>
      </c>
      <c r="AA214" s="9">
        <f t="shared" si="60"/>
        <v>1235.94</v>
      </c>
      <c r="AB214" s="9">
        <f t="shared" si="60"/>
        <v>1285.54</v>
      </c>
      <c r="AC214" s="9">
        <f t="shared" si="60"/>
        <v>1338.8400000000001</v>
      </c>
      <c r="AD214" s="9">
        <f t="shared" si="60"/>
        <v>1459.8400000000001</v>
      </c>
      <c r="AE214" s="9">
        <f t="shared" si="60"/>
        <v>1437.8400000000001</v>
      </c>
      <c r="AF214" s="9">
        <f t="shared" si="60"/>
        <v>1407.04</v>
      </c>
      <c r="AG214" s="9">
        <f t="shared" si="60"/>
        <v>1433.14</v>
      </c>
      <c r="AH214" s="9">
        <f t="shared" si="60"/>
        <v>1428.24</v>
      </c>
      <c r="AI214" s="9">
        <f t="shared" si="60"/>
        <v>1417.64</v>
      </c>
      <c r="AJ214" s="9">
        <f t="shared" si="60"/>
        <v>1447.54</v>
      </c>
      <c r="AK214" s="9">
        <f t="shared" si="60"/>
        <v>1439.14</v>
      </c>
      <c r="AL214" s="9">
        <f t="shared" si="60"/>
        <v>1428.24</v>
      </c>
      <c r="AM214" s="9">
        <f t="shared" si="60"/>
        <v>1404.1399999999999</v>
      </c>
      <c r="AN214" s="9">
        <f t="shared" si="60"/>
        <v>1441.7399999999998</v>
      </c>
      <c r="AO214" s="9">
        <f t="shared" si="60"/>
        <v>1439.4</v>
      </c>
      <c r="AP214" s="9">
        <f t="shared" si="60"/>
        <v>1344.84</v>
      </c>
      <c r="AQ214" s="9">
        <f t="shared" si="60"/>
        <v>1593.6399999999999</v>
      </c>
      <c r="AR214" s="9">
        <f t="shared" si="60"/>
        <v>1636.54</v>
      </c>
      <c r="AS214" s="9">
        <f t="shared" si="60"/>
        <v>1620.2400000000002</v>
      </c>
      <c r="AT214" s="9">
        <f t="shared" si="60"/>
        <v>1574.19</v>
      </c>
      <c r="AU214" s="9">
        <f t="shared" si="60"/>
        <v>1542.3400000000001</v>
      </c>
      <c r="AV214" s="9">
        <f t="shared" si="60"/>
        <v>1475.24</v>
      </c>
      <c r="AW214" s="9">
        <f t="shared" si="60"/>
        <v>1378.91</v>
      </c>
      <c r="AX214" s="9">
        <f t="shared" si="60"/>
        <v>1256.1199999999999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D57:L59 N62 D60:O60 P39:R39 M39:O42 D61:N61 O61:O62 P40:Q42 R42 R40:T41 M11:P11 M58:W59 AB81:AF81 B81:R81 C56:AF56 B82:AF83 D194:AF200 B194:B200 C68:AF72 AB84:AF91 B84:B91 B73:AF80 B9:AF10 B192:AF192 AF57:AF67 B53:B72 AG73 AB94:AF100 B94:B100 U213:AF213 C57:C67 D63:L67 B36:L36 AD36:AF36 O12:P12 Q11:R12 N45:R48 P60:R62 S12 S47:S48 S62 M53:AF55 S11:AE11 U40:Y42 X85:AA91 M37:AA37 Z40:AE43 AC12:AE14 T18:AF23">
    <cfRule type="expression" dxfId="4839" priority="285">
      <formula>B$9&gt;=20/24</formula>
    </cfRule>
    <cfRule type="expression" dxfId="4838" priority="286">
      <formula>AND(B$9&gt;=14/24,B$9&lt;20/24)</formula>
    </cfRule>
    <cfRule type="expression" dxfId="4837" priority="287">
      <formula>AND(B$9&gt;=8/24,B$9&lt;14/24)</formula>
    </cfRule>
    <cfRule type="expression" dxfId="4836" priority="288">
      <formula>B$9&lt;8/24</formula>
    </cfRule>
  </conditionalFormatting>
  <conditionalFormatting sqref="AL4:AL6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835" priority="280">
      <formula>M$9&gt;=20/24</formula>
    </cfRule>
    <cfRule type="expression" dxfId="4834" priority="281">
      <formula>AND(M$9&gt;=14/24,M$9&lt;20/24)</formula>
    </cfRule>
    <cfRule type="expression" dxfId="4833" priority="282">
      <formula>AND(M$9&gt;=8/24,M$9&lt;14/24)</formula>
    </cfRule>
    <cfRule type="expression" dxfId="4832" priority="283">
      <formula>M$9&lt;8/24</formula>
    </cfRule>
  </conditionalFormatting>
  <conditionalFormatting sqref="M43:R43">
    <cfRule type="expression" dxfId="4831" priority="276">
      <formula>M$9&gt;=20/24</formula>
    </cfRule>
    <cfRule type="expression" dxfId="4830" priority="277">
      <formula>AND(M$9&gt;=14/24,M$9&lt;20/24)</formula>
    </cfRule>
    <cfRule type="expression" dxfId="4829" priority="278">
      <formula>AND(M$9&gt;=8/24,M$9&lt;14/24)</formula>
    </cfRule>
    <cfRule type="expression" dxfId="4828" priority="279">
      <formula>M$9&lt;8/24</formula>
    </cfRule>
  </conditionalFormatting>
  <conditionalFormatting sqref="S39:AE39">
    <cfRule type="expression" dxfId="4827" priority="268">
      <formula>S$9&gt;=20/24</formula>
    </cfRule>
    <cfRule type="expression" dxfId="4826" priority="269">
      <formula>AND(S$9&gt;=14/24,S$9&lt;20/24)</formula>
    </cfRule>
    <cfRule type="expression" dxfId="4825" priority="270">
      <formula>AND(S$9&gt;=8/24,S$9&lt;14/24)</formula>
    </cfRule>
    <cfRule type="expression" dxfId="4824" priority="271">
      <formula>S$9&lt;8/24</formula>
    </cfRule>
  </conditionalFormatting>
  <conditionalFormatting sqref="S57:AE57">
    <cfRule type="expression" dxfId="4823" priority="264">
      <formula>S$9&gt;=20/24</formula>
    </cfRule>
    <cfRule type="expression" dxfId="4822" priority="265">
      <formula>AND(S$9&gt;=14/24,S$9&lt;20/24)</formula>
    </cfRule>
    <cfRule type="expression" dxfId="4821" priority="266">
      <formula>AND(S$9&gt;=8/24,S$9&lt;14/24)</formula>
    </cfRule>
    <cfRule type="expression" dxfId="4820" priority="267">
      <formula>S$9&lt;8/24</formula>
    </cfRule>
  </conditionalFormatting>
  <conditionalFormatting sqref="S81:AA81">
    <cfRule type="expression" dxfId="4819" priority="260">
      <formula>S$9&gt;=20/24</formula>
    </cfRule>
    <cfRule type="expression" dxfId="4818" priority="261">
      <formula>AND(S$9&gt;=14/24,S$9&lt;20/24)</formula>
    </cfRule>
    <cfRule type="expression" dxfId="4817" priority="262">
      <formula>AND(S$9&gt;=8/24,S$9&lt;14/24)</formula>
    </cfRule>
    <cfRule type="expression" dxfId="4816" priority="263">
      <formula>S$9&lt;8/24</formula>
    </cfRule>
  </conditionalFormatting>
  <conditionalFormatting sqref="U84:AA84">
    <cfRule type="expression" dxfId="4815" priority="256">
      <formula>U$9&gt;=20/24</formula>
    </cfRule>
    <cfRule type="expression" dxfId="4814" priority="257">
      <formula>AND(U$9&gt;=14/24,U$9&lt;20/24)</formula>
    </cfRule>
    <cfRule type="expression" dxfId="4813" priority="258">
      <formula>AND(U$9&gt;=8/24,U$9&lt;14/24)</formula>
    </cfRule>
    <cfRule type="expression" dxfId="4812" priority="259">
      <formula>U$9&lt;8/24</formula>
    </cfRule>
  </conditionalFormatting>
  <conditionalFormatting sqref="M49:AF49">
    <cfRule type="expression" dxfId="4811" priority="248">
      <formula>M$9&gt;=20/24</formula>
    </cfRule>
    <cfRule type="expression" dxfId="4810" priority="249">
      <formula>AND(M$9&gt;=14/24,M$9&lt;20/24)</formula>
    </cfRule>
    <cfRule type="expression" dxfId="4809" priority="250">
      <formula>AND(M$9&gt;=8/24,M$9&lt;14/24)</formula>
    </cfRule>
    <cfRule type="expression" dxfId="4808" priority="251">
      <formula>M$9&lt;8/24</formula>
    </cfRule>
  </conditionalFormatting>
  <conditionalFormatting sqref="M50:S50">
    <cfRule type="expression" dxfId="4807" priority="244">
      <formula>M$9&gt;=20/24</formula>
    </cfRule>
    <cfRule type="expression" dxfId="4806" priority="245">
      <formula>AND(M$9&gt;=14/24,M$9&lt;20/24)</formula>
    </cfRule>
    <cfRule type="expression" dxfId="4805" priority="246">
      <formula>AND(M$9&gt;=8/24,M$9&lt;14/24)</formula>
    </cfRule>
    <cfRule type="expression" dxfId="4804" priority="247">
      <formula>M$9&lt;8/24</formula>
    </cfRule>
  </conditionalFormatting>
  <conditionalFormatting sqref="M45:R48 S47:S48">
    <cfRule type="expression" dxfId="4803" priority="240">
      <formula>M$9&gt;=20/24</formula>
    </cfRule>
    <cfRule type="expression" dxfId="4802" priority="241">
      <formula>AND(M$9&gt;=14/24,M$9&lt;20/24)</formula>
    </cfRule>
    <cfRule type="expression" dxfId="4801" priority="242">
      <formula>AND(M$9&gt;=8/24,M$9&lt;14/24)</formula>
    </cfRule>
    <cfRule type="expression" dxfId="4800" priority="243">
      <formula>M$9&lt;8/24</formula>
    </cfRule>
  </conditionalFormatting>
  <conditionalFormatting sqref="AB37:AE37">
    <cfRule type="expression" dxfId="4799" priority="236">
      <formula>AB$9&gt;=20/24</formula>
    </cfRule>
    <cfRule type="expression" dxfId="4798" priority="237">
      <formula>AND(AB$9&gt;=14/24,AB$9&lt;20/24)</formula>
    </cfRule>
    <cfRule type="expression" dxfId="4797" priority="238">
      <formula>AND(AB$9&gt;=8/24,AB$9&lt;14/24)</formula>
    </cfRule>
    <cfRule type="expression" dxfId="4796" priority="239">
      <formula>AB$9&lt;8/24</formula>
    </cfRule>
  </conditionalFormatting>
  <conditionalFormatting sqref="S42:T43 U43:Y43 S45:AE48 AF46:AF48">
    <cfRule type="expression" dxfId="4795" priority="228">
      <formula>S$9&gt;=20/24</formula>
    </cfRule>
    <cfRule type="expression" dxfId="4794" priority="229">
      <formula>AND(S$9&gt;=14/24,S$9&lt;20/24)</formula>
    </cfRule>
    <cfRule type="expression" dxfId="4793" priority="230">
      <formula>AND(S$9&gt;=8/24,S$9&lt;14/24)</formula>
    </cfRule>
    <cfRule type="expression" dxfId="4792" priority="231">
      <formula>S$9&lt;8/24</formula>
    </cfRule>
  </conditionalFormatting>
  <conditionalFormatting sqref="S49:AF49">
    <cfRule type="expression" dxfId="4791" priority="224">
      <formula>S$9&gt;=20/24</formula>
    </cfRule>
    <cfRule type="expression" dxfId="4790" priority="225">
      <formula>AND(S$9&gt;=14/24,S$9&lt;20/24)</formula>
    </cfRule>
    <cfRule type="expression" dxfId="4789" priority="226">
      <formula>AND(S$9&gt;=8/24,S$9&lt;14/24)</formula>
    </cfRule>
    <cfRule type="expression" dxfId="4788" priority="227">
      <formula>S$9&lt;8/24</formula>
    </cfRule>
  </conditionalFormatting>
  <conditionalFormatting sqref="S50:AF50">
    <cfRule type="expression" dxfId="4787" priority="220">
      <formula>S$9&gt;=20/24</formula>
    </cfRule>
    <cfRule type="expression" dxfId="4786" priority="221">
      <formula>AND(S$9&gt;=14/24,S$9&lt;20/24)</formula>
    </cfRule>
    <cfRule type="expression" dxfId="4785" priority="222">
      <formula>AND(S$9&gt;=8/24,S$9&lt;14/24)</formula>
    </cfRule>
    <cfRule type="expression" dxfId="4784" priority="223">
      <formula>S$9&lt;8/24</formula>
    </cfRule>
  </conditionalFormatting>
  <conditionalFormatting sqref="S60:T61 T62:AA67 X60:AA61 AB60:AE67">
    <cfRule type="expression" dxfId="4783" priority="216">
      <formula>S$9&gt;=20/24</formula>
    </cfRule>
    <cfRule type="expression" dxfId="4782" priority="217">
      <formula>AND(S$9&gt;=14/24,S$9&lt;20/24)</formula>
    </cfRule>
    <cfRule type="expression" dxfId="4781" priority="218">
      <formula>AND(S$9&gt;=8/24,S$9&lt;14/24)</formula>
    </cfRule>
    <cfRule type="expression" dxfId="4780" priority="219">
      <formula>S$9&lt;8/24</formula>
    </cfRule>
  </conditionalFormatting>
  <conditionalFormatting sqref="D62:L62">
    <cfRule type="expression" dxfId="4779" priority="212">
      <formula>D$9&gt;=20/24</formula>
    </cfRule>
    <cfRule type="expression" dxfId="4778" priority="213">
      <formula>AND(D$9&gt;=14/24,D$9&lt;20/24)</formula>
    </cfRule>
    <cfRule type="expression" dxfId="4777" priority="214">
      <formula>AND(D$9&gt;=8/24,D$9&lt;14/24)</formula>
    </cfRule>
    <cfRule type="expression" dxfId="4776" priority="215">
      <formula>D$9&lt;8/24</formula>
    </cfRule>
  </conditionalFormatting>
  <conditionalFormatting sqref="U94:AA97">
    <cfRule type="expression" dxfId="4775" priority="208">
      <formula>U$9&gt;=20/24</formula>
    </cfRule>
    <cfRule type="expression" dxfId="4774" priority="209">
      <formula>AND(U$9&gt;=14/24,U$9&lt;20/24)</formula>
    </cfRule>
    <cfRule type="expression" dxfId="4773" priority="210">
      <formula>AND(U$9&gt;=8/24,U$9&lt;14/24)</formula>
    </cfRule>
    <cfRule type="expression" dxfId="4772" priority="211">
      <formula>U$9&lt;8/24</formula>
    </cfRule>
  </conditionalFormatting>
  <conditionalFormatting sqref="AG51 B11:D15 J11:P11 E11:I14 J12:L14 B34:L36 O12:P12 Q11:R12 S12 B17:L32 S11:AF11 AD36:AF36 AE12:AF15 AC12:AD14 T18:AF23 B37:AF56">
    <cfRule type="expression" dxfId="4771" priority="207">
      <formula>B11&gt;$AG11</formula>
    </cfRule>
  </conditionalFormatting>
  <conditionalFormatting sqref="A101:A157 A84:A97 A11:A14 A16:A32 A45:A72 A80:A82 A74:A78 A35:A43 A170:A200">
    <cfRule type="expression" dxfId="4770" priority="206">
      <formula>$AH11=0</formula>
    </cfRule>
  </conditionalFormatting>
  <conditionalFormatting sqref="U98:AA98">
    <cfRule type="expression" dxfId="4769" priority="202">
      <formula>U$9&gt;=20/24</formula>
    </cfRule>
    <cfRule type="expression" dxfId="4768" priority="203">
      <formula>AND(U$9&gt;=14/24,U$9&lt;20/24)</formula>
    </cfRule>
    <cfRule type="expression" dxfId="4767" priority="204">
      <formula>AND(U$9&gt;=8/24,U$9&lt;14/24)</formula>
    </cfRule>
    <cfRule type="expression" dxfId="4766" priority="205">
      <formula>U$9&lt;8/24</formula>
    </cfRule>
  </conditionalFormatting>
  <conditionalFormatting sqref="A98">
    <cfRule type="expression" dxfId="4765" priority="201">
      <formula>$AH98=0</formula>
    </cfRule>
  </conditionalFormatting>
  <conditionalFormatting sqref="M62:M67 N63:S67">
    <cfRule type="expression" dxfId="4764" priority="189">
      <formula>M$9&gt;=20/24</formula>
    </cfRule>
    <cfRule type="expression" dxfId="4763" priority="190">
      <formula>AND(M$9&gt;=14/24,M$9&lt;20/24)</formula>
    </cfRule>
    <cfRule type="expression" dxfId="4762" priority="191">
      <formula>AND(M$9&gt;=8/24,M$9&lt;14/24)</formula>
    </cfRule>
    <cfRule type="expression" dxfId="4761" priority="192">
      <formula>M$9&lt;8/24</formula>
    </cfRule>
  </conditionalFormatting>
  <conditionalFormatting sqref="AL32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760" priority="175">
      <formula>$AH34=0</formula>
    </cfRule>
  </conditionalFormatting>
  <conditionalFormatting sqref="A83">
    <cfRule type="expression" dxfId="4759" priority="174">
      <formula>$AH83=0</formula>
    </cfRule>
  </conditionalFormatting>
  <conditionalFormatting sqref="AE15">
    <cfRule type="expression" dxfId="4758" priority="170">
      <formula>AE$9&gt;=20/24</formula>
    </cfRule>
    <cfRule type="expression" dxfId="4757" priority="171">
      <formula>AND(AE$9&gt;=14/24,AE$9&lt;20/24)</formula>
    </cfRule>
    <cfRule type="expression" dxfId="4756" priority="172">
      <formula>AND(AE$9&gt;=8/24,AE$9&lt;14/24)</formula>
    </cfRule>
    <cfRule type="expression" dxfId="4755" priority="173">
      <formula>AE$9&lt;8/24</formula>
    </cfRule>
  </conditionalFormatting>
  <conditionalFormatting sqref="E15:L15">
    <cfRule type="expression" dxfId="4754" priority="165">
      <formula>E15&gt;$AG15</formula>
    </cfRule>
  </conditionalFormatting>
  <conditionalFormatting sqref="A15">
    <cfRule type="expression" dxfId="4753" priority="164">
      <formula>$AH15=0</formula>
    </cfRule>
  </conditionalFormatting>
  <conditionalFormatting sqref="A164:A169">
    <cfRule type="expression" dxfId="4752" priority="163">
      <formula>$AH164=0</formula>
    </cfRule>
  </conditionalFormatting>
  <conditionalFormatting sqref="A158:A163">
    <cfRule type="expression" dxfId="4751" priority="162">
      <formula>$AH158=0</formula>
    </cfRule>
  </conditionalFormatting>
  <conditionalFormatting sqref="Z44:AE44">
    <cfRule type="expression" dxfId="4750" priority="158">
      <formula>Z$9&gt;=20/24</formula>
    </cfRule>
    <cfRule type="expression" dxfId="4749" priority="159">
      <formula>AND(Z$9&gt;=14/24,Z$9&lt;20/24)</formula>
    </cfRule>
    <cfRule type="expression" dxfId="4748" priority="160">
      <formula>AND(Z$9&gt;=8/24,Z$9&lt;14/24)</formula>
    </cfRule>
    <cfRule type="expression" dxfId="4747" priority="161">
      <formula>Z$9&lt;8/24</formula>
    </cfRule>
  </conditionalFormatting>
  <conditionalFormatting sqref="M44:R44">
    <cfRule type="expression" dxfId="4746" priority="154">
      <formula>M$9&gt;=20/24</formula>
    </cfRule>
    <cfRule type="expression" dxfId="4745" priority="155">
      <formula>AND(M$9&gt;=14/24,M$9&lt;20/24)</formula>
    </cfRule>
    <cfRule type="expression" dxfId="4744" priority="156">
      <formula>AND(M$9&gt;=8/24,M$9&lt;14/24)</formula>
    </cfRule>
    <cfRule type="expression" dxfId="4743" priority="157">
      <formula>M$9&lt;8/24</formula>
    </cfRule>
  </conditionalFormatting>
  <conditionalFormatting sqref="S44:AD44">
    <cfRule type="expression" dxfId="4742" priority="150">
      <formula>S$9&gt;=20/24</formula>
    </cfRule>
    <cfRule type="expression" dxfId="4741" priority="151">
      <formula>AND(S$9&gt;=14/24,S$9&lt;20/24)</formula>
    </cfRule>
    <cfRule type="expression" dxfId="4740" priority="152">
      <formula>AND(S$9&gt;=8/24,S$9&lt;14/24)</formula>
    </cfRule>
    <cfRule type="expression" dxfId="4739" priority="153">
      <formula>S$9&lt;8/24</formula>
    </cfRule>
  </conditionalFormatting>
  <conditionalFormatting sqref="A44">
    <cfRule type="expression" dxfId="4738" priority="149">
      <formula>$AH44=0</formula>
    </cfRule>
  </conditionalFormatting>
  <conditionalFormatting sqref="A79">
    <cfRule type="expression" dxfId="4737" priority="148">
      <formula>$AH79=0</formula>
    </cfRule>
  </conditionalFormatting>
  <conditionalFormatting sqref="A73">
    <cfRule type="expression" dxfId="4736" priority="147">
      <formula>$AH73=0</formula>
    </cfRule>
  </conditionalFormatting>
  <conditionalFormatting sqref="AL34:AL35 AL7:AL31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4735" priority="143">
      <formula>U$9&gt;=20/24</formula>
    </cfRule>
    <cfRule type="expression" dxfId="4734" priority="144">
      <formula>AND(U$9&gt;=14/24,U$9&lt;20/24)</formula>
    </cfRule>
    <cfRule type="expression" dxfId="4733" priority="145">
      <formula>AND(U$9&gt;=8/24,U$9&lt;14/24)</formula>
    </cfRule>
    <cfRule type="expression" dxfId="4732" priority="146">
      <formula>U$9&lt;8/24</formula>
    </cfRule>
  </conditionalFormatting>
  <conditionalFormatting sqref="U85:W91">
    <cfRule type="expression" dxfId="4731" priority="139">
      <formula>U$9&gt;=20/24</formula>
    </cfRule>
    <cfRule type="expression" dxfId="4730" priority="140">
      <formula>AND(U$9&gt;=14/24,U$9&lt;20/24)</formula>
    </cfRule>
    <cfRule type="expression" dxfId="4729" priority="141">
      <formula>AND(U$9&gt;=8/24,U$9&lt;14/24)</formula>
    </cfRule>
    <cfRule type="expression" dxfId="4728" priority="142">
      <formula>U$9&lt;8/24</formula>
    </cfRule>
  </conditionalFormatting>
  <conditionalFormatting sqref="C84:R91 S85:T91">
    <cfRule type="expression" dxfId="4727" priority="135">
      <formula>C$9&gt;=20/24</formula>
    </cfRule>
    <cfRule type="expression" dxfId="4726" priority="136">
      <formula>AND(C$9&gt;=14/24,C$9&lt;20/24)</formula>
    </cfRule>
    <cfRule type="expression" dxfId="4725" priority="137">
      <formula>AND(C$9&gt;=8/24,C$9&lt;14/24)</formula>
    </cfRule>
    <cfRule type="expression" dxfId="4724" priority="138">
      <formula>C$9&lt;8/24</formula>
    </cfRule>
  </conditionalFormatting>
  <conditionalFormatting sqref="S84:T84">
    <cfRule type="expression" dxfId="4723" priority="131">
      <formula>S$9&gt;=20/24</formula>
    </cfRule>
    <cfRule type="expression" dxfId="4722" priority="132">
      <formula>AND(S$9&gt;=14/24,S$9&lt;20/24)</formula>
    </cfRule>
    <cfRule type="expression" dxfId="4721" priority="133">
      <formula>AND(S$9&gt;=8/24,S$9&lt;14/24)</formula>
    </cfRule>
    <cfRule type="expression" dxfId="4720" priority="134">
      <formula>S$9&lt;8/24</formula>
    </cfRule>
  </conditionalFormatting>
  <conditionalFormatting sqref="C95:M97 C94:F94">
    <cfRule type="expression" dxfId="4719" priority="127">
      <formula>C$9&gt;=20/24</formula>
    </cfRule>
    <cfRule type="expression" dxfId="4718" priority="128">
      <formula>AND(C$9&gt;=14/24,C$9&lt;20/24)</formula>
    </cfRule>
    <cfRule type="expression" dxfId="4717" priority="129">
      <formula>AND(C$9&gt;=8/24,C$9&lt;14/24)</formula>
    </cfRule>
    <cfRule type="expression" dxfId="4716" priority="130">
      <formula>C$9&lt;8/24</formula>
    </cfRule>
  </conditionalFormatting>
  <conditionalFormatting sqref="N95:R97 O94:R94">
    <cfRule type="expression" dxfId="4715" priority="123">
      <formula>N$9&gt;=20/24</formula>
    </cfRule>
    <cfRule type="expression" dxfId="4714" priority="124">
      <formula>AND(N$9&gt;=14/24,N$9&lt;20/24)</formula>
    </cfRule>
    <cfRule type="expression" dxfId="4713" priority="125">
      <formula>AND(N$9&gt;=8/24,N$9&lt;14/24)</formula>
    </cfRule>
    <cfRule type="expression" dxfId="4712" priority="126">
      <formula>N$9&lt;8/24</formula>
    </cfRule>
  </conditionalFormatting>
  <conditionalFormatting sqref="S94:T97">
    <cfRule type="expression" dxfId="4711" priority="119">
      <formula>S$9&gt;=20/24</formula>
    </cfRule>
    <cfRule type="expression" dxfId="4710" priority="120">
      <formula>AND(S$9&gt;=14/24,S$9&lt;20/24)</formula>
    </cfRule>
    <cfRule type="expression" dxfId="4709" priority="121">
      <formula>AND(S$9&gt;=8/24,S$9&lt;14/24)</formula>
    </cfRule>
    <cfRule type="expression" dxfId="4708" priority="122">
      <formula>S$9&lt;8/24</formula>
    </cfRule>
  </conditionalFormatting>
  <conditionalFormatting sqref="C98:M98">
    <cfRule type="expression" dxfId="4707" priority="115">
      <formula>C$9&gt;=20/24</formula>
    </cfRule>
    <cfRule type="expression" dxfId="4706" priority="116">
      <formula>AND(C$9&gt;=14/24,C$9&lt;20/24)</formula>
    </cfRule>
    <cfRule type="expression" dxfId="4705" priority="117">
      <formula>AND(C$9&gt;=8/24,C$9&lt;14/24)</formula>
    </cfRule>
    <cfRule type="expression" dxfId="4704" priority="118">
      <formula>C$9&lt;8/24</formula>
    </cfRule>
  </conditionalFormatting>
  <conditionalFormatting sqref="N98:R98">
    <cfRule type="expression" dxfId="4703" priority="111">
      <formula>N$9&gt;=20/24</formula>
    </cfRule>
    <cfRule type="expression" dxfId="4702" priority="112">
      <formula>AND(N$9&gt;=14/24,N$9&lt;20/24)</formula>
    </cfRule>
    <cfRule type="expression" dxfId="4701" priority="113">
      <formula>AND(N$9&gt;=8/24,N$9&lt;14/24)</formula>
    </cfRule>
    <cfRule type="expression" dxfId="4700" priority="114">
      <formula>N$9&lt;8/24</formula>
    </cfRule>
  </conditionalFormatting>
  <conditionalFormatting sqref="S98:T98">
    <cfRule type="expression" dxfId="4699" priority="107">
      <formula>S$9&gt;=20/24</formula>
    </cfRule>
    <cfRule type="expression" dxfId="4698" priority="108">
      <formula>AND(S$9&gt;=14/24,S$9&lt;20/24)</formula>
    </cfRule>
    <cfRule type="expression" dxfId="4697" priority="109">
      <formula>AND(S$9&gt;=8/24,S$9&lt;14/24)</formula>
    </cfRule>
    <cfRule type="expression" dxfId="4696" priority="110">
      <formula>S$9&lt;8/24</formula>
    </cfRule>
  </conditionalFormatting>
  <conditionalFormatting sqref="M94:N94">
    <cfRule type="expression" dxfId="4695" priority="103">
      <formula>M$9&gt;=20/24</formula>
    </cfRule>
    <cfRule type="expression" dxfId="4694" priority="104">
      <formula>AND(M$9&gt;=14/24,M$9&lt;20/24)</formula>
    </cfRule>
    <cfRule type="expression" dxfId="4693" priority="105">
      <formula>AND(M$9&gt;=8/24,M$9&lt;14/24)</formula>
    </cfRule>
    <cfRule type="expression" dxfId="4692" priority="106">
      <formula>M$9&lt;8/24</formula>
    </cfRule>
  </conditionalFormatting>
  <conditionalFormatting sqref="G94:L94">
    <cfRule type="expression" dxfId="4691" priority="99">
      <formula>G$9&gt;=20/24</formula>
    </cfRule>
    <cfRule type="expression" dxfId="4690" priority="100">
      <formula>AND(G$9&gt;=14/24,G$9&lt;20/24)</formula>
    </cfRule>
    <cfRule type="expression" dxfId="4689" priority="101">
      <formula>AND(G$9&gt;=8/24,G$9&lt;14/24)</formula>
    </cfRule>
    <cfRule type="expression" dxfId="4688" priority="102">
      <formula>G$9&lt;8/24</formula>
    </cfRule>
  </conditionalFormatting>
  <conditionalFormatting sqref="U94:W94">
    <cfRule type="expression" dxfId="4687" priority="95">
      <formula>U$9&gt;=20/24</formula>
    </cfRule>
    <cfRule type="expression" dxfId="4686" priority="96">
      <formula>AND(U$9&gt;=14/24,U$9&lt;20/24)</formula>
    </cfRule>
    <cfRule type="expression" dxfId="4685" priority="97">
      <formula>AND(U$9&gt;=8/24,U$9&lt;14/24)</formula>
    </cfRule>
    <cfRule type="expression" dxfId="4684" priority="98">
      <formula>U$9&lt;8/24</formula>
    </cfRule>
  </conditionalFormatting>
  <conditionalFormatting sqref="N94:T94">
    <cfRule type="expression" dxfId="4683" priority="91">
      <formula>N$9&gt;=20/24</formula>
    </cfRule>
    <cfRule type="expression" dxfId="4682" priority="92">
      <formula>AND(N$9&gt;=14/24,N$9&lt;20/24)</formula>
    </cfRule>
    <cfRule type="expression" dxfId="4681" priority="93">
      <formula>AND(N$9&gt;=8/24,N$9&lt;14/24)</formula>
    </cfRule>
    <cfRule type="expression" dxfId="4680" priority="94">
      <formula>N$9&lt;8/24</formula>
    </cfRule>
  </conditionalFormatting>
  <conditionalFormatting sqref="U99:AA100">
    <cfRule type="expression" dxfId="4679" priority="87">
      <formula>U$9&gt;=20/24</formula>
    </cfRule>
    <cfRule type="expression" dxfId="4678" priority="88">
      <formula>AND(U$9&gt;=14/24,U$9&lt;20/24)</formula>
    </cfRule>
    <cfRule type="expression" dxfId="4677" priority="89">
      <formula>AND(U$9&gt;=8/24,U$9&lt;14/24)</formula>
    </cfRule>
    <cfRule type="expression" dxfId="4676" priority="90">
      <formula>U$9&lt;8/24</formula>
    </cfRule>
  </conditionalFormatting>
  <conditionalFormatting sqref="C99:M100">
    <cfRule type="expression" dxfId="4675" priority="83">
      <formula>C$9&gt;=20/24</formula>
    </cfRule>
    <cfRule type="expression" dxfId="4674" priority="84">
      <formula>AND(C$9&gt;=14/24,C$9&lt;20/24)</formula>
    </cfRule>
    <cfRule type="expression" dxfId="4673" priority="85">
      <formula>AND(C$9&gt;=8/24,C$9&lt;14/24)</formula>
    </cfRule>
    <cfRule type="expression" dxfId="4672" priority="86">
      <formula>C$9&lt;8/24</formula>
    </cfRule>
  </conditionalFormatting>
  <conditionalFormatting sqref="N99:R100">
    <cfRule type="expression" dxfId="4671" priority="79">
      <formula>N$9&gt;=20/24</formula>
    </cfRule>
    <cfRule type="expression" dxfId="4670" priority="80">
      <formula>AND(N$9&gt;=14/24,N$9&lt;20/24)</formula>
    </cfRule>
    <cfRule type="expression" dxfId="4669" priority="81">
      <formula>AND(N$9&gt;=8/24,N$9&lt;14/24)</formula>
    </cfRule>
    <cfRule type="expression" dxfId="4668" priority="82">
      <formula>N$9&lt;8/24</formula>
    </cfRule>
  </conditionalFormatting>
  <conditionalFormatting sqref="S99:T100">
    <cfRule type="expression" dxfId="4667" priority="75">
      <formula>S$9&gt;=20/24</formula>
    </cfRule>
    <cfRule type="expression" dxfId="4666" priority="76">
      <formula>AND(S$9&gt;=14/24,S$9&lt;20/24)</formula>
    </cfRule>
    <cfRule type="expression" dxfId="4665" priority="77">
      <formula>AND(S$9&gt;=8/24,S$9&lt;14/24)</formula>
    </cfRule>
    <cfRule type="expression" dxfId="4664" priority="78">
      <formula>S$9&lt;8/24</formula>
    </cfRule>
  </conditionalFormatting>
  <conditionalFormatting sqref="T12:AB15 AC15:AD15">
    <cfRule type="expression" dxfId="4663" priority="71">
      <formula>T$9&gt;=20/24</formula>
    </cfRule>
    <cfRule type="expression" dxfId="4662" priority="72">
      <formula>AND(T$9&gt;=14/24,T$9&lt;20/24)</formula>
    </cfRule>
    <cfRule type="expression" dxfId="4661" priority="73">
      <formula>AND(T$9&gt;=8/24,T$9&lt;14/24)</formula>
    </cfRule>
    <cfRule type="expression" dxfId="4660" priority="74">
      <formula>T$9&lt;8/24</formula>
    </cfRule>
  </conditionalFormatting>
  <conditionalFormatting sqref="T17:AF17">
    <cfRule type="expression" dxfId="4659" priority="67">
      <formula>T$9&gt;=20/24</formula>
    </cfRule>
    <cfRule type="expression" dxfId="4658" priority="68">
      <formula>AND(T$9&gt;=14/24,T$9&lt;20/24)</formula>
    </cfRule>
    <cfRule type="expression" dxfId="4657" priority="69">
      <formula>AND(T$9&gt;=8/24,T$9&lt;14/24)</formula>
    </cfRule>
    <cfRule type="expression" dxfId="4656" priority="70">
      <formula>T$9&lt;8/24</formula>
    </cfRule>
  </conditionalFormatting>
  <conditionalFormatting sqref="T12:AB13">
    <cfRule type="expression" dxfId="4655" priority="63">
      <formula>T$9&gt;=20/24</formula>
    </cfRule>
    <cfRule type="expression" dxfId="4654" priority="64">
      <formula>AND(T$9&gt;=14/24,T$9&lt;20/24)</formula>
    </cfRule>
    <cfRule type="expression" dxfId="4653" priority="65">
      <formula>AND(T$9&gt;=8/24,T$9&lt;14/24)</formula>
    </cfRule>
    <cfRule type="expression" dxfId="4652" priority="66">
      <formula>T$9&lt;8/24</formula>
    </cfRule>
  </conditionalFormatting>
  <conditionalFormatting sqref="AB58:AE59">
    <cfRule type="expression" dxfId="4651" priority="59">
      <formula>AB$9&gt;=20/24</formula>
    </cfRule>
    <cfRule type="expression" dxfId="4650" priority="60">
      <formula>AND(AB$9&gt;=14/24,AB$9&lt;20/24)</formula>
    </cfRule>
    <cfRule type="expression" dxfId="4649" priority="61">
      <formula>AND(AB$9&gt;=8/24,AB$9&lt;14/24)</formula>
    </cfRule>
    <cfRule type="expression" dxfId="4648" priority="62">
      <formula>AB$9&lt;8/24</formula>
    </cfRule>
  </conditionalFormatting>
  <conditionalFormatting sqref="AL33">
    <cfRule type="iconSet" priority="5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647" priority="292">
      <formula>C$9&gt;=20/24</formula>
    </cfRule>
    <cfRule type="expression" dxfId="4646" priority="293">
      <formula>AND(C$9&gt;=14/24,C$9&lt;20/24)</formula>
    </cfRule>
    <cfRule type="expression" dxfId="4645" priority="294">
      <formula>AND(C$9&gt;=8/24,C$9&lt;14/24)</formula>
    </cfRule>
    <cfRule type="expression" dxfId="4644" priority="295">
      <formula>C$9&lt;8/24</formula>
    </cfRule>
  </conditionalFormatting>
  <conditionalFormatting sqref="A201">
    <cfRule type="expression" dxfId="4643" priority="296">
      <formula>$AH201=0</formula>
    </cfRule>
  </conditionalFormatting>
  <conditionalFormatting sqref="AG213">
    <cfRule type="expression" dxfId="4642" priority="297">
      <formula>B$9&gt;=20/24</formula>
    </cfRule>
    <cfRule type="expression" dxfId="4641" priority="298">
      <formula>AND(B$9&gt;=14/24,B$9&lt;20/24)</formula>
    </cfRule>
    <cfRule type="expression" dxfId="4640" priority="299">
      <formula>AND(B$9&gt;=8/24,B$9&lt;14/24)</formula>
    </cfRule>
    <cfRule type="expression" dxfId="4639" priority="300">
      <formula>B$9&lt;8/24</formula>
    </cfRule>
  </conditionalFormatting>
  <conditionalFormatting sqref="S8">
    <cfRule type="expression" dxfId="4638" priority="53">
      <formula>U$9&gt;=20/24</formula>
    </cfRule>
    <cfRule type="expression" dxfId="4637" priority="54">
      <formula>AND(U$9&gt;=14/24,U$9&lt;20/24)</formula>
    </cfRule>
    <cfRule type="expression" dxfId="4636" priority="55">
      <formula>AND(U$9&gt;=8/24,U$9&lt;14/24)</formula>
    </cfRule>
    <cfRule type="expression" dxfId="4635" priority="56">
      <formula>U$9&lt;8/24</formula>
    </cfRule>
  </conditionalFormatting>
  <conditionalFormatting sqref="AB8">
    <cfRule type="expression" dxfId="4634" priority="49">
      <formula>AD$9&gt;=20/24</formula>
    </cfRule>
    <cfRule type="expression" dxfId="4633" priority="50">
      <formula>AND(AD$9&gt;=14/24,AD$9&lt;20/24)</formula>
    </cfRule>
    <cfRule type="expression" dxfId="4632" priority="51">
      <formula>AND(AD$9&gt;=8/24,AD$9&lt;14/24)</formula>
    </cfRule>
    <cfRule type="expression" dxfId="4631" priority="52">
      <formula>AD$9&lt;8/24</formula>
    </cfRule>
  </conditionalFormatting>
  <conditionalFormatting sqref="AH213:AX213">
    <cfRule type="expression" dxfId="4630" priority="301">
      <formula>AG$9&gt;=20/24</formula>
    </cfRule>
    <cfRule type="expression" dxfId="4629" priority="302">
      <formula>AND(AG$9&gt;=14/24,AG$9&lt;20/24)</formula>
    </cfRule>
    <cfRule type="expression" dxfId="4628" priority="303">
      <formula>AND(AG$9&gt;=8/24,AG$9&lt;14/24)</formula>
    </cfRule>
    <cfRule type="expression" dxfId="4627" priority="304">
      <formula>AG$9&lt;8/24</formula>
    </cfRule>
  </conditionalFormatting>
  <conditionalFormatting sqref="T213">
    <cfRule type="expression" dxfId="4626" priority="305">
      <formula>AX$9&gt;=20/24</formula>
    </cfRule>
    <cfRule type="expression" dxfId="4625" priority="306">
      <formula>AND(AX$9&gt;=14/24,AX$9&lt;20/24)</formula>
    </cfRule>
    <cfRule type="expression" dxfId="4624" priority="307">
      <formula>AND(AX$9&gt;=8/24,AX$9&lt;14/24)</formula>
    </cfRule>
    <cfRule type="expression" dxfId="4623" priority="308">
      <formula>AX$9&lt;8/24</formula>
    </cfRule>
  </conditionalFormatting>
  <conditionalFormatting sqref="A99:A100">
    <cfRule type="expression" dxfId="4622" priority="48">
      <formula>$AH99=0</formula>
    </cfRule>
  </conditionalFormatting>
  <conditionalFormatting sqref="B33:L33">
    <cfRule type="expression" dxfId="4621" priority="35">
      <formula>B33&gt;$AG33</formula>
    </cfRule>
  </conditionalFormatting>
  <conditionalFormatting sqref="M12:N14 O13:S14 M17:S32 M36:AC36 T24:AF32">
    <cfRule type="expression" dxfId="4620" priority="31">
      <formula>M$9&gt;=20/24</formula>
    </cfRule>
    <cfRule type="expression" dxfId="4619" priority="32">
      <formula>AND(M$9&gt;=14/24,M$9&lt;20/24)</formula>
    </cfRule>
    <cfRule type="expression" dxfId="4618" priority="33">
      <formula>AND(M$9&gt;=8/24,M$9&lt;14/24)</formula>
    </cfRule>
    <cfRule type="expression" dxfId="4617" priority="34">
      <formula>M$9&lt;8/24</formula>
    </cfRule>
  </conditionalFormatting>
  <conditionalFormatting sqref="M35:AF35">
    <cfRule type="expression" dxfId="4616" priority="27">
      <formula>M$9&gt;=20/24</formula>
    </cfRule>
    <cfRule type="expression" dxfId="4615" priority="28">
      <formula>AND(M$9&gt;=14/24,M$9&lt;20/24)</formula>
    </cfRule>
    <cfRule type="expression" dxfId="4614" priority="29">
      <formula>AND(M$9&gt;=8/24,M$9&lt;14/24)</formula>
    </cfRule>
    <cfRule type="expression" dxfId="4613" priority="30">
      <formula>M$9&lt;8/24</formula>
    </cfRule>
  </conditionalFormatting>
  <conditionalFormatting sqref="M12:N14 M17:S32 O13:S14 M34:AC36 T24:AF32 AD34:AF35">
    <cfRule type="expression" dxfId="4612" priority="26">
      <formula>M12&gt;$AG12</formula>
    </cfRule>
  </conditionalFormatting>
  <conditionalFormatting sqref="M34:AF34">
    <cfRule type="expression" dxfId="4611" priority="22">
      <formula>M$9&gt;=20/24</formula>
    </cfRule>
    <cfRule type="expression" dxfId="4610" priority="23">
      <formula>AND(M$9&gt;=14/24,M$9&lt;20/24)</formula>
    </cfRule>
    <cfRule type="expression" dxfId="4609" priority="24">
      <formula>AND(M$9&gt;=8/24,M$9&lt;14/24)</formula>
    </cfRule>
    <cfRule type="expression" dxfId="4608" priority="25">
      <formula>M$9&lt;8/24</formula>
    </cfRule>
  </conditionalFormatting>
  <conditionalFormatting sqref="M15:S15">
    <cfRule type="expression" dxfId="4607" priority="18">
      <formula>M$9&gt;=20/24</formula>
    </cfRule>
    <cfRule type="expression" dxfId="4606" priority="19">
      <formula>AND(M$9&gt;=14/24,M$9&lt;20/24)</formula>
    </cfRule>
    <cfRule type="expression" dxfId="4605" priority="20">
      <formula>AND(M$9&gt;=8/24,M$9&lt;14/24)</formula>
    </cfRule>
    <cfRule type="expression" dxfId="4604" priority="21">
      <formula>M$9&lt;8/24</formula>
    </cfRule>
  </conditionalFormatting>
  <conditionalFormatting sqref="M15:S15">
    <cfRule type="expression" dxfId="4603" priority="17">
      <formula>M15&gt;$AG15</formula>
    </cfRule>
  </conditionalFormatting>
  <conditionalFormatting sqref="M33:AF33">
    <cfRule type="expression" dxfId="4602" priority="13">
      <formula>M$9&gt;=20/24</formula>
    </cfRule>
    <cfRule type="expression" dxfId="4601" priority="14">
      <formula>AND(M$9&gt;=14/24,M$9&lt;20/24)</formula>
    </cfRule>
    <cfRule type="expression" dxfId="4600" priority="15">
      <formula>AND(M$9&gt;=8/24,M$9&lt;14/24)</formula>
    </cfRule>
    <cfRule type="expression" dxfId="4599" priority="16">
      <formula>M$9&lt;8/24</formula>
    </cfRule>
  </conditionalFormatting>
  <conditionalFormatting sqref="M33:AF33">
    <cfRule type="expression" dxfId="4598" priority="12">
      <formula>M33&gt;$AG33</formula>
    </cfRule>
  </conditionalFormatting>
  <conditionalFormatting sqref="B16:D16">
    <cfRule type="expression" dxfId="4597" priority="11">
      <formula>B16&gt;$AG16</formula>
    </cfRule>
  </conditionalFormatting>
  <conditionalFormatting sqref="E16:L16">
    <cfRule type="expression" dxfId="4596" priority="10">
      <formula>E16&gt;$AG16</formula>
    </cfRule>
  </conditionalFormatting>
  <conditionalFormatting sqref="T16:AF16">
    <cfRule type="expression" dxfId="4595" priority="6">
      <formula>T$9&gt;=20/24</formula>
    </cfRule>
    <cfRule type="expression" dxfId="4594" priority="7">
      <formula>AND(T$9&gt;=14/24,T$9&lt;20/24)</formula>
    </cfRule>
    <cfRule type="expression" dxfId="4593" priority="8">
      <formula>AND(T$9&gt;=8/24,T$9&lt;14/24)</formula>
    </cfRule>
    <cfRule type="expression" dxfId="4592" priority="9">
      <formula>T$9&lt;8/24</formula>
    </cfRule>
  </conditionalFormatting>
  <conditionalFormatting sqref="M16:S16">
    <cfRule type="expression" dxfId="4591" priority="2">
      <formula>M$9&gt;=20/24</formula>
    </cfRule>
    <cfRule type="expression" dxfId="4590" priority="3">
      <formula>AND(M$9&gt;=14/24,M$9&lt;20/24)</formula>
    </cfRule>
    <cfRule type="expression" dxfId="4589" priority="4">
      <formula>AND(M$9&gt;=8/24,M$9&lt;14/24)</formula>
    </cfRule>
    <cfRule type="expression" dxfId="4588" priority="5">
      <formula>M$9&lt;8/24</formula>
    </cfRule>
  </conditionalFormatting>
  <conditionalFormatting sqref="M16:S16">
    <cfRule type="expression" dxfId="4587" priority="1">
      <formula>M16&gt;$AG16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334CF0F2-942C-415B-9390-FD7DFF577FF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CJ472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F49" sqref="F4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2078/12/16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129.69999999999999</v>
      </c>
      <c r="C5" s="157">
        <f t="shared" si="0"/>
        <v>148.4</v>
      </c>
      <c r="D5" s="157">
        <f t="shared" si="0"/>
        <v>301.29999999999995</v>
      </c>
      <c r="E5" s="157">
        <f t="shared" si="0"/>
        <v>303.79999999999995</v>
      </c>
      <c r="F5" s="157">
        <f t="shared" si="0"/>
        <v>301.29999999999995</v>
      </c>
      <c r="G5" s="157">
        <f t="shared" si="0"/>
        <v>296.60000000000002</v>
      </c>
      <c r="H5" s="157">
        <f t="shared" si="0"/>
        <v>304.59999999999997</v>
      </c>
      <c r="I5" s="157">
        <f t="shared" si="0"/>
        <v>248.4</v>
      </c>
      <c r="J5" s="157">
        <f t="shared" si="0"/>
        <v>281.47000000000003</v>
      </c>
      <c r="K5" s="157">
        <f t="shared" si="0"/>
        <v>416</v>
      </c>
      <c r="L5" s="157">
        <f t="shared" si="0"/>
        <v>428.79999999999995</v>
      </c>
      <c r="M5" s="157">
        <f t="shared" si="0"/>
        <v>401.29999999999995</v>
      </c>
      <c r="N5" s="157">
        <f t="shared" si="0"/>
        <v>484.7</v>
      </c>
      <c r="O5" s="157">
        <f t="shared" si="0"/>
        <v>492</v>
      </c>
      <c r="P5" s="157">
        <f t="shared" si="0"/>
        <v>499.9</v>
      </c>
      <c r="Q5" s="157">
        <f t="shared" si="0"/>
        <v>601</v>
      </c>
      <c r="R5" s="157">
        <f t="shared" si="0"/>
        <v>408.9</v>
      </c>
      <c r="S5" s="157">
        <f t="shared" si="0"/>
        <v>433.19999999999993</v>
      </c>
      <c r="T5" s="157">
        <f t="shared" si="0"/>
        <v>379.6</v>
      </c>
      <c r="U5" s="157">
        <f t="shared" si="0"/>
        <v>354</v>
      </c>
      <c r="V5" s="157">
        <f t="shared" si="0"/>
        <v>331.3</v>
      </c>
      <c r="W5" s="157">
        <f t="shared" si="0"/>
        <v>292.8</v>
      </c>
      <c r="X5" s="157">
        <f t="shared" si="0"/>
        <v>172.2</v>
      </c>
      <c r="Y5" s="157">
        <f t="shared" si="0"/>
        <v>160.1</v>
      </c>
      <c r="Z5" s="157">
        <f t="shared" si="0"/>
        <v>105.9</v>
      </c>
      <c r="AA5" s="157">
        <f t="shared" si="0"/>
        <v>143.30000000000001</v>
      </c>
      <c r="AB5" s="157">
        <f t="shared" si="0"/>
        <v>144.30000000000001</v>
      </c>
      <c r="AC5" s="157">
        <f t="shared" si="0"/>
        <v>153.30000000000001</v>
      </c>
      <c r="AD5" s="157">
        <f t="shared" si="0"/>
        <v>135</v>
      </c>
      <c r="AE5" s="157">
        <f t="shared" si="0"/>
        <v>151</v>
      </c>
      <c r="AF5" s="157">
        <f>B68</f>
        <v>106.07000000000001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1458MW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Load=1120</v>
      </c>
      <c r="B7" s="146">
        <f>B75</f>
        <v>1198.3100000000002</v>
      </c>
      <c r="C7" s="146">
        <f t="shared" ref="C7:AF7" si="1">C75</f>
        <v>1167.44</v>
      </c>
      <c r="D7" s="146">
        <f t="shared" si="1"/>
        <v>1134.44</v>
      </c>
      <c r="E7" s="146">
        <f t="shared" si="1"/>
        <v>1180.1399999999999</v>
      </c>
      <c r="F7" s="146">
        <f t="shared" si="1"/>
        <v>1120.3399999999999</v>
      </c>
      <c r="G7" s="146">
        <f t="shared" si="1"/>
        <v>1169.54</v>
      </c>
      <c r="H7" s="146">
        <f t="shared" si="1"/>
        <v>1189.6400000000001</v>
      </c>
      <c r="I7" s="146">
        <f t="shared" si="1"/>
        <v>1234.94</v>
      </c>
      <c r="J7" s="146">
        <f t="shared" si="1"/>
        <v>1265.04</v>
      </c>
      <c r="K7" s="146">
        <f t="shared" si="1"/>
        <v>1418.81</v>
      </c>
      <c r="L7" s="146">
        <f t="shared" si="1"/>
        <v>1458.14</v>
      </c>
      <c r="M7" s="146">
        <f t="shared" si="1"/>
        <v>1449.1399999999999</v>
      </c>
      <c r="N7" s="146">
        <f t="shared" si="1"/>
        <v>1360.7399999999998</v>
      </c>
      <c r="O7" s="146">
        <f t="shared" si="1"/>
        <v>1394.3400000000001</v>
      </c>
      <c r="P7" s="146">
        <f t="shared" si="1"/>
        <v>1398.54</v>
      </c>
      <c r="Q7" s="146">
        <f t="shared" si="1"/>
        <v>1408.44</v>
      </c>
      <c r="R7" s="146">
        <f t="shared" si="1"/>
        <v>1393.74</v>
      </c>
      <c r="S7" s="146">
        <f t="shared" si="1"/>
        <v>1298.04</v>
      </c>
      <c r="T7" s="146">
        <f t="shared" si="1"/>
        <v>1380.44</v>
      </c>
      <c r="U7" s="146">
        <f t="shared" si="1"/>
        <v>1365.2400000000002</v>
      </c>
      <c r="V7" s="146">
        <f t="shared" si="1"/>
        <v>1369.64</v>
      </c>
      <c r="W7" s="146">
        <f t="shared" si="1"/>
        <v>1380.64</v>
      </c>
      <c r="X7" s="146">
        <f t="shared" si="1"/>
        <v>1273.94</v>
      </c>
      <c r="Y7" s="146">
        <f t="shared" si="1"/>
        <v>1543.44</v>
      </c>
      <c r="Z7" s="146">
        <f t="shared" si="1"/>
        <v>1606.8400000000001</v>
      </c>
      <c r="AA7" s="146">
        <f t="shared" si="1"/>
        <v>1551.9400000000003</v>
      </c>
      <c r="AB7" s="146">
        <f t="shared" si="1"/>
        <v>1503.94</v>
      </c>
      <c r="AC7" s="146">
        <f t="shared" si="1"/>
        <v>1497.0400000000002</v>
      </c>
      <c r="AD7" s="146">
        <f t="shared" si="1"/>
        <v>1402.1400000000003</v>
      </c>
      <c r="AE7" s="146">
        <f t="shared" si="1"/>
        <v>1383.8400000000001</v>
      </c>
      <c r="AF7" s="146">
        <f t="shared" si="1"/>
        <v>1259.24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110</v>
      </c>
      <c r="C11" s="127">
        <v>90</v>
      </c>
      <c r="D11" s="127">
        <v>90</v>
      </c>
      <c r="E11" s="127">
        <v>12</v>
      </c>
      <c r="F11" s="127">
        <v>12</v>
      </c>
      <c r="G11" s="127">
        <v>12</v>
      </c>
      <c r="H11" s="127">
        <v>12</v>
      </c>
      <c r="I11" s="127">
        <v>70</v>
      </c>
      <c r="J11" s="127">
        <v>180</v>
      </c>
      <c r="K11" s="127">
        <v>250</v>
      </c>
      <c r="L11" s="127">
        <v>220</v>
      </c>
      <c r="M11" s="103">
        <v>200</v>
      </c>
      <c r="N11" s="103">
        <v>130</v>
      </c>
      <c r="O11" s="103">
        <v>100</v>
      </c>
      <c r="P11" s="103">
        <v>100</v>
      </c>
      <c r="Q11" s="103">
        <v>80</v>
      </c>
      <c r="R11" s="103">
        <v>26</v>
      </c>
      <c r="S11" s="103">
        <v>80.400000000000006</v>
      </c>
      <c r="T11" s="103">
        <v>140</v>
      </c>
      <c r="U11" s="103">
        <v>180</v>
      </c>
      <c r="V11" s="103">
        <v>210</v>
      </c>
      <c r="W11" s="103">
        <v>230</v>
      </c>
      <c r="X11" s="103">
        <v>160</v>
      </c>
      <c r="Y11" s="103">
        <v>310</v>
      </c>
      <c r="Z11" s="179">
        <v>400</v>
      </c>
      <c r="AA11" s="103">
        <v>420</v>
      </c>
      <c r="AB11" s="103">
        <v>390</v>
      </c>
      <c r="AC11" s="103">
        <v>390</v>
      </c>
      <c r="AD11" s="103">
        <v>320</v>
      </c>
      <c r="AE11" s="103">
        <v>320</v>
      </c>
      <c r="AF11" s="127">
        <v>160</v>
      </c>
      <c r="AG11" s="54">
        <v>456</v>
      </c>
      <c r="AH11" s="21">
        <f>MAX(B11:AF11)</f>
        <v>420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77">
        <v>27</v>
      </c>
      <c r="AA12" s="77">
        <v>27</v>
      </c>
      <c r="AB12" s="77">
        <v>27</v>
      </c>
      <c r="AC12" s="77">
        <v>27</v>
      </c>
      <c r="AD12" s="77">
        <v>27</v>
      </c>
      <c r="AE12" s="77">
        <v>27</v>
      </c>
      <c r="AF12" s="77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18.399999999999999</v>
      </c>
      <c r="C13" s="127">
        <v>16.8</v>
      </c>
      <c r="D13" s="127">
        <v>16.8</v>
      </c>
      <c r="E13" s="127">
        <v>17.3</v>
      </c>
      <c r="F13" s="127">
        <v>19.600000000000001</v>
      </c>
      <c r="G13" s="127">
        <v>20.8</v>
      </c>
      <c r="H13" s="127">
        <v>20.8</v>
      </c>
      <c r="I13" s="127">
        <v>20.8</v>
      </c>
      <c r="J13" s="127">
        <v>20.8</v>
      </c>
      <c r="K13" s="127">
        <v>20.7</v>
      </c>
      <c r="L13" s="127">
        <v>19.3</v>
      </c>
      <c r="M13" s="127">
        <v>19.7</v>
      </c>
      <c r="N13" s="127">
        <v>19.7</v>
      </c>
      <c r="O13" s="127">
        <v>19.7</v>
      </c>
      <c r="P13" s="127">
        <v>19.7</v>
      </c>
      <c r="Q13" s="127">
        <v>17.8</v>
      </c>
      <c r="R13" s="127">
        <v>17.8</v>
      </c>
      <c r="S13" s="127">
        <v>17.8</v>
      </c>
      <c r="T13" s="127">
        <v>17.8</v>
      </c>
      <c r="U13" s="127">
        <v>17.8</v>
      </c>
      <c r="V13" s="127">
        <v>17.8</v>
      </c>
      <c r="W13" s="127">
        <v>17.8</v>
      </c>
      <c r="X13" s="127">
        <v>17.8</v>
      </c>
      <c r="Y13" s="127">
        <v>17.8</v>
      </c>
      <c r="Z13" s="77">
        <v>17.8</v>
      </c>
      <c r="AA13" s="77">
        <v>17.8</v>
      </c>
      <c r="AB13" s="77">
        <v>17.8</v>
      </c>
      <c r="AC13" s="77">
        <v>17.8</v>
      </c>
      <c r="AD13" s="77">
        <v>17.8</v>
      </c>
      <c r="AE13" s="77">
        <v>17.8</v>
      </c>
      <c r="AF13" s="77">
        <v>17.8</v>
      </c>
      <c r="AG13" s="134">
        <v>52.4</v>
      </c>
      <c r="AH13" s="21">
        <f t="shared" si="2"/>
        <v>20.8</v>
      </c>
      <c r="AI13" s="20">
        <f t="shared" si="3"/>
        <v>16.8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25.4</v>
      </c>
      <c r="C14" s="127">
        <v>25.4</v>
      </c>
      <c r="D14" s="127">
        <v>25.3</v>
      </c>
      <c r="E14" s="127">
        <v>25.4</v>
      </c>
      <c r="F14" s="127">
        <v>25.4</v>
      </c>
      <c r="G14" s="127">
        <v>25.4</v>
      </c>
      <c r="H14" s="127">
        <v>25.4</v>
      </c>
      <c r="I14" s="127">
        <v>25.4</v>
      </c>
      <c r="J14" s="127">
        <v>25.4</v>
      </c>
      <c r="K14" s="127">
        <v>25.4</v>
      </c>
      <c r="L14" s="127">
        <v>25.2</v>
      </c>
      <c r="M14" s="103">
        <v>25.4</v>
      </c>
      <c r="N14" s="103">
        <v>25.4</v>
      </c>
      <c r="O14" s="103">
        <v>25.4</v>
      </c>
      <c r="P14" s="103">
        <v>25.4</v>
      </c>
      <c r="Q14" s="103">
        <v>25.3</v>
      </c>
      <c r="R14" s="103">
        <v>25.3</v>
      </c>
      <c r="S14" s="103">
        <v>25.3</v>
      </c>
      <c r="T14" s="103">
        <v>25.3</v>
      </c>
      <c r="U14" s="103">
        <v>25.3</v>
      </c>
      <c r="V14" s="103">
        <v>25.3</v>
      </c>
      <c r="W14" s="103">
        <v>25.3</v>
      </c>
      <c r="X14" s="103">
        <v>25.3</v>
      </c>
      <c r="Y14" s="103">
        <v>25.3</v>
      </c>
      <c r="Z14" s="67">
        <v>25.3</v>
      </c>
      <c r="AA14" s="67">
        <v>25.3</v>
      </c>
      <c r="AB14" s="67">
        <v>25.3</v>
      </c>
      <c r="AC14" s="67">
        <v>25.3</v>
      </c>
      <c r="AD14" s="67">
        <v>25.3</v>
      </c>
      <c r="AE14" s="67">
        <v>25.3</v>
      </c>
      <c r="AF14" s="67">
        <v>25.3</v>
      </c>
      <c r="AG14" s="134">
        <v>50</v>
      </c>
      <c r="AH14" s="21">
        <f t="shared" si="2"/>
        <v>25.4</v>
      </c>
      <c r="AI14" s="20">
        <f t="shared" si="3"/>
        <v>25.2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22.9</v>
      </c>
      <c r="C15" s="123">
        <v>22.8</v>
      </c>
      <c r="D15" s="123">
        <v>22.8</v>
      </c>
      <c r="E15" s="123">
        <v>22.8</v>
      </c>
      <c r="F15" s="123">
        <v>22.8</v>
      </c>
      <c r="G15" s="123">
        <v>22.9</v>
      </c>
      <c r="H15" s="123">
        <v>22.9</v>
      </c>
      <c r="I15" s="123">
        <v>22.9</v>
      </c>
      <c r="J15" s="123">
        <v>22.8</v>
      </c>
      <c r="K15" s="123">
        <v>22.8</v>
      </c>
      <c r="L15" s="123">
        <v>22.7</v>
      </c>
      <c r="M15" s="103">
        <v>22.7</v>
      </c>
      <c r="N15" s="103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103">
        <v>22.7</v>
      </c>
      <c r="V15" s="103">
        <v>22.7</v>
      </c>
      <c r="W15" s="103">
        <v>22.7</v>
      </c>
      <c r="X15" s="103">
        <v>22.7</v>
      </c>
      <c r="Y15" s="103">
        <v>22.7</v>
      </c>
      <c r="Z15" s="67">
        <v>22.7</v>
      </c>
      <c r="AA15" s="67">
        <v>22.7</v>
      </c>
      <c r="AB15" s="67">
        <v>22.7</v>
      </c>
      <c r="AC15" s="67">
        <v>22.7</v>
      </c>
      <c r="AD15" s="67">
        <v>22.7</v>
      </c>
      <c r="AE15" s="67">
        <v>22.7</v>
      </c>
      <c r="AF15" s="67">
        <v>22.7</v>
      </c>
      <c r="AG15" s="108">
        <v>45</v>
      </c>
      <c r="AH15" s="21">
        <f t="shared" si="2"/>
        <v>22.9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67">
        <v>14</v>
      </c>
      <c r="C16" s="67">
        <v>14</v>
      </c>
      <c r="D16" s="123">
        <v>14</v>
      </c>
      <c r="E16" s="123">
        <v>14</v>
      </c>
      <c r="F16" s="123">
        <v>14</v>
      </c>
      <c r="G16" s="123">
        <v>14</v>
      </c>
      <c r="H16" s="123">
        <v>14</v>
      </c>
      <c r="I16" s="123">
        <v>14</v>
      </c>
      <c r="J16" s="123">
        <v>14</v>
      </c>
      <c r="K16" s="123">
        <v>14</v>
      </c>
      <c r="L16" s="123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67">
        <v>14</v>
      </c>
      <c r="AA16" s="67">
        <v>14</v>
      </c>
      <c r="AB16" s="67">
        <v>14</v>
      </c>
      <c r="AC16" s="67">
        <v>14</v>
      </c>
      <c r="AD16" s="67">
        <v>14</v>
      </c>
      <c r="AE16" s="67">
        <v>14</v>
      </c>
      <c r="AF16" s="67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67">
        <v>6.5</v>
      </c>
      <c r="C17" s="6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67">
        <v>6.5</v>
      </c>
      <c r="AA17" s="67">
        <v>6.5</v>
      </c>
      <c r="AB17" s="67">
        <v>6.5</v>
      </c>
      <c r="AC17" s="67">
        <v>6.5</v>
      </c>
      <c r="AD17" s="67">
        <v>6.5</v>
      </c>
      <c r="AE17" s="67">
        <v>6.5</v>
      </c>
      <c r="AF17" s="67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13.2</v>
      </c>
      <c r="C19" s="103">
        <v>13.2</v>
      </c>
      <c r="D19" s="127">
        <v>13</v>
      </c>
      <c r="E19" s="127">
        <v>13</v>
      </c>
      <c r="F19" s="127">
        <v>13</v>
      </c>
      <c r="G19" s="127">
        <v>13</v>
      </c>
      <c r="H19" s="127">
        <v>13</v>
      </c>
      <c r="I19" s="127">
        <v>13</v>
      </c>
      <c r="J19" s="127">
        <v>13</v>
      </c>
      <c r="K19" s="127">
        <v>13</v>
      </c>
      <c r="L19" s="127">
        <v>13</v>
      </c>
      <c r="M19" s="103">
        <v>13</v>
      </c>
      <c r="N19" s="103">
        <v>13</v>
      </c>
      <c r="O19" s="103">
        <v>13</v>
      </c>
      <c r="P19" s="103">
        <v>13</v>
      </c>
      <c r="Q19" s="103">
        <v>12.6</v>
      </c>
      <c r="R19" s="103">
        <v>12.6</v>
      </c>
      <c r="S19" s="103">
        <v>12.6</v>
      </c>
      <c r="T19" s="103">
        <v>12.6</v>
      </c>
      <c r="U19" s="103">
        <v>12.6</v>
      </c>
      <c r="V19" s="103">
        <v>12.6</v>
      </c>
      <c r="W19" s="103">
        <v>12.6</v>
      </c>
      <c r="X19" s="103">
        <v>12.6</v>
      </c>
      <c r="Y19" s="103">
        <v>12.6</v>
      </c>
      <c r="Z19" s="103">
        <v>12.6</v>
      </c>
      <c r="AA19" s="103">
        <v>12.6</v>
      </c>
      <c r="AB19" s="103">
        <v>12.6</v>
      </c>
      <c r="AC19" s="103">
        <v>12.6</v>
      </c>
      <c r="AD19" s="103">
        <v>12.6</v>
      </c>
      <c r="AE19" s="103">
        <v>12.6</v>
      </c>
      <c r="AF19" s="103">
        <v>12.6</v>
      </c>
      <c r="AG19" s="134">
        <v>30</v>
      </c>
      <c r="AH19" s="21">
        <f t="shared" si="2"/>
        <v>13.2</v>
      </c>
      <c r="AI19" s="20">
        <f t="shared" si="3"/>
        <v>12.6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6.7</v>
      </c>
      <c r="C20" s="103">
        <v>0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6.7</v>
      </c>
      <c r="AI20" s="20">
        <f t="shared" si="3"/>
        <v>0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22</v>
      </c>
      <c r="C22" s="103">
        <v>22</v>
      </c>
      <c r="D22" s="127">
        <v>22</v>
      </c>
      <c r="E22" s="127">
        <v>22</v>
      </c>
      <c r="F22" s="127">
        <v>22</v>
      </c>
      <c r="G22" s="127">
        <v>22</v>
      </c>
      <c r="H22" s="127">
        <v>22</v>
      </c>
      <c r="I22" s="127">
        <v>22</v>
      </c>
      <c r="J22" s="127">
        <v>22</v>
      </c>
      <c r="K22" s="127">
        <v>22</v>
      </c>
      <c r="L22" s="127">
        <v>21</v>
      </c>
      <c r="M22" s="103">
        <v>21</v>
      </c>
      <c r="N22" s="103">
        <v>21</v>
      </c>
      <c r="O22" s="103">
        <v>21</v>
      </c>
      <c r="P22" s="103">
        <v>21</v>
      </c>
      <c r="Q22" s="103">
        <v>23.2</v>
      </c>
      <c r="R22" s="103">
        <v>23.2</v>
      </c>
      <c r="S22" s="103">
        <v>23.2</v>
      </c>
      <c r="T22" s="103">
        <v>23.2</v>
      </c>
      <c r="U22" s="103">
        <v>23.2</v>
      </c>
      <c r="V22" s="103">
        <v>23.2</v>
      </c>
      <c r="W22" s="103">
        <v>23.2</v>
      </c>
      <c r="X22" s="103">
        <v>23.2</v>
      </c>
      <c r="Y22" s="103">
        <v>23.2</v>
      </c>
      <c r="Z22" s="103">
        <v>22.3</v>
      </c>
      <c r="AA22" s="103">
        <v>22.3</v>
      </c>
      <c r="AB22" s="103">
        <v>22.3</v>
      </c>
      <c r="AC22" s="103">
        <v>22.3</v>
      </c>
      <c r="AD22" s="103">
        <v>22.3</v>
      </c>
      <c r="AE22" s="103">
        <v>22.3</v>
      </c>
      <c r="AF22" s="103">
        <v>22.3</v>
      </c>
      <c r="AG22" s="134">
        <v>25</v>
      </c>
      <c r="AH22" s="21">
        <f t="shared" si="2"/>
        <v>23.2</v>
      </c>
      <c r="AI22" s="20">
        <f t="shared" si="3"/>
        <v>21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4.9000000000000004</v>
      </c>
      <c r="C23" s="103">
        <v>4.9000000000000004</v>
      </c>
      <c r="D23" s="127">
        <v>4.9000000000000004</v>
      </c>
      <c r="E23" s="127">
        <v>4.9000000000000004</v>
      </c>
      <c r="F23" s="127">
        <v>4.9000000000000004</v>
      </c>
      <c r="G23" s="127">
        <v>4.9000000000000004</v>
      </c>
      <c r="H23" s="127">
        <v>4.9000000000000004</v>
      </c>
      <c r="I23" s="127">
        <v>4.9000000000000004</v>
      </c>
      <c r="J23" s="127">
        <v>4.9000000000000004</v>
      </c>
      <c r="K23" s="127">
        <v>4.9000000000000004</v>
      </c>
      <c r="L23" s="127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8.8000000000000007</v>
      </c>
      <c r="C24" s="103">
        <v>8.8000000000000007</v>
      </c>
      <c r="D24" s="127">
        <v>8.8000000000000007</v>
      </c>
      <c r="E24" s="127">
        <v>8.8000000000000007</v>
      </c>
      <c r="F24" s="127">
        <v>8.8000000000000007</v>
      </c>
      <c r="G24" s="127">
        <v>7.7</v>
      </c>
      <c r="H24" s="127">
        <v>7.7</v>
      </c>
      <c r="I24" s="127">
        <v>7.7</v>
      </c>
      <c r="J24" s="127">
        <v>7.7</v>
      </c>
      <c r="K24" s="127">
        <v>7.7</v>
      </c>
      <c r="L24" s="127">
        <v>7.6</v>
      </c>
      <c r="M24" s="103">
        <v>7.6</v>
      </c>
      <c r="N24" s="103">
        <v>7.6</v>
      </c>
      <c r="O24" s="103">
        <v>7.6</v>
      </c>
      <c r="P24" s="103">
        <v>7.6</v>
      </c>
      <c r="Q24" s="103">
        <v>7.1</v>
      </c>
      <c r="R24" s="103">
        <v>7.1</v>
      </c>
      <c r="S24" s="103">
        <v>7.1</v>
      </c>
      <c r="T24" s="103">
        <v>7.1</v>
      </c>
      <c r="U24" s="103">
        <v>7.1</v>
      </c>
      <c r="V24" s="103">
        <v>7.1</v>
      </c>
      <c r="W24" s="103">
        <v>7.1</v>
      </c>
      <c r="X24" s="103">
        <v>7.1</v>
      </c>
      <c r="Y24" s="103">
        <v>7.1</v>
      </c>
      <c r="Z24" s="103">
        <v>7.1</v>
      </c>
      <c r="AA24" s="103">
        <v>7.1</v>
      </c>
      <c r="AB24" s="103">
        <v>7.1</v>
      </c>
      <c r="AC24" s="103">
        <v>7.1</v>
      </c>
      <c r="AD24" s="103">
        <v>7.1</v>
      </c>
      <c r="AE24" s="103">
        <v>7.1</v>
      </c>
      <c r="AF24" s="103">
        <v>7.1</v>
      </c>
      <c r="AG24" s="134">
        <v>25</v>
      </c>
      <c r="AH24" s="21">
        <f t="shared" si="2"/>
        <v>8.8000000000000007</v>
      </c>
      <c r="AI24" s="20">
        <f t="shared" si="3"/>
        <v>7.1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6.7</v>
      </c>
      <c r="C26" s="103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03">
        <v>2.5</v>
      </c>
      <c r="C27" s="103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5.6</v>
      </c>
      <c r="C28" s="103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03">
        <v>2.5</v>
      </c>
      <c r="L33" s="10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35.6</v>
      </c>
      <c r="C37" s="123">
        <v>36.1</v>
      </c>
      <c r="D37" s="123">
        <v>35.799999999999997</v>
      </c>
      <c r="E37" s="123">
        <v>35.700000000000003</v>
      </c>
      <c r="F37" s="123">
        <v>36</v>
      </c>
      <c r="G37" s="123">
        <v>36</v>
      </c>
      <c r="H37" s="123">
        <v>36.299999999999997</v>
      </c>
      <c r="I37" s="123">
        <v>36.1</v>
      </c>
      <c r="J37" s="123">
        <v>36.299999999999997</v>
      </c>
      <c r="K37" s="123">
        <v>34.6</v>
      </c>
      <c r="L37" s="123">
        <v>35</v>
      </c>
      <c r="M37" s="128">
        <f>16.6+19.2</f>
        <v>35.799999999999997</v>
      </c>
      <c r="N37" s="128">
        <f>17.4+18.8</f>
        <v>36.200000000000003</v>
      </c>
      <c r="O37" s="128">
        <f>15.7+20</f>
        <v>35.700000000000003</v>
      </c>
      <c r="P37" s="128">
        <f>19.5+19.6</f>
        <v>39.1</v>
      </c>
      <c r="Q37" s="128">
        <f>18.5+21.2</f>
        <v>39.700000000000003</v>
      </c>
      <c r="R37" s="128">
        <f>18.9+21</f>
        <v>39.9</v>
      </c>
      <c r="S37" s="128">
        <v>40.6</v>
      </c>
      <c r="T37" s="128">
        <v>41</v>
      </c>
      <c r="U37" s="128">
        <v>40</v>
      </c>
      <c r="V37" s="128"/>
      <c r="W37" s="128">
        <v>37.299999999999997</v>
      </c>
      <c r="X37" s="128">
        <v>37</v>
      </c>
      <c r="Y37" s="128">
        <v>37</v>
      </c>
      <c r="Z37" s="128">
        <v>37</v>
      </c>
      <c r="AA37" s="128">
        <v>38</v>
      </c>
      <c r="AB37" s="128">
        <v>38</v>
      </c>
      <c r="AC37" s="128">
        <v>38</v>
      </c>
      <c r="AD37" s="128">
        <v>40</v>
      </c>
      <c r="AE37" s="128">
        <v>40</v>
      </c>
      <c r="AF37" s="128">
        <v>40</v>
      </c>
      <c r="AG37" s="106">
        <v>240</v>
      </c>
      <c r="AH37" s="21">
        <f t="shared" si="2"/>
        <v>41</v>
      </c>
      <c r="AI37" s="20">
        <f t="shared" si="3"/>
        <v>34.6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502.90000000000003</v>
      </c>
      <c r="C38" s="99">
        <f t="shared" ref="C38:AF38" si="5">SUM(C11:C36)</f>
        <v>474.50000000000006</v>
      </c>
      <c r="D38" s="99">
        <f t="shared" si="5"/>
        <v>480.40000000000003</v>
      </c>
      <c r="E38" s="99">
        <f t="shared" si="5"/>
        <v>403</v>
      </c>
      <c r="F38" s="99">
        <f t="shared" si="5"/>
        <v>405.29999999999995</v>
      </c>
      <c r="G38" s="99">
        <f t="shared" si="5"/>
        <v>405.49999999999994</v>
      </c>
      <c r="H38" s="99">
        <f t="shared" si="5"/>
        <v>405.49999999999994</v>
      </c>
      <c r="I38" s="99">
        <f t="shared" si="5"/>
        <v>463.5</v>
      </c>
      <c r="J38" s="99">
        <f t="shared" si="5"/>
        <v>573.4</v>
      </c>
      <c r="K38" s="99">
        <f t="shared" si="5"/>
        <v>643.29999999999995</v>
      </c>
      <c r="L38" s="99">
        <f t="shared" si="5"/>
        <v>610.5</v>
      </c>
      <c r="M38" s="99">
        <f t="shared" si="5"/>
        <v>591.09999999999991</v>
      </c>
      <c r="N38" s="99">
        <f t="shared" si="5"/>
        <v>521.09999999999991</v>
      </c>
      <c r="O38" s="99">
        <f t="shared" si="5"/>
        <v>491.1</v>
      </c>
      <c r="P38" s="99">
        <f t="shared" si="5"/>
        <v>491.1</v>
      </c>
      <c r="Q38" s="99">
        <f t="shared" si="5"/>
        <v>470.4</v>
      </c>
      <c r="R38" s="99">
        <f t="shared" si="5"/>
        <v>416.4</v>
      </c>
      <c r="S38" s="99">
        <f t="shared" si="5"/>
        <v>470.8</v>
      </c>
      <c r="T38" s="99">
        <f t="shared" si="5"/>
        <v>530.40000000000009</v>
      </c>
      <c r="U38" s="99">
        <f t="shared" si="5"/>
        <v>570.40000000000009</v>
      </c>
      <c r="V38" s="99">
        <f t="shared" si="5"/>
        <v>600.40000000000009</v>
      </c>
      <c r="W38" s="99">
        <f t="shared" si="5"/>
        <v>620.40000000000009</v>
      </c>
      <c r="X38" s="99">
        <f t="shared" si="5"/>
        <v>550.40000000000009</v>
      </c>
      <c r="Y38" s="99">
        <f t="shared" si="5"/>
        <v>700.40000000000009</v>
      </c>
      <c r="Z38" s="99">
        <f t="shared" si="5"/>
        <v>789.50000000000011</v>
      </c>
      <c r="AA38" s="99">
        <f t="shared" si="5"/>
        <v>809.50000000000023</v>
      </c>
      <c r="AB38" s="99">
        <f t="shared" si="5"/>
        <v>779.50000000000011</v>
      </c>
      <c r="AC38" s="99">
        <f t="shared" si="5"/>
        <v>779.50000000000011</v>
      </c>
      <c r="AD38" s="99">
        <f t="shared" si="5"/>
        <v>709.50000000000011</v>
      </c>
      <c r="AE38" s="99">
        <f t="shared" si="5"/>
        <v>709.50000000000011</v>
      </c>
      <c r="AF38" s="99">
        <f t="shared" si="5"/>
        <v>549.5</v>
      </c>
      <c r="AG38" s="106">
        <f>SUM(AG11:AG37)</f>
        <v>1492.8299999999997</v>
      </c>
      <c r="AH38" s="21">
        <f t="shared" si="2"/>
        <v>809.50000000000023</v>
      </c>
      <c r="AI38" s="20">
        <f t="shared" si="3"/>
        <v>403</v>
      </c>
      <c r="AK38" s="42"/>
    </row>
    <row r="39" spans="1:88" x14ac:dyDescent="0.25">
      <c r="A39" s="109" t="s">
        <v>172</v>
      </c>
      <c r="B39" s="127">
        <v>71.3</v>
      </c>
      <c r="C39" s="127">
        <v>60</v>
      </c>
      <c r="D39" s="127">
        <v>30.4</v>
      </c>
      <c r="E39" s="123">
        <v>30.2</v>
      </c>
      <c r="F39" s="123">
        <v>30.1</v>
      </c>
      <c r="G39" s="123">
        <v>30.3</v>
      </c>
      <c r="H39" s="123">
        <v>110</v>
      </c>
      <c r="I39" s="123">
        <v>110</v>
      </c>
      <c r="J39" s="123">
        <v>145.19999999999999</v>
      </c>
      <c r="K39" s="123">
        <v>145.69999999999999</v>
      </c>
      <c r="L39" s="123">
        <v>145.5</v>
      </c>
      <c r="M39" s="103">
        <v>145.4</v>
      </c>
      <c r="N39" s="103">
        <v>145.5</v>
      </c>
      <c r="O39" s="103">
        <v>145.30000000000001</v>
      </c>
      <c r="P39" s="103">
        <v>145.4</v>
      </c>
      <c r="Q39" s="103">
        <v>145.4</v>
      </c>
      <c r="R39" s="103">
        <v>131.30000000000001</v>
      </c>
      <c r="S39" s="103">
        <v>145.4</v>
      </c>
      <c r="T39" s="103">
        <v>145.4</v>
      </c>
      <c r="U39" s="103">
        <v>97.4</v>
      </c>
      <c r="V39" s="103">
        <v>97.4</v>
      </c>
      <c r="W39" s="103">
        <v>140.69999999999999</v>
      </c>
      <c r="X39" s="103">
        <v>142.5</v>
      </c>
      <c r="Y39" s="103">
        <v>145.4</v>
      </c>
      <c r="Z39" s="103">
        <v>145.4</v>
      </c>
      <c r="AA39" s="103">
        <v>145.4</v>
      </c>
      <c r="AB39" s="103">
        <v>145.4</v>
      </c>
      <c r="AC39" s="103">
        <v>145.4</v>
      </c>
      <c r="AD39" s="103">
        <v>145</v>
      </c>
      <c r="AE39" s="103">
        <v>145</v>
      </c>
      <c r="AF39" s="127">
        <v>145.30000000000001</v>
      </c>
      <c r="AG39" s="108">
        <v>144</v>
      </c>
      <c r="AH39" s="21">
        <f t="shared" si="2"/>
        <v>145.69999999999999</v>
      </c>
      <c r="AI39" s="20">
        <f t="shared" si="3"/>
        <v>30.1</v>
      </c>
      <c r="AK39" s="42"/>
    </row>
    <row r="40" spans="1:88" x14ac:dyDescent="0.25">
      <c r="A40" s="107" t="s">
        <v>171</v>
      </c>
      <c r="B40" s="123">
        <v>23.5</v>
      </c>
      <c r="C40" s="123">
        <v>23.5</v>
      </c>
      <c r="D40" s="123">
        <v>23.5</v>
      </c>
      <c r="E40" s="123">
        <v>0</v>
      </c>
      <c r="F40" s="123">
        <v>0</v>
      </c>
      <c r="G40" s="123">
        <v>71.7</v>
      </c>
      <c r="H40" s="123">
        <v>72</v>
      </c>
      <c r="I40" s="123">
        <v>71.3</v>
      </c>
      <c r="J40" s="123">
        <v>72.400000000000006</v>
      </c>
      <c r="K40" s="123">
        <v>71.400000000000006</v>
      </c>
      <c r="L40" s="123">
        <v>71.900000000000006</v>
      </c>
      <c r="M40" s="73">
        <v>70</v>
      </c>
      <c r="N40" s="73">
        <v>71.099999999999994</v>
      </c>
      <c r="O40" s="73">
        <v>71.8</v>
      </c>
      <c r="P40" s="73">
        <v>72.099999999999994</v>
      </c>
      <c r="Q40" s="73">
        <v>71.2</v>
      </c>
      <c r="R40" s="73">
        <v>60.4</v>
      </c>
      <c r="S40" s="73">
        <v>72.3</v>
      </c>
      <c r="T40" s="73">
        <v>72.3</v>
      </c>
      <c r="U40" s="73">
        <v>72.3</v>
      </c>
      <c r="V40" s="73">
        <v>72.3</v>
      </c>
      <c r="W40" s="73">
        <v>71.599999999999994</v>
      </c>
      <c r="X40" s="73">
        <v>71.599999999999994</v>
      </c>
      <c r="Y40" s="73">
        <v>71.599999999999994</v>
      </c>
      <c r="Z40" s="73">
        <v>71.599999999999994</v>
      </c>
      <c r="AA40" s="73">
        <v>73.400000000000006</v>
      </c>
      <c r="AB40" s="73">
        <v>73.400000000000006</v>
      </c>
      <c r="AC40" s="73">
        <v>73.400000000000006</v>
      </c>
      <c r="AD40" s="73">
        <v>49.8</v>
      </c>
      <c r="AE40" s="73">
        <v>49.8</v>
      </c>
      <c r="AF40" s="123">
        <v>70.8</v>
      </c>
      <c r="AG40" s="106">
        <v>70</v>
      </c>
      <c r="AH40" s="21">
        <f t="shared" si="2"/>
        <v>73.400000000000006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69.599999999999994</v>
      </c>
      <c r="C41" s="123">
        <v>69.7</v>
      </c>
      <c r="D41" s="123">
        <v>61.7</v>
      </c>
      <c r="E41" s="123">
        <v>50.6</v>
      </c>
      <c r="F41" s="123">
        <v>35.9</v>
      </c>
      <c r="G41" s="123">
        <v>35.5</v>
      </c>
      <c r="H41" s="123">
        <v>35.299999999999997</v>
      </c>
      <c r="I41" s="123">
        <v>35.299999999999997</v>
      </c>
      <c r="J41" s="123">
        <v>35.4</v>
      </c>
      <c r="K41" s="123">
        <v>52</v>
      </c>
      <c r="L41" s="123">
        <v>51.9</v>
      </c>
      <c r="M41" s="73">
        <v>51.7</v>
      </c>
      <c r="N41" s="73">
        <v>61.7</v>
      </c>
      <c r="O41" s="73">
        <v>48.5</v>
      </c>
      <c r="P41" s="73">
        <v>48.9</v>
      </c>
      <c r="Q41" s="73">
        <v>58.6</v>
      </c>
      <c r="R41" s="73">
        <v>36.799999999999997</v>
      </c>
      <c r="S41" s="73">
        <v>46.4</v>
      </c>
      <c r="T41" s="73">
        <v>46.4</v>
      </c>
      <c r="U41" s="73">
        <v>68.3</v>
      </c>
      <c r="V41" s="73">
        <v>68.3</v>
      </c>
      <c r="W41" s="73">
        <v>68.900000000000006</v>
      </c>
      <c r="X41" s="73">
        <v>68.900000000000006</v>
      </c>
      <c r="Y41" s="73">
        <v>68.900000000000006</v>
      </c>
      <c r="Z41" s="73">
        <v>68.900000000000006</v>
      </c>
      <c r="AA41" s="73">
        <v>68.900000000000006</v>
      </c>
      <c r="AB41" s="73">
        <v>68.900000000000006</v>
      </c>
      <c r="AC41" s="73">
        <v>68.900000000000006</v>
      </c>
      <c r="AD41" s="73">
        <v>69</v>
      </c>
      <c r="AE41" s="73">
        <v>69</v>
      </c>
      <c r="AF41" s="123">
        <v>69</v>
      </c>
      <c r="AG41" s="106">
        <v>69</v>
      </c>
      <c r="AH41" s="21">
        <f t="shared" si="2"/>
        <v>69.7</v>
      </c>
      <c r="AI41" s="20">
        <f t="shared" si="3"/>
        <v>35.299999999999997</v>
      </c>
      <c r="AK41" s="42"/>
    </row>
    <row r="42" spans="1:88" x14ac:dyDescent="0.25">
      <c r="A42" s="107" t="s">
        <v>169</v>
      </c>
      <c r="B42" s="123">
        <v>60.9</v>
      </c>
      <c r="C42" s="12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73">
        <v>60.4</v>
      </c>
      <c r="N42" s="73">
        <v>60.4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73">
        <v>60.9</v>
      </c>
      <c r="AG42" s="106">
        <v>60</v>
      </c>
      <c r="AH42" s="21">
        <f t="shared" si="2"/>
        <v>60.9</v>
      </c>
      <c r="AI42" s="20">
        <f t="shared" si="3"/>
        <v>60.4</v>
      </c>
      <c r="AK42" s="42"/>
    </row>
    <row r="43" spans="1:88" x14ac:dyDescent="0.25">
      <c r="A43" s="107" t="s">
        <v>168</v>
      </c>
      <c r="B43" s="123">
        <v>15</v>
      </c>
      <c r="C43" s="123">
        <v>10</v>
      </c>
      <c r="D43" s="123">
        <v>10</v>
      </c>
      <c r="E43" s="123">
        <v>15</v>
      </c>
      <c r="F43" s="123">
        <v>15</v>
      </c>
      <c r="G43" s="123">
        <v>15</v>
      </c>
      <c r="H43" s="123">
        <v>20</v>
      </c>
      <c r="I43" s="123">
        <v>20</v>
      </c>
      <c r="J43" s="123">
        <v>20</v>
      </c>
      <c r="K43" s="123">
        <v>20</v>
      </c>
      <c r="L43" s="123">
        <v>20</v>
      </c>
      <c r="M43" s="103">
        <v>18.5</v>
      </c>
      <c r="N43" s="103">
        <v>18.899999999999999</v>
      </c>
      <c r="O43" s="103">
        <v>19.8</v>
      </c>
      <c r="P43" s="103">
        <v>18.899999999999999</v>
      </c>
      <c r="Q43" s="103">
        <v>20.6</v>
      </c>
      <c r="R43" s="103">
        <v>22.7</v>
      </c>
      <c r="S43" s="103">
        <v>23.2</v>
      </c>
      <c r="T43" s="103">
        <v>25</v>
      </c>
      <c r="U43" s="103">
        <v>18</v>
      </c>
      <c r="V43" s="103">
        <v>18</v>
      </c>
      <c r="W43" s="103">
        <v>15</v>
      </c>
      <c r="X43" s="103">
        <v>15</v>
      </c>
      <c r="Y43" s="103">
        <v>15</v>
      </c>
      <c r="Z43" s="73">
        <v>25</v>
      </c>
      <c r="AA43" s="73">
        <v>25</v>
      </c>
      <c r="AB43" s="73">
        <v>25</v>
      </c>
      <c r="AC43" s="73">
        <v>25</v>
      </c>
      <c r="AD43" s="73">
        <v>15</v>
      </c>
      <c r="AE43" s="73">
        <v>15</v>
      </c>
      <c r="AF43" s="73">
        <v>15</v>
      </c>
      <c r="AG43" s="106">
        <v>30</v>
      </c>
      <c r="AH43" s="21">
        <f t="shared" si="2"/>
        <v>25</v>
      </c>
      <c r="AI43" s="20">
        <f t="shared" si="3"/>
        <v>10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17.600000000000001</v>
      </c>
      <c r="C45" s="123">
        <v>17.600000000000001</v>
      </c>
      <c r="D45" s="123">
        <v>17.600000000000001</v>
      </c>
      <c r="E45" s="123">
        <v>17.600000000000001</v>
      </c>
      <c r="F45" s="123">
        <v>17.600000000000001</v>
      </c>
      <c r="G45" s="123">
        <v>17.600000000000001</v>
      </c>
      <c r="H45" s="123">
        <v>17.600000000000001</v>
      </c>
      <c r="I45" s="123">
        <v>17.600000000000001</v>
      </c>
      <c r="J45" s="123">
        <v>17.600000000000001</v>
      </c>
      <c r="K45" s="123">
        <v>17.600000000000001</v>
      </c>
      <c r="L45" s="123">
        <v>17.600000000000001</v>
      </c>
      <c r="M45" s="103">
        <v>17.600000000000001</v>
      </c>
      <c r="N45" s="103">
        <v>17.5</v>
      </c>
      <c r="O45" s="103">
        <v>17.5</v>
      </c>
      <c r="P45" s="103">
        <v>17.5</v>
      </c>
      <c r="Q45" s="103">
        <v>17.5</v>
      </c>
      <c r="R45" s="103">
        <v>17.5</v>
      </c>
      <c r="S45" s="103">
        <v>17.5</v>
      </c>
      <c r="T45" s="103">
        <v>17.5</v>
      </c>
      <c r="U45" s="103">
        <v>17.5</v>
      </c>
      <c r="V45" s="103">
        <v>17.5</v>
      </c>
      <c r="W45" s="103">
        <v>17.5</v>
      </c>
      <c r="X45" s="103">
        <v>17.5</v>
      </c>
      <c r="Y45" s="103">
        <v>17.5</v>
      </c>
      <c r="Z45" s="103">
        <v>17.5</v>
      </c>
      <c r="AA45" s="103">
        <v>17.5</v>
      </c>
      <c r="AB45" s="103">
        <v>17.5</v>
      </c>
      <c r="AC45" s="103">
        <v>17.5</v>
      </c>
      <c r="AD45" s="103">
        <v>17.5</v>
      </c>
      <c r="AE45" s="103">
        <v>17.5</v>
      </c>
      <c r="AF45" s="103">
        <v>17.5</v>
      </c>
      <c r="AG45" s="106">
        <v>24</v>
      </c>
      <c r="AH45" s="21">
        <f t="shared" si="2"/>
        <v>17.600000000000001</v>
      </c>
      <c r="AI45" s="20">
        <f t="shared" si="3"/>
        <v>17.5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03">
        <v>12</v>
      </c>
      <c r="H47" s="103">
        <v>12</v>
      </c>
      <c r="I47" s="103">
        <v>12</v>
      </c>
      <c r="J47" s="103">
        <v>12</v>
      </c>
      <c r="K47" s="103">
        <v>12</v>
      </c>
      <c r="L47" s="10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7.1</v>
      </c>
      <c r="C48" s="103">
        <v>7.1</v>
      </c>
      <c r="D48" s="103">
        <v>7.1</v>
      </c>
      <c r="E48" s="103">
        <v>7.1</v>
      </c>
      <c r="F48" s="103">
        <v>7.1</v>
      </c>
      <c r="G48" s="103">
        <v>7.1</v>
      </c>
      <c r="H48" s="103">
        <v>7.1</v>
      </c>
      <c r="I48" s="103">
        <v>7.1</v>
      </c>
      <c r="J48" s="103">
        <v>7.1</v>
      </c>
      <c r="K48" s="103">
        <v>7.1</v>
      </c>
      <c r="L48" s="103">
        <v>7.1</v>
      </c>
      <c r="M48" s="103">
        <v>7.1</v>
      </c>
      <c r="N48" s="103">
        <v>7.1</v>
      </c>
      <c r="O48" s="103">
        <v>7.1</v>
      </c>
      <c r="P48" s="103">
        <v>7.1</v>
      </c>
      <c r="Q48" s="103">
        <v>7.1</v>
      </c>
      <c r="R48" s="103">
        <v>7.1</v>
      </c>
      <c r="S48" s="103">
        <v>7.1</v>
      </c>
      <c r="T48" s="103">
        <v>7.1</v>
      </c>
      <c r="U48" s="103">
        <v>7.1</v>
      </c>
      <c r="V48" s="103">
        <v>7.1</v>
      </c>
      <c r="W48" s="103">
        <v>7.1</v>
      </c>
      <c r="X48" s="103">
        <v>7.1</v>
      </c>
      <c r="Y48" s="103">
        <v>7.1</v>
      </c>
      <c r="Z48" s="103">
        <v>7.1</v>
      </c>
      <c r="AA48" s="103">
        <v>7.1</v>
      </c>
      <c r="AB48" s="103">
        <v>7.1</v>
      </c>
      <c r="AC48" s="103">
        <v>7.1</v>
      </c>
      <c r="AD48" s="103">
        <v>7.1</v>
      </c>
      <c r="AE48" s="103">
        <v>7.1</v>
      </c>
      <c r="AF48" s="103">
        <v>7.1</v>
      </c>
      <c r="AG48" s="106">
        <v>14</v>
      </c>
      <c r="AH48" s="21">
        <f t="shared" si="2"/>
        <v>7.1</v>
      </c>
      <c r="AI48" s="20">
        <f t="shared" si="3"/>
        <v>7.1</v>
      </c>
      <c r="AK48" s="42"/>
    </row>
    <row r="49" spans="1:37" x14ac:dyDescent="0.25">
      <c r="A49" s="107" t="s">
        <v>162</v>
      </c>
      <c r="B49" s="103">
        <v>6.6</v>
      </c>
      <c r="C49" s="103">
        <v>6.6</v>
      </c>
      <c r="D49" s="103">
        <v>6.6</v>
      </c>
      <c r="E49" s="103">
        <v>6.6</v>
      </c>
      <c r="F49" s="103">
        <v>6.6</v>
      </c>
      <c r="G49" s="103">
        <v>6.6</v>
      </c>
      <c r="H49" s="103">
        <v>6.6</v>
      </c>
      <c r="I49" s="103">
        <v>6.6</v>
      </c>
      <c r="J49" s="103">
        <v>6.6</v>
      </c>
      <c r="K49" s="103">
        <v>6.6</v>
      </c>
      <c r="L49" s="103">
        <v>6.6</v>
      </c>
      <c r="M49" s="103">
        <v>6.6</v>
      </c>
      <c r="N49" s="103">
        <v>6.6</v>
      </c>
      <c r="O49" s="103">
        <v>6.6</v>
      </c>
      <c r="P49" s="103">
        <v>6.6</v>
      </c>
      <c r="Q49" s="103">
        <v>6.6</v>
      </c>
      <c r="R49" s="103">
        <v>6.6</v>
      </c>
      <c r="S49" s="103">
        <v>6.6</v>
      </c>
      <c r="T49" s="103">
        <v>6.6</v>
      </c>
      <c r="U49" s="103">
        <v>6.6</v>
      </c>
      <c r="V49" s="103">
        <v>6.6</v>
      </c>
      <c r="W49" s="103">
        <v>6.6</v>
      </c>
      <c r="X49" s="103">
        <v>6.6</v>
      </c>
      <c r="Y49" s="103">
        <v>6.6</v>
      </c>
      <c r="Z49" s="103">
        <v>6.6</v>
      </c>
      <c r="AA49" s="103">
        <v>6.6</v>
      </c>
      <c r="AB49" s="103">
        <v>6.6</v>
      </c>
      <c r="AC49" s="103">
        <v>6.6</v>
      </c>
      <c r="AD49" s="103">
        <v>6.6</v>
      </c>
      <c r="AE49" s="103">
        <v>6.6</v>
      </c>
      <c r="AF49" s="103">
        <v>6.6</v>
      </c>
      <c r="AG49" s="106">
        <v>10.050000000000001</v>
      </c>
      <c r="AH49" s="21">
        <f t="shared" si="2"/>
        <v>6.6</v>
      </c>
      <c r="AI49" s="20">
        <f t="shared" si="3"/>
        <v>6.6</v>
      </c>
      <c r="AK49" s="42"/>
    </row>
    <row r="50" spans="1:37" x14ac:dyDescent="0.25">
      <c r="A50" s="107" t="s">
        <v>161</v>
      </c>
      <c r="B50" s="103">
        <v>2.5</v>
      </c>
      <c r="C50" s="103">
        <v>2.5</v>
      </c>
      <c r="D50" s="103">
        <v>2.5</v>
      </c>
      <c r="E50" s="103">
        <v>2.5</v>
      </c>
      <c r="F50" s="103">
        <v>2.5</v>
      </c>
      <c r="G50" s="103">
        <v>2.5</v>
      </c>
      <c r="H50" s="103">
        <v>2.5</v>
      </c>
      <c r="I50" s="103">
        <v>2.5</v>
      </c>
      <c r="J50" s="103">
        <v>2.5</v>
      </c>
      <c r="K50" s="103">
        <v>2.5</v>
      </c>
      <c r="L50" s="10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289.64000000000004</v>
      </c>
      <c r="C52" s="99">
        <f t="shared" ref="C52:AF52" si="9">SUM(C39:C51)</f>
        <v>273.44000000000005</v>
      </c>
      <c r="D52" s="99">
        <f t="shared" si="9"/>
        <v>235.83999999999997</v>
      </c>
      <c r="E52" s="99">
        <f t="shared" si="9"/>
        <v>206.03999999999996</v>
      </c>
      <c r="F52" s="99">
        <f t="shared" si="9"/>
        <v>191.23999999999998</v>
      </c>
      <c r="G52" s="99">
        <f t="shared" si="9"/>
        <v>262.74</v>
      </c>
      <c r="H52" s="99">
        <f t="shared" si="9"/>
        <v>347.54000000000008</v>
      </c>
      <c r="I52" s="99">
        <f t="shared" si="9"/>
        <v>346.84000000000009</v>
      </c>
      <c r="J52" s="99">
        <f t="shared" si="9"/>
        <v>383.24000000000007</v>
      </c>
      <c r="K52" s="99">
        <f t="shared" si="9"/>
        <v>399.34000000000009</v>
      </c>
      <c r="L52" s="99">
        <f t="shared" si="9"/>
        <v>399.54000000000008</v>
      </c>
      <c r="M52" s="99">
        <f t="shared" si="9"/>
        <v>395.34000000000009</v>
      </c>
      <c r="N52" s="99">
        <f t="shared" si="9"/>
        <v>406.84000000000003</v>
      </c>
      <c r="O52" s="99">
        <f t="shared" si="9"/>
        <v>395.54000000000008</v>
      </c>
      <c r="P52" s="99">
        <f t="shared" si="9"/>
        <v>395.44</v>
      </c>
      <c r="Q52" s="99">
        <f t="shared" si="9"/>
        <v>405.94000000000011</v>
      </c>
      <c r="R52" s="99">
        <f t="shared" si="9"/>
        <v>361.34000000000003</v>
      </c>
      <c r="S52" s="99">
        <f t="shared" si="9"/>
        <v>397.44</v>
      </c>
      <c r="T52" s="99">
        <f t="shared" si="9"/>
        <v>399.24</v>
      </c>
      <c r="U52" s="99">
        <f t="shared" si="9"/>
        <v>366.14000000000004</v>
      </c>
      <c r="V52" s="99">
        <f t="shared" si="9"/>
        <v>366.14000000000004</v>
      </c>
      <c r="W52" s="99">
        <f t="shared" si="9"/>
        <v>406.34000000000003</v>
      </c>
      <c r="X52" s="99">
        <f t="shared" si="9"/>
        <v>408.14000000000004</v>
      </c>
      <c r="Y52" s="99">
        <f t="shared" si="9"/>
        <v>411.04</v>
      </c>
      <c r="Z52" s="99">
        <f t="shared" si="9"/>
        <v>421.04</v>
      </c>
      <c r="AA52" s="99">
        <f t="shared" si="9"/>
        <v>422.84000000000009</v>
      </c>
      <c r="AB52" s="99">
        <f t="shared" si="9"/>
        <v>422.84000000000009</v>
      </c>
      <c r="AC52" s="99">
        <f t="shared" si="9"/>
        <v>422.84000000000009</v>
      </c>
      <c r="AD52" s="99">
        <f t="shared" si="9"/>
        <v>388.94000000000005</v>
      </c>
      <c r="AE52" s="99">
        <f t="shared" si="9"/>
        <v>388.94000000000005</v>
      </c>
      <c r="AF52" s="99">
        <f t="shared" si="9"/>
        <v>410.24000000000007</v>
      </c>
      <c r="AG52" s="98">
        <f>SUM(AG39:AG51)</f>
        <v>489.91</v>
      </c>
      <c r="AH52" s="21">
        <f t="shared" si="2"/>
        <v>422.84000000000009</v>
      </c>
      <c r="AI52" s="20">
        <f t="shared" si="3"/>
        <v>191.23999999999998</v>
      </c>
      <c r="AK52" s="42"/>
    </row>
    <row r="53" spans="1:37" x14ac:dyDescent="0.25">
      <c r="A53" s="109" t="s">
        <v>159</v>
      </c>
      <c r="B53" s="103">
        <v>29.6</v>
      </c>
      <c r="C53" s="123">
        <v>29.6</v>
      </c>
      <c r="D53" s="123">
        <v>29.6</v>
      </c>
      <c r="E53" s="123">
        <v>29.6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30</v>
      </c>
      <c r="L53" s="123">
        <v>19</v>
      </c>
      <c r="M53" s="122">
        <v>21.1</v>
      </c>
      <c r="N53" s="122">
        <v>20.3</v>
      </c>
      <c r="O53" s="122">
        <v>14.1</v>
      </c>
      <c r="P53" s="122">
        <v>14</v>
      </c>
      <c r="Q53" s="103">
        <v>19.899999999999999</v>
      </c>
      <c r="R53" s="103">
        <v>9.6999999999999993</v>
      </c>
      <c r="S53" s="103">
        <v>14.2</v>
      </c>
      <c r="T53" s="103">
        <v>12.6</v>
      </c>
      <c r="U53" s="103">
        <v>29</v>
      </c>
      <c r="V53" s="103">
        <v>29</v>
      </c>
      <c r="W53" s="103">
        <v>13.7</v>
      </c>
      <c r="X53" s="103">
        <v>13.7</v>
      </c>
      <c r="Y53" s="103">
        <v>40.200000000000003</v>
      </c>
      <c r="Z53" s="103">
        <v>40.6</v>
      </c>
      <c r="AA53" s="103">
        <v>38.5</v>
      </c>
      <c r="AB53" s="103">
        <v>35</v>
      </c>
      <c r="AC53" s="103">
        <v>30</v>
      </c>
      <c r="AD53" s="103">
        <v>30</v>
      </c>
      <c r="AE53" s="103">
        <v>30</v>
      </c>
      <c r="AF53" s="103">
        <v>30</v>
      </c>
      <c r="AG53" s="108">
        <v>60</v>
      </c>
      <c r="AH53" s="21">
        <f t="shared" si="2"/>
        <v>40.6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14.7</v>
      </c>
      <c r="C54" s="123">
        <v>14.8</v>
      </c>
      <c r="D54" s="123">
        <v>14.8</v>
      </c>
      <c r="E54" s="123">
        <v>14.8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10.8</v>
      </c>
      <c r="L54" s="123">
        <v>9.6</v>
      </c>
      <c r="M54" s="122">
        <v>9.4</v>
      </c>
      <c r="N54" s="122">
        <v>8.1999999999999993</v>
      </c>
      <c r="O54" s="122">
        <v>6.5</v>
      </c>
      <c r="P54" s="122">
        <v>4.4000000000000004</v>
      </c>
      <c r="Q54" s="73">
        <v>9</v>
      </c>
      <c r="R54" s="73">
        <v>3.9</v>
      </c>
      <c r="S54" s="103">
        <v>4.9000000000000004</v>
      </c>
      <c r="T54" s="103">
        <v>3.7</v>
      </c>
      <c r="U54" s="103">
        <v>14.7</v>
      </c>
      <c r="V54" s="103">
        <v>14.7</v>
      </c>
      <c r="W54" s="73">
        <v>6.5</v>
      </c>
      <c r="X54" s="73">
        <v>6.5</v>
      </c>
      <c r="Y54" s="73">
        <v>14.4</v>
      </c>
      <c r="Z54" s="73">
        <v>18.8</v>
      </c>
      <c r="AA54" s="73">
        <v>18.5</v>
      </c>
      <c r="AB54" s="73">
        <v>17</v>
      </c>
      <c r="AC54" s="73">
        <v>15</v>
      </c>
      <c r="AD54" s="73">
        <v>15</v>
      </c>
      <c r="AE54" s="73">
        <v>15</v>
      </c>
      <c r="AF54" s="73">
        <v>13.5</v>
      </c>
      <c r="AG54" s="106">
        <v>32</v>
      </c>
      <c r="AH54" s="21">
        <f t="shared" si="2"/>
        <v>18.8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5.4</v>
      </c>
      <c r="C55" s="120">
        <v>5.4</v>
      </c>
      <c r="D55" s="120">
        <v>5.4</v>
      </c>
      <c r="E55" s="120">
        <v>5.4</v>
      </c>
      <c r="F55" s="123">
        <v>0</v>
      </c>
      <c r="G55" s="123">
        <v>0</v>
      </c>
      <c r="H55" s="123">
        <v>0</v>
      </c>
      <c r="I55" s="123">
        <v>0</v>
      </c>
      <c r="J55" s="123">
        <v>0</v>
      </c>
      <c r="K55" s="120">
        <v>3.9</v>
      </c>
      <c r="L55" s="120">
        <v>3.5</v>
      </c>
      <c r="M55" s="119">
        <v>3.4</v>
      </c>
      <c r="N55" s="119">
        <v>3</v>
      </c>
      <c r="O55" s="119">
        <v>2.4</v>
      </c>
      <c r="P55" s="119">
        <v>1.6</v>
      </c>
      <c r="Q55" s="118">
        <v>3.3</v>
      </c>
      <c r="R55" s="118">
        <v>1.4</v>
      </c>
      <c r="S55" s="103">
        <v>1.8</v>
      </c>
      <c r="T55" s="103">
        <v>1.3</v>
      </c>
      <c r="U55" s="103">
        <v>5.4</v>
      </c>
      <c r="V55" s="103">
        <v>5.4</v>
      </c>
      <c r="W55" s="118">
        <v>2.4</v>
      </c>
      <c r="X55" s="118">
        <v>2.4</v>
      </c>
      <c r="Y55" s="118">
        <v>5.2</v>
      </c>
      <c r="Z55" s="118">
        <v>6.8</v>
      </c>
      <c r="AA55" s="118">
        <v>6.7</v>
      </c>
      <c r="AB55" s="118">
        <v>6.3</v>
      </c>
      <c r="AC55" s="118">
        <v>5.4</v>
      </c>
      <c r="AD55" s="118">
        <v>5.4</v>
      </c>
      <c r="AE55" s="118">
        <v>5.4</v>
      </c>
      <c r="AF55" s="118">
        <v>5</v>
      </c>
      <c r="AG55" s="117">
        <v>14</v>
      </c>
      <c r="AH55" s="21">
        <f t="shared" si="2"/>
        <v>6.8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49.699999999999996</v>
      </c>
      <c r="C56" s="99">
        <f>SUM(C53:C55)</f>
        <v>49.800000000000004</v>
      </c>
      <c r="D56" s="99">
        <f t="shared" ref="D56:AF56" si="11">SUM(D53:D55)</f>
        <v>49.800000000000004</v>
      </c>
      <c r="E56" s="99">
        <f t="shared" si="11"/>
        <v>49.800000000000004</v>
      </c>
      <c r="F56" s="99">
        <f t="shared" si="11"/>
        <v>0</v>
      </c>
      <c r="G56" s="99">
        <f t="shared" si="11"/>
        <v>0</v>
      </c>
      <c r="H56" s="99">
        <f t="shared" si="11"/>
        <v>0</v>
      </c>
      <c r="I56" s="99">
        <f t="shared" si="11"/>
        <v>0</v>
      </c>
      <c r="J56" s="99">
        <f t="shared" si="11"/>
        <v>0</v>
      </c>
      <c r="K56" s="99">
        <f t="shared" si="11"/>
        <v>44.699999999999996</v>
      </c>
      <c r="L56" s="99">
        <f t="shared" si="11"/>
        <v>32.1</v>
      </c>
      <c r="M56" s="99">
        <f t="shared" si="11"/>
        <v>33.9</v>
      </c>
      <c r="N56" s="99">
        <f t="shared" si="11"/>
        <v>31.5</v>
      </c>
      <c r="O56" s="99">
        <f t="shared" si="11"/>
        <v>23</v>
      </c>
      <c r="P56" s="99">
        <f t="shared" si="11"/>
        <v>20</v>
      </c>
      <c r="Q56" s="99">
        <f t="shared" si="11"/>
        <v>32.199999999999996</v>
      </c>
      <c r="R56" s="99">
        <f t="shared" si="11"/>
        <v>15</v>
      </c>
      <c r="S56" s="99">
        <f t="shared" si="11"/>
        <v>20.900000000000002</v>
      </c>
      <c r="T56" s="99">
        <f t="shared" si="11"/>
        <v>17.600000000000001</v>
      </c>
      <c r="U56" s="99">
        <f t="shared" si="11"/>
        <v>49.1</v>
      </c>
      <c r="V56" s="99">
        <f t="shared" si="11"/>
        <v>49.1</v>
      </c>
      <c r="W56" s="99">
        <f t="shared" si="11"/>
        <v>22.599999999999998</v>
      </c>
      <c r="X56" s="99">
        <f t="shared" si="11"/>
        <v>22.599999999999998</v>
      </c>
      <c r="Y56" s="99">
        <f t="shared" si="11"/>
        <v>59.800000000000004</v>
      </c>
      <c r="Z56" s="99">
        <f t="shared" si="11"/>
        <v>66.2</v>
      </c>
      <c r="AA56" s="99">
        <f t="shared" si="11"/>
        <v>63.7</v>
      </c>
      <c r="AB56" s="99">
        <f t="shared" si="11"/>
        <v>58.3</v>
      </c>
      <c r="AC56" s="99">
        <f t="shared" si="11"/>
        <v>50.4</v>
      </c>
      <c r="AD56" s="99">
        <f t="shared" si="11"/>
        <v>50.4</v>
      </c>
      <c r="AE56" s="99">
        <f t="shared" si="11"/>
        <v>50.4</v>
      </c>
      <c r="AF56" s="99">
        <f t="shared" si="11"/>
        <v>48.5</v>
      </c>
      <c r="AG56" s="98">
        <f>SUM(AG53:AG55)</f>
        <v>106</v>
      </c>
      <c r="AH56" s="21">
        <f t="shared" si="2"/>
        <v>66.2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60.27</v>
      </c>
      <c r="C57" s="103">
        <v>63.6</v>
      </c>
      <c r="D57" s="103">
        <v>62.1</v>
      </c>
      <c r="E57" s="103">
        <v>55.6</v>
      </c>
      <c r="F57" s="103">
        <v>55.2</v>
      </c>
      <c r="G57" s="103">
        <v>55.6</v>
      </c>
      <c r="H57" s="103">
        <v>53.8</v>
      </c>
      <c r="I57" s="103">
        <v>54.6</v>
      </c>
      <c r="J57" s="103">
        <v>55</v>
      </c>
      <c r="K57" s="103">
        <v>55.77</v>
      </c>
      <c r="L57" s="103">
        <v>58.3</v>
      </c>
      <c r="M57" s="103">
        <v>57.3</v>
      </c>
      <c r="N57" s="103">
        <v>47.6</v>
      </c>
      <c r="O57" s="103">
        <v>56.5</v>
      </c>
      <c r="P57" s="103">
        <v>63.4</v>
      </c>
      <c r="Q57" s="103">
        <v>60</v>
      </c>
      <c r="R57" s="103">
        <v>71.400000000000006</v>
      </c>
      <c r="S57" s="103">
        <v>72.7</v>
      </c>
      <c r="T57" s="103">
        <v>61</v>
      </c>
      <c r="U57" s="103">
        <v>73.900000000000006</v>
      </c>
      <c r="V57" s="103">
        <v>73.599999999999994</v>
      </c>
      <c r="W57" s="103">
        <v>57.9</v>
      </c>
      <c r="X57" s="103">
        <v>54.5</v>
      </c>
      <c r="Y57" s="103">
        <v>58.1</v>
      </c>
      <c r="Z57" s="103">
        <v>61.1</v>
      </c>
      <c r="AA57" s="103">
        <v>66</v>
      </c>
      <c r="AB57" s="103">
        <v>64.3</v>
      </c>
      <c r="AC57" s="103">
        <v>64.3</v>
      </c>
      <c r="AD57" s="103">
        <v>62.3</v>
      </c>
      <c r="AE57" s="103">
        <v>59</v>
      </c>
      <c r="AF57" s="103">
        <v>70</v>
      </c>
      <c r="AG57" s="108"/>
      <c r="AH57" s="21">
        <f t="shared" si="2"/>
        <v>73.900000000000006</v>
      </c>
      <c r="AI57" s="20">
        <f t="shared" si="3"/>
        <v>47.6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80</v>
      </c>
      <c r="K58" s="73">
        <v>102</v>
      </c>
      <c r="L58" s="73">
        <f>132+48</f>
        <v>180</v>
      </c>
      <c r="M58" s="103">
        <f>108.2+82</f>
        <v>190.2</v>
      </c>
      <c r="N58" s="103">
        <f>104.3+74</f>
        <v>178.3</v>
      </c>
      <c r="O58" s="103">
        <f>100.8+80</f>
        <v>180.8</v>
      </c>
      <c r="P58" s="103">
        <v>175</v>
      </c>
      <c r="Q58" s="103">
        <v>170</v>
      </c>
      <c r="R58" s="103">
        <f>102.3+70</f>
        <v>172.3</v>
      </c>
      <c r="S58" s="103">
        <v>95.3</v>
      </c>
      <c r="T58" s="103">
        <v>105.4</v>
      </c>
      <c r="U58" s="103">
        <v>88.2</v>
      </c>
      <c r="V58" s="103">
        <v>86.4</v>
      </c>
      <c r="W58" s="103">
        <v>89.1</v>
      </c>
      <c r="X58" s="116">
        <v>66.3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190.2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11.1</v>
      </c>
      <c r="C59" s="73">
        <v>18</v>
      </c>
      <c r="D59" s="73">
        <v>33.200000000000003</v>
      </c>
      <c r="E59" s="73">
        <v>190.2</v>
      </c>
      <c r="F59" s="73">
        <v>194.2</v>
      </c>
      <c r="G59" s="73">
        <v>191.2</v>
      </c>
      <c r="H59" s="103">
        <v>188.5</v>
      </c>
      <c r="I59" s="103">
        <v>195.1</v>
      </c>
      <c r="J59" s="103">
        <v>30.5</v>
      </c>
      <c r="K59" s="103">
        <v>39.200000000000003</v>
      </c>
      <c r="L59" s="103">
        <v>20</v>
      </c>
      <c r="M59" s="73">
        <v>19.600000000000001</v>
      </c>
      <c r="N59" s="73">
        <v>28.6</v>
      </c>
      <c r="O59" s="73">
        <v>105.5</v>
      </c>
      <c r="P59" s="73">
        <v>104.9</v>
      </c>
      <c r="Q59" s="73">
        <v>115.2</v>
      </c>
      <c r="R59" s="73">
        <v>198</v>
      </c>
      <c r="S59" s="73">
        <v>125.3</v>
      </c>
      <c r="T59" s="73">
        <v>99</v>
      </c>
      <c r="U59" s="73">
        <v>53.1</v>
      </c>
      <c r="V59" s="73">
        <v>34.9</v>
      </c>
      <c r="W59" s="73">
        <v>41.9</v>
      </c>
      <c r="X59" s="115">
        <v>49.7</v>
      </c>
      <c r="Y59" s="115">
        <v>83.1</v>
      </c>
      <c r="Z59" s="115">
        <v>68</v>
      </c>
      <c r="AA59" s="115">
        <v>8.9</v>
      </c>
      <c r="AB59" s="73">
        <v>48</v>
      </c>
      <c r="AC59" s="73">
        <v>49</v>
      </c>
      <c r="AD59" s="73">
        <v>60</v>
      </c>
      <c r="AE59" s="73">
        <v>45</v>
      </c>
      <c r="AF59" s="73">
        <v>50</v>
      </c>
      <c r="AG59" s="113"/>
      <c r="AH59" s="21">
        <f t="shared" si="2"/>
        <v>198</v>
      </c>
      <c r="AI59" s="20">
        <f t="shared" si="3"/>
        <v>8.9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20.8</v>
      </c>
      <c r="K60" s="77">
        <v>22</v>
      </c>
      <c r="L60" s="77">
        <v>48</v>
      </c>
      <c r="M60" s="73">
        <v>48.2</v>
      </c>
      <c r="N60" s="73">
        <v>48.8</v>
      </c>
      <c r="O60" s="73">
        <v>51</v>
      </c>
      <c r="P60" s="73">
        <v>53.1</v>
      </c>
      <c r="Q60" s="73">
        <v>51.7</v>
      </c>
      <c r="R60" s="73">
        <v>52.5</v>
      </c>
      <c r="S60" s="73">
        <v>51.2</v>
      </c>
      <c r="T60" s="73">
        <v>51.2</v>
      </c>
      <c r="U60" s="73">
        <v>52.2</v>
      </c>
      <c r="V60" s="73">
        <v>50.3</v>
      </c>
      <c r="W60" s="73">
        <v>53.3</v>
      </c>
      <c r="X60" s="73">
        <v>53.3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113"/>
      <c r="AH60" s="21">
        <f t="shared" si="2"/>
        <v>53.3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13.4</v>
      </c>
      <c r="D61" s="77">
        <v>18.7</v>
      </c>
      <c r="E61" s="77">
        <v>21.1</v>
      </c>
      <c r="F61" s="77">
        <v>20.2</v>
      </c>
      <c r="G61" s="77">
        <v>20.5</v>
      </c>
      <c r="H61" s="77">
        <v>21.3</v>
      </c>
      <c r="I61" s="77">
        <v>20.5</v>
      </c>
      <c r="J61" s="77">
        <v>27.7</v>
      </c>
      <c r="K61" s="77">
        <v>28.1</v>
      </c>
      <c r="L61" s="77">
        <v>78.3</v>
      </c>
      <c r="M61" s="103">
        <v>82.1</v>
      </c>
      <c r="N61" s="103">
        <v>66.599999999999994</v>
      </c>
      <c r="O61" s="103">
        <v>59.5</v>
      </c>
      <c r="P61" s="103">
        <v>64.2</v>
      </c>
      <c r="Q61" s="103">
        <v>72</v>
      </c>
      <c r="R61" s="103">
        <v>75.8</v>
      </c>
      <c r="S61" s="103">
        <v>33.4</v>
      </c>
      <c r="T61" s="103">
        <v>85.6</v>
      </c>
      <c r="U61" s="103">
        <v>81.2</v>
      </c>
      <c r="V61" s="103">
        <v>77.8</v>
      </c>
      <c r="W61" s="103">
        <v>58.1</v>
      </c>
      <c r="X61" s="103">
        <v>38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85.6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67">
        <v>8</v>
      </c>
      <c r="N62" s="67">
        <v>8</v>
      </c>
      <c r="O62" s="67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103">
        <v>0</v>
      </c>
      <c r="R63" s="103">
        <v>0</v>
      </c>
      <c r="S63" s="103">
        <v>0</v>
      </c>
      <c r="T63" s="103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15.7</v>
      </c>
      <c r="C66" s="70">
        <v>15.7</v>
      </c>
      <c r="D66" s="70">
        <v>15.4</v>
      </c>
      <c r="E66" s="70">
        <v>15.4</v>
      </c>
      <c r="F66" s="70">
        <v>15.2</v>
      </c>
      <c r="G66" s="70">
        <v>15</v>
      </c>
      <c r="H66" s="70">
        <v>14</v>
      </c>
      <c r="I66" s="70">
        <v>15.4</v>
      </c>
      <c r="J66" s="70">
        <v>15.4</v>
      </c>
      <c r="K66" s="70">
        <v>15.4</v>
      </c>
      <c r="L66" s="70">
        <v>12.4</v>
      </c>
      <c r="M66" s="70">
        <v>12.4</v>
      </c>
      <c r="N66" s="70">
        <v>12.4</v>
      </c>
      <c r="O66" s="70">
        <v>12.4</v>
      </c>
      <c r="P66" s="70">
        <v>12.4</v>
      </c>
      <c r="Q66" s="73">
        <v>12</v>
      </c>
      <c r="R66" s="73">
        <v>12</v>
      </c>
      <c r="S66" s="73">
        <v>12</v>
      </c>
      <c r="T66" s="73">
        <v>12</v>
      </c>
      <c r="U66" s="70">
        <v>12</v>
      </c>
      <c r="V66" s="70">
        <v>12</v>
      </c>
      <c r="W66" s="70">
        <v>12</v>
      </c>
      <c r="X66" s="70">
        <v>12</v>
      </c>
      <c r="Y66" s="70">
        <v>12</v>
      </c>
      <c r="Z66" s="70">
        <v>12</v>
      </c>
      <c r="AA66" s="70">
        <v>12</v>
      </c>
      <c r="AB66" s="70">
        <v>12</v>
      </c>
      <c r="AC66" s="70">
        <v>12</v>
      </c>
      <c r="AD66" s="70">
        <v>12</v>
      </c>
      <c r="AE66" s="70">
        <v>12</v>
      </c>
      <c r="AF66" s="70">
        <v>12</v>
      </c>
      <c r="AG66" s="102"/>
      <c r="AH66" s="21">
        <f t="shared" si="2"/>
        <v>15.7</v>
      </c>
      <c r="AI66" s="20">
        <f t="shared" si="3"/>
        <v>12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103">
        <v>0</v>
      </c>
      <c r="R67" s="103">
        <v>0</v>
      </c>
      <c r="S67" s="103">
        <v>0</v>
      </c>
      <c r="T67" s="103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106.07000000000001</v>
      </c>
      <c r="C68" s="99">
        <f>SUM(C57:C67)</f>
        <v>129.69999999999999</v>
      </c>
      <c r="D68" s="99">
        <f t="shared" ref="D68:AF68" si="13">SUM(D57:D67)</f>
        <v>148.4</v>
      </c>
      <c r="E68" s="99">
        <f t="shared" si="13"/>
        <v>301.29999999999995</v>
      </c>
      <c r="F68" s="99">
        <f t="shared" si="13"/>
        <v>303.79999999999995</v>
      </c>
      <c r="G68" s="99">
        <f t="shared" si="13"/>
        <v>301.29999999999995</v>
      </c>
      <c r="H68" s="99">
        <f t="shared" si="13"/>
        <v>296.60000000000002</v>
      </c>
      <c r="I68" s="99">
        <f t="shared" si="13"/>
        <v>304.59999999999997</v>
      </c>
      <c r="J68" s="99">
        <f t="shared" si="13"/>
        <v>248.4</v>
      </c>
      <c r="K68" s="99">
        <f t="shared" si="13"/>
        <v>281.47000000000003</v>
      </c>
      <c r="L68" s="99">
        <f t="shared" si="13"/>
        <v>416</v>
      </c>
      <c r="M68" s="99">
        <f t="shared" si="13"/>
        <v>428.79999999999995</v>
      </c>
      <c r="N68" s="99">
        <f t="shared" si="13"/>
        <v>401.29999999999995</v>
      </c>
      <c r="O68" s="99">
        <f t="shared" si="13"/>
        <v>484.7</v>
      </c>
      <c r="P68" s="99">
        <f t="shared" si="13"/>
        <v>492</v>
      </c>
      <c r="Q68" s="99">
        <f t="shared" si="13"/>
        <v>499.9</v>
      </c>
      <c r="R68" s="99">
        <f t="shared" si="13"/>
        <v>601</v>
      </c>
      <c r="S68" s="99">
        <f t="shared" si="13"/>
        <v>408.9</v>
      </c>
      <c r="T68" s="99">
        <f t="shared" si="13"/>
        <v>433.19999999999993</v>
      </c>
      <c r="U68" s="99">
        <f t="shared" si="13"/>
        <v>379.6</v>
      </c>
      <c r="V68" s="99">
        <f t="shared" si="13"/>
        <v>354</v>
      </c>
      <c r="W68" s="99">
        <f t="shared" si="13"/>
        <v>331.3</v>
      </c>
      <c r="X68" s="99">
        <f t="shared" si="13"/>
        <v>292.8</v>
      </c>
      <c r="Y68" s="99">
        <f t="shared" si="13"/>
        <v>172.2</v>
      </c>
      <c r="Z68" s="99">
        <f t="shared" si="13"/>
        <v>160.1</v>
      </c>
      <c r="AA68" s="99">
        <f t="shared" si="13"/>
        <v>105.9</v>
      </c>
      <c r="AB68" s="99">
        <f t="shared" si="13"/>
        <v>143.30000000000001</v>
      </c>
      <c r="AC68" s="99">
        <f t="shared" si="13"/>
        <v>144.30000000000001</v>
      </c>
      <c r="AD68" s="99">
        <f t="shared" si="13"/>
        <v>153.30000000000001</v>
      </c>
      <c r="AE68" s="99">
        <f t="shared" si="13"/>
        <v>135</v>
      </c>
      <c r="AF68" s="99">
        <f t="shared" si="13"/>
        <v>151</v>
      </c>
      <c r="AG68" s="98">
        <f>SUM(AG57:AG67)</f>
        <v>0</v>
      </c>
      <c r="AH68" s="21">
        <f t="shared" si="2"/>
        <v>601</v>
      </c>
      <c r="AI68" s="20">
        <f t="shared" si="3"/>
        <v>105.9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0">
        <v>0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f t="shared" si="15"/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948.31000000000017</v>
      </c>
      <c r="C73" s="110">
        <f>C68+C56+C52+C38+C72</f>
        <v>927.44</v>
      </c>
      <c r="D73" s="110">
        <f t="shared" ref="D73:AG73" si="17">D68+D56+D52+D38+D72</f>
        <v>914.44</v>
      </c>
      <c r="E73" s="110">
        <f t="shared" si="17"/>
        <v>960.13999999999987</v>
      </c>
      <c r="F73" s="110">
        <f t="shared" si="17"/>
        <v>900.33999999999992</v>
      </c>
      <c r="G73" s="110">
        <f t="shared" si="17"/>
        <v>969.54</v>
      </c>
      <c r="H73" s="110">
        <f t="shared" si="17"/>
        <v>1049.6400000000001</v>
      </c>
      <c r="I73" s="110">
        <f t="shared" si="17"/>
        <v>1114.94</v>
      </c>
      <c r="J73" s="110">
        <f t="shared" si="17"/>
        <v>1205.04</v>
      </c>
      <c r="K73" s="110">
        <f t="shared" si="17"/>
        <v>1368.81</v>
      </c>
      <c r="L73" s="110">
        <f t="shared" si="17"/>
        <v>1458.14</v>
      </c>
      <c r="M73" s="110">
        <f t="shared" si="17"/>
        <v>1449.1399999999999</v>
      </c>
      <c r="N73" s="110">
        <f t="shared" si="17"/>
        <v>1360.7399999999998</v>
      </c>
      <c r="O73" s="110">
        <f t="shared" si="17"/>
        <v>1394.3400000000001</v>
      </c>
      <c r="P73" s="110">
        <f t="shared" si="17"/>
        <v>1398.54</v>
      </c>
      <c r="Q73" s="110">
        <f t="shared" si="17"/>
        <v>1408.44</v>
      </c>
      <c r="R73" s="110">
        <f t="shared" si="17"/>
        <v>1393.74</v>
      </c>
      <c r="S73" s="110">
        <f t="shared" si="17"/>
        <v>1298.04</v>
      </c>
      <c r="T73" s="110">
        <f t="shared" si="17"/>
        <v>1380.44</v>
      </c>
      <c r="U73" s="110">
        <f t="shared" si="17"/>
        <v>1365.2400000000002</v>
      </c>
      <c r="V73" s="110">
        <f t="shared" si="17"/>
        <v>1369.64</v>
      </c>
      <c r="W73" s="110">
        <f t="shared" si="17"/>
        <v>1380.64</v>
      </c>
      <c r="X73" s="110">
        <f t="shared" si="17"/>
        <v>1273.94</v>
      </c>
      <c r="Y73" s="110">
        <f t="shared" si="17"/>
        <v>1343.44</v>
      </c>
      <c r="Z73" s="110">
        <f t="shared" si="17"/>
        <v>1436.8400000000001</v>
      </c>
      <c r="AA73" s="110">
        <f t="shared" si="17"/>
        <v>1401.9400000000003</v>
      </c>
      <c r="AB73" s="110">
        <f t="shared" si="17"/>
        <v>1403.94</v>
      </c>
      <c r="AC73" s="110">
        <f t="shared" si="17"/>
        <v>1397.0400000000002</v>
      </c>
      <c r="AD73" s="110">
        <f t="shared" si="17"/>
        <v>1302.1400000000003</v>
      </c>
      <c r="AE73" s="110">
        <f t="shared" si="17"/>
        <v>1283.8400000000001</v>
      </c>
      <c r="AF73" s="110">
        <f t="shared" si="17"/>
        <v>1159.24</v>
      </c>
      <c r="AG73" s="110">
        <f t="shared" si="17"/>
        <v>2144.14</v>
      </c>
      <c r="AH73" s="21">
        <f t="shared" si="2"/>
        <v>1458.14</v>
      </c>
      <c r="AI73" s="20">
        <f t="shared" si="3"/>
        <v>900.33999999999992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250</v>
      </c>
      <c r="C74" s="111">
        <v>240</v>
      </c>
      <c r="D74" s="111">
        <v>220</v>
      </c>
      <c r="E74" s="111">
        <v>220</v>
      </c>
      <c r="F74" s="111">
        <v>220</v>
      </c>
      <c r="G74" s="111">
        <v>200</v>
      </c>
      <c r="H74" s="111">
        <v>140</v>
      </c>
      <c r="I74" s="111">
        <v>120</v>
      </c>
      <c r="J74" s="111">
        <v>60</v>
      </c>
      <c r="K74" s="111">
        <v>50</v>
      </c>
      <c r="L74" s="111">
        <v>0</v>
      </c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>
        <v>200</v>
      </c>
      <c r="Z74" s="111">
        <v>170</v>
      </c>
      <c r="AA74" s="111">
        <v>150</v>
      </c>
      <c r="AB74" s="111">
        <v>100</v>
      </c>
      <c r="AC74" s="111">
        <v>100</v>
      </c>
      <c r="AD74" s="111">
        <v>100</v>
      </c>
      <c r="AE74" s="111">
        <v>100</v>
      </c>
      <c r="AF74" s="111">
        <v>100</v>
      </c>
      <c r="AG74" s="98"/>
      <c r="AH74" s="21">
        <f t="shared" si="2"/>
        <v>250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1198.3100000000002</v>
      </c>
      <c r="C75" s="110">
        <f>C73+C74</f>
        <v>1167.44</v>
      </c>
      <c r="D75" s="110">
        <f t="shared" ref="D75:AF75" si="19">D72+D68+D56+D52+D38+D74</f>
        <v>1134.44</v>
      </c>
      <c r="E75" s="110">
        <f t="shared" si="19"/>
        <v>1180.1399999999999</v>
      </c>
      <c r="F75" s="110">
        <f t="shared" si="19"/>
        <v>1120.3399999999999</v>
      </c>
      <c r="G75" s="110">
        <f t="shared" si="19"/>
        <v>1169.54</v>
      </c>
      <c r="H75" s="110">
        <f t="shared" si="19"/>
        <v>1189.6400000000001</v>
      </c>
      <c r="I75" s="110">
        <f t="shared" si="19"/>
        <v>1234.94</v>
      </c>
      <c r="J75" s="110">
        <f t="shared" si="19"/>
        <v>1265.04</v>
      </c>
      <c r="K75" s="110">
        <f t="shared" si="19"/>
        <v>1418.81</v>
      </c>
      <c r="L75" s="110">
        <f t="shared" si="19"/>
        <v>1458.14</v>
      </c>
      <c r="M75" s="110">
        <f t="shared" si="19"/>
        <v>1449.1399999999999</v>
      </c>
      <c r="N75" s="110">
        <f t="shared" si="19"/>
        <v>1360.7399999999998</v>
      </c>
      <c r="O75" s="110">
        <f t="shared" si="19"/>
        <v>1394.3400000000001</v>
      </c>
      <c r="P75" s="110">
        <f t="shared" si="19"/>
        <v>1398.54</v>
      </c>
      <c r="Q75" s="110">
        <f t="shared" si="19"/>
        <v>1408.44</v>
      </c>
      <c r="R75" s="110">
        <f t="shared" si="19"/>
        <v>1393.74</v>
      </c>
      <c r="S75" s="110">
        <f t="shared" si="19"/>
        <v>1298.04</v>
      </c>
      <c r="T75" s="110">
        <f t="shared" si="19"/>
        <v>1380.44</v>
      </c>
      <c r="U75" s="110">
        <f t="shared" si="19"/>
        <v>1365.2400000000002</v>
      </c>
      <c r="V75" s="110">
        <f t="shared" si="19"/>
        <v>1369.64</v>
      </c>
      <c r="W75" s="110">
        <f t="shared" si="19"/>
        <v>1380.64</v>
      </c>
      <c r="X75" s="110">
        <f t="shared" si="19"/>
        <v>1273.94</v>
      </c>
      <c r="Y75" s="110">
        <f t="shared" si="19"/>
        <v>1543.44</v>
      </c>
      <c r="Z75" s="110">
        <f t="shared" si="19"/>
        <v>1606.8400000000001</v>
      </c>
      <c r="AA75" s="110">
        <f t="shared" si="19"/>
        <v>1551.9400000000003</v>
      </c>
      <c r="AB75" s="110">
        <f t="shared" si="19"/>
        <v>1503.94</v>
      </c>
      <c r="AC75" s="110">
        <f t="shared" si="19"/>
        <v>1497.0400000000002</v>
      </c>
      <c r="AD75" s="110">
        <f t="shared" si="19"/>
        <v>1402.1400000000003</v>
      </c>
      <c r="AE75" s="110">
        <f t="shared" si="19"/>
        <v>1383.8400000000001</v>
      </c>
      <c r="AF75" s="110">
        <f t="shared" si="19"/>
        <v>1259.24</v>
      </c>
      <c r="AG75" s="98">
        <f>AG72+AG68+AG56+AG52+AG38+AG74</f>
        <v>2144.14</v>
      </c>
      <c r="AH75" s="21">
        <f t="shared" si="2"/>
        <v>1606.8400000000001</v>
      </c>
      <c r="AI75" s="20">
        <f t="shared" si="3"/>
        <v>1120.3399999999999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:AF76" si="20">IF(B60&lt;0,B60*-1,0)</f>
        <v>0</v>
      </c>
      <c r="C76" s="77">
        <f t="shared" si="20"/>
        <v>0</v>
      </c>
      <c r="D76" s="77">
        <f t="shared" si="20"/>
        <v>0</v>
      </c>
      <c r="E76" s="77">
        <f t="shared" si="20"/>
        <v>0</v>
      </c>
      <c r="F76" s="77">
        <f t="shared" si="20"/>
        <v>0</v>
      </c>
      <c r="G76" s="77">
        <f t="shared" si="20"/>
        <v>0</v>
      </c>
      <c r="H76" s="77">
        <f t="shared" si="20"/>
        <v>0</v>
      </c>
      <c r="I76" s="77">
        <f t="shared" si="20"/>
        <v>0</v>
      </c>
      <c r="J76" s="77">
        <f t="shared" si="20"/>
        <v>0</v>
      </c>
      <c r="K76" s="77">
        <f t="shared" si="20"/>
        <v>0</v>
      </c>
      <c r="L76" s="77">
        <f t="shared" si="20"/>
        <v>0</v>
      </c>
      <c r="M76" s="77">
        <f t="shared" si="20"/>
        <v>0</v>
      </c>
      <c r="N76" s="77">
        <f t="shared" si="20"/>
        <v>0</v>
      </c>
      <c r="O76" s="77">
        <f t="shared" si="20"/>
        <v>0</v>
      </c>
      <c r="P76" s="77">
        <f t="shared" si="20"/>
        <v>0</v>
      </c>
      <c r="Q76" s="77">
        <f t="shared" si="20"/>
        <v>0</v>
      </c>
      <c r="R76" s="77">
        <f t="shared" si="20"/>
        <v>0</v>
      </c>
      <c r="S76" s="77">
        <f t="shared" si="20"/>
        <v>0</v>
      </c>
      <c r="T76" s="77">
        <f t="shared" si="20"/>
        <v>0</v>
      </c>
      <c r="U76" s="77">
        <f t="shared" si="20"/>
        <v>0</v>
      </c>
      <c r="V76" s="77">
        <f t="shared" si="20"/>
        <v>0</v>
      </c>
      <c r="W76" s="77">
        <f t="shared" si="20"/>
        <v>0</v>
      </c>
      <c r="X76" s="77">
        <f t="shared" si="20"/>
        <v>0</v>
      </c>
      <c r="Y76" s="77">
        <f t="shared" si="20"/>
        <v>0</v>
      </c>
      <c r="Z76" s="77">
        <f t="shared" si="20"/>
        <v>0</v>
      </c>
      <c r="AA76" s="77">
        <f t="shared" si="20"/>
        <v>0</v>
      </c>
      <c r="AB76" s="77">
        <f t="shared" si="20"/>
        <v>0</v>
      </c>
      <c r="AC76" s="77">
        <f t="shared" si="20"/>
        <v>0</v>
      </c>
      <c r="AD76" s="77">
        <f t="shared" si="20"/>
        <v>0</v>
      </c>
      <c r="AE76" s="77">
        <f t="shared" si="20"/>
        <v>0</v>
      </c>
      <c r="AF76" s="77">
        <f t="shared" si="20"/>
        <v>0</v>
      </c>
      <c r="AG76" s="108"/>
      <c r="AH76" s="21">
        <f t="shared" ref="AH76:AH91" si="21">MAX(B76:AF76)</f>
        <v>0</v>
      </c>
      <c r="AI76" s="20">
        <f t="shared" ref="AI76:AI91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:AF77" si="23">IF(B58&lt;0,B58*-1,0)</f>
        <v>0</v>
      </c>
      <c r="C77" s="77">
        <f t="shared" si="23"/>
        <v>0</v>
      </c>
      <c r="D77" s="77">
        <f t="shared" si="23"/>
        <v>0</v>
      </c>
      <c r="E77" s="77">
        <f t="shared" si="23"/>
        <v>0</v>
      </c>
      <c r="F77" s="77">
        <f t="shared" si="23"/>
        <v>0</v>
      </c>
      <c r="G77" s="77">
        <f t="shared" si="23"/>
        <v>0</v>
      </c>
      <c r="H77" s="77">
        <f t="shared" si="23"/>
        <v>0</v>
      </c>
      <c r="I77" s="77">
        <f t="shared" si="23"/>
        <v>0</v>
      </c>
      <c r="J77" s="77">
        <f t="shared" si="23"/>
        <v>0</v>
      </c>
      <c r="K77" s="77">
        <f t="shared" si="23"/>
        <v>0</v>
      </c>
      <c r="L77" s="77">
        <f t="shared" si="23"/>
        <v>0</v>
      </c>
      <c r="M77" s="77">
        <f t="shared" si="23"/>
        <v>0</v>
      </c>
      <c r="N77" s="77">
        <f t="shared" si="23"/>
        <v>0</v>
      </c>
      <c r="O77" s="77">
        <f t="shared" si="23"/>
        <v>0</v>
      </c>
      <c r="P77" s="77">
        <f t="shared" si="23"/>
        <v>0</v>
      </c>
      <c r="Q77" s="77">
        <f t="shared" si="23"/>
        <v>0</v>
      </c>
      <c r="R77" s="77">
        <f t="shared" si="23"/>
        <v>0</v>
      </c>
      <c r="S77" s="77">
        <f t="shared" si="23"/>
        <v>0</v>
      </c>
      <c r="T77" s="77">
        <f t="shared" si="23"/>
        <v>0</v>
      </c>
      <c r="U77" s="77">
        <f t="shared" si="23"/>
        <v>0</v>
      </c>
      <c r="V77" s="77">
        <f t="shared" si="23"/>
        <v>0</v>
      </c>
      <c r="W77" s="77">
        <f t="shared" si="23"/>
        <v>0</v>
      </c>
      <c r="X77" s="77">
        <f t="shared" si="23"/>
        <v>0</v>
      </c>
      <c r="Y77" s="77">
        <f t="shared" si="23"/>
        <v>0</v>
      </c>
      <c r="Z77" s="77">
        <f t="shared" si="23"/>
        <v>0</v>
      </c>
      <c r="AA77" s="77">
        <f t="shared" si="23"/>
        <v>0</v>
      </c>
      <c r="AB77" s="77">
        <f t="shared" si="23"/>
        <v>0</v>
      </c>
      <c r="AC77" s="77">
        <f t="shared" si="23"/>
        <v>0</v>
      </c>
      <c r="AD77" s="77">
        <f t="shared" si="23"/>
        <v>0</v>
      </c>
      <c r="AE77" s="77">
        <f t="shared" si="23"/>
        <v>0</v>
      </c>
      <c r="AF77" s="77">
        <f t="shared" si="23"/>
        <v>0</v>
      </c>
      <c r="AG77" s="106"/>
      <c r="AH77" s="21">
        <f t="shared" si="21"/>
        <v>0</v>
      </c>
      <c r="AI77" s="20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:AF78" si="24">IF(B61&lt;0,B61*-1,0)</f>
        <v>0</v>
      </c>
      <c r="C78" s="77">
        <f t="shared" si="24"/>
        <v>0</v>
      </c>
      <c r="D78" s="77">
        <f t="shared" si="24"/>
        <v>0</v>
      </c>
      <c r="E78" s="77">
        <f t="shared" si="24"/>
        <v>0</v>
      </c>
      <c r="F78" s="77">
        <f t="shared" si="24"/>
        <v>0</v>
      </c>
      <c r="G78" s="77">
        <f t="shared" si="24"/>
        <v>0</v>
      </c>
      <c r="H78" s="77">
        <f t="shared" si="24"/>
        <v>0</v>
      </c>
      <c r="I78" s="77">
        <f t="shared" si="24"/>
        <v>0</v>
      </c>
      <c r="J78" s="77">
        <f t="shared" si="24"/>
        <v>0</v>
      </c>
      <c r="K78" s="77">
        <f t="shared" si="24"/>
        <v>0</v>
      </c>
      <c r="L78" s="77">
        <f t="shared" si="24"/>
        <v>0</v>
      </c>
      <c r="M78" s="77">
        <f t="shared" si="24"/>
        <v>0</v>
      </c>
      <c r="N78" s="77">
        <f t="shared" si="24"/>
        <v>0</v>
      </c>
      <c r="O78" s="77">
        <f t="shared" si="24"/>
        <v>0</v>
      </c>
      <c r="P78" s="77">
        <f t="shared" si="24"/>
        <v>0</v>
      </c>
      <c r="Q78" s="77">
        <f t="shared" si="24"/>
        <v>0</v>
      </c>
      <c r="R78" s="77">
        <f t="shared" si="24"/>
        <v>0</v>
      </c>
      <c r="S78" s="77">
        <f t="shared" si="24"/>
        <v>0</v>
      </c>
      <c r="T78" s="77">
        <f t="shared" si="24"/>
        <v>0</v>
      </c>
      <c r="U78" s="77">
        <f t="shared" si="24"/>
        <v>0</v>
      </c>
      <c r="V78" s="77">
        <f t="shared" si="24"/>
        <v>0</v>
      </c>
      <c r="W78" s="77">
        <f t="shared" si="24"/>
        <v>0</v>
      </c>
      <c r="X78" s="77">
        <f t="shared" si="24"/>
        <v>0</v>
      </c>
      <c r="Y78" s="77">
        <f t="shared" si="24"/>
        <v>0</v>
      </c>
      <c r="Z78" s="77">
        <f t="shared" si="24"/>
        <v>0</v>
      </c>
      <c r="AA78" s="77">
        <f t="shared" si="24"/>
        <v>0</v>
      </c>
      <c r="AB78" s="77">
        <f t="shared" si="24"/>
        <v>0</v>
      </c>
      <c r="AC78" s="77">
        <f t="shared" si="24"/>
        <v>0</v>
      </c>
      <c r="AD78" s="77">
        <f t="shared" si="24"/>
        <v>0</v>
      </c>
      <c r="AE78" s="77">
        <f t="shared" si="24"/>
        <v>0</v>
      </c>
      <c r="AF78" s="77">
        <f t="shared" si="24"/>
        <v>0</v>
      </c>
      <c r="AG78" s="105"/>
      <c r="AH78" s="21">
        <f t="shared" si="21"/>
        <v>0</v>
      </c>
      <c r="AI78" s="20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:AF79" si="25">IF(B59&lt;0,B59*-1,0)</f>
        <v>0</v>
      </c>
      <c r="C79" s="77">
        <f t="shared" si="25"/>
        <v>0</v>
      </c>
      <c r="D79" s="77">
        <f t="shared" si="25"/>
        <v>0</v>
      </c>
      <c r="E79" s="77">
        <f t="shared" si="25"/>
        <v>0</v>
      </c>
      <c r="F79" s="77">
        <f t="shared" si="25"/>
        <v>0</v>
      </c>
      <c r="G79" s="77">
        <f t="shared" si="25"/>
        <v>0</v>
      </c>
      <c r="H79" s="77">
        <f t="shared" si="25"/>
        <v>0</v>
      </c>
      <c r="I79" s="77">
        <f t="shared" si="25"/>
        <v>0</v>
      </c>
      <c r="J79" s="77">
        <f t="shared" si="25"/>
        <v>0</v>
      </c>
      <c r="K79" s="77">
        <f t="shared" si="25"/>
        <v>0</v>
      </c>
      <c r="L79" s="77">
        <f t="shared" si="25"/>
        <v>0</v>
      </c>
      <c r="M79" s="77">
        <f t="shared" si="25"/>
        <v>0</v>
      </c>
      <c r="N79" s="77">
        <f t="shared" si="25"/>
        <v>0</v>
      </c>
      <c r="O79" s="77">
        <f t="shared" si="25"/>
        <v>0</v>
      </c>
      <c r="P79" s="77">
        <f t="shared" si="25"/>
        <v>0</v>
      </c>
      <c r="Q79" s="77">
        <f t="shared" si="25"/>
        <v>0</v>
      </c>
      <c r="R79" s="77">
        <f t="shared" si="25"/>
        <v>0</v>
      </c>
      <c r="S79" s="77">
        <f t="shared" si="25"/>
        <v>0</v>
      </c>
      <c r="T79" s="77">
        <f t="shared" si="25"/>
        <v>0</v>
      </c>
      <c r="U79" s="77">
        <f t="shared" si="25"/>
        <v>0</v>
      </c>
      <c r="V79" s="77">
        <f t="shared" si="25"/>
        <v>0</v>
      </c>
      <c r="W79" s="77">
        <f t="shared" si="25"/>
        <v>0</v>
      </c>
      <c r="X79" s="77">
        <f t="shared" si="25"/>
        <v>0</v>
      </c>
      <c r="Y79" s="77">
        <f t="shared" si="25"/>
        <v>0</v>
      </c>
      <c r="Z79" s="77">
        <f t="shared" si="25"/>
        <v>0</v>
      </c>
      <c r="AA79" s="77">
        <f t="shared" si="25"/>
        <v>0</v>
      </c>
      <c r="AB79" s="77">
        <f t="shared" si="25"/>
        <v>0</v>
      </c>
      <c r="AC79" s="77">
        <f t="shared" si="25"/>
        <v>0</v>
      </c>
      <c r="AD79" s="77">
        <f t="shared" si="25"/>
        <v>0</v>
      </c>
      <c r="AE79" s="77">
        <f t="shared" si="25"/>
        <v>0</v>
      </c>
      <c r="AF79" s="77">
        <f t="shared" si="25"/>
        <v>0</v>
      </c>
      <c r="AG79" s="105"/>
      <c r="AH79" s="21">
        <f t="shared" si="21"/>
        <v>0</v>
      </c>
      <c r="AI79" s="20">
        <f t="shared" si="2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:AF80" si="26">IF(B57&lt;0,B57*-1,0)</f>
        <v>0</v>
      </c>
      <c r="C80" s="77">
        <f t="shared" si="26"/>
        <v>0</v>
      </c>
      <c r="D80" s="77">
        <f t="shared" si="26"/>
        <v>0</v>
      </c>
      <c r="E80" s="77">
        <f t="shared" si="26"/>
        <v>0</v>
      </c>
      <c r="F80" s="77">
        <f t="shared" si="26"/>
        <v>0</v>
      </c>
      <c r="G80" s="77">
        <f t="shared" si="26"/>
        <v>0</v>
      </c>
      <c r="H80" s="77">
        <f t="shared" si="26"/>
        <v>0</v>
      </c>
      <c r="I80" s="77">
        <f t="shared" si="26"/>
        <v>0</v>
      </c>
      <c r="J80" s="77">
        <f t="shared" si="26"/>
        <v>0</v>
      </c>
      <c r="K80" s="77">
        <f t="shared" si="26"/>
        <v>0</v>
      </c>
      <c r="L80" s="77">
        <f t="shared" si="26"/>
        <v>0</v>
      </c>
      <c r="M80" s="77">
        <f t="shared" si="26"/>
        <v>0</v>
      </c>
      <c r="N80" s="77">
        <f t="shared" si="26"/>
        <v>0</v>
      </c>
      <c r="O80" s="77">
        <f t="shared" si="26"/>
        <v>0</v>
      </c>
      <c r="P80" s="77">
        <f t="shared" si="26"/>
        <v>0</v>
      </c>
      <c r="Q80" s="77">
        <f t="shared" si="26"/>
        <v>0</v>
      </c>
      <c r="R80" s="77">
        <f t="shared" si="26"/>
        <v>0</v>
      </c>
      <c r="S80" s="77">
        <f t="shared" si="26"/>
        <v>0</v>
      </c>
      <c r="T80" s="77">
        <f t="shared" si="26"/>
        <v>0</v>
      </c>
      <c r="U80" s="77">
        <f t="shared" si="26"/>
        <v>0</v>
      </c>
      <c r="V80" s="77">
        <f t="shared" si="26"/>
        <v>0</v>
      </c>
      <c r="W80" s="77">
        <f t="shared" si="26"/>
        <v>0</v>
      </c>
      <c r="X80" s="77">
        <f t="shared" si="26"/>
        <v>0</v>
      </c>
      <c r="Y80" s="77">
        <f t="shared" si="26"/>
        <v>0</v>
      </c>
      <c r="Z80" s="77">
        <f t="shared" si="26"/>
        <v>0</v>
      </c>
      <c r="AA80" s="77">
        <f t="shared" si="26"/>
        <v>0</v>
      </c>
      <c r="AB80" s="77">
        <f t="shared" si="26"/>
        <v>0</v>
      </c>
      <c r="AC80" s="77">
        <f t="shared" si="26"/>
        <v>0</v>
      </c>
      <c r="AD80" s="77">
        <f t="shared" si="26"/>
        <v>0</v>
      </c>
      <c r="AE80" s="77">
        <f t="shared" si="26"/>
        <v>0</v>
      </c>
      <c r="AF80" s="77">
        <f t="shared" si="26"/>
        <v>0</v>
      </c>
      <c r="AG80" s="105"/>
      <c r="AH80" s="21">
        <f t="shared" si="21"/>
        <v>0</v>
      </c>
      <c r="AI80" s="20">
        <f t="shared" si="2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1"/>
        <v>0</v>
      </c>
      <c r="AI81" s="20">
        <f t="shared" si="2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27">SUM(B76:B81)</f>
        <v>0</v>
      </c>
      <c r="C82" s="99">
        <f t="shared" ref="C82:AG82" si="28">SUM(C76:C81)</f>
        <v>0</v>
      </c>
      <c r="D82" s="99">
        <f t="shared" si="28"/>
        <v>0</v>
      </c>
      <c r="E82" s="99">
        <f t="shared" si="28"/>
        <v>0</v>
      </c>
      <c r="F82" s="99">
        <f t="shared" si="28"/>
        <v>0</v>
      </c>
      <c r="G82" s="99">
        <f t="shared" si="28"/>
        <v>0</v>
      </c>
      <c r="H82" s="99">
        <f t="shared" si="28"/>
        <v>0</v>
      </c>
      <c r="I82" s="99">
        <f t="shared" si="28"/>
        <v>0</v>
      </c>
      <c r="J82" s="99">
        <f t="shared" si="28"/>
        <v>0</v>
      </c>
      <c r="K82" s="99">
        <f t="shared" si="28"/>
        <v>0</v>
      </c>
      <c r="L82" s="99">
        <f t="shared" si="28"/>
        <v>0</v>
      </c>
      <c r="M82" s="99">
        <f t="shared" si="28"/>
        <v>0</v>
      </c>
      <c r="N82" s="99">
        <f t="shared" si="28"/>
        <v>0</v>
      </c>
      <c r="O82" s="99">
        <f t="shared" si="28"/>
        <v>0</v>
      </c>
      <c r="P82" s="99">
        <f t="shared" si="28"/>
        <v>0</v>
      </c>
      <c r="Q82" s="99">
        <f t="shared" si="28"/>
        <v>0</v>
      </c>
      <c r="R82" s="99">
        <f t="shared" si="28"/>
        <v>0</v>
      </c>
      <c r="S82" s="99">
        <f t="shared" si="28"/>
        <v>0</v>
      </c>
      <c r="T82" s="99">
        <f t="shared" si="28"/>
        <v>0</v>
      </c>
      <c r="U82" s="99">
        <f t="shared" si="28"/>
        <v>0</v>
      </c>
      <c r="V82" s="99">
        <f t="shared" si="28"/>
        <v>0</v>
      </c>
      <c r="W82" s="99">
        <f t="shared" si="28"/>
        <v>0</v>
      </c>
      <c r="X82" s="99">
        <f t="shared" si="28"/>
        <v>0</v>
      </c>
      <c r="Y82" s="99">
        <f t="shared" si="28"/>
        <v>0</v>
      </c>
      <c r="Z82" s="99">
        <f t="shared" si="28"/>
        <v>0</v>
      </c>
      <c r="AA82" s="99">
        <f t="shared" si="28"/>
        <v>0</v>
      </c>
      <c r="AB82" s="99">
        <f t="shared" si="28"/>
        <v>0</v>
      </c>
      <c r="AC82" s="99">
        <f t="shared" si="28"/>
        <v>0</v>
      </c>
      <c r="AD82" s="99">
        <f t="shared" si="28"/>
        <v>0</v>
      </c>
      <c r="AE82" s="99">
        <f t="shared" si="28"/>
        <v>0</v>
      </c>
      <c r="AF82" s="99">
        <f t="shared" si="28"/>
        <v>0</v>
      </c>
      <c r="AG82" s="98">
        <f t="shared" si="28"/>
        <v>0</v>
      </c>
      <c r="AH82" s="21">
        <f t="shared" si="21"/>
        <v>0</v>
      </c>
      <c r="AI82" s="20">
        <f t="shared" si="22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29">SUM(B70:B82)</f>
        <v>2396.6200000000003</v>
      </c>
      <c r="C83" s="99">
        <f t="shared" ref="C83:AG83" si="30">SUM(C70:C82)</f>
        <v>2334.88</v>
      </c>
      <c r="D83" s="99">
        <f t="shared" si="30"/>
        <v>2268.88</v>
      </c>
      <c r="E83" s="99">
        <f t="shared" si="30"/>
        <v>2360.2799999999997</v>
      </c>
      <c r="F83" s="99">
        <f t="shared" si="30"/>
        <v>2240.6799999999998</v>
      </c>
      <c r="G83" s="99">
        <f t="shared" si="30"/>
        <v>2339.08</v>
      </c>
      <c r="H83" s="99">
        <f t="shared" si="30"/>
        <v>2379.2800000000002</v>
      </c>
      <c r="I83" s="99">
        <f t="shared" si="30"/>
        <v>2469.88</v>
      </c>
      <c r="J83" s="99">
        <f t="shared" si="30"/>
        <v>2530.08</v>
      </c>
      <c r="K83" s="99">
        <f t="shared" si="30"/>
        <v>2837.62</v>
      </c>
      <c r="L83" s="99">
        <f t="shared" si="30"/>
        <v>2916.28</v>
      </c>
      <c r="M83" s="99">
        <f t="shared" si="30"/>
        <v>2898.2799999999997</v>
      </c>
      <c r="N83" s="99">
        <f t="shared" si="30"/>
        <v>2721.4799999999996</v>
      </c>
      <c r="O83" s="99">
        <f t="shared" si="30"/>
        <v>2788.6800000000003</v>
      </c>
      <c r="P83" s="99">
        <f t="shared" si="30"/>
        <v>2797.08</v>
      </c>
      <c r="Q83" s="99">
        <f t="shared" si="30"/>
        <v>2816.88</v>
      </c>
      <c r="R83" s="99">
        <f t="shared" si="30"/>
        <v>2787.48</v>
      </c>
      <c r="S83" s="99">
        <f t="shared" si="30"/>
        <v>2596.08</v>
      </c>
      <c r="T83" s="99">
        <f t="shared" si="30"/>
        <v>2760.88</v>
      </c>
      <c r="U83" s="99">
        <f t="shared" si="30"/>
        <v>2730.4800000000005</v>
      </c>
      <c r="V83" s="99">
        <f t="shared" si="30"/>
        <v>2739.28</v>
      </c>
      <c r="W83" s="99">
        <f t="shared" si="30"/>
        <v>2761.28</v>
      </c>
      <c r="X83" s="99">
        <f t="shared" si="30"/>
        <v>2547.88</v>
      </c>
      <c r="Y83" s="99">
        <f t="shared" si="30"/>
        <v>3086.88</v>
      </c>
      <c r="Z83" s="99">
        <f t="shared" si="30"/>
        <v>3213.6800000000003</v>
      </c>
      <c r="AA83" s="99">
        <f t="shared" si="30"/>
        <v>3103.8800000000006</v>
      </c>
      <c r="AB83" s="99">
        <f t="shared" si="30"/>
        <v>3007.88</v>
      </c>
      <c r="AC83" s="99">
        <f t="shared" si="30"/>
        <v>2994.0800000000004</v>
      </c>
      <c r="AD83" s="99">
        <f t="shared" si="30"/>
        <v>2804.2800000000007</v>
      </c>
      <c r="AE83" s="99">
        <f t="shared" si="30"/>
        <v>2767.6800000000003</v>
      </c>
      <c r="AF83" s="99">
        <f t="shared" si="30"/>
        <v>2518.48</v>
      </c>
      <c r="AG83" s="98">
        <f t="shared" si="30"/>
        <v>4360.08</v>
      </c>
      <c r="AH83" s="21">
        <f t="shared" si="21"/>
        <v>3213.6800000000003</v>
      </c>
      <c r="AI83" s="20">
        <f t="shared" si="22"/>
        <v>2240.6799999999998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49.86</v>
      </c>
      <c r="C84" s="96">
        <v>49.814999999999998</v>
      </c>
      <c r="D84" s="96">
        <v>49.997999999999998</v>
      </c>
      <c r="E84" s="96">
        <v>49.997999999999998</v>
      </c>
      <c r="F84" s="96">
        <v>49.991</v>
      </c>
      <c r="G84" s="96">
        <v>49.926000000000002</v>
      </c>
      <c r="H84" s="96">
        <v>50.048000000000002</v>
      </c>
      <c r="I84" s="96">
        <v>49.972000000000001</v>
      </c>
      <c r="J84" s="96">
        <v>50.009</v>
      </c>
      <c r="K84" s="96">
        <v>50.02</v>
      </c>
      <c r="L84" s="96">
        <v>50.037999999999997</v>
      </c>
      <c r="M84" s="96">
        <v>50.029000000000003</v>
      </c>
      <c r="N84" s="96">
        <v>50.033999999999999</v>
      </c>
      <c r="O84" s="96">
        <v>50</v>
      </c>
      <c r="P84" s="96">
        <v>49.975000000000001</v>
      </c>
      <c r="Q84" s="96">
        <v>50.01</v>
      </c>
      <c r="R84" s="96">
        <v>50.02</v>
      </c>
      <c r="S84" s="96">
        <v>49.89</v>
      </c>
      <c r="T84" s="96">
        <v>49.997999999999998</v>
      </c>
      <c r="U84" s="96">
        <v>49.954999999999998</v>
      </c>
      <c r="V84" s="96">
        <v>49.97</v>
      </c>
      <c r="W84" s="96">
        <v>49.935000000000002</v>
      </c>
      <c r="X84" s="96">
        <v>49.847999999999999</v>
      </c>
      <c r="Y84" s="96">
        <v>49.959000000000003</v>
      </c>
      <c r="Z84" s="96">
        <v>49.948</v>
      </c>
      <c r="AA84" s="96">
        <v>49.802</v>
      </c>
      <c r="AB84" s="96">
        <v>49.86</v>
      </c>
      <c r="AC84" s="96">
        <v>49.99</v>
      </c>
      <c r="AD84" s="96">
        <v>50</v>
      </c>
      <c r="AE84" s="96">
        <v>50</v>
      </c>
      <c r="AF84" s="96">
        <v>50.2</v>
      </c>
      <c r="AG84" s="95"/>
      <c r="AH84" s="21">
        <f t="shared" si="21"/>
        <v>50.2</v>
      </c>
      <c r="AI84" s="20">
        <f t="shared" si="22"/>
        <v>49.802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130.4</v>
      </c>
      <c r="C85" s="73">
        <v>131</v>
      </c>
      <c r="D85" s="73">
        <v>131.4</v>
      </c>
      <c r="E85" s="73">
        <v>131.19999999999999</v>
      </c>
      <c r="F85" s="73">
        <v>130.6</v>
      </c>
      <c r="G85" s="73">
        <v>129.9</v>
      </c>
      <c r="H85" s="73">
        <v>129.30000000000001</v>
      </c>
      <c r="I85" s="73">
        <v>126.1</v>
      </c>
      <c r="J85" s="73">
        <v>125.6</v>
      </c>
      <c r="K85" s="73">
        <v>124.5</v>
      </c>
      <c r="L85" s="73">
        <v>124.4</v>
      </c>
      <c r="M85" s="73">
        <v>124</v>
      </c>
      <c r="N85" s="73">
        <v>124.2</v>
      </c>
      <c r="O85" s="73">
        <v>123.5</v>
      </c>
      <c r="P85" s="73">
        <v>122.9</v>
      </c>
      <c r="Q85" s="73">
        <v>122.8</v>
      </c>
      <c r="R85" s="73">
        <v>123.2</v>
      </c>
      <c r="S85" s="73">
        <v>122.2</v>
      </c>
      <c r="T85" s="73">
        <v>122.9</v>
      </c>
      <c r="U85" s="94">
        <v>122.5</v>
      </c>
      <c r="V85" s="94">
        <v>122.6</v>
      </c>
      <c r="W85" s="94">
        <v>125.1</v>
      </c>
      <c r="X85" s="94">
        <v>126.3</v>
      </c>
      <c r="Y85" s="94">
        <v>125.8</v>
      </c>
      <c r="Z85" s="94">
        <v>124.7</v>
      </c>
      <c r="AA85" s="94">
        <v>125.6</v>
      </c>
      <c r="AB85" s="73">
        <v>125.4</v>
      </c>
      <c r="AC85" s="73">
        <v>125.4</v>
      </c>
      <c r="AD85" s="73">
        <v>125.4</v>
      </c>
      <c r="AE85" s="73">
        <v>125.4</v>
      </c>
      <c r="AF85" s="73">
        <v>128</v>
      </c>
      <c r="AG85" s="89"/>
      <c r="AH85" s="21">
        <f t="shared" si="21"/>
        <v>131.4</v>
      </c>
      <c r="AI85" s="20">
        <f t="shared" si="22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133.6</v>
      </c>
      <c r="C86" s="73">
        <v>134</v>
      </c>
      <c r="D86" s="73">
        <v>134.19999999999999</v>
      </c>
      <c r="E86" s="73">
        <v>134.1</v>
      </c>
      <c r="F86" s="73">
        <v>133.6</v>
      </c>
      <c r="G86" s="73">
        <v>132.9</v>
      </c>
      <c r="H86" s="73">
        <v>132</v>
      </c>
      <c r="I86" s="73">
        <v>129</v>
      </c>
      <c r="J86" s="73">
        <v>128.6</v>
      </c>
      <c r="K86" s="73">
        <v>127.5</v>
      </c>
      <c r="L86" s="73">
        <v>127.2</v>
      </c>
      <c r="M86" s="73">
        <v>126.8</v>
      </c>
      <c r="N86" s="73">
        <v>127.7</v>
      </c>
      <c r="O86" s="73">
        <v>127</v>
      </c>
      <c r="P86" s="73">
        <v>126.7</v>
      </c>
      <c r="Q86" s="73">
        <v>126.7</v>
      </c>
      <c r="R86" s="73">
        <v>126.7</v>
      </c>
      <c r="S86" s="73">
        <v>126.3</v>
      </c>
      <c r="T86" s="73">
        <v>126</v>
      </c>
      <c r="U86" s="94">
        <v>125.6</v>
      </c>
      <c r="V86" s="94">
        <v>126.6</v>
      </c>
      <c r="W86" s="94">
        <v>127.3</v>
      </c>
      <c r="X86" s="94">
        <v>128.80000000000001</v>
      </c>
      <c r="Y86" s="94">
        <v>128.80000000000001</v>
      </c>
      <c r="Z86" s="94">
        <v>127.6</v>
      </c>
      <c r="AA86" s="94">
        <v>128.6</v>
      </c>
      <c r="AB86" s="73">
        <v>129</v>
      </c>
      <c r="AC86" s="73">
        <v>129</v>
      </c>
      <c r="AD86" s="73">
        <v>129</v>
      </c>
      <c r="AE86" s="73">
        <v>129</v>
      </c>
      <c r="AF86" s="73">
        <v>131</v>
      </c>
      <c r="AG86" s="89"/>
      <c r="AH86" s="21">
        <f t="shared" si="21"/>
        <v>134.19999999999999</v>
      </c>
      <c r="AI86" s="20">
        <f t="shared" si="22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130.69999999999999</v>
      </c>
      <c r="C87" s="73">
        <v>130.4</v>
      </c>
      <c r="D87" s="73">
        <v>131.5</v>
      </c>
      <c r="E87" s="73">
        <v>131.6</v>
      </c>
      <c r="F87" s="73">
        <v>131.80000000000001</v>
      </c>
      <c r="G87" s="73">
        <v>130.19999999999999</v>
      </c>
      <c r="H87" s="73">
        <v>131</v>
      </c>
      <c r="I87" s="73">
        <v>128.5</v>
      </c>
      <c r="J87" s="73">
        <v>129.6</v>
      </c>
      <c r="K87" s="73">
        <v>129.69999999999999</v>
      </c>
      <c r="L87" s="73">
        <v>128.1</v>
      </c>
      <c r="M87" s="73">
        <v>125.2</v>
      </c>
      <c r="N87" s="73">
        <v>128.9</v>
      </c>
      <c r="O87" s="73">
        <v>126</v>
      </c>
      <c r="P87" s="73">
        <v>125</v>
      </c>
      <c r="Q87" s="73">
        <v>125</v>
      </c>
      <c r="R87" s="73">
        <v>127.5</v>
      </c>
      <c r="S87" s="73">
        <v>126.8</v>
      </c>
      <c r="T87" s="73">
        <v>125.4</v>
      </c>
      <c r="U87" s="73">
        <v>128.5</v>
      </c>
      <c r="V87" s="73">
        <v>130</v>
      </c>
      <c r="W87" s="73">
        <v>127.8</v>
      </c>
      <c r="X87" s="94">
        <v>131.1</v>
      </c>
      <c r="Y87" s="94">
        <v>126.8</v>
      </c>
      <c r="Z87" s="94">
        <v>126.4</v>
      </c>
      <c r="AA87" s="94">
        <v>129.19999999999999</v>
      </c>
      <c r="AB87" s="73">
        <v>128</v>
      </c>
      <c r="AC87" s="73">
        <v>128</v>
      </c>
      <c r="AD87" s="73">
        <v>128</v>
      </c>
      <c r="AE87" s="73">
        <v>128</v>
      </c>
      <c r="AF87" s="73">
        <v>131</v>
      </c>
      <c r="AG87" s="89"/>
      <c r="AH87" s="21">
        <f t="shared" si="21"/>
        <v>131.80000000000001</v>
      </c>
      <c r="AI87" s="20">
        <f t="shared" si="22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133.1</v>
      </c>
      <c r="C88" s="73">
        <v>131.19999999999999</v>
      </c>
      <c r="D88" s="73">
        <v>132.19999999999999</v>
      </c>
      <c r="E88" s="73">
        <v>130.1</v>
      </c>
      <c r="F88" s="73">
        <v>130.19999999999999</v>
      </c>
      <c r="G88" s="73">
        <v>128.5</v>
      </c>
      <c r="H88" s="73">
        <v>132.1</v>
      </c>
      <c r="I88" s="73">
        <v>129.4</v>
      </c>
      <c r="J88" s="73">
        <v>130.19999999999999</v>
      </c>
      <c r="K88" s="73">
        <v>130.5</v>
      </c>
      <c r="L88" s="73">
        <v>129.4</v>
      </c>
      <c r="M88" s="73">
        <v>124.4</v>
      </c>
      <c r="N88" s="73">
        <v>128.19999999999999</v>
      </c>
      <c r="O88" s="73">
        <v>124.6</v>
      </c>
      <c r="P88" s="73">
        <v>124.8</v>
      </c>
      <c r="Q88" s="73">
        <v>124.8</v>
      </c>
      <c r="R88" s="73">
        <v>128.19999999999999</v>
      </c>
      <c r="S88" s="73">
        <v>127.4</v>
      </c>
      <c r="T88" s="73">
        <v>124.9</v>
      </c>
      <c r="U88" s="73">
        <v>128.6</v>
      </c>
      <c r="V88" s="73">
        <v>130</v>
      </c>
      <c r="W88" s="73">
        <v>130.19999999999999</v>
      </c>
      <c r="X88" s="94">
        <v>130.80000000000001</v>
      </c>
      <c r="Y88" s="94">
        <v>128</v>
      </c>
      <c r="Z88" s="94">
        <v>128</v>
      </c>
      <c r="AA88" s="94">
        <v>131.5</v>
      </c>
      <c r="AB88" s="73">
        <v>131.4</v>
      </c>
      <c r="AC88" s="73">
        <v>131.4</v>
      </c>
      <c r="AD88" s="73">
        <v>131.4</v>
      </c>
      <c r="AE88" s="73">
        <v>131.4</v>
      </c>
      <c r="AF88" s="73">
        <v>133</v>
      </c>
      <c r="AG88" s="89"/>
      <c r="AH88" s="21">
        <f t="shared" si="21"/>
        <v>133.1</v>
      </c>
      <c r="AI88" s="20">
        <f t="shared" si="22"/>
        <v>124.4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134.80000000000001</v>
      </c>
      <c r="C89" s="66">
        <v>133.9</v>
      </c>
      <c r="D89" s="66">
        <v>131.69999999999999</v>
      </c>
      <c r="E89" s="66">
        <v>131.30000000000001</v>
      </c>
      <c r="F89" s="66">
        <v>131.4</v>
      </c>
      <c r="G89" s="66">
        <v>129.69999999999999</v>
      </c>
      <c r="H89" s="66">
        <v>135.30000000000001</v>
      </c>
      <c r="I89" s="66">
        <v>133.80000000000001</v>
      </c>
      <c r="J89" s="66">
        <v>133.1</v>
      </c>
      <c r="K89" s="66">
        <v>133.6</v>
      </c>
      <c r="L89" s="66">
        <v>132.19999999999999</v>
      </c>
      <c r="M89" s="66">
        <v>134.19999999999999</v>
      </c>
      <c r="N89" s="66">
        <v>135.5</v>
      </c>
      <c r="O89" s="66">
        <v>135.69999999999999</v>
      </c>
      <c r="P89" s="66">
        <v>133.80000000000001</v>
      </c>
      <c r="Q89" s="66">
        <v>133.80000000000001</v>
      </c>
      <c r="R89" s="66">
        <v>130.4</v>
      </c>
      <c r="S89" s="66">
        <v>133.1</v>
      </c>
      <c r="T89" s="66">
        <v>131.6</v>
      </c>
      <c r="U89" s="66">
        <v>132.80000000000001</v>
      </c>
      <c r="V89" s="66">
        <v>131.4</v>
      </c>
      <c r="W89" s="66">
        <v>135.19999999999999</v>
      </c>
      <c r="X89" s="94">
        <v>135</v>
      </c>
      <c r="Y89" s="94">
        <v>134.69999999999999</v>
      </c>
      <c r="Z89" s="94">
        <v>133.80000000000001</v>
      </c>
      <c r="AA89" s="94">
        <v>134.5</v>
      </c>
      <c r="AB89" s="66">
        <v>130.9</v>
      </c>
      <c r="AC89" s="66">
        <v>130.9</v>
      </c>
      <c r="AD89" s="66">
        <v>130.9</v>
      </c>
      <c r="AE89" s="66">
        <v>130.9</v>
      </c>
      <c r="AF89" s="66">
        <v>135</v>
      </c>
      <c r="AG89" s="91"/>
      <c r="AH89" s="21">
        <f t="shared" si="21"/>
        <v>135.69999999999999</v>
      </c>
      <c r="AI89" s="20">
        <f t="shared" si="22"/>
        <v>129.69999999999999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132.9</v>
      </c>
      <c r="C90" s="73">
        <v>134.5</v>
      </c>
      <c r="D90" s="73">
        <v>134.4</v>
      </c>
      <c r="E90" s="73">
        <v>136.30000000000001</v>
      </c>
      <c r="F90" s="73">
        <v>136.19999999999999</v>
      </c>
      <c r="G90" s="73">
        <v>136.19999999999999</v>
      </c>
      <c r="H90" s="73">
        <v>135.5</v>
      </c>
      <c r="I90" s="73">
        <v>133.19999999999999</v>
      </c>
      <c r="J90" s="73">
        <v>132.9</v>
      </c>
      <c r="K90" s="73">
        <v>131</v>
      </c>
      <c r="L90" s="73">
        <v>130.1</v>
      </c>
      <c r="M90" s="73">
        <v>130</v>
      </c>
      <c r="N90" s="73">
        <v>134.30000000000001</v>
      </c>
      <c r="O90" s="73">
        <v>130.4</v>
      </c>
      <c r="P90" s="73">
        <v>134.4</v>
      </c>
      <c r="Q90" s="73">
        <v>134.4</v>
      </c>
      <c r="R90" s="73">
        <v>131.4</v>
      </c>
      <c r="S90" s="73">
        <v>129.69999999999999</v>
      </c>
      <c r="T90" s="73">
        <v>133.19999999999999</v>
      </c>
      <c r="U90" s="73">
        <v>131.5</v>
      </c>
      <c r="V90" s="73">
        <v>128</v>
      </c>
      <c r="W90" s="73">
        <v>132.80000000000001</v>
      </c>
      <c r="X90" s="94">
        <v>133.69999999999999</v>
      </c>
      <c r="Y90" s="94">
        <v>134.5</v>
      </c>
      <c r="Z90" s="94">
        <v>130.80000000000001</v>
      </c>
      <c r="AA90" s="94">
        <v>132</v>
      </c>
      <c r="AB90" s="73">
        <v>129</v>
      </c>
      <c r="AC90" s="73">
        <v>129</v>
      </c>
      <c r="AD90" s="73">
        <v>129</v>
      </c>
      <c r="AE90" s="73">
        <v>129</v>
      </c>
      <c r="AF90" s="73">
        <v>129.4</v>
      </c>
      <c r="AG90" s="89"/>
      <c r="AH90" s="21">
        <f t="shared" si="21"/>
        <v>136.30000000000001</v>
      </c>
      <c r="AI90" s="20">
        <f t="shared" si="22"/>
        <v>128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67.3</v>
      </c>
      <c r="C91" s="87">
        <v>67.5</v>
      </c>
      <c r="D91" s="87">
        <v>67.7</v>
      </c>
      <c r="E91" s="87">
        <v>67.599999999999994</v>
      </c>
      <c r="F91" s="87">
        <v>67.5</v>
      </c>
      <c r="G91" s="87">
        <v>67</v>
      </c>
      <c r="H91" s="87">
        <v>66.400000000000006</v>
      </c>
      <c r="I91" s="87">
        <v>64.8</v>
      </c>
      <c r="J91" s="87">
        <v>64.900000000000006</v>
      </c>
      <c r="K91" s="87">
        <v>64.5</v>
      </c>
      <c r="L91" s="87">
        <v>64.3</v>
      </c>
      <c r="M91" s="87">
        <v>64.099999999999994</v>
      </c>
      <c r="N91" s="87">
        <v>64.7</v>
      </c>
      <c r="O91" s="87">
        <v>64.3</v>
      </c>
      <c r="P91" s="87">
        <v>64</v>
      </c>
      <c r="Q91" s="87">
        <v>64</v>
      </c>
      <c r="R91" s="87">
        <v>64</v>
      </c>
      <c r="S91" s="87">
        <v>64</v>
      </c>
      <c r="T91" s="87">
        <v>63.4</v>
      </c>
      <c r="U91" s="87">
        <v>63.3</v>
      </c>
      <c r="V91" s="87">
        <v>63.9</v>
      </c>
      <c r="W91" s="87">
        <v>64.099999999999994</v>
      </c>
      <c r="X91" s="87">
        <v>65.400000000000006</v>
      </c>
      <c r="Y91" s="87">
        <v>65.099999999999994</v>
      </c>
      <c r="Z91" s="87">
        <v>64.599999999999994</v>
      </c>
      <c r="AA91" s="87">
        <v>65.099999999999994</v>
      </c>
      <c r="AB91" s="87">
        <v>65.8</v>
      </c>
      <c r="AC91" s="87">
        <v>65.8</v>
      </c>
      <c r="AD91" s="87">
        <v>65.8</v>
      </c>
      <c r="AE91" s="87">
        <v>65.8</v>
      </c>
      <c r="AF91" s="87">
        <v>66.3</v>
      </c>
      <c r="AG91" s="86"/>
      <c r="AH91" s="21">
        <f t="shared" si="21"/>
        <v>67.7</v>
      </c>
      <c r="AI91" s="20">
        <f t="shared" si="22"/>
        <v>63.3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1">SUM(B15,B18,B21:B22,B42,B44:B45,B47,B49,B94:B97,B103,B109,B115,B124,B126,B138,B145,B148:B149,B156,B158,B160,B164:B166,B168:B170,B175,B181:B182,B184:B186,B194,B199)</f>
        <v>166.44</v>
      </c>
      <c r="C93" s="82">
        <f t="shared" ref="C93:AF93" si="32">SUM(C15,C18,C21:C22,C42,C44:C45,C47,C49,C94:C97,C103,C109,C115,C124,C126,C138,C145,C148:C149,C156,C158,C160,C164:C166,C168:C170,C175,C181:C182,C184:C186,C194,C199)</f>
        <v>159.13999999999996</v>
      </c>
      <c r="D93" s="82">
        <f t="shared" si="32"/>
        <v>139.93999999999994</v>
      </c>
      <c r="E93" s="82">
        <f t="shared" si="32"/>
        <v>159.63999999999996</v>
      </c>
      <c r="F93" s="82">
        <f t="shared" si="32"/>
        <v>165.23999999999995</v>
      </c>
      <c r="G93" s="80">
        <f t="shared" si="32"/>
        <v>187.13999999999996</v>
      </c>
      <c r="H93" s="80">
        <f t="shared" si="32"/>
        <v>222.54</v>
      </c>
      <c r="I93" s="80">
        <f t="shared" si="32"/>
        <v>266.14000000000004</v>
      </c>
      <c r="J93" s="80">
        <f t="shared" si="32"/>
        <v>277.34000000000003</v>
      </c>
      <c r="K93" s="80">
        <f t="shared" si="32"/>
        <v>329.64</v>
      </c>
      <c r="L93" s="80">
        <f t="shared" si="32"/>
        <v>331.24</v>
      </c>
      <c r="M93" s="80">
        <f t="shared" si="32"/>
        <v>339.54</v>
      </c>
      <c r="N93" s="80">
        <f t="shared" si="32"/>
        <v>320.94000000000005</v>
      </c>
      <c r="O93" s="80">
        <f t="shared" si="32"/>
        <v>317.24</v>
      </c>
      <c r="P93" s="80">
        <f t="shared" si="32"/>
        <v>303.34000000000003</v>
      </c>
      <c r="Q93" s="80">
        <f t="shared" si="32"/>
        <v>301.34000000000003</v>
      </c>
      <c r="R93" s="80">
        <f t="shared" si="32"/>
        <v>298.74000000000007</v>
      </c>
      <c r="S93" s="80">
        <f t="shared" si="32"/>
        <v>288.44000000000005</v>
      </c>
      <c r="T93" s="80">
        <f t="shared" si="32"/>
        <v>293.44000000000005</v>
      </c>
      <c r="U93" s="80">
        <f t="shared" si="32"/>
        <v>301.54000000000002</v>
      </c>
      <c r="V93" s="80">
        <f t="shared" si="32"/>
        <v>301.44000000000005</v>
      </c>
      <c r="W93" s="80">
        <f t="shared" si="32"/>
        <v>328.24</v>
      </c>
      <c r="X93" s="80">
        <f t="shared" si="32"/>
        <v>340.84000000000003</v>
      </c>
      <c r="Y93" s="80">
        <f t="shared" si="32"/>
        <v>363.44000000000005</v>
      </c>
      <c r="Z93" s="80">
        <f t="shared" si="32"/>
        <v>378.94000000000005</v>
      </c>
      <c r="AA93" s="80">
        <f t="shared" si="32"/>
        <v>354.64000000000004</v>
      </c>
      <c r="AB93" s="80">
        <f t="shared" si="32"/>
        <v>317.34000000000003</v>
      </c>
      <c r="AC93" s="80">
        <f t="shared" si="32"/>
        <v>309.34000000000003</v>
      </c>
      <c r="AD93" s="80">
        <f t="shared" si="32"/>
        <v>255.33999999999997</v>
      </c>
      <c r="AE93" s="80">
        <f t="shared" si="32"/>
        <v>227.33999999999997</v>
      </c>
      <c r="AF93" s="80">
        <f t="shared" si="32"/>
        <v>195.64</v>
      </c>
      <c r="AG93" s="79"/>
      <c r="AH93" s="21">
        <f>MAX(C93:AF93)</f>
        <v>378.94000000000005</v>
      </c>
      <c r="AI93" s="20">
        <f>MIN(C93:AF93)</f>
        <v>139.93999999999994</v>
      </c>
    </row>
    <row r="94" spans="1:88" x14ac:dyDescent="0.25">
      <c r="A94" s="48" t="s">
        <v>122</v>
      </c>
      <c r="B94" s="75">
        <v>23.3</v>
      </c>
      <c r="C94" s="77">
        <v>19.8</v>
      </c>
      <c r="D94" s="77">
        <v>4.5999999999999996</v>
      </c>
      <c r="E94" s="77">
        <v>-20.6</v>
      </c>
      <c r="F94" s="77">
        <v>-19.8</v>
      </c>
      <c r="G94" s="76">
        <v>8.1999999999999993</v>
      </c>
      <c r="H94" s="76">
        <v>34.700000000000003</v>
      </c>
      <c r="I94" s="76">
        <v>43.5</v>
      </c>
      <c r="J94" s="76">
        <v>39</v>
      </c>
      <c r="K94" s="76">
        <v>45.5</v>
      </c>
      <c r="L94" s="76">
        <v>42.3</v>
      </c>
      <c r="M94" s="75">
        <v>50.9</v>
      </c>
      <c r="N94" s="76">
        <v>65.099999999999994</v>
      </c>
      <c r="O94" s="76">
        <v>53.3</v>
      </c>
      <c r="P94" s="76">
        <v>48</v>
      </c>
      <c r="Q94" s="76">
        <v>47.1</v>
      </c>
      <c r="R94" s="76">
        <v>46.2</v>
      </c>
      <c r="S94" s="76">
        <v>52.4</v>
      </c>
      <c r="T94" s="76">
        <v>43</v>
      </c>
      <c r="U94" s="75">
        <v>32.9</v>
      </c>
      <c r="V94" s="75">
        <v>37.200000000000003</v>
      </c>
      <c r="W94" s="75">
        <v>42.8</v>
      </c>
      <c r="X94" s="76">
        <v>47.2</v>
      </c>
      <c r="Y94" s="76">
        <v>41</v>
      </c>
      <c r="Z94" s="76">
        <v>29.5</v>
      </c>
      <c r="AA94" s="76">
        <v>29.8</v>
      </c>
      <c r="AB94" s="75">
        <v>26</v>
      </c>
      <c r="AC94" s="75">
        <v>27</v>
      </c>
      <c r="AD94" s="75">
        <v>22</v>
      </c>
      <c r="AE94" s="75">
        <v>17</v>
      </c>
      <c r="AF94" s="75">
        <v>44</v>
      </c>
      <c r="AG94" s="3">
        <v>75</v>
      </c>
      <c r="AH94" s="21">
        <f t="shared" ref="AH94:AH100" si="33">IF(ABS(MAX(C94:AF94))&gt;ABS(MIN(C94:AF94)),MAX(C94:AF94),MIN(C94:AF94))</f>
        <v>65.099999999999994</v>
      </c>
      <c r="AI94" s="64">
        <f t="shared" ref="AI94:AI100" si="34">INDEX($C$9:$AF$9,1,MATCH(AH94,C94:AF94,0))</f>
        <v>0.375</v>
      </c>
    </row>
    <row r="95" spans="1:88" x14ac:dyDescent="0.25">
      <c r="A95" s="45" t="s">
        <v>121</v>
      </c>
      <c r="B95" s="73">
        <v>-55</v>
      </c>
      <c r="C95" s="67">
        <v>-55</v>
      </c>
      <c r="D95" s="67">
        <v>-54</v>
      </c>
      <c r="E95" s="67">
        <v>-40.6</v>
      </c>
      <c r="F95" s="67">
        <v>-41.3</v>
      </c>
      <c r="G95" s="67">
        <v>-40.200000000000003</v>
      </c>
      <c r="H95" s="67">
        <v>-30.1</v>
      </c>
      <c r="I95" s="67">
        <v>-20.399999999999999</v>
      </c>
      <c r="J95" s="67">
        <v>-17.7</v>
      </c>
      <c r="K95" s="67">
        <v>4</v>
      </c>
      <c r="L95" s="67">
        <v>5</v>
      </c>
      <c r="M95" s="67">
        <v>6.5</v>
      </c>
      <c r="N95" s="67">
        <v>-3.7</v>
      </c>
      <c r="O95" s="67">
        <v>-2.6</v>
      </c>
      <c r="P95" s="67">
        <v>-8.6999999999999993</v>
      </c>
      <c r="Q95" s="67">
        <v>-11</v>
      </c>
      <c r="R95" s="67">
        <f>-4-8</f>
        <v>-12</v>
      </c>
      <c r="S95" s="67">
        <v>-18</v>
      </c>
      <c r="T95" s="67">
        <v>-13</v>
      </c>
      <c r="U95" s="67">
        <v>-2.4</v>
      </c>
      <c r="V95" s="67">
        <v>-17</v>
      </c>
      <c r="W95" s="67">
        <v>9.1999999999999993</v>
      </c>
      <c r="X95" s="67">
        <v>10</v>
      </c>
      <c r="Y95" s="67">
        <v>4</v>
      </c>
      <c r="Z95" s="67">
        <v>31</v>
      </c>
      <c r="AA95" s="67">
        <v>23</v>
      </c>
      <c r="AB95" s="73">
        <v>-8</v>
      </c>
      <c r="AC95" s="73">
        <v>-12</v>
      </c>
      <c r="AD95" s="73">
        <v>-20</v>
      </c>
      <c r="AE95" s="73">
        <v>-28</v>
      </c>
      <c r="AF95" s="73">
        <v>-61</v>
      </c>
      <c r="AG95" s="3">
        <v>240</v>
      </c>
      <c r="AH95" s="21">
        <f t="shared" si="33"/>
        <v>-61</v>
      </c>
      <c r="AI95" s="64">
        <f t="shared" si="34"/>
        <v>0.95833333333333304</v>
      </c>
    </row>
    <row r="96" spans="1:88" x14ac:dyDescent="0.25">
      <c r="A96" s="45" t="s">
        <v>120</v>
      </c>
      <c r="B96" s="73">
        <v>14.5</v>
      </c>
      <c r="C96" s="67">
        <v>14.6</v>
      </c>
      <c r="D96" s="67">
        <v>1</v>
      </c>
      <c r="E96" s="67">
        <v>2.7</v>
      </c>
      <c r="F96" s="67">
        <v>2.7</v>
      </c>
      <c r="G96" s="67">
        <v>4.5999999999999996</v>
      </c>
      <c r="H96" s="67">
        <v>3.3</v>
      </c>
      <c r="I96" s="67">
        <v>0.8</v>
      </c>
      <c r="J96" s="67">
        <v>1.1000000000000001</v>
      </c>
      <c r="K96" s="67">
        <v>15.8</v>
      </c>
      <c r="L96" s="67">
        <v>11.8</v>
      </c>
      <c r="M96" s="67">
        <v>12.6</v>
      </c>
      <c r="N96" s="67">
        <v>10.5</v>
      </c>
      <c r="O96" s="67">
        <v>4.5999999999999996</v>
      </c>
      <c r="P96" s="67">
        <v>1.7</v>
      </c>
      <c r="Q96" s="67">
        <v>5</v>
      </c>
      <c r="R96" s="67">
        <v>10.1</v>
      </c>
      <c r="S96" s="67">
        <v>1.1000000000000001</v>
      </c>
      <c r="T96" s="67">
        <v>0</v>
      </c>
      <c r="U96" s="67">
        <v>0</v>
      </c>
      <c r="V96" s="67">
        <v>10</v>
      </c>
      <c r="W96" s="67">
        <v>0</v>
      </c>
      <c r="X96" s="67">
        <v>19.2</v>
      </c>
      <c r="Y96" s="67">
        <v>38</v>
      </c>
      <c r="Z96" s="67">
        <v>43.1</v>
      </c>
      <c r="AA96" s="67">
        <v>40.5</v>
      </c>
      <c r="AB96" s="73">
        <v>20</v>
      </c>
      <c r="AC96" s="73">
        <v>19</v>
      </c>
      <c r="AD96" s="73">
        <v>15</v>
      </c>
      <c r="AE96" s="73">
        <v>11</v>
      </c>
      <c r="AF96" s="73">
        <v>7.3</v>
      </c>
      <c r="AG96" s="3">
        <v>60</v>
      </c>
      <c r="AH96" s="21">
        <f t="shared" si="33"/>
        <v>43.1</v>
      </c>
      <c r="AI96" s="64">
        <f t="shared" si="34"/>
        <v>0.79166666666666663</v>
      </c>
    </row>
    <row r="97" spans="1:37" x14ac:dyDescent="0.25">
      <c r="A97" s="41" t="s">
        <v>119</v>
      </c>
      <c r="B97" s="69">
        <v>-4.7</v>
      </c>
      <c r="C97" s="70">
        <v>-8.5</v>
      </c>
      <c r="D97" s="70">
        <v>0.1</v>
      </c>
      <c r="E97" s="70">
        <v>29.9</v>
      </c>
      <c r="F97" s="70">
        <v>35.4</v>
      </c>
      <c r="G97" s="70">
        <v>26.2</v>
      </c>
      <c r="H97" s="70">
        <v>26.3</v>
      </c>
      <c r="I97" s="70">
        <v>53.9</v>
      </c>
      <c r="J97" s="70">
        <v>66.7</v>
      </c>
      <c r="K97" s="70">
        <v>76.099999999999994</v>
      </c>
      <c r="L97" s="70">
        <v>85</v>
      </c>
      <c r="M97" s="70">
        <v>82.9</v>
      </c>
      <c r="N97" s="70">
        <v>62.5</v>
      </c>
      <c r="O97" s="70">
        <v>74.900000000000006</v>
      </c>
      <c r="P97" s="70">
        <v>75.3</v>
      </c>
      <c r="Q97" s="70">
        <v>71</v>
      </c>
      <c r="R97" s="70">
        <v>65.2</v>
      </c>
      <c r="S97" s="70">
        <v>63.7</v>
      </c>
      <c r="T97" s="70">
        <v>74.2</v>
      </c>
      <c r="U97" s="70">
        <v>81.8</v>
      </c>
      <c r="V97" s="70">
        <v>82</v>
      </c>
      <c r="W97" s="70">
        <v>87</v>
      </c>
      <c r="X97" s="70">
        <v>75.2</v>
      </c>
      <c r="Y97" s="70">
        <v>91.2</v>
      </c>
      <c r="Z97" s="70">
        <v>87</v>
      </c>
      <c r="AA97" s="70">
        <v>73</v>
      </c>
      <c r="AB97" s="69">
        <v>91</v>
      </c>
      <c r="AC97" s="69">
        <v>87</v>
      </c>
      <c r="AD97" s="69">
        <v>50</v>
      </c>
      <c r="AE97" s="69">
        <v>39</v>
      </c>
      <c r="AF97" s="69">
        <v>17</v>
      </c>
      <c r="AG97" s="72">
        <v>120</v>
      </c>
      <c r="AH97" s="21">
        <f t="shared" si="33"/>
        <v>91.2</v>
      </c>
      <c r="AI97" s="64">
        <f t="shared" si="34"/>
        <v>0.77083333333333337</v>
      </c>
    </row>
    <row r="98" spans="1:37" x14ac:dyDescent="0.25">
      <c r="A98" s="41" t="s">
        <v>118</v>
      </c>
      <c r="B98" s="69">
        <v>3.5</v>
      </c>
      <c r="C98" s="70">
        <v>-3.9</v>
      </c>
      <c r="D98" s="70">
        <v>6.3</v>
      </c>
      <c r="E98" s="70">
        <v>36.799999999999997</v>
      </c>
      <c r="F98" s="70">
        <v>41.3</v>
      </c>
      <c r="G98" s="70">
        <v>31.2</v>
      </c>
      <c r="H98" s="70">
        <v>25.8</v>
      </c>
      <c r="I98" s="70">
        <v>43.9</v>
      </c>
      <c r="J98" s="70">
        <v>53.6</v>
      </c>
      <c r="K98" s="70">
        <v>54.3</v>
      </c>
      <c r="L98" s="70">
        <v>64</v>
      </c>
      <c r="M98" s="70">
        <v>628</v>
      </c>
      <c r="N98" s="70">
        <v>50.1</v>
      </c>
      <c r="O98" s="70">
        <v>62.6</v>
      </c>
      <c r="P98" s="70">
        <v>65.599999999999994</v>
      </c>
      <c r="Q98" s="70">
        <v>64.099999999999994</v>
      </c>
      <c r="R98" s="70">
        <v>60.5</v>
      </c>
      <c r="S98" s="70">
        <v>60.7</v>
      </c>
      <c r="T98" s="70">
        <v>67.400000000000006</v>
      </c>
      <c r="U98" s="70">
        <v>69.400000000000006</v>
      </c>
      <c r="V98" s="70">
        <v>70</v>
      </c>
      <c r="W98" s="70">
        <v>67</v>
      </c>
      <c r="X98" s="70">
        <v>60</v>
      </c>
      <c r="Y98" s="70">
        <v>65.8</v>
      </c>
      <c r="Z98" s="70">
        <v>96.1</v>
      </c>
      <c r="AA98" s="70">
        <v>85.4</v>
      </c>
      <c r="AB98" s="69">
        <v>84</v>
      </c>
      <c r="AC98" s="69">
        <v>82</v>
      </c>
      <c r="AD98" s="69">
        <v>80</v>
      </c>
      <c r="AE98" s="69">
        <v>77</v>
      </c>
      <c r="AF98" s="69">
        <v>25</v>
      </c>
      <c r="AG98" s="72"/>
      <c r="AH98" s="21">
        <f t="shared" si="33"/>
        <v>628</v>
      </c>
      <c r="AI98" s="64">
        <f t="shared" si="34"/>
        <v>0.33333333333333331</v>
      </c>
    </row>
    <row r="99" spans="1:37" x14ac:dyDescent="0.25">
      <c r="A99" s="41" t="s">
        <v>117</v>
      </c>
      <c r="B99" s="69">
        <v>49.6</v>
      </c>
      <c r="C99" s="70">
        <v>54.1</v>
      </c>
      <c r="D99" s="70">
        <v>68.900000000000006</v>
      </c>
      <c r="E99" s="70">
        <v>72.099999999999994</v>
      </c>
      <c r="F99" s="70">
        <v>70.099999999999994</v>
      </c>
      <c r="G99" s="70">
        <v>78</v>
      </c>
      <c r="H99" s="70">
        <v>41.8</v>
      </c>
      <c r="I99" s="70">
        <v>24.2</v>
      </c>
      <c r="J99" s="70">
        <v>31.6</v>
      </c>
      <c r="K99" s="70">
        <v>29.3</v>
      </c>
      <c r="L99" s="70">
        <v>32.1</v>
      </c>
      <c r="M99" s="70">
        <v>21</v>
      </c>
      <c r="N99" s="70">
        <v>12.5</v>
      </c>
      <c r="O99" s="70">
        <v>20.6</v>
      </c>
      <c r="P99" s="70">
        <v>27.2</v>
      </c>
      <c r="Q99" s="70">
        <v>27.9</v>
      </c>
      <c r="R99" s="70">
        <v>35.9</v>
      </c>
      <c r="S99" s="70">
        <v>21.7</v>
      </c>
      <c r="T99" s="70">
        <v>34.9</v>
      </c>
      <c r="U99" s="70">
        <v>53.9</v>
      </c>
      <c r="V99" s="70">
        <v>34</v>
      </c>
      <c r="W99" s="70">
        <v>45</v>
      </c>
      <c r="X99" s="70">
        <v>40.200000000000003</v>
      </c>
      <c r="Y99" s="70">
        <v>46.3</v>
      </c>
      <c r="Z99" s="70">
        <v>62.1</v>
      </c>
      <c r="AA99" s="70">
        <v>67.2</v>
      </c>
      <c r="AB99" s="69">
        <v>72</v>
      </c>
      <c r="AC99" s="69">
        <v>70</v>
      </c>
      <c r="AD99" s="69">
        <v>72</v>
      </c>
      <c r="AE99" s="69">
        <v>74</v>
      </c>
      <c r="AF99" s="69">
        <v>51</v>
      </c>
      <c r="AG99" s="65"/>
      <c r="AH99" s="21">
        <f t="shared" si="33"/>
        <v>78</v>
      </c>
      <c r="AI99" s="64">
        <f t="shared" si="34"/>
        <v>0.20833333333333301</v>
      </c>
    </row>
    <row r="100" spans="1:37" ht="15.75" thickBot="1" x14ac:dyDescent="0.3">
      <c r="A100" s="68" t="s">
        <v>116</v>
      </c>
      <c r="B100" s="66">
        <v>56.3</v>
      </c>
      <c r="C100" s="67">
        <v>57.3</v>
      </c>
      <c r="D100" s="67">
        <v>53.2</v>
      </c>
      <c r="E100" s="67">
        <v>50.2</v>
      </c>
      <c r="F100" s="67">
        <v>48.6</v>
      </c>
      <c r="G100" s="67">
        <v>53.2</v>
      </c>
      <c r="H100" s="67">
        <v>60</v>
      </c>
      <c r="I100" s="67">
        <v>31.1</v>
      </c>
      <c r="J100" s="67">
        <v>30.3</v>
      </c>
      <c r="K100" s="67">
        <v>38.799999999999997</v>
      </c>
      <c r="L100" s="67">
        <v>13.2</v>
      </c>
      <c r="M100" s="67">
        <v>14.9</v>
      </c>
      <c r="N100" s="67">
        <v>11.5</v>
      </c>
      <c r="O100" s="67">
        <v>13.5</v>
      </c>
      <c r="P100" s="67">
        <v>13.3</v>
      </c>
      <c r="Q100" s="67">
        <v>12.7</v>
      </c>
      <c r="R100" s="67">
        <v>10.8</v>
      </c>
      <c r="S100" s="67">
        <v>18.3</v>
      </c>
      <c r="T100" s="67">
        <v>17.5</v>
      </c>
      <c r="U100" s="67">
        <v>12.8</v>
      </c>
      <c r="V100" s="67">
        <v>52</v>
      </c>
      <c r="W100" s="67">
        <v>11.8</v>
      </c>
      <c r="X100" s="67">
        <v>10.6</v>
      </c>
      <c r="Y100" s="67">
        <v>84.3</v>
      </c>
      <c r="Z100" s="67">
        <v>91.2</v>
      </c>
      <c r="AA100" s="67">
        <v>85</v>
      </c>
      <c r="AB100" s="66">
        <v>86</v>
      </c>
      <c r="AC100" s="66">
        <v>90</v>
      </c>
      <c r="AD100" s="66">
        <v>85</v>
      </c>
      <c r="AE100" s="66">
        <v>80</v>
      </c>
      <c r="AF100" s="66">
        <v>73</v>
      </c>
      <c r="AG100" s="65"/>
      <c r="AH100" s="21">
        <f t="shared" si="33"/>
        <v>91.2</v>
      </c>
      <c r="AI100" s="64">
        <f t="shared" si="34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35">AF102</f>
        <v>9.9</v>
      </c>
      <c r="C102" s="54">
        <v>9.9</v>
      </c>
      <c r="D102" s="58">
        <f t="shared" ref="D102:S107" si="36">C102</f>
        <v>9.9</v>
      </c>
      <c r="E102" s="58">
        <f t="shared" si="36"/>
        <v>9.9</v>
      </c>
      <c r="F102" s="58">
        <f t="shared" si="36"/>
        <v>9.9</v>
      </c>
      <c r="G102" s="58">
        <f t="shared" si="36"/>
        <v>9.9</v>
      </c>
      <c r="H102" s="58">
        <f t="shared" si="36"/>
        <v>9.9</v>
      </c>
      <c r="I102" s="58">
        <f t="shared" si="36"/>
        <v>9.9</v>
      </c>
      <c r="J102" s="58">
        <f t="shared" si="36"/>
        <v>9.9</v>
      </c>
      <c r="K102" s="58">
        <f t="shared" si="36"/>
        <v>9.9</v>
      </c>
      <c r="L102" s="58">
        <f t="shared" si="36"/>
        <v>9.9</v>
      </c>
      <c r="M102" s="58">
        <f t="shared" si="36"/>
        <v>9.9</v>
      </c>
      <c r="N102" s="58">
        <f t="shared" si="36"/>
        <v>9.9</v>
      </c>
      <c r="O102" s="58">
        <f t="shared" si="36"/>
        <v>9.9</v>
      </c>
      <c r="P102" s="58">
        <f t="shared" si="36"/>
        <v>9.9</v>
      </c>
      <c r="Q102" s="58">
        <f t="shared" si="36"/>
        <v>9.9</v>
      </c>
      <c r="R102" s="58">
        <f t="shared" si="36"/>
        <v>9.9</v>
      </c>
      <c r="S102" s="58">
        <f t="shared" si="36"/>
        <v>9.9</v>
      </c>
      <c r="T102" s="58">
        <f t="shared" ref="T102:AF107" si="37">S102</f>
        <v>9.9</v>
      </c>
      <c r="U102" s="58">
        <f t="shared" si="37"/>
        <v>9.9</v>
      </c>
      <c r="V102" s="58">
        <f t="shared" si="37"/>
        <v>9.9</v>
      </c>
      <c r="W102" s="58">
        <f t="shared" si="37"/>
        <v>9.9</v>
      </c>
      <c r="X102" s="58">
        <f t="shared" si="37"/>
        <v>9.9</v>
      </c>
      <c r="Y102" s="58">
        <f t="shared" si="37"/>
        <v>9.9</v>
      </c>
      <c r="Z102" s="58">
        <f t="shared" si="37"/>
        <v>9.9</v>
      </c>
      <c r="AA102" s="58">
        <f t="shared" si="37"/>
        <v>9.9</v>
      </c>
      <c r="AB102" s="58">
        <f t="shared" si="37"/>
        <v>9.9</v>
      </c>
      <c r="AC102" s="58">
        <f t="shared" si="37"/>
        <v>9.9</v>
      </c>
      <c r="AD102" s="58">
        <f t="shared" si="37"/>
        <v>9.9</v>
      </c>
      <c r="AE102" s="58">
        <f t="shared" si="37"/>
        <v>9.9</v>
      </c>
      <c r="AF102" s="58">
        <f t="shared" si="37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35"/>
        <v>9.6</v>
      </c>
      <c r="C103" s="55">
        <v>9.6</v>
      </c>
      <c r="D103" s="44">
        <f t="shared" si="36"/>
        <v>9.6</v>
      </c>
      <c r="E103" s="44">
        <f t="shared" si="36"/>
        <v>9.6</v>
      </c>
      <c r="F103" s="44">
        <f t="shared" si="36"/>
        <v>9.6</v>
      </c>
      <c r="G103" s="44">
        <f t="shared" si="36"/>
        <v>9.6</v>
      </c>
      <c r="H103" s="44">
        <f t="shared" si="36"/>
        <v>9.6</v>
      </c>
      <c r="I103" s="44">
        <f t="shared" si="36"/>
        <v>9.6</v>
      </c>
      <c r="J103" s="44">
        <f t="shared" si="36"/>
        <v>9.6</v>
      </c>
      <c r="K103" s="44">
        <f t="shared" si="36"/>
        <v>9.6</v>
      </c>
      <c r="L103" s="44">
        <f t="shared" si="36"/>
        <v>9.6</v>
      </c>
      <c r="M103" s="44">
        <f t="shared" si="36"/>
        <v>9.6</v>
      </c>
      <c r="N103" s="44">
        <f t="shared" si="36"/>
        <v>9.6</v>
      </c>
      <c r="O103" s="44">
        <f t="shared" si="36"/>
        <v>9.6</v>
      </c>
      <c r="P103" s="44">
        <f t="shared" si="36"/>
        <v>9.6</v>
      </c>
      <c r="Q103" s="44">
        <f t="shared" si="36"/>
        <v>9.6</v>
      </c>
      <c r="R103" s="44">
        <f t="shared" si="36"/>
        <v>9.6</v>
      </c>
      <c r="S103" s="44">
        <f t="shared" si="36"/>
        <v>9.6</v>
      </c>
      <c r="T103" s="44">
        <f t="shared" si="37"/>
        <v>9.6</v>
      </c>
      <c r="U103" s="44">
        <f t="shared" si="37"/>
        <v>9.6</v>
      </c>
      <c r="V103" s="44">
        <f t="shared" si="37"/>
        <v>9.6</v>
      </c>
      <c r="W103" s="44">
        <f t="shared" si="37"/>
        <v>9.6</v>
      </c>
      <c r="X103" s="44">
        <f t="shared" si="37"/>
        <v>9.6</v>
      </c>
      <c r="Y103" s="44">
        <f t="shared" si="37"/>
        <v>9.6</v>
      </c>
      <c r="Z103" s="44">
        <f t="shared" si="37"/>
        <v>9.6</v>
      </c>
      <c r="AA103" s="44">
        <f t="shared" si="37"/>
        <v>9.6</v>
      </c>
      <c r="AB103" s="44">
        <f t="shared" si="37"/>
        <v>9.6</v>
      </c>
      <c r="AC103" s="44">
        <f t="shared" si="37"/>
        <v>9.6</v>
      </c>
      <c r="AD103" s="44">
        <f t="shared" si="37"/>
        <v>9.6</v>
      </c>
      <c r="AE103" s="44">
        <f t="shared" si="37"/>
        <v>9.6</v>
      </c>
      <c r="AF103" s="44">
        <f t="shared" si="37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35"/>
        <v>9.98</v>
      </c>
      <c r="C104" s="55">
        <v>9.98</v>
      </c>
      <c r="D104" s="44">
        <f t="shared" si="36"/>
        <v>9.98</v>
      </c>
      <c r="E104" s="44">
        <f t="shared" si="36"/>
        <v>9.98</v>
      </c>
      <c r="F104" s="44">
        <f t="shared" si="36"/>
        <v>9.98</v>
      </c>
      <c r="G104" s="44">
        <f t="shared" si="36"/>
        <v>9.98</v>
      </c>
      <c r="H104" s="44">
        <f t="shared" si="36"/>
        <v>9.98</v>
      </c>
      <c r="I104" s="44">
        <f t="shared" si="36"/>
        <v>9.98</v>
      </c>
      <c r="J104" s="44">
        <f t="shared" si="36"/>
        <v>9.98</v>
      </c>
      <c r="K104" s="44">
        <f t="shared" si="36"/>
        <v>9.98</v>
      </c>
      <c r="L104" s="44">
        <f t="shared" si="36"/>
        <v>9.98</v>
      </c>
      <c r="M104" s="44">
        <f t="shared" si="36"/>
        <v>9.98</v>
      </c>
      <c r="N104" s="44">
        <f t="shared" si="36"/>
        <v>9.98</v>
      </c>
      <c r="O104" s="44">
        <f t="shared" si="36"/>
        <v>9.98</v>
      </c>
      <c r="P104" s="44">
        <f t="shared" si="36"/>
        <v>9.98</v>
      </c>
      <c r="Q104" s="44">
        <f t="shared" si="36"/>
        <v>9.98</v>
      </c>
      <c r="R104" s="44">
        <f t="shared" si="36"/>
        <v>9.98</v>
      </c>
      <c r="S104" s="44">
        <f t="shared" si="36"/>
        <v>9.98</v>
      </c>
      <c r="T104" s="44">
        <f t="shared" si="37"/>
        <v>9.98</v>
      </c>
      <c r="U104" s="44">
        <f t="shared" si="37"/>
        <v>9.98</v>
      </c>
      <c r="V104" s="44">
        <f t="shared" si="37"/>
        <v>9.98</v>
      </c>
      <c r="W104" s="44">
        <f t="shared" si="37"/>
        <v>9.98</v>
      </c>
      <c r="X104" s="44">
        <f t="shared" si="37"/>
        <v>9.98</v>
      </c>
      <c r="Y104" s="44">
        <f t="shared" si="37"/>
        <v>9.98</v>
      </c>
      <c r="Z104" s="44">
        <f t="shared" si="37"/>
        <v>9.98</v>
      </c>
      <c r="AA104" s="44">
        <f t="shared" si="37"/>
        <v>9.98</v>
      </c>
      <c r="AB104" s="44">
        <f t="shared" si="37"/>
        <v>9.98</v>
      </c>
      <c r="AC104" s="44">
        <f t="shared" si="37"/>
        <v>9.98</v>
      </c>
      <c r="AD104" s="44">
        <f t="shared" si="37"/>
        <v>9.98</v>
      </c>
      <c r="AE104" s="44">
        <f t="shared" si="37"/>
        <v>9.98</v>
      </c>
      <c r="AF104" s="44">
        <f t="shared" si="37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35"/>
        <v>9.1</v>
      </c>
      <c r="C105" s="55">
        <v>9.1</v>
      </c>
      <c r="D105" s="44">
        <f t="shared" si="36"/>
        <v>9.1</v>
      </c>
      <c r="E105" s="44">
        <f t="shared" si="36"/>
        <v>9.1</v>
      </c>
      <c r="F105" s="44">
        <f t="shared" si="36"/>
        <v>9.1</v>
      </c>
      <c r="G105" s="44">
        <f t="shared" si="36"/>
        <v>9.1</v>
      </c>
      <c r="H105" s="44">
        <f t="shared" si="36"/>
        <v>9.1</v>
      </c>
      <c r="I105" s="44">
        <f t="shared" si="36"/>
        <v>9.1</v>
      </c>
      <c r="J105" s="44">
        <f t="shared" si="36"/>
        <v>9.1</v>
      </c>
      <c r="K105" s="44">
        <f t="shared" si="36"/>
        <v>9.1</v>
      </c>
      <c r="L105" s="44">
        <f t="shared" si="36"/>
        <v>9.1</v>
      </c>
      <c r="M105" s="44">
        <f t="shared" si="36"/>
        <v>9.1</v>
      </c>
      <c r="N105" s="44">
        <f t="shared" si="36"/>
        <v>9.1</v>
      </c>
      <c r="O105" s="44">
        <f t="shared" si="36"/>
        <v>9.1</v>
      </c>
      <c r="P105" s="44">
        <f t="shared" si="36"/>
        <v>9.1</v>
      </c>
      <c r="Q105" s="44">
        <f t="shared" si="36"/>
        <v>9.1</v>
      </c>
      <c r="R105" s="44">
        <f t="shared" si="36"/>
        <v>9.1</v>
      </c>
      <c r="S105" s="44">
        <f t="shared" si="36"/>
        <v>9.1</v>
      </c>
      <c r="T105" s="44">
        <f t="shared" si="37"/>
        <v>9.1</v>
      </c>
      <c r="U105" s="44">
        <f t="shared" si="37"/>
        <v>9.1</v>
      </c>
      <c r="V105" s="44">
        <f t="shared" si="37"/>
        <v>9.1</v>
      </c>
      <c r="W105" s="44">
        <f t="shared" si="37"/>
        <v>9.1</v>
      </c>
      <c r="X105" s="44">
        <f t="shared" si="37"/>
        <v>9.1</v>
      </c>
      <c r="Y105" s="44">
        <f t="shared" si="37"/>
        <v>9.1</v>
      </c>
      <c r="Z105" s="44">
        <f t="shared" si="37"/>
        <v>9.1</v>
      </c>
      <c r="AA105" s="44">
        <f t="shared" si="37"/>
        <v>9.1</v>
      </c>
      <c r="AB105" s="44">
        <f t="shared" si="37"/>
        <v>9.1</v>
      </c>
      <c r="AC105" s="44">
        <f t="shared" si="37"/>
        <v>9.1</v>
      </c>
      <c r="AD105" s="44">
        <f t="shared" si="37"/>
        <v>9.1</v>
      </c>
      <c r="AE105" s="44">
        <f t="shared" si="37"/>
        <v>9.1</v>
      </c>
      <c r="AF105" s="44">
        <f t="shared" si="37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35"/>
        <v>9.18</v>
      </c>
      <c r="C106" s="55">
        <v>9.18</v>
      </c>
      <c r="D106" s="44">
        <f t="shared" si="36"/>
        <v>9.18</v>
      </c>
      <c r="E106" s="44">
        <f t="shared" si="36"/>
        <v>9.18</v>
      </c>
      <c r="F106" s="44">
        <f t="shared" si="36"/>
        <v>9.18</v>
      </c>
      <c r="G106" s="44">
        <f t="shared" si="36"/>
        <v>9.18</v>
      </c>
      <c r="H106" s="44">
        <f t="shared" si="36"/>
        <v>9.18</v>
      </c>
      <c r="I106" s="44">
        <f t="shared" si="36"/>
        <v>9.18</v>
      </c>
      <c r="J106" s="44">
        <f t="shared" si="36"/>
        <v>9.18</v>
      </c>
      <c r="K106" s="44">
        <f t="shared" si="36"/>
        <v>9.18</v>
      </c>
      <c r="L106" s="44">
        <f t="shared" si="36"/>
        <v>9.18</v>
      </c>
      <c r="M106" s="44">
        <f t="shared" si="36"/>
        <v>9.18</v>
      </c>
      <c r="N106" s="44">
        <f t="shared" si="36"/>
        <v>9.18</v>
      </c>
      <c r="O106" s="44">
        <f t="shared" si="36"/>
        <v>9.18</v>
      </c>
      <c r="P106" s="44">
        <f t="shared" si="36"/>
        <v>9.18</v>
      </c>
      <c r="Q106" s="44">
        <f t="shared" si="36"/>
        <v>9.18</v>
      </c>
      <c r="R106" s="44">
        <f t="shared" si="36"/>
        <v>9.18</v>
      </c>
      <c r="S106" s="44">
        <f t="shared" si="36"/>
        <v>9.18</v>
      </c>
      <c r="T106" s="44">
        <f t="shared" si="37"/>
        <v>9.18</v>
      </c>
      <c r="U106" s="44">
        <f t="shared" si="37"/>
        <v>9.18</v>
      </c>
      <c r="V106" s="44">
        <f t="shared" si="37"/>
        <v>9.18</v>
      </c>
      <c r="W106" s="44">
        <f t="shared" si="37"/>
        <v>9.18</v>
      </c>
      <c r="X106" s="44">
        <f t="shared" si="37"/>
        <v>9.18</v>
      </c>
      <c r="Y106" s="44">
        <f t="shared" si="37"/>
        <v>9.18</v>
      </c>
      <c r="Z106" s="44">
        <f t="shared" si="37"/>
        <v>9.18</v>
      </c>
      <c r="AA106" s="44">
        <f t="shared" si="37"/>
        <v>9.18</v>
      </c>
      <c r="AB106" s="44">
        <f t="shared" si="37"/>
        <v>9.18</v>
      </c>
      <c r="AC106" s="44">
        <f t="shared" si="37"/>
        <v>9.18</v>
      </c>
      <c r="AD106" s="44">
        <f t="shared" si="37"/>
        <v>9.18</v>
      </c>
      <c r="AE106" s="44">
        <f t="shared" si="37"/>
        <v>9.18</v>
      </c>
      <c r="AF106" s="44">
        <f t="shared" si="37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35"/>
        <v>7</v>
      </c>
      <c r="C107" s="55">
        <v>7</v>
      </c>
      <c r="D107" s="44">
        <f t="shared" si="36"/>
        <v>7</v>
      </c>
      <c r="E107" s="44">
        <f t="shared" si="36"/>
        <v>7</v>
      </c>
      <c r="F107" s="44">
        <f t="shared" si="36"/>
        <v>7</v>
      </c>
      <c r="G107" s="44">
        <f t="shared" si="36"/>
        <v>7</v>
      </c>
      <c r="H107" s="44">
        <f t="shared" si="36"/>
        <v>7</v>
      </c>
      <c r="I107" s="44">
        <f t="shared" si="36"/>
        <v>7</v>
      </c>
      <c r="J107" s="44">
        <f t="shared" si="36"/>
        <v>7</v>
      </c>
      <c r="K107" s="44">
        <f t="shared" si="36"/>
        <v>7</v>
      </c>
      <c r="L107" s="44">
        <f t="shared" si="36"/>
        <v>7</v>
      </c>
      <c r="M107" s="44">
        <f t="shared" si="36"/>
        <v>7</v>
      </c>
      <c r="N107" s="44">
        <f t="shared" si="36"/>
        <v>7</v>
      </c>
      <c r="O107" s="44">
        <f t="shared" si="36"/>
        <v>7</v>
      </c>
      <c r="P107" s="44">
        <f t="shared" si="36"/>
        <v>7</v>
      </c>
      <c r="Q107" s="44">
        <f t="shared" si="36"/>
        <v>7</v>
      </c>
      <c r="R107" s="44">
        <f t="shared" si="36"/>
        <v>7</v>
      </c>
      <c r="S107" s="44">
        <f t="shared" si="36"/>
        <v>7</v>
      </c>
      <c r="T107" s="44">
        <f t="shared" si="37"/>
        <v>7</v>
      </c>
      <c r="U107" s="44">
        <f t="shared" si="37"/>
        <v>7</v>
      </c>
      <c r="V107" s="44">
        <f t="shared" si="37"/>
        <v>7</v>
      </c>
      <c r="W107" s="44">
        <f t="shared" si="37"/>
        <v>7</v>
      </c>
      <c r="X107" s="44">
        <f t="shared" si="37"/>
        <v>7</v>
      </c>
      <c r="Y107" s="44">
        <f t="shared" si="37"/>
        <v>7</v>
      </c>
      <c r="Z107" s="44">
        <f t="shared" si="37"/>
        <v>7</v>
      </c>
      <c r="AA107" s="44">
        <f t="shared" si="37"/>
        <v>7</v>
      </c>
      <c r="AB107" s="44">
        <f t="shared" si="37"/>
        <v>7</v>
      </c>
      <c r="AC107" s="44">
        <f t="shared" si="37"/>
        <v>7</v>
      </c>
      <c r="AD107" s="44">
        <f t="shared" si="37"/>
        <v>7</v>
      </c>
      <c r="AE107" s="44">
        <f t="shared" si="37"/>
        <v>7</v>
      </c>
      <c r="AF107" s="44">
        <f t="shared" si="37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38">C109</f>
        <v>2.25</v>
      </c>
      <c r="E109" s="44">
        <f t="shared" si="38"/>
        <v>2.25</v>
      </c>
      <c r="F109" s="44">
        <f t="shared" si="38"/>
        <v>2.25</v>
      </c>
      <c r="G109" s="44">
        <f t="shared" si="38"/>
        <v>2.25</v>
      </c>
      <c r="H109" s="44">
        <f t="shared" si="38"/>
        <v>2.25</v>
      </c>
      <c r="I109" s="44">
        <f t="shared" si="38"/>
        <v>2.25</v>
      </c>
      <c r="J109" s="44">
        <f t="shared" si="38"/>
        <v>2.25</v>
      </c>
      <c r="K109" s="44">
        <f t="shared" si="38"/>
        <v>2.25</v>
      </c>
      <c r="L109" s="44">
        <f t="shared" si="38"/>
        <v>2.25</v>
      </c>
      <c r="M109" s="44">
        <f t="shared" si="38"/>
        <v>2.25</v>
      </c>
      <c r="N109" s="44">
        <f t="shared" si="38"/>
        <v>2.25</v>
      </c>
      <c r="O109" s="44">
        <f t="shared" si="38"/>
        <v>2.25</v>
      </c>
      <c r="P109" s="44">
        <f t="shared" si="38"/>
        <v>2.25</v>
      </c>
      <c r="Q109" s="44">
        <f t="shared" si="38"/>
        <v>2.25</v>
      </c>
      <c r="R109" s="44">
        <f t="shared" si="38"/>
        <v>2.25</v>
      </c>
      <c r="S109" s="44">
        <f t="shared" si="38"/>
        <v>2.25</v>
      </c>
      <c r="T109" s="44">
        <f t="shared" ref="T109:AF110" si="39">S109</f>
        <v>2.25</v>
      </c>
      <c r="U109" s="44">
        <f t="shared" si="39"/>
        <v>2.25</v>
      </c>
      <c r="V109" s="44">
        <f t="shared" si="39"/>
        <v>2.25</v>
      </c>
      <c r="W109" s="44">
        <f t="shared" si="39"/>
        <v>2.25</v>
      </c>
      <c r="X109" s="44">
        <f t="shared" si="39"/>
        <v>2.25</v>
      </c>
      <c r="Y109" s="44">
        <f t="shared" si="39"/>
        <v>2.25</v>
      </c>
      <c r="Z109" s="44">
        <f t="shared" si="39"/>
        <v>2.25</v>
      </c>
      <c r="AA109" s="44">
        <f t="shared" si="39"/>
        <v>2.25</v>
      </c>
      <c r="AB109" s="44">
        <f t="shared" si="39"/>
        <v>2.25</v>
      </c>
      <c r="AC109" s="44">
        <f t="shared" si="39"/>
        <v>2.25</v>
      </c>
      <c r="AD109" s="44">
        <f t="shared" si="39"/>
        <v>2.25</v>
      </c>
      <c r="AE109" s="44">
        <f t="shared" si="39"/>
        <v>2.25</v>
      </c>
      <c r="AF109" s="44">
        <f t="shared" si="39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38"/>
        <v>1.64</v>
      </c>
      <c r="E110" s="44">
        <f t="shared" si="38"/>
        <v>1.64</v>
      </c>
      <c r="F110" s="44">
        <f t="shared" si="38"/>
        <v>1.64</v>
      </c>
      <c r="G110" s="44">
        <f t="shared" si="38"/>
        <v>1.64</v>
      </c>
      <c r="H110" s="44">
        <f t="shared" si="38"/>
        <v>1.64</v>
      </c>
      <c r="I110" s="44">
        <f t="shared" si="38"/>
        <v>1.64</v>
      </c>
      <c r="J110" s="44">
        <f t="shared" si="38"/>
        <v>1.64</v>
      </c>
      <c r="K110" s="44">
        <f t="shared" si="38"/>
        <v>1.64</v>
      </c>
      <c r="L110" s="44">
        <f t="shared" si="38"/>
        <v>1.64</v>
      </c>
      <c r="M110" s="44">
        <f t="shared" si="38"/>
        <v>1.64</v>
      </c>
      <c r="N110" s="44">
        <f t="shared" si="38"/>
        <v>1.64</v>
      </c>
      <c r="O110" s="44">
        <f t="shared" si="38"/>
        <v>1.64</v>
      </c>
      <c r="P110" s="44">
        <f t="shared" si="38"/>
        <v>1.64</v>
      </c>
      <c r="Q110" s="44">
        <f t="shared" si="38"/>
        <v>1.64</v>
      </c>
      <c r="R110" s="44">
        <f t="shared" si="38"/>
        <v>1.64</v>
      </c>
      <c r="S110" s="44">
        <f t="shared" si="38"/>
        <v>1.64</v>
      </c>
      <c r="T110" s="44">
        <f t="shared" si="39"/>
        <v>1.64</v>
      </c>
      <c r="U110" s="44">
        <f t="shared" si="39"/>
        <v>1.64</v>
      </c>
      <c r="V110" s="44">
        <f t="shared" si="39"/>
        <v>1.64</v>
      </c>
      <c r="W110" s="44">
        <f t="shared" si="39"/>
        <v>1.64</v>
      </c>
      <c r="X110" s="44">
        <f t="shared" si="39"/>
        <v>1.64</v>
      </c>
      <c r="Y110" s="44">
        <f t="shared" si="39"/>
        <v>1.64</v>
      </c>
      <c r="Z110" s="44">
        <f t="shared" si="39"/>
        <v>1.64</v>
      </c>
      <c r="AA110" s="44">
        <f t="shared" si="39"/>
        <v>1.64</v>
      </c>
      <c r="AB110" s="44">
        <f t="shared" si="39"/>
        <v>1.64</v>
      </c>
      <c r="AC110" s="44">
        <f t="shared" si="39"/>
        <v>1.64</v>
      </c>
      <c r="AD110" s="44">
        <f t="shared" si="39"/>
        <v>1.64</v>
      </c>
      <c r="AE110" s="44">
        <f t="shared" si="39"/>
        <v>1.64</v>
      </c>
      <c r="AF110" s="44">
        <f t="shared" si="39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0">AF112</f>
        <v>1.62</v>
      </c>
      <c r="C112" s="55">
        <v>1.62</v>
      </c>
      <c r="D112" s="44">
        <f t="shared" ref="D112:S119" si="41">C112</f>
        <v>1.62</v>
      </c>
      <c r="E112" s="44">
        <f t="shared" si="41"/>
        <v>1.62</v>
      </c>
      <c r="F112" s="44">
        <f t="shared" si="41"/>
        <v>1.62</v>
      </c>
      <c r="G112" s="44">
        <f t="shared" si="41"/>
        <v>1.62</v>
      </c>
      <c r="H112" s="44">
        <f t="shared" si="41"/>
        <v>1.62</v>
      </c>
      <c r="I112" s="44">
        <f t="shared" si="41"/>
        <v>1.62</v>
      </c>
      <c r="J112" s="44">
        <f t="shared" si="41"/>
        <v>1.62</v>
      </c>
      <c r="K112" s="44">
        <f t="shared" si="41"/>
        <v>1.62</v>
      </c>
      <c r="L112" s="44">
        <f t="shared" si="41"/>
        <v>1.62</v>
      </c>
      <c r="M112" s="44">
        <f t="shared" si="41"/>
        <v>1.62</v>
      </c>
      <c r="N112" s="44">
        <f t="shared" si="41"/>
        <v>1.62</v>
      </c>
      <c r="O112" s="44">
        <f t="shared" si="41"/>
        <v>1.62</v>
      </c>
      <c r="P112" s="44">
        <f t="shared" si="41"/>
        <v>1.62</v>
      </c>
      <c r="Q112" s="44">
        <f t="shared" si="41"/>
        <v>1.62</v>
      </c>
      <c r="R112" s="44">
        <f t="shared" si="41"/>
        <v>1.62</v>
      </c>
      <c r="S112" s="44">
        <f t="shared" si="41"/>
        <v>1.62</v>
      </c>
      <c r="T112" s="44">
        <f t="shared" ref="T112:AF127" si="42">S112</f>
        <v>1.62</v>
      </c>
      <c r="U112" s="44">
        <f t="shared" si="42"/>
        <v>1.62</v>
      </c>
      <c r="V112" s="44">
        <f t="shared" si="42"/>
        <v>1.62</v>
      </c>
      <c r="W112" s="44">
        <f t="shared" si="42"/>
        <v>1.62</v>
      </c>
      <c r="X112" s="44">
        <f t="shared" si="42"/>
        <v>1.62</v>
      </c>
      <c r="Y112" s="44">
        <f t="shared" si="42"/>
        <v>1.62</v>
      </c>
      <c r="Z112" s="44">
        <f t="shared" si="42"/>
        <v>1.62</v>
      </c>
      <c r="AA112" s="44">
        <f t="shared" si="42"/>
        <v>1.62</v>
      </c>
      <c r="AB112" s="44">
        <f t="shared" si="42"/>
        <v>1.62</v>
      </c>
      <c r="AC112" s="44">
        <f t="shared" si="42"/>
        <v>1.62</v>
      </c>
      <c r="AD112" s="44">
        <f t="shared" si="42"/>
        <v>1.62</v>
      </c>
      <c r="AE112" s="44">
        <f t="shared" si="42"/>
        <v>1.62</v>
      </c>
      <c r="AF112" s="44">
        <f t="shared" si="42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0"/>
        <v>8.36</v>
      </c>
      <c r="C113" s="55">
        <v>8.36</v>
      </c>
      <c r="D113" s="44">
        <f t="shared" si="41"/>
        <v>8.36</v>
      </c>
      <c r="E113" s="44">
        <f t="shared" si="41"/>
        <v>8.36</v>
      </c>
      <c r="F113" s="44">
        <f t="shared" si="41"/>
        <v>8.36</v>
      </c>
      <c r="G113" s="44">
        <f t="shared" si="41"/>
        <v>8.36</v>
      </c>
      <c r="H113" s="44">
        <f t="shared" si="41"/>
        <v>8.36</v>
      </c>
      <c r="I113" s="44">
        <f t="shared" si="41"/>
        <v>8.36</v>
      </c>
      <c r="J113" s="44">
        <f t="shared" si="41"/>
        <v>8.36</v>
      </c>
      <c r="K113" s="44">
        <f t="shared" si="41"/>
        <v>8.36</v>
      </c>
      <c r="L113" s="44">
        <f t="shared" si="41"/>
        <v>8.36</v>
      </c>
      <c r="M113" s="44">
        <f t="shared" si="41"/>
        <v>8.36</v>
      </c>
      <c r="N113" s="44">
        <f t="shared" si="41"/>
        <v>8.36</v>
      </c>
      <c r="O113" s="44">
        <f t="shared" si="41"/>
        <v>8.36</v>
      </c>
      <c r="P113" s="44">
        <f t="shared" si="41"/>
        <v>8.36</v>
      </c>
      <c r="Q113" s="44">
        <f t="shared" si="41"/>
        <v>8.36</v>
      </c>
      <c r="R113" s="44">
        <f t="shared" si="41"/>
        <v>8.36</v>
      </c>
      <c r="S113" s="44">
        <f t="shared" si="41"/>
        <v>8.36</v>
      </c>
      <c r="T113" s="44">
        <f t="shared" si="42"/>
        <v>8.36</v>
      </c>
      <c r="U113" s="44">
        <f t="shared" si="42"/>
        <v>8.36</v>
      </c>
      <c r="V113" s="44">
        <f t="shared" si="42"/>
        <v>8.36</v>
      </c>
      <c r="W113" s="44">
        <f t="shared" si="42"/>
        <v>8.36</v>
      </c>
      <c r="X113" s="44">
        <f t="shared" si="42"/>
        <v>8.36</v>
      </c>
      <c r="Y113" s="44">
        <f t="shared" si="42"/>
        <v>8.36</v>
      </c>
      <c r="Z113" s="44">
        <f t="shared" si="42"/>
        <v>8.36</v>
      </c>
      <c r="AA113" s="44">
        <f t="shared" si="42"/>
        <v>8.36</v>
      </c>
      <c r="AB113" s="44">
        <f t="shared" si="42"/>
        <v>8.36</v>
      </c>
      <c r="AC113" s="44">
        <f t="shared" si="42"/>
        <v>8.36</v>
      </c>
      <c r="AD113" s="44">
        <f t="shared" si="42"/>
        <v>8.36</v>
      </c>
      <c r="AE113" s="44">
        <f t="shared" si="42"/>
        <v>8.36</v>
      </c>
      <c r="AF113" s="44">
        <f t="shared" si="42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0"/>
        <v>5.4</v>
      </c>
      <c r="C114" s="55">
        <v>8</v>
      </c>
      <c r="D114" s="44">
        <f t="shared" si="41"/>
        <v>8</v>
      </c>
      <c r="E114" s="44">
        <f t="shared" si="41"/>
        <v>8</v>
      </c>
      <c r="F114" s="44">
        <f t="shared" si="41"/>
        <v>8</v>
      </c>
      <c r="G114" s="44">
        <f t="shared" si="41"/>
        <v>8</v>
      </c>
      <c r="H114" s="44">
        <f t="shared" si="41"/>
        <v>8</v>
      </c>
      <c r="I114" s="44">
        <f t="shared" si="41"/>
        <v>8</v>
      </c>
      <c r="J114" s="44">
        <v>5.4</v>
      </c>
      <c r="K114" s="44">
        <f t="shared" si="41"/>
        <v>5.4</v>
      </c>
      <c r="L114" s="44">
        <f t="shared" si="41"/>
        <v>5.4</v>
      </c>
      <c r="M114" s="44">
        <f t="shared" si="41"/>
        <v>5.4</v>
      </c>
      <c r="N114" s="44">
        <f t="shared" si="41"/>
        <v>5.4</v>
      </c>
      <c r="O114" s="44">
        <f t="shared" si="41"/>
        <v>5.4</v>
      </c>
      <c r="P114" s="44">
        <f t="shared" si="41"/>
        <v>5.4</v>
      </c>
      <c r="Q114" s="44">
        <f t="shared" si="41"/>
        <v>5.4</v>
      </c>
      <c r="R114" s="44">
        <f t="shared" si="41"/>
        <v>5.4</v>
      </c>
      <c r="S114" s="44">
        <f t="shared" si="41"/>
        <v>5.4</v>
      </c>
      <c r="T114" s="44">
        <f t="shared" si="42"/>
        <v>5.4</v>
      </c>
      <c r="U114" s="44">
        <f t="shared" si="42"/>
        <v>5.4</v>
      </c>
      <c r="V114" s="44">
        <f t="shared" si="42"/>
        <v>5.4</v>
      </c>
      <c r="W114" s="44">
        <f t="shared" si="42"/>
        <v>5.4</v>
      </c>
      <c r="X114" s="44">
        <f t="shared" si="42"/>
        <v>5.4</v>
      </c>
      <c r="Y114" s="44">
        <f t="shared" si="42"/>
        <v>5.4</v>
      </c>
      <c r="Z114" s="44">
        <f t="shared" si="42"/>
        <v>5.4</v>
      </c>
      <c r="AA114" s="44">
        <f t="shared" si="42"/>
        <v>5.4</v>
      </c>
      <c r="AB114" s="44">
        <f t="shared" si="42"/>
        <v>5.4</v>
      </c>
      <c r="AC114" s="44">
        <f t="shared" si="42"/>
        <v>5.4</v>
      </c>
      <c r="AD114" s="44">
        <f t="shared" si="42"/>
        <v>5.4</v>
      </c>
      <c r="AE114" s="44">
        <f t="shared" si="42"/>
        <v>5.4</v>
      </c>
      <c r="AF114" s="44">
        <f t="shared" si="42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0"/>
        <v>6.57</v>
      </c>
      <c r="C115" s="55">
        <v>6.57</v>
      </c>
      <c r="D115" s="44">
        <f t="shared" si="41"/>
        <v>6.57</v>
      </c>
      <c r="E115" s="44">
        <f t="shared" si="41"/>
        <v>6.57</v>
      </c>
      <c r="F115" s="44">
        <f t="shared" si="41"/>
        <v>6.57</v>
      </c>
      <c r="G115" s="44">
        <f t="shared" si="41"/>
        <v>6.57</v>
      </c>
      <c r="H115" s="44">
        <f t="shared" si="41"/>
        <v>6.57</v>
      </c>
      <c r="I115" s="44">
        <f t="shared" si="41"/>
        <v>6.57</v>
      </c>
      <c r="J115" s="44">
        <f t="shared" si="41"/>
        <v>6.57</v>
      </c>
      <c r="K115" s="44">
        <f t="shared" si="41"/>
        <v>6.57</v>
      </c>
      <c r="L115" s="44">
        <f t="shared" si="41"/>
        <v>6.57</v>
      </c>
      <c r="M115" s="44">
        <f t="shared" si="41"/>
        <v>6.57</v>
      </c>
      <c r="N115" s="44">
        <f t="shared" si="41"/>
        <v>6.57</v>
      </c>
      <c r="O115" s="44">
        <f t="shared" si="41"/>
        <v>6.57</v>
      </c>
      <c r="P115" s="44">
        <f t="shared" si="41"/>
        <v>6.57</v>
      </c>
      <c r="Q115" s="44">
        <f t="shared" si="41"/>
        <v>6.57</v>
      </c>
      <c r="R115" s="44">
        <f t="shared" si="41"/>
        <v>6.57</v>
      </c>
      <c r="S115" s="44">
        <f t="shared" si="41"/>
        <v>6.57</v>
      </c>
      <c r="T115" s="44">
        <f t="shared" si="42"/>
        <v>6.57</v>
      </c>
      <c r="U115" s="44">
        <f t="shared" si="42"/>
        <v>6.57</v>
      </c>
      <c r="V115" s="44">
        <f t="shared" si="42"/>
        <v>6.57</v>
      </c>
      <c r="W115" s="44">
        <f t="shared" si="42"/>
        <v>6.57</v>
      </c>
      <c r="X115" s="44">
        <f t="shared" si="42"/>
        <v>6.57</v>
      </c>
      <c r="Y115" s="44">
        <f t="shared" si="42"/>
        <v>6.57</v>
      </c>
      <c r="Z115" s="44">
        <f t="shared" si="42"/>
        <v>6.57</v>
      </c>
      <c r="AA115" s="44">
        <f t="shared" si="42"/>
        <v>6.57</v>
      </c>
      <c r="AB115" s="44">
        <f t="shared" si="42"/>
        <v>6.57</v>
      </c>
      <c r="AC115" s="44">
        <f t="shared" si="42"/>
        <v>6.57</v>
      </c>
      <c r="AD115" s="44">
        <f t="shared" si="42"/>
        <v>6.57</v>
      </c>
      <c r="AE115" s="44">
        <f t="shared" si="42"/>
        <v>6.57</v>
      </c>
      <c r="AF115" s="44">
        <f t="shared" si="42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0"/>
        <v>3.43</v>
      </c>
      <c r="C116" s="55">
        <v>3.43</v>
      </c>
      <c r="D116" s="44">
        <f t="shared" si="41"/>
        <v>3.43</v>
      </c>
      <c r="E116" s="44">
        <f t="shared" si="41"/>
        <v>3.43</v>
      </c>
      <c r="F116" s="44">
        <f t="shared" si="41"/>
        <v>3.43</v>
      </c>
      <c r="G116" s="44">
        <f t="shared" si="41"/>
        <v>3.43</v>
      </c>
      <c r="H116" s="44">
        <f t="shared" si="41"/>
        <v>3.43</v>
      </c>
      <c r="I116" s="44">
        <f t="shared" si="41"/>
        <v>3.43</v>
      </c>
      <c r="J116" s="44">
        <f t="shared" si="41"/>
        <v>3.43</v>
      </c>
      <c r="K116" s="44">
        <f t="shared" si="41"/>
        <v>3.43</v>
      </c>
      <c r="L116" s="44">
        <f t="shared" si="41"/>
        <v>3.43</v>
      </c>
      <c r="M116" s="44">
        <f t="shared" si="41"/>
        <v>3.43</v>
      </c>
      <c r="N116" s="44">
        <f t="shared" si="41"/>
        <v>3.43</v>
      </c>
      <c r="O116" s="44">
        <f t="shared" si="41"/>
        <v>3.43</v>
      </c>
      <c r="P116" s="44">
        <f t="shared" si="41"/>
        <v>3.43</v>
      </c>
      <c r="Q116" s="44">
        <f t="shared" si="41"/>
        <v>3.43</v>
      </c>
      <c r="R116" s="44">
        <f t="shared" si="41"/>
        <v>3.43</v>
      </c>
      <c r="S116" s="44">
        <f t="shared" si="41"/>
        <v>3.43</v>
      </c>
      <c r="T116" s="44">
        <f t="shared" si="42"/>
        <v>3.43</v>
      </c>
      <c r="U116" s="44">
        <f t="shared" si="42"/>
        <v>3.43</v>
      </c>
      <c r="V116" s="44">
        <f t="shared" si="42"/>
        <v>3.43</v>
      </c>
      <c r="W116" s="44">
        <f t="shared" si="42"/>
        <v>3.43</v>
      </c>
      <c r="X116" s="44">
        <f t="shared" si="42"/>
        <v>3.43</v>
      </c>
      <c r="Y116" s="44">
        <f t="shared" si="42"/>
        <v>3.43</v>
      </c>
      <c r="Z116" s="44">
        <f t="shared" si="42"/>
        <v>3.43</v>
      </c>
      <c r="AA116" s="44">
        <f t="shared" si="42"/>
        <v>3.43</v>
      </c>
      <c r="AB116" s="44">
        <f t="shared" si="42"/>
        <v>3.43</v>
      </c>
      <c r="AC116" s="44">
        <f t="shared" si="42"/>
        <v>3.43</v>
      </c>
      <c r="AD116" s="44">
        <f t="shared" si="42"/>
        <v>3.43</v>
      </c>
      <c r="AE116" s="44">
        <f t="shared" si="42"/>
        <v>3.43</v>
      </c>
      <c r="AF116" s="44">
        <f t="shared" si="42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0"/>
        <v>2.96</v>
      </c>
      <c r="C117" s="55">
        <v>2.96</v>
      </c>
      <c r="D117" s="44">
        <f t="shared" si="41"/>
        <v>2.96</v>
      </c>
      <c r="E117" s="44">
        <f t="shared" si="41"/>
        <v>2.96</v>
      </c>
      <c r="F117" s="44">
        <f t="shared" si="41"/>
        <v>2.96</v>
      </c>
      <c r="G117" s="44">
        <f t="shared" si="41"/>
        <v>2.96</v>
      </c>
      <c r="H117" s="44">
        <f t="shared" si="41"/>
        <v>2.96</v>
      </c>
      <c r="I117" s="44">
        <f t="shared" si="41"/>
        <v>2.96</v>
      </c>
      <c r="J117" s="44">
        <f t="shared" si="41"/>
        <v>2.96</v>
      </c>
      <c r="K117" s="44">
        <f t="shared" si="41"/>
        <v>2.96</v>
      </c>
      <c r="L117" s="44">
        <f t="shared" si="41"/>
        <v>2.96</v>
      </c>
      <c r="M117" s="44">
        <f t="shared" si="41"/>
        <v>2.96</v>
      </c>
      <c r="N117" s="44">
        <f t="shared" si="41"/>
        <v>2.96</v>
      </c>
      <c r="O117" s="44">
        <f t="shared" si="41"/>
        <v>2.96</v>
      </c>
      <c r="P117" s="44">
        <f t="shared" si="41"/>
        <v>2.96</v>
      </c>
      <c r="Q117" s="44">
        <f t="shared" si="41"/>
        <v>2.96</v>
      </c>
      <c r="R117" s="44">
        <f t="shared" si="41"/>
        <v>2.96</v>
      </c>
      <c r="S117" s="44">
        <f t="shared" si="41"/>
        <v>2.96</v>
      </c>
      <c r="T117" s="44">
        <f t="shared" si="42"/>
        <v>2.96</v>
      </c>
      <c r="U117" s="44">
        <f t="shared" si="42"/>
        <v>2.96</v>
      </c>
      <c r="V117" s="44">
        <f t="shared" si="42"/>
        <v>2.96</v>
      </c>
      <c r="W117" s="44">
        <f t="shared" si="42"/>
        <v>2.96</v>
      </c>
      <c r="X117" s="44">
        <f t="shared" si="42"/>
        <v>2.96</v>
      </c>
      <c r="Y117" s="44">
        <f t="shared" si="42"/>
        <v>2.96</v>
      </c>
      <c r="Z117" s="44">
        <f t="shared" si="42"/>
        <v>2.96</v>
      </c>
      <c r="AA117" s="44">
        <f t="shared" si="42"/>
        <v>2.96</v>
      </c>
      <c r="AB117" s="44">
        <f t="shared" si="42"/>
        <v>2.96</v>
      </c>
      <c r="AC117" s="44">
        <f t="shared" si="42"/>
        <v>2.96</v>
      </c>
      <c r="AD117" s="44">
        <f t="shared" si="42"/>
        <v>2.96</v>
      </c>
      <c r="AE117" s="44">
        <f t="shared" si="42"/>
        <v>2.96</v>
      </c>
      <c r="AF117" s="44">
        <f t="shared" si="42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0"/>
        <v>8</v>
      </c>
      <c r="C118" s="55">
        <v>8</v>
      </c>
      <c r="D118" s="44">
        <f t="shared" si="41"/>
        <v>8</v>
      </c>
      <c r="E118" s="44">
        <f t="shared" si="41"/>
        <v>8</v>
      </c>
      <c r="F118" s="44">
        <f t="shared" si="41"/>
        <v>8</v>
      </c>
      <c r="G118" s="44">
        <f t="shared" si="41"/>
        <v>8</v>
      </c>
      <c r="H118" s="44">
        <f t="shared" si="41"/>
        <v>8</v>
      </c>
      <c r="I118" s="44">
        <f t="shared" si="41"/>
        <v>8</v>
      </c>
      <c r="J118" s="44">
        <f t="shared" si="41"/>
        <v>8</v>
      </c>
      <c r="K118" s="44">
        <f t="shared" si="41"/>
        <v>8</v>
      </c>
      <c r="L118" s="44">
        <f t="shared" si="41"/>
        <v>8</v>
      </c>
      <c r="M118" s="44">
        <f t="shared" si="41"/>
        <v>8</v>
      </c>
      <c r="N118" s="44">
        <f t="shared" si="41"/>
        <v>8</v>
      </c>
      <c r="O118" s="44">
        <f t="shared" si="41"/>
        <v>8</v>
      </c>
      <c r="P118" s="44">
        <f t="shared" si="41"/>
        <v>8</v>
      </c>
      <c r="Q118" s="44">
        <f t="shared" si="41"/>
        <v>8</v>
      </c>
      <c r="R118" s="44">
        <f t="shared" si="41"/>
        <v>8</v>
      </c>
      <c r="S118" s="44">
        <f t="shared" si="41"/>
        <v>8</v>
      </c>
      <c r="T118" s="44">
        <f t="shared" si="42"/>
        <v>8</v>
      </c>
      <c r="U118" s="44">
        <f t="shared" si="42"/>
        <v>8</v>
      </c>
      <c r="V118" s="44">
        <f t="shared" si="42"/>
        <v>8</v>
      </c>
      <c r="W118" s="44">
        <f t="shared" si="42"/>
        <v>8</v>
      </c>
      <c r="X118" s="44">
        <f t="shared" si="42"/>
        <v>8</v>
      </c>
      <c r="Y118" s="44">
        <f t="shared" si="42"/>
        <v>8</v>
      </c>
      <c r="Z118" s="44">
        <f t="shared" si="42"/>
        <v>8</v>
      </c>
      <c r="AA118" s="44">
        <f t="shared" si="42"/>
        <v>8</v>
      </c>
      <c r="AB118" s="44">
        <f t="shared" si="42"/>
        <v>8</v>
      </c>
      <c r="AC118" s="44">
        <f t="shared" si="42"/>
        <v>8</v>
      </c>
      <c r="AD118" s="44">
        <f t="shared" si="42"/>
        <v>8</v>
      </c>
      <c r="AE118" s="44">
        <f t="shared" si="42"/>
        <v>8</v>
      </c>
      <c r="AF118" s="44">
        <f t="shared" si="42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0"/>
        <v>7</v>
      </c>
      <c r="C119" s="55">
        <v>7</v>
      </c>
      <c r="D119" s="44">
        <f>C119</f>
        <v>7</v>
      </c>
      <c r="E119" s="44">
        <f t="shared" si="41"/>
        <v>7</v>
      </c>
      <c r="F119" s="44">
        <f t="shared" si="41"/>
        <v>7</v>
      </c>
      <c r="G119" s="44">
        <f t="shared" si="41"/>
        <v>7</v>
      </c>
      <c r="H119" s="44">
        <f t="shared" si="41"/>
        <v>7</v>
      </c>
      <c r="I119" s="44">
        <f t="shared" si="41"/>
        <v>7</v>
      </c>
      <c r="J119" s="44">
        <f t="shared" si="41"/>
        <v>7</v>
      </c>
      <c r="K119" s="44">
        <f t="shared" si="41"/>
        <v>7</v>
      </c>
      <c r="L119" s="44">
        <f t="shared" si="41"/>
        <v>7</v>
      </c>
      <c r="M119" s="44">
        <f t="shared" si="41"/>
        <v>7</v>
      </c>
      <c r="N119" s="44">
        <f t="shared" si="41"/>
        <v>7</v>
      </c>
      <c r="O119" s="44">
        <f t="shared" si="41"/>
        <v>7</v>
      </c>
      <c r="P119" s="44">
        <f t="shared" si="41"/>
        <v>7</v>
      </c>
      <c r="Q119" s="44">
        <f t="shared" si="41"/>
        <v>7</v>
      </c>
      <c r="R119" s="44">
        <f t="shared" si="41"/>
        <v>7</v>
      </c>
      <c r="S119" s="44">
        <f t="shared" si="41"/>
        <v>7</v>
      </c>
      <c r="T119" s="44">
        <f t="shared" si="42"/>
        <v>7</v>
      </c>
      <c r="U119" s="44">
        <f t="shared" si="42"/>
        <v>7</v>
      </c>
      <c r="V119" s="44">
        <f t="shared" si="42"/>
        <v>7</v>
      </c>
      <c r="W119" s="44">
        <f t="shared" si="42"/>
        <v>7</v>
      </c>
      <c r="X119" s="44">
        <f t="shared" si="42"/>
        <v>7</v>
      </c>
      <c r="Y119" s="44">
        <f t="shared" si="42"/>
        <v>7</v>
      </c>
      <c r="Z119" s="44">
        <f t="shared" si="42"/>
        <v>7</v>
      </c>
      <c r="AA119" s="44">
        <f t="shared" si="42"/>
        <v>7</v>
      </c>
      <c r="AB119" s="44">
        <f t="shared" si="42"/>
        <v>7</v>
      </c>
      <c r="AC119" s="44">
        <f t="shared" si="42"/>
        <v>7</v>
      </c>
      <c r="AD119" s="44">
        <f t="shared" si="42"/>
        <v>7</v>
      </c>
      <c r="AE119" s="44">
        <f t="shared" si="42"/>
        <v>7</v>
      </c>
      <c r="AF119" s="44">
        <f t="shared" si="42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0"/>
        <v>3.47</v>
      </c>
      <c r="C120" s="55">
        <v>3.47</v>
      </c>
      <c r="D120" s="44">
        <f t="shared" ref="D120:S129" si="43">C120</f>
        <v>3.47</v>
      </c>
      <c r="E120" s="44">
        <f t="shared" si="43"/>
        <v>3.47</v>
      </c>
      <c r="F120" s="44">
        <f t="shared" si="43"/>
        <v>3.47</v>
      </c>
      <c r="G120" s="44">
        <f t="shared" si="43"/>
        <v>3.47</v>
      </c>
      <c r="H120" s="44">
        <f t="shared" si="43"/>
        <v>3.47</v>
      </c>
      <c r="I120" s="44">
        <f t="shared" si="43"/>
        <v>3.47</v>
      </c>
      <c r="J120" s="44">
        <f t="shared" si="43"/>
        <v>3.47</v>
      </c>
      <c r="K120" s="44">
        <f t="shared" si="43"/>
        <v>3.47</v>
      </c>
      <c r="L120" s="44">
        <f t="shared" si="43"/>
        <v>3.47</v>
      </c>
      <c r="M120" s="44">
        <f t="shared" si="43"/>
        <v>3.47</v>
      </c>
      <c r="N120" s="44">
        <f t="shared" si="43"/>
        <v>3.47</v>
      </c>
      <c r="O120" s="44">
        <f t="shared" si="43"/>
        <v>3.47</v>
      </c>
      <c r="P120" s="44">
        <f t="shared" si="43"/>
        <v>3.47</v>
      </c>
      <c r="Q120" s="44">
        <f t="shared" si="43"/>
        <v>3.47</v>
      </c>
      <c r="R120" s="44">
        <f t="shared" si="43"/>
        <v>3.47</v>
      </c>
      <c r="S120" s="44">
        <f t="shared" si="43"/>
        <v>3.47</v>
      </c>
      <c r="T120" s="44">
        <f t="shared" si="42"/>
        <v>3.47</v>
      </c>
      <c r="U120" s="44">
        <f t="shared" si="42"/>
        <v>3.47</v>
      </c>
      <c r="V120" s="44">
        <f t="shared" si="42"/>
        <v>3.47</v>
      </c>
      <c r="W120" s="44">
        <f t="shared" si="42"/>
        <v>3.47</v>
      </c>
      <c r="X120" s="44">
        <f t="shared" si="42"/>
        <v>3.47</v>
      </c>
      <c r="Y120" s="44">
        <f t="shared" si="42"/>
        <v>3.47</v>
      </c>
      <c r="Z120" s="44">
        <f t="shared" si="42"/>
        <v>3.47</v>
      </c>
      <c r="AA120" s="44">
        <f t="shared" si="42"/>
        <v>3.47</v>
      </c>
      <c r="AB120" s="44">
        <f t="shared" si="42"/>
        <v>3.47</v>
      </c>
      <c r="AC120" s="44">
        <f t="shared" si="42"/>
        <v>3.47</v>
      </c>
      <c r="AD120" s="44">
        <f t="shared" si="42"/>
        <v>3.47</v>
      </c>
      <c r="AE120" s="44">
        <f t="shared" si="42"/>
        <v>3.47</v>
      </c>
      <c r="AF120" s="44">
        <f t="shared" si="42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0"/>
        <v>2.1</v>
      </c>
      <c r="C121" s="55">
        <v>2.1</v>
      </c>
      <c r="D121" s="44">
        <f t="shared" si="43"/>
        <v>2.1</v>
      </c>
      <c r="E121" s="44">
        <f t="shared" si="43"/>
        <v>2.1</v>
      </c>
      <c r="F121" s="44">
        <f t="shared" si="43"/>
        <v>2.1</v>
      </c>
      <c r="G121" s="44">
        <f t="shared" si="43"/>
        <v>2.1</v>
      </c>
      <c r="H121" s="44">
        <f t="shared" si="43"/>
        <v>2.1</v>
      </c>
      <c r="I121" s="44">
        <f t="shared" si="43"/>
        <v>2.1</v>
      </c>
      <c r="J121" s="44">
        <f t="shared" si="43"/>
        <v>2.1</v>
      </c>
      <c r="K121" s="44">
        <f t="shared" si="43"/>
        <v>2.1</v>
      </c>
      <c r="L121" s="44">
        <f t="shared" si="43"/>
        <v>2.1</v>
      </c>
      <c r="M121" s="44">
        <f t="shared" si="43"/>
        <v>2.1</v>
      </c>
      <c r="N121" s="44">
        <f t="shared" si="43"/>
        <v>2.1</v>
      </c>
      <c r="O121" s="44">
        <f t="shared" si="43"/>
        <v>2.1</v>
      </c>
      <c r="P121" s="44">
        <f t="shared" si="43"/>
        <v>2.1</v>
      </c>
      <c r="Q121" s="44">
        <f t="shared" si="43"/>
        <v>2.1</v>
      </c>
      <c r="R121" s="44">
        <f t="shared" si="43"/>
        <v>2.1</v>
      </c>
      <c r="S121" s="44">
        <f t="shared" si="43"/>
        <v>2.1</v>
      </c>
      <c r="T121" s="44">
        <f t="shared" si="42"/>
        <v>2.1</v>
      </c>
      <c r="U121" s="44">
        <f t="shared" si="42"/>
        <v>2.1</v>
      </c>
      <c r="V121" s="44">
        <f t="shared" si="42"/>
        <v>2.1</v>
      </c>
      <c r="W121" s="44">
        <f t="shared" si="42"/>
        <v>2.1</v>
      </c>
      <c r="X121" s="44">
        <f t="shared" si="42"/>
        <v>2.1</v>
      </c>
      <c r="Y121" s="44">
        <f t="shared" si="42"/>
        <v>2.1</v>
      </c>
      <c r="Z121" s="44">
        <f t="shared" si="42"/>
        <v>2.1</v>
      </c>
      <c r="AA121" s="44">
        <f t="shared" si="42"/>
        <v>2.1</v>
      </c>
      <c r="AB121" s="44">
        <f t="shared" si="42"/>
        <v>2.1</v>
      </c>
      <c r="AC121" s="44">
        <f t="shared" si="42"/>
        <v>2.1</v>
      </c>
      <c r="AD121" s="44">
        <f t="shared" si="42"/>
        <v>2.1</v>
      </c>
      <c r="AE121" s="44">
        <f t="shared" si="42"/>
        <v>2.1</v>
      </c>
      <c r="AF121" s="44">
        <f t="shared" si="42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0"/>
        <v>9.3000000000000007</v>
      </c>
      <c r="C122" s="55">
        <v>9.3000000000000007</v>
      </c>
      <c r="D122" s="44">
        <f t="shared" si="43"/>
        <v>9.3000000000000007</v>
      </c>
      <c r="E122" s="44">
        <f t="shared" si="43"/>
        <v>9.3000000000000007</v>
      </c>
      <c r="F122" s="44">
        <f t="shared" si="43"/>
        <v>9.3000000000000007</v>
      </c>
      <c r="G122" s="44">
        <f t="shared" si="43"/>
        <v>9.3000000000000007</v>
      </c>
      <c r="H122" s="44">
        <f t="shared" si="43"/>
        <v>9.3000000000000007</v>
      </c>
      <c r="I122" s="44">
        <f t="shared" si="43"/>
        <v>9.3000000000000007</v>
      </c>
      <c r="J122" s="44">
        <f t="shared" si="43"/>
        <v>9.3000000000000007</v>
      </c>
      <c r="K122" s="44">
        <f t="shared" si="43"/>
        <v>9.3000000000000007</v>
      </c>
      <c r="L122" s="44">
        <f t="shared" si="43"/>
        <v>9.3000000000000007</v>
      </c>
      <c r="M122" s="44">
        <f t="shared" si="43"/>
        <v>9.3000000000000007</v>
      </c>
      <c r="N122" s="44">
        <f t="shared" si="43"/>
        <v>9.3000000000000007</v>
      </c>
      <c r="O122" s="44">
        <f t="shared" si="43"/>
        <v>9.3000000000000007</v>
      </c>
      <c r="P122" s="44">
        <f t="shared" si="43"/>
        <v>9.3000000000000007</v>
      </c>
      <c r="Q122" s="44">
        <f t="shared" si="43"/>
        <v>9.3000000000000007</v>
      </c>
      <c r="R122" s="44">
        <f t="shared" si="43"/>
        <v>9.3000000000000007</v>
      </c>
      <c r="S122" s="44">
        <f t="shared" si="43"/>
        <v>9.3000000000000007</v>
      </c>
      <c r="T122" s="44">
        <f t="shared" si="42"/>
        <v>9.3000000000000007</v>
      </c>
      <c r="U122" s="44">
        <f t="shared" si="42"/>
        <v>9.3000000000000007</v>
      </c>
      <c r="V122" s="44">
        <f t="shared" si="42"/>
        <v>9.3000000000000007</v>
      </c>
      <c r="W122" s="44">
        <f t="shared" si="42"/>
        <v>9.3000000000000007</v>
      </c>
      <c r="X122" s="44">
        <f t="shared" si="42"/>
        <v>9.3000000000000007</v>
      </c>
      <c r="Y122" s="44">
        <f t="shared" si="42"/>
        <v>9.3000000000000007</v>
      </c>
      <c r="Z122" s="44">
        <f t="shared" si="42"/>
        <v>9.3000000000000007</v>
      </c>
      <c r="AA122" s="44">
        <f t="shared" si="42"/>
        <v>9.3000000000000007</v>
      </c>
      <c r="AB122" s="44">
        <f t="shared" si="42"/>
        <v>9.3000000000000007</v>
      </c>
      <c r="AC122" s="44">
        <f t="shared" si="42"/>
        <v>9.3000000000000007</v>
      </c>
      <c r="AD122" s="44">
        <f t="shared" si="42"/>
        <v>9.3000000000000007</v>
      </c>
      <c r="AE122" s="44">
        <f t="shared" si="42"/>
        <v>9.3000000000000007</v>
      </c>
      <c r="AF122" s="44">
        <f t="shared" si="42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0"/>
        <v>0</v>
      </c>
      <c r="C123" s="55">
        <v>0</v>
      </c>
      <c r="D123" s="44">
        <f t="shared" si="43"/>
        <v>0</v>
      </c>
      <c r="E123" s="44">
        <f t="shared" si="43"/>
        <v>0</v>
      </c>
      <c r="F123" s="44">
        <f t="shared" si="43"/>
        <v>0</v>
      </c>
      <c r="G123" s="44">
        <f t="shared" si="43"/>
        <v>0</v>
      </c>
      <c r="H123" s="44">
        <f t="shared" si="43"/>
        <v>0</v>
      </c>
      <c r="I123" s="44">
        <f t="shared" si="43"/>
        <v>0</v>
      </c>
      <c r="J123" s="44">
        <f t="shared" si="43"/>
        <v>0</v>
      </c>
      <c r="K123" s="44">
        <f t="shared" si="43"/>
        <v>0</v>
      </c>
      <c r="L123" s="44">
        <f t="shared" si="43"/>
        <v>0</v>
      </c>
      <c r="M123" s="44">
        <f t="shared" si="43"/>
        <v>0</v>
      </c>
      <c r="N123" s="44">
        <f t="shared" si="43"/>
        <v>0</v>
      </c>
      <c r="O123" s="44">
        <f t="shared" si="43"/>
        <v>0</v>
      </c>
      <c r="P123" s="44">
        <f t="shared" si="43"/>
        <v>0</v>
      </c>
      <c r="Q123" s="44">
        <f t="shared" si="43"/>
        <v>0</v>
      </c>
      <c r="R123" s="44">
        <f t="shared" si="43"/>
        <v>0</v>
      </c>
      <c r="S123" s="44">
        <f t="shared" si="43"/>
        <v>0</v>
      </c>
      <c r="T123" s="44">
        <f t="shared" si="42"/>
        <v>0</v>
      </c>
      <c r="U123" s="44">
        <f t="shared" si="42"/>
        <v>0</v>
      </c>
      <c r="V123" s="44">
        <f t="shared" si="42"/>
        <v>0</v>
      </c>
      <c r="W123" s="44">
        <f t="shared" si="42"/>
        <v>0</v>
      </c>
      <c r="X123" s="44">
        <f t="shared" si="42"/>
        <v>0</v>
      </c>
      <c r="Y123" s="44">
        <f t="shared" si="42"/>
        <v>0</v>
      </c>
      <c r="Z123" s="44">
        <f t="shared" si="42"/>
        <v>0</v>
      </c>
      <c r="AA123" s="44">
        <f t="shared" si="42"/>
        <v>0</v>
      </c>
      <c r="AB123" s="44">
        <f t="shared" si="42"/>
        <v>0</v>
      </c>
      <c r="AC123" s="44">
        <f t="shared" si="42"/>
        <v>0</v>
      </c>
      <c r="AD123" s="44">
        <f t="shared" si="42"/>
        <v>0</v>
      </c>
      <c r="AE123" s="44">
        <f t="shared" si="42"/>
        <v>0</v>
      </c>
      <c r="AF123" s="44">
        <f t="shared" si="42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0"/>
        <v>0</v>
      </c>
      <c r="C124" s="55">
        <v>0</v>
      </c>
      <c r="D124" s="44">
        <f t="shared" si="43"/>
        <v>0</v>
      </c>
      <c r="E124" s="44">
        <f t="shared" si="43"/>
        <v>0</v>
      </c>
      <c r="F124" s="44">
        <f t="shared" si="43"/>
        <v>0</v>
      </c>
      <c r="G124" s="44">
        <f t="shared" si="43"/>
        <v>0</v>
      </c>
      <c r="H124" s="44">
        <f t="shared" si="43"/>
        <v>0</v>
      </c>
      <c r="I124" s="44">
        <f t="shared" si="43"/>
        <v>0</v>
      </c>
      <c r="J124" s="44">
        <f t="shared" si="43"/>
        <v>0</v>
      </c>
      <c r="K124" s="44">
        <f t="shared" si="43"/>
        <v>0</v>
      </c>
      <c r="L124" s="44">
        <f t="shared" si="43"/>
        <v>0</v>
      </c>
      <c r="M124" s="44">
        <f t="shared" si="43"/>
        <v>0</v>
      </c>
      <c r="N124" s="44">
        <f t="shared" si="43"/>
        <v>0</v>
      </c>
      <c r="O124" s="44">
        <f t="shared" si="43"/>
        <v>0</v>
      </c>
      <c r="P124" s="44">
        <f t="shared" si="43"/>
        <v>0</v>
      </c>
      <c r="Q124" s="44">
        <f t="shared" si="43"/>
        <v>0</v>
      </c>
      <c r="R124" s="44">
        <f t="shared" si="43"/>
        <v>0</v>
      </c>
      <c r="S124" s="44">
        <f t="shared" si="43"/>
        <v>0</v>
      </c>
      <c r="T124" s="44">
        <f t="shared" si="42"/>
        <v>0</v>
      </c>
      <c r="U124" s="44">
        <f t="shared" si="42"/>
        <v>0</v>
      </c>
      <c r="V124" s="44">
        <f t="shared" si="42"/>
        <v>0</v>
      </c>
      <c r="W124" s="44">
        <f t="shared" si="42"/>
        <v>0</v>
      </c>
      <c r="X124" s="44">
        <f t="shared" si="42"/>
        <v>0</v>
      </c>
      <c r="Y124" s="44">
        <f t="shared" si="42"/>
        <v>0</v>
      </c>
      <c r="Z124" s="44">
        <f t="shared" si="42"/>
        <v>0</v>
      </c>
      <c r="AA124" s="44">
        <f t="shared" si="42"/>
        <v>0</v>
      </c>
      <c r="AB124" s="44">
        <f t="shared" si="42"/>
        <v>0</v>
      </c>
      <c r="AC124" s="44">
        <f t="shared" si="42"/>
        <v>0</v>
      </c>
      <c r="AD124" s="44">
        <f t="shared" si="42"/>
        <v>0</v>
      </c>
      <c r="AE124" s="44">
        <f t="shared" si="42"/>
        <v>0</v>
      </c>
      <c r="AF124" s="44">
        <f t="shared" si="42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0"/>
        <v>5</v>
      </c>
      <c r="C125" s="55">
        <v>5</v>
      </c>
      <c r="D125" s="44">
        <f t="shared" si="43"/>
        <v>5</v>
      </c>
      <c r="E125" s="44">
        <f t="shared" si="43"/>
        <v>5</v>
      </c>
      <c r="F125" s="44">
        <f t="shared" si="43"/>
        <v>5</v>
      </c>
      <c r="G125" s="44">
        <f t="shared" si="43"/>
        <v>5</v>
      </c>
      <c r="H125" s="44">
        <f t="shared" si="43"/>
        <v>5</v>
      </c>
      <c r="I125" s="44">
        <f t="shared" si="43"/>
        <v>5</v>
      </c>
      <c r="J125" s="44">
        <f t="shared" si="43"/>
        <v>5</v>
      </c>
      <c r="K125" s="44">
        <f t="shared" si="43"/>
        <v>5</v>
      </c>
      <c r="L125" s="44">
        <f t="shared" si="43"/>
        <v>5</v>
      </c>
      <c r="M125" s="44">
        <f t="shared" si="43"/>
        <v>5</v>
      </c>
      <c r="N125" s="44">
        <f t="shared" si="43"/>
        <v>5</v>
      </c>
      <c r="O125" s="44">
        <f t="shared" si="43"/>
        <v>5</v>
      </c>
      <c r="P125" s="44">
        <f t="shared" si="43"/>
        <v>5</v>
      </c>
      <c r="Q125" s="44">
        <f t="shared" si="43"/>
        <v>5</v>
      </c>
      <c r="R125" s="44">
        <f t="shared" si="43"/>
        <v>5</v>
      </c>
      <c r="S125" s="44">
        <f t="shared" si="43"/>
        <v>5</v>
      </c>
      <c r="T125" s="44">
        <f t="shared" si="42"/>
        <v>5</v>
      </c>
      <c r="U125" s="44">
        <f t="shared" si="42"/>
        <v>5</v>
      </c>
      <c r="V125" s="44">
        <f t="shared" si="42"/>
        <v>5</v>
      </c>
      <c r="W125" s="44">
        <f t="shared" si="42"/>
        <v>5</v>
      </c>
      <c r="X125" s="44">
        <f t="shared" si="42"/>
        <v>5</v>
      </c>
      <c r="Y125" s="44">
        <f t="shared" si="42"/>
        <v>5</v>
      </c>
      <c r="Z125" s="44">
        <f t="shared" si="42"/>
        <v>5</v>
      </c>
      <c r="AA125" s="44">
        <f t="shared" si="42"/>
        <v>5</v>
      </c>
      <c r="AB125" s="44">
        <f t="shared" si="42"/>
        <v>5</v>
      </c>
      <c r="AC125" s="44">
        <f t="shared" si="42"/>
        <v>5</v>
      </c>
      <c r="AD125" s="44">
        <f t="shared" si="42"/>
        <v>5</v>
      </c>
      <c r="AE125" s="44">
        <f t="shared" si="42"/>
        <v>5</v>
      </c>
      <c r="AF125" s="44">
        <f t="shared" si="42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0"/>
        <v>1</v>
      </c>
      <c r="C126" s="55">
        <v>1</v>
      </c>
      <c r="D126" s="44">
        <f t="shared" si="43"/>
        <v>1</v>
      </c>
      <c r="E126" s="44">
        <f t="shared" si="43"/>
        <v>1</v>
      </c>
      <c r="F126" s="44">
        <f t="shared" si="43"/>
        <v>1</v>
      </c>
      <c r="G126" s="44">
        <f t="shared" si="43"/>
        <v>1</v>
      </c>
      <c r="H126" s="44">
        <f t="shared" si="43"/>
        <v>1</v>
      </c>
      <c r="I126" s="44">
        <f t="shared" si="43"/>
        <v>1</v>
      </c>
      <c r="J126" s="44">
        <f t="shared" si="43"/>
        <v>1</v>
      </c>
      <c r="K126" s="44">
        <f t="shared" si="43"/>
        <v>1</v>
      </c>
      <c r="L126" s="44">
        <f t="shared" si="43"/>
        <v>1</v>
      </c>
      <c r="M126" s="44">
        <f t="shared" si="43"/>
        <v>1</v>
      </c>
      <c r="N126" s="44">
        <f t="shared" si="43"/>
        <v>1</v>
      </c>
      <c r="O126" s="44">
        <f t="shared" si="43"/>
        <v>1</v>
      </c>
      <c r="P126" s="44">
        <f t="shared" si="43"/>
        <v>1</v>
      </c>
      <c r="Q126" s="44">
        <f t="shared" si="43"/>
        <v>1</v>
      </c>
      <c r="R126" s="44">
        <f t="shared" si="43"/>
        <v>1</v>
      </c>
      <c r="S126" s="44">
        <f t="shared" si="43"/>
        <v>1</v>
      </c>
      <c r="T126" s="44">
        <f t="shared" si="42"/>
        <v>1</v>
      </c>
      <c r="U126" s="44">
        <f t="shared" si="42"/>
        <v>1</v>
      </c>
      <c r="V126" s="44">
        <f t="shared" si="42"/>
        <v>1</v>
      </c>
      <c r="W126" s="44">
        <f t="shared" si="42"/>
        <v>1</v>
      </c>
      <c r="X126" s="44">
        <f t="shared" si="42"/>
        <v>1</v>
      </c>
      <c r="Y126" s="44">
        <f t="shared" si="42"/>
        <v>1</v>
      </c>
      <c r="Z126" s="44">
        <f t="shared" si="42"/>
        <v>1</v>
      </c>
      <c r="AA126" s="44">
        <f t="shared" si="42"/>
        <v>1</v>
      </c>
      <c r="AB126" s="44">
        <f t="shared" si="42"/>
        <v>1</v>
      </c>
      <c r="AC126" s="44">
        <f t="shared" si="42"/>
        <v>1</v>
      </c>
      <c r="AD126" s="44">
        <f t="shared" si="42"/>
        <v>1</v>
      </c>
      <c r="AE126" s="44">
        <f t="shared" si="42"/>
        <v>1</v>
      </c>
      <c r="AF126" s="44">
        <f t="shared" si="42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0"/>
        <v>1.58</v>
      </c>
      <c r="C127" s="55">
        <v>1.58</v>
      </c>
      <c r="D127" s="44">
        <f t="shared" si="43"/>
        <v>1.58</v>
      </c>
      <c r="E127" s="44">
        <f t="shared" si="43"/>
        <v>1.58</v>
      </c>
      <c r="F127" s="44">
        <f t="shared" si="43"/>
        <v>1.58</v>
      </c>
      <c r="G127" s="44">
        <f t="shared" si="43"/>
        <v>1.58</v>
      </c>
      <c r="H127" s="44">
        <f t="shared" si="43"/>
        <v>1.58</v>
      </c>
      <c r="I127" s="44">
        <f t="shared" si="43"/>
        <v>1.58</v>
      </c>
      <c r="J127" s="44">
        <f t="shared" si="43"/>
        <v>1.58</v>
      </c>
      <c r="K127" s="44">
        <f t="shared" si="43"/>
        <v>1.58</v>
      </c>
      <c r="L127" s="44">
        <f t="shared" si="43"/>
        <v>1.58</v>
      </c>
      <c r="M127" s="44">
        <f t="shared" si="43"/>
        <v>1.58</v>
      </c>
      <c r="N127" s="44">
        <f t="shared" si="43"/>
        <v>1.58</v>
      </c>
      <c r="O127" s="44">
        <f t="shared" si="43"/>
        <v>1.58</v>
      </c>
      <c r="P127" s="44">
        <f t="shared" si="43"/>
        <v>1.58</v>
      </c>
      <c r="Q127" s="44">
        <f t="shared" si="43"/>
        <v>1.58</v>
      </c>
      <c r="R127" s="44">
        <f t="shared" si="43"/>
        <v>1.58</v>
      </c>
      <c r="S127" s="44">
        <f t="shared" si="43"/>
        <v>1.58</v>
      </c>
      <c r="T127" s="44">
        <f t="shared" si="42"/>
        <v>1.58</v>
      </c>
      <c r="U127" s="44">
        <f t="shared" si="42"/>
        <v>1.58</v>
      </c>
      <c r="V127" s="44">
        <f t="shared" si="42"/>
        <v>1.58</v>
      </c>
      <c r="W127" s="44">
        <f t="shared" si="42"/>
        <v>1.58</v>
      </c>
      <c r="X127" s="44">
        <f t="shared" si="42"/>
        <v>1.58</v>
      </c>
      <c r="Y127" s="44">
        <f t="shared" si="42"/>
        <v>1.58</v>
      </c>
      <c r="Z127" s="44">
        <f t="shared" si="42"/>
        <v>1.58</v>
      </c>
      <c r="AA127" s="44">
        <f t="shared" si="42"/>
        <v>1.58</v>
      </c>
      <c r="AB127" s="44">
        <f t="shared" si="42"/>
        <v>1.58</v>
      </c>
      <c r="AC127" s="44">
        <f t="shared" si="42"/>
        <v>1.58</v>
      </c>
      <c r="AD127" s="44">
        <f t="shared" si="42"/>
        <v>1.58</v>
      </c>
      <c r="AE127" s="44">
        <f t="shared" si="42"/>
        <v>1.58</v>
      </c>
      <c r="AF127" s="44">
        <f t="shared" si="42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0"/>
        <v>1.46</v>
      </c>
      <c r="C128" s="55">
        <v>1.46</v>
      </c>
      <c r="D128" s="44">
        <f t="shared" si="43"/>
        <v>1.46</v>
      </c>
      <c r="E128" s="44">
        <f t="shared" si="43"/>
        <v>1.46</v>
      </c>
      <c r="F128" s="44">
        <f t="shared" si="43"/>
        <v>1.46</v>
      </c>
      <c r="G128" s="44">
        <f t="shared" si="43"/>
        <v>1.46</v>
      </c>
      <c r="H128" s="44">
        <f t="shared" si="43"/>
        <v>1.46</v>
      </c>
      <c r="I128" s="44">
        <f t="shared" si="43"/>
        <v>1.46</v>
      </c>
      <c r="J128" s="44">
        <f t="shared" si="43"/>
        <v>1.46</v>
      </c>
      <c r="K128" s="44">
        <f t="shared" si="43"/>
        <v>1.46</v>
      </c>
      <c r="L128" s="44">
        <f t="shared" si="43"/>
        <v>1.46</v>
      </c>
      <c r="M128" s="44">
        <f t="shared" si="43"/>
        <v>1.46</v>
      </c>
      <c r="N128" s="44">
        <f t="shared" si="43"/>
        <v>1.46</v>
      </c>
      <c r="O128" s="44">
        <f t="shared" si="43"/>
        <v>1.46</v>
      </c>
      <c r="P128" s="44">
        <f t="shared" si="43"/>
        <v>1.46</v>
      </c>
      <c r="Q128" s="44">
        <f t="shared" si="43"/>
        <v>1.46</v>
      </c>
      <c r="R128" s="44">
        <f t="shared" si="43"/>
        <v>1.46</v>
      </c>
      <c r="S128" s="44">
        <f t="shared" si="43"/>
        <v>1.46</v>
      </c>
      <c r="T128" s="44">
        <f t="shared" ref="T128:AF129" si="44">S128</f>
        <v>1.46</v>
      </c>
      <c r="U128" s="44">
        <f t="shared" si="44"/>
        <v>1.46</v>
      </c>
      <c r="V128" s="44">
        <f t="shared" si="44"/>
        <v>1.46</v>
      </c>
      <c r="W128" s="44">
        <f t="shared" si="44"/>
        <v>1.46</v>
      </c>
      <c r="X128" s="44">
        <f t="shared" si="44"/>
        <v>1.46</v>
      </c>
      <c r="Y128" s="44">
        <f t="shared" si="44"/>
        <v>1.46</v>
      </c>
      <c r="Z128" s="44">
        <f t="shared" si="44"/>
        <v>1.46</v>
      </c>
      <c r="AA128" s="44">
        <f t="shared" si="44"/>
        <v>1.46</v>
      </c>
      <c r="AB128" s="44">
        <f t="shared" si="44"/>
        <v>1.46</v>
      </c>
      <c r="AC128" s="44">
        <f t="shared" si="44"/>
        <v>1.46</v>
      </c>
      <c r="AD128" s="44">
        <f t="shared" si="44"/>
        <v>1.46</v>
      </c>
      <c r="AE128" s="44">
        <f t="shared" si="44"/>
        <v>1.46</v>
      </c>
      <c r="AF128" s="44">
        <f t="shared" si="44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0"/>
        <v>1.48</v>
      </c>
      <c r="C129" s="55">
        <v>1.48</v>
      </c>
      <c r="D129" s="44">
        <f t="shared" si="43"/>
        <v>1.48</v>
      </c>
      <c r="E129" s="44">
        <f t="shared" si="43"/>
        <v>1.48</v>
      </c>
      <c r="F129" s="44">
        <f t="shared" si="43"/>
        <v>1.48</v>
      </c>
      <c r="G129" s="44">
        <f t="shared" si="43"/>
        <v>1.48</v>
      </c>
      <c r="H129" s="44">
        <f t="shared" si="43"/>
        <v>1.48</v>
      </c>
      <c r="I129" s="44">
        <f t="shared" si="43"/>
        <v>1.48</v>
      </c>
      <c r="J129" s="44">
        <f t="shared" si="43"/>
        <v>1.48</v>
      </c>
      <c r="K129" s="44">
        <f t="shared" si="43"/>
        <v>1.48</v>
      </c>
      <c r="L129" s="44">
        <f t="shared" si="43"/>
        <v>1.48</v>
      </c>
      <c r="M129" s="44">
        <f t="shared" si="43"/>
        <v>1.48</v>
      </c>
      <c r="N129" s="44">
        <f t="shared" si="43"/>
        <v>1.48</v>
      </c>
      <c r="O129" s="44">
        <f t="shared" si="43"/>
        <v>1.48</v>
      </c>
      <c r="P129" s="44">
        <f t="shared" si="43"/>
        <v>1.48</v>
      </c>
      <c r="Q129" s="44">
        <f t="shared" si="43"/>
        <v>1.48</v>
      </c>
      <c r="R129" s="44">
        <f t="shared" si="43"/>
        <v>1.48</v>
      </c>
      <c r="S129" s="44">
        <f t="shared" si="43"/>
        <v>1.48</v>
      </c>
      <c r="T129" s="44">
        <f t="shared" si="44"/>
        <v>1.48</v>
      </c>
      <c r="U129" s="44">
        <f t="shared" si="44"/>
        <v>1.48</v>
      </c>
      <c r="V129" s="44">
        <f t="shared" si="44"/>
        <v>1.48</v>
      </c>
      <c r="W129" s="44">
        <f t="shared" si="44"/>
        <v>1.48</v>
      </c>
      <c r="X129" s="44">
        <f t="shared" si="44"/>
        <v>1.48</v>
      </c>
      <c r="Y129" s="44">
        <f t="shared" si="44"/>
        <v>1.48</v>
      </c>
      <c r="Z129" s="44">
        <f t="shared" si="44"/>
        <v>1.48</v>
      </c>
      <c r="AA129" s="44">
        <f t="shared" si="44"/>
        <v>1.48</v>
      </c>
      <c r="AB129" s="44">
        <f t="shared" si="44"/>
        <v>1.48</v>
      </c>
      <c r="AC129" s="44">
        <f t="shared" si="44"/>
        <v>1.48</v>
      </c>
      <c r="AD129" s="44">
        <f t="shared" si="44"/>
        <v>1.48</v>
      </c>
      <c r="AE129" s="44">
        <f t="shared" si="44"/>
        <v>1.48</v>
      </c>
      <c r="AF129" s="44">
        <f t="shared" si="44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45">AF131</f>
        <v>2.2000000000000002</v>
      </c>
      <c r="C131" s="55">
        <v>2.2000000000000002</v>
      </c>
      <c r="D131" s="44">
        <f t="shared" ref="D131:S138" si="46">C131</f>
        <v>2.2000000000000002</v>
      </c>
      <c r="E131" s="44">
        <f t="shared" si="46"/>
        <v>2.2000000000000002</v>
      </c>
      <c r="F131" s="44">
        <f t="shared" si="46"/>
        <v>2.2000000000000002</v>
      </c>
      <c r="G131" s="44">
        <f t="shared" si="46"/>
        <v>2.2000000000000002</v>
      </c>
      <c r="H131" s="44">
        <f t="shared" si="46"/>
        <v>2.2000000000000002</v>
      </c>
      <c r="I131" s="44">
        <f t="shared" si="46"/>
        <v>2.2000000000000002</v>
      </c>
      <c r="J131" s="44">
        <f t="shared" si="46"/>
        <v>2.2000000000000002</v>
      </c>
      <c r="K131" s="44">
        <f t="shared" si="46"/>
        <v>2.2000000000000002</v>
      </c>
      <c r="L131" s="44">
        <f t="shared" si="46"/>
        <v>2.2000000000000002</v>
      </c>
      <c r="M131" s="44">
        <f t="shared" si="46"/>
        <v>2.2000000000000002</v>
      </c>
      <c r="N131" s="44">
        <f t="shared" si="46"/>
        <v>2.2000000000000002</v>
      </c>
      <c r="O131" s="44">
        <f t="shared" si="46"/>
        <v>2.2000000000000002</v>
      </c>
      <c r="P131" s="44">
        <f t="shared" si="46"/>
        <v>2.2000000000000002</v>
      </c>
      <c r="Q131" s="44">
        <f t="shared" si="46"/>
        <v>2.2000000000000002</v>
      </c>
      <c r="R131" s="44">
        <f t="shared" si="46"/>
        <v>2.2000000000000002</v>
      </c>
      <c r="S131" s="44">
        <f t="shared" si="46"/>
        <v>2.2000000000000002</v>
      </c>
      <c r="T131" s="44">
        <f t="shared" ref="T131:AF138" si="47">S131</f>
        <v>2.2000000000000002</v>
      </c>
      <c r="U131" s="44">
        <f t="shared" si="47"/>
        <v>2.2000000000000002</v>
      </c>
      <c r="V131" s="44">
        <f t="shared" si="47"/>
        <v>2.2000000000000002</v>
      </c>
      <c r="W131" s="44">
        <f t="shared" si="47"/>
        <v>2.2000000000000002</v>
      </c>
      <c r="X131" s="44">
        <f t="shared" si="47"/>
        <v>2.2000000000000002</v>
      </c>
      <c r="Y131" s="44">
        <f t="shared" si="47"/>
        <v>2.2000000000000002</v>
      </c>
      <c r="Z131" s="44">
        <f t="shared" si="47"/>
        <v>2.2000000000000002</v>
      </c>
      <c r="AA131" s="44">
        <f t="shared" si="47"/>
        <v>2.2000000000000002</v>
      </c>
      <c r="AB131" s="44">
        <f t="shared" si="47"/>
        <v>2.2000000000000002</v>
      </c>
      <c r="AC131" s="44">
        <f t="shared" si="47"/>
        <v>2.2000000000000002</v>
      </c>
      <c r="AD131" s="44">
        <f t="shared" si="47"/>
        <v>2.2000000000000002</v>
      </c>
      <c r="AE131" s="44">
        <f t="shared" si="47"/>
        <v>2.2000000000000002</v>
      </c>
      <c r="AF131" s="44">
        <f t="shared" si="47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45"/>
        <v>2</v>
      </c>
      <c r="C132" s="55">
        <v>2</v>
      </c>
      <c r="D132" s="44">
        <f t="shared" si="46"/>
        <v>2</v>
      </c>
      <c r="E132" s="44">
        <f t="shared" si="46"/>
        <v>2</v>
      </c>
      <c r="F132" s="44">
        <f t="shared" si="46"/>
        <v>2</v>
      </c>
      <c r="G132" s="44">
        <f t="shared" si="46"/>
        <v>2</v>
      </c>
      <c r="H132" s="44">
        <f t="shared" si="46"/>
        <v>2</v>
      </c>
      <c r="I132" s="44">
        <f t="shared" si="46"/>
        <v>2</v>
      </c>
      <c r="J132" s="44">
        <f t="shared" si="46"/>
        <v>2</v>
      </c>
      <c r="K132" s="44">
        <f t="shared" si="46"/>
        <v>2</v>
      </c>
      <c r="L132" s="44">
        <f t="shared" si="46"/>
        <v>2</v>
      </c>
      <c r="M132" s="44">
        <f t="shared" si="46"/>
        <v>2</v>
      </c>
      <c r="N132" s="44">
        <f t="shared" si="46"/>
        <v>2</v>
      </c>
      <c r="O132" s="44">
        <f t="shared" si="46"/>
        <v>2</v>
      </c>
      <c r="P132" s="44">
        <f t="shared" si="46"/>
        <v>2</v>
      </c>
      <c r="Q132" s="44">
        <f t="shared" si="46"/>
        <v>2</v>
      </c>
      <c r="R132" s="44">
        <f t="shared" si="46"/>
        <v>2</v>
      </c>
      <c r="S132" s="44">
        <f t="shared" si="46"/>
        <v>2</v>
      </c>
      <c r="T132" s="44">
        <f t="shared" si="47"/>
        <v>2</v>
      </c>
      <c r="U132" s="44">
        <f t="shared" si="47"/>
        <v>2</v>
      </c>
      <c r="V132" s="44">
        <f t="shared" si="47"/>
        <v>2</v>
      </c>
      <c r="W132" s="44">
        <f t="shared" si="47"/>
        <v>2</v>
      </c>
      <c r="X132" s="44">
        <f t="shared" si="47"/>
        <v>2</v>
      </c>
      <c r="Y132" s="44">
        <f t="shared" si="47"/>
        <v>2</v>
      </c>
      <c r="Z132" s="44">
        <f t="shared" si="47"/>
        <v>2</v>
      </c>
      <c r="AA132" s="44">
        <f t="shared" si="47"/>
        <v>2</v>
      </c>
      <c r="AB132" s="44">
        <f t="shared" si="47"/>
        <v>2</v>
      </c>
      <c r="AC132" s="44">
        <f t="shared" si="47"/>
        <v>2</v>
      </c>
      <c r="AD132" s="44">
        <f t="shared" si="47"/>
        <v>2</v>
      </c>
      <c r="AE132" s="44">
        <f t="shared" si="47"/>
        <v>2</v>
      </c>
      <c r="AF132" s="44">
        <f t="shared" si="47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45"/>
        <v>1.25</v>
      </c>
      <c r="C133" s="55">
        <v>1.25</v>
      </c>
      <c r="D133" s="44">
        <f t="shared" si="46"/>
        <v>1.25</v>
      </c>
      <c r="E133" s="44">
        <f t="shared" si="46"/>
        <v>1.25</v>
      </c>
      <c r="F133" s="44">
        <f t="shared" si="46"/>
        <v>1.25</v>
      </c>
      <c r="G133" s="44">
        <f t="shared" si="46"/>
        <v>1.25</v>
      </c>
      <c r="H133" s="44">
        <f t="shared" si="46"/>
        <v>1.25</v>
      </c>
      <c r="I133" s="44">
        <f t="shared" si="46"/>
        <v>1.25</v>
      </c>
      <c r="J133" s="44">
        <f t="shared" si="46"/>
        <v>1.25</v>
      </c>
      <c r="K133" s="44">
        <f t="shared" si="46"/>
        <v>1.25</v>
      </c>
      <c r="L133" s="44">
        <f t="shared" si="46"/>
        <v>1.25</v>
      </c>
      <c r="M133" s="44">
        <f t="shared" si="46"/>
        <v>1.25</v>
      </c>
      <c r="N133" s="44">
        <f t="shared" si="46"/>
        <v>1.25</v>
      </c>
      <c r="O133" s="44">
        <f t="shared" si="46"/>
        <v>1.25</v>
      </c>
      <c r="P133" s="44">
        <f t="shared" si="46"/>
        <v>1.25</v>
      </c>
      <c r="Q133" s="44">
        <f t="shared" si="46"/>
        <v>1.25</v>
      </c>
      <c r="R133" s="44">
        <f t="shared" si="46"/>
        <v>1.25</v>
      </c>
      <c r="S133" s="44">
        <f t="shared" si="46"/>
        <v>1.25</v>
      </c>
      <c r="T133" s="44">
        <f t="shared" si="47"/>
        <v>1.25</v>
      </c>
      <c r="U133" s="44">
        <f t="shared" si="47"/>
        <v>1.25</v>
      </c>
      <c r="V133" s="44">
        <f t="shared" si="47"/>
        <v>1.25</v>
      </c>
      <c r="W133" s="44">
        <f t="shared" si="47"/>
        <v>1.25</v>
      </c>
      <c r="X133" s="44">
        <f t="shared" si="47"/>
        <v>1.25</v>
      </c>
      <c r="Y133" s="44">
        <f t="shared" si="47"/>
        <v>1.25</v>
      </c>
      <c r="Z133" s="44">
        <f t="shared" si="47"/>
        <v>1.25</v>
      </c>
      <c r="AA133" s="44">
        <f t="shared" si="47"/>
        <v>1.25</v>
      </c>
      <c r="AB133" s="44">
        <f t="shared" si="47"/>
        <v>1.25</v>
      </c>
      <c r="AC133" s="44">
        <f t="shared" si="47"/>
        <v>1.25</v>
      </c>
      <c r="AD133" s="44">
        <f t="shared" si="47"/>
        <v>1.25</v>
      </c>
      <c r="AE133" s="44">
        <f t="shared" si="47"/>
        <v>1.25</v>
      </c>
      <c r="AF133" s="44">
        <f t="shared" si="47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45"/>
        <v>1.1499999999999999</v>
      </c>
      <c r="C134" s="55">
        <v>1.1499999999999999</v>
      </c>
      <c r="D134" s="44">
        <f t="shared" si="46"/>
        <v>1.1499999999999999</v>
      </c>
      <c r="E134" s="44">
        <f t="shared" si="46"/>
        <v>1.1499999999999999</v>
      </c>
      <c r="F134" s="44">
        <f t="shared" si="46"/>
        <v>1.1499999999999999</v>
      </c>
      <c r="G134" s="44">
        <f t="shared" si="46"/>
        <v>1.1499999999999999</v>
      </c>
      <c r="H134" s="44">
        <f t="shared" si="46"/>
        <v>1.1499999999999999</v>
      </c>
      <c r="I134" s="44">
        <f t="shared" si="46"/>
        <v>1.1499999999999999</v>
      </c>
      <c r="J134" s="44">
        <f t="shared" si="46"/>
        <v>1.1499999999999999</v>
      </c>
      <c r="K134" s="44">
        <f t="shared" si="46"/>
        <v>1.1499999999999999</v>
      </c>
      <c r="L134" s="44">
        <f t="shared" si="46"/>
        <v>1.1499999999999999</v>
      </c>
      <c r="M134" s="44">
        <f t="shared" si="46"/>
        <v>1.1499999999999999</v>
      </c>
      <c r="N134" s="44">
        <f t="shared" si="46"/>
        <v>1.1499999999999999</v>
      </c>
      <c r="O134" s="44">
        <f t="shared" si="46"/>
        <v>1.1499999999999999</v>
      </c>
      <c r="P134" s="44">
        <f t="shared" si="46"/>
        <v>1.1499999999999999</v>
      </c>
      <c r="Q134" s="44">
        <f t="shared" si="46"/>
        <v>1.1499999999999999</v>
      </c>
      <c r="R134" s="44">
        <f t="shared" si="46"/>
        <v>1.1499999999999999</v>
      </c>
      <c r="S134" s="44">
        <f t="shared" si="46"/>
        <v>1.1499999999999999</v>
      </c>
      <c r="T134" s="44">
        <f t="shared" si="47"/>
        <v>1.1499999999999999</v>
      </c>
      <c r="U134" s="44">
        <f t="shared" si="47"/>
        <v>1.1499999999999999</v>
      </c>
      <c r="V134" s="44">
        <f t="shared" si="47"/>
        <v>1.1499999999999999</v>
      </c>
      <c r="W134" s="44">
        <f t="shared" si="47"/>
        <v>1.1499999999999999</v>
      </c>
      <c r="X134" s="44">
        <f t="shared" si="47"/>
        <v>1.1499999999999999</v>
      </c>
      <c r="Y134" s="44">
        <f t="shared" si="47"/>
        <v>1.1499999999999999</v>
      </c>
      <c r="Z134" s="44">
        <f t="shared" si="47"/>
        <v>1.1499999999999999</v>
      </c>
      <c r="AA134" s="44">
        <f t="shared" si="47"/>
        <v>1.1499999999999999</v>
      </c>
      <c r="AB134" s="44">
        <f t="shared" si="47"/>
        <v>1.1499999999999999</v>
      </c>
      <c r="AC134" s="44">
        <f t="shared" si="47"/>
        <v>1.1499999999999999</v>
      </c>
      <c r="AD134" s="44">
        <f t="shared" si="47"/>
        <v>1.1499999999999999</v>
      </c>
      <c r="AE134" s="44">
        <f t="shared" si="47"/>
        <v>1.1499999999999999</v>
      </c>
      <c r="AF134" s="44">
        <f t="shared" si="47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45"/>
        <v>2.133</v>
      </c>
      <c r="C135" s="55">
        <v>2.133</v>
      </c>
      <c r="D135" s="44">
        <f t="shared" si="46"/>
        <v>2.133</v>
      </c>
      <c r="E135" s="44">
        <f t="shared" si="46"/>
        <v>2.133</v>
      </c>
      <c r="F135" s="44">
        <f t="shared" si="46"/>
        <v>2.133</v>
      </c>
      <c r="G135" s="44">
        <f t="shared" si="46"/>
        <v>2.133</v>
      </c>
      <c r="H135" s="44">
        <f t="shared" si="46"/>
        <v>2.133</v>
      </c>
      <c r="I135" s="44">
        <f t="shared" si="46"/>
        <v>2.133</v>
      </c>
      <c r="J135" s="44">
        <f t="shared" si="46"/>
        <v>2.133</v>
      </c>
      <c r="K135" s="44">
        <f t="shared" si="46"/>
        <v>2.133</v>
      </c>
      <c r="L135" s="44">
        <f t="shared" si="46"/>
        <v>2.133</v>
      </c>
      <c r="M135" s="44">
        <f t="shared" si="46"/>
        <v>2.133</v>
      </c>
      <c r="N135" s="44">
        <f t="shared" si="46"/>
        <v>2.133</v>
      </c>
      <c r="O135" s="44">
        <f t="shared" si="46"/>
        <v>2.133</v>
      </c>
      <c r="P135" s="44">
        <f t="shared" si="46"/>
        <v>2.133</v>
      </c>
      <c r="Q135" s="44">
        <f t="shared" si="46"/>
        <v>2.133</v>
      </c>
      <c r="R135" s="44">
        <f t="shared" si="46"/>
        <v>2.133</v>
      </c>
      <c r="S135" s="44">
        <f t="shared" si="46"/>
        <v>2.133</v>
      </c>
      <c r="T135" s="44">
        <f t="shared" si="47"/>
        <v>2.133</v>
      </c>
      <c r="U135" s="44">
        <f t="shared" si="47"/>
        <v>2.133</v>
      </c>
      <c r="V135" s="44">
        <f t="shared" si="47"/>
        <v>2.133</v>
      </c>
      <c r="W135" s="44">
        <f t="shared" si="47"/>
        <v>2.133</v>
      </c>
      <c r="X135" s="44">
        <f t="shared" si="47"/>
        <v>2.133</v>
      </c>
      <c r="Y135" s="44">
        <f t="shared" si="47"/>
        <v>2.133</v>
      </c>
      <c r="Z135" s="44">
        <f t="shared" si="47"/>
        <v>2.133</v>
      </c>
      <c r="AA135" s="44">
        <f t="shared" si="47"/>
        <v>2.133</v>
      </c>
      <c r="AB135" s="44">
        <f t="shared" si="47"/>
        <v>2.133</v>
      </c>
      <c r="AC135" s="44">
        <f t="shared" si="47"/>
        <v>2.133</v>
      </c>
      <c r="AD135" s="44">
        <f t="shared" si="47"/>
        <v>2.133</v>
      </c>
      <c r="AE135" s="44">
        <f t="shared" si="47"/>
        <v>2.133</v>
      </c>
      <c r="AF135" s="44">
        <f t="shared" si="47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45"/>
        <v>2.09</v>
      </c>
      <c r="C136" s="55">
        <v>2.09</v>
      </c>
      <c r="D136" s="44">
        <f t="shared" si="46"/>
        <v>2.09</v>
      </c>
      <c r="E136" s="44">
        <f t="shared" si="46"/>
        <v>2.09</v>
      </c>
      <c r="F136" s="44">
        <f t="shared" si="46"/>
        <v>2.09</v>
      </c>
      <c r="G136" s="44">
        <f t="shared" si="46"/>
        <v>2.09</v>
      </c>
      <c r="H136" s="44">
        <f t="shared" si="46"/>
        <v>2.09</v>
      </c>
      <c r="I136" s="44">
        <f t="shared" si="46"/>
        <v>2.09</v>
      </c>
      <c r="J136" s="44">
        <f t="shared" si="46"/>
        <v>2.09</v>
      </c>
      <c r="K136" s="44">
        <f t="shared" si="46"/>
        <v>2.09</v>
      </c>
      <c r="L136" s="44">
        <f t="shared" si="46"/>
        <v>2.09</v>
      </c>
      <c r="M136" s="44">
        <f t="shared" si="46"/>
        <v>2.09</v>
      </c>
      <c r="N136" s="44">
        <f t="shared" si="46"/>
        <v>2.09</v>
      </c>
      <c r="O136" s="44">
        <f t="shared" si="46"/>
        <v>2.09</v>
      </c>
      <c r="P136" s="44">
        <f t="shared" si="46"/>
        <v>2.09</v>
      </c>
      <c r="Q136" s="44">
        <f t="shared" si="46"/>
        <v>2.09</v>
      </c>
      <c r="R136" s="44">
        <f t="shared" si="46"/>
        <v>2.09</v>
      </c>
      <c r="S136" s="44">
        <f t="shared" si="46"/>
        <v>2.09</v>
      </c>
      <c r="T136" s="44">
        <f t="shared" si="47"/>
        <v>2.09</v>
      </c>
      <c r="U136" s="44">
        <f t="shared" si="47"/>
        <v>2.09</v>
      </c>
      <c r="V136" s="44">
        <f t="shared" si="47"/>
        <v>2.09</v>
      </c>
      <c r="W136" s="44">
        <f t="shared" si="47"/>
        <v>2.09</v>
      </c>
      <c r="X136" s="44">
        <f t="shared" si="47"/>
        <v>2.09</v>
      </c>
      <c r="Y136" s="44">
        <f t="shared" si="47"/>
        <v>2.09</v>
      </c>
      <c r="Z136" s="44">
        <f t="shared" si="47"/>
        <v>2.09</v>
      </c>
      <c r="AA136" s="44">
        <f t="shared" si="47"/>
        <v>2.09</v>
      </c>
      <c r="AB136" s="44">
        <f t="shared" si="47"/>
        <v>2.09</v>
      </c>
      <c r="AC136" s="44">
        <f t="shared" si="47"/>
        <v>2.09</v>
      </c>
      <c r="AD136" s="44">
        <f t="shared" si="47"/>
        <v>2.09</v>
      </c>
      <c r="AE136" s="44">
        <f t="shared" si="47"/>
        <v>2.09</v>
      </c>
      <c r="AF136" s="44">
        <f t="shared" si="47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45"/>
        <v>1.1399999999999999</v>
      </c>
      <c r="C137" s="55">
        <v>1.1399999999999999</v>
      </c>
      <c r="D137" s="44">
        <f t="shared" si="46"/>
        <v>1.1399999999999999</v>
      </c>
      <c r="E137" s="44">
        <f t="shared" si="46"/>
        <v>1.1399999999999999</v>
      </c>
      <c r="F137" s="44">
        <f t="shared" si="46"/>
        <v>1.1399999999999999</v>
      </c>
      <c r="G137" s="44">
        <f t="shared" si="46"/>
        <v>1.1399999999999999</v>
      </c>
      <c r="H137" s="44">
        <f t="shared" si="46"/>
        <v>1.1399999999999999</v>
      </c>
      <c r="I137" s="44">
        <f t="shared" si="46"/>
        <v>1.1399999999999999</v>
      </c>
      <c r="J137" s="44">
        <f t="shared" si="46"/>
        <v>1.1399999999999999</v>
      </c>
      <c r="K137" s="44">
        <f t="shared" si="46"/>
        <v>1.1399999999999999</v>
      </c>
      <c r="L137" s="44">
        <f t="shared" si="46"/>
        <v>1.1399999999999999</v>
      </c>
      <c r="M137" s="44">
        <f t="shared" si="46"/>
        <v>1.1399999999999999</v>
      </c>
      <c r="N137" s="44">
        <f t="shared" si="46"/>
        <v>1.1399999999999999</v>
      </c>
      <c r="O137" s="44">
        <f t="shared" si="46"/>
        <v>1.1399999999999999</v>
      </c>
      <c r="P137" s="44">
        <f t="shared" si="46"/>
        <v>1.1399999999999999</v>
      </c>
      <c r="Q137" s="44">
        <f t="shared" si="46"/>
        <v>1.1399999999999999</v>
      </c>
      <c r="R137" s="44">
        <f t="shared" si="46"/>
        <v>1.1399999999999999</v>
      </c>
      <c r="S137" s="44">
        <f t="shared" si="46"/>
        <v>1.1399999999999999</v>
      </c>
      <c r="T137" s="44">
        <f t="shared" si="47"/>
        <v>1.1399999999999999</v>
      </c>
      <c r="U137" s="44">
        <f t="shared" si="47"/>
        <v>1.1399999999999999</v>
      </c>
      <c r="V137" s="44">
        <f t="shared" si="47"/>
        <v>1.1399999999999999</v>
      </c>
      <c r="W137" s="44">
        <f t="shared" si="47"/>
        <v>1.1399999999999999</v>
      </c>
      <c r="X137" s="44">
        <f t="shared" si="47"/>
        <v>1.1399999999999999</v>
      </c>
      <c r="Y137" s="44">
        <f t="shared" si="47"/>
        <v>1.1399999999999999</v>
      </c>
      <c r="Z137" s="44">
        <f t="shared" si="47"/>
        <v>1.1399999999999999</v>
      </c>
      <c r="AA137" s="44">
        <f t="shared" si="47"/>
        <v>1.1399999999999999</v>
      </c>
      <c r="AB137" s="44">
        <f t="shared" si="47"/>
        <v>1.1399999999999999</v>
      </c>
      <c r="AC137" s="44">
        <f t="shared" si="47"/>
        <v>1.1399999999999999</v>
      </c>
      <c r="AD137" s="44">
        <f t="shared" si="47"/>
        <v>1.1399999999999999</v>
      </c>
      <c r="AE137" s="44">
        <f t="shared" si="47"/>
        <v>1.1399999999999999</v>
      </c>
      <c r="AF137" s="44">
        <f t="shared" si="47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45"/>
        <v>0.82</v>
      </c>
      <c r="C138" s="55">
        <v>0.82</v>
      </c>
      <c r="D138" s="44">
        <f t="shared" si="46"/>
        <v>0.82</v>
      </c>
      <c r="E138" s="44">
        <f t="shared" si="46"/>
        <v>0.82</v>
      </c>
      <c r="F138" s="44">
        <f t="shared" si="46"/>
        <v>0.82</v>
      </c>
      <c r="G138" s="44">
        <f t="shared" si="46"/>
        <v>0.82</v>
      </c>
      <c r="H138" s="44">
        <f t="shared" si="46"/>
        <v>0.82</v>
      </c>
      <c r="I138" s="44">
        <f t="shared" si="46"/>
        <v>0.82</v>
      </c>
      <c r="J138" s="44">
        <f t="shared" si="46"/>
        <v>0.82</v>
      </c>
      <c r="K138" s="44">
        <f t="shared" si="46"/>
        <v>0.82</v>
      </c>
      <c r="L138" s="44">
        <f t="shared" si="46"/>
        <v>0.82</v>
      </c>
      <c r="M138" s="44">
        <f t="shared" si="46"/>
        <v>0.82</v>
      </c>
      <c r="N138" s="44">
        <f t="shared" si="46"/>
        <v>0.82</v>
      </c>
      <c r="O138" s="44">
        <f t="shared" si="46"/>
        <v>0.82</v>
      </c>
      <c r="P138" s="44">
        <f t="shared" si="46"/>
        <v>0.82</v>
      </c>
      <c r="Q138" s="44">
        <f t="shared" si="46"/>
        <v>0.82</v>
      </c>
      <c r="R138" s="44">
        <f t="shared" si="46"/>
        <v>0.82</v>
      </c>
      <c r="S138" s="44">
        <f t="shared" si="46"/>
        <v>0.82</v>
      </c>
      <c r="T138" s="44">
        <f t="shared" si="47"/>
        <v>0.82</v>
      </c>
      <c r="U138" s="44">
        <f t="shared" si="47"/>
        <v>0.82</v>
      </c>
      <c r="V138" s="44">
        <f t="shared" si="47"/>
        <v>0.82</v>
      </c>
      <c r="W138" s="44">
        <f t="shared" si="47"/>
        <v>0.82</v>
      </c>
      <c r="X138" s="44">
        <f t="shared" si="47"/>
        <v>0.82</v>
      </c>
      <c r="Y138" s="44">
        <f t="shared" si="47"/>
        <v>0.82</v>
      </c>
      <c r="Z138" s="44">
        <f t="shared" si="47"/>
        <v>0.82</v>
      </c>
      <c r="AA138" s="44">
        <f t="shared" si="47"/>
        <v>0.82</v>
      </c>
      <c r="AB138" s="44">
        <f t="shared" si="47"/>
        <v>0.82</v>
      </c>
      <c r="AC138" s="44">
        <f t="shared" si="47"/>
        <v>0.82</v>
      </c>
      <c r="AD138" s="44">
        <f t="shared" si="47"/>
        <v>0.82</v>
      </c>
      <c r="AE138" s="44">
        <f t="shared" si="47"/>
        <v>0.82</v>
      </c>
      <c r="AF138" s="44">
        <f t="shared" si="47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48">AF140</f>
        <v>2</v>
      </c>
      <c r="C140" s="55">
        <v>2</v>
      </c>
      <c r="D140" s="44">
        <f t="shared" ref="D140:S146" si="49">C140</f>
        <v>2</v>
      </c>
      <c r="E140" s="44">
        <f t="shared" si="49"/>
        <v>2</v>
      </c>
      <c r="F140" s="44">
        <f t="shared" si="49"/>
        <v>2</v>
      </c>
      <c r="G140" s="44">
        <f t="shared" si="49"/>
        <v>2</v>
      </c>
      <c r="H140" s="44">
        <f t="shared" si="49"/>
        <v>2</v>
      </c>
      <c r="I140" s="44">
        <f t="shared" si="49"/>
        <v>2</v>
      </c>
      <c r="J140" s="44">
        <f t="shared" si="49"/>
        <v>2</v>
      </c>
      <c r="K140" s="44">
        <f t="shared" si="49"/>
        <v>2</v>
      </c>
      <c r="L140" s="44">
        <f t="shared" si="49"/>
        <v>2</v>
      </c>
      <c r="M140" s="44">
        <f t="shared" si="49"/>
        <v>2</v>
      </c>
      <c r="N140" s="44">
        <f t="shared" si="49"/>
        <v>2</v>
      </c>
      <c r="O140" s="44">
        <f t="shared" si="49"/>
        <v>2</v>
      </c>
      <c r="P140" s="44">
        <f t="shared" si="49"/>
        <v>2</v>
      </c>
      <c r="Q140" s="44">
        <f t="shared" si="49"/>
        <v>2</v>
      </c>
      <c r="R140" s="44">
        <f t="shared" si="49"/>
        <v>2</v>
      </c>
      <c r="S140" s="44">
        <f t="shared" si="49"/>
        <v>2</v>
      </c>
      <c r="T140" s="44">
        <f t="shared" ref="T140:AF146" si="50">S140</f>
        <v>2</v>
      </c>
      <c r="U140" s="44">
        <f t="shared" si="50"/>
        <v>2</v>
      </c>
      <c r="V140" s="44">
        <f t="shared" si="50"/>
        <v>2</v>
      </c>
      <c r="W140" s="44">
        <f t="shared" si="50"/>
        <v>2</v>
      </c>
      <c r="X140" s="44">
        <f t="shared" si="50"/>
        <v>2</v>
      </c>
      <c r="Y140" s="44">
        <f t="shared" si="50"/>
        <v>2</v>
      </c>
      <c r="Z140" s="44">
        <f t="shared" si="50"/>
        <v>2</v>
      </c>
      <c r="AA140" s="44">
        <f t="shared" si="50"/>
        <v>2</v>
      </c>
      <c r="AB140" s="44">
        <f t="shared" si="50"/>
        <v>2</v>
      </c>
      <c r="AC140" s="44">
        <f t="shared" si="50"/>
        <v>2</v>
      </c>
      <c r="AD140" s="44">
        <f t="shared" si="50"/>
        <v>2</v>
      </c>
      <c r="AE140" s="44">
        <f t="shared" si="50"/>
        <v>2</v>
      </c>
      <c r="AF140" s="44">
        <f t="shared" si="50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48"/>
        <v>5.61</v>
      </c>
      <c r="C141" s="55">
        <v>5.61</v>
      </c>
      <c r="D141" s="44">
        <f t="shared" si="49"/>
        <v>5.61</v>
      </c>
      <c r="E141" s="44">
        <f t="shared" si="49"/>
        <v>5.61</v>
      </c>
      <c r="F141" s="44">
        <f t="shared" si="49"/>
        <v>5.61</v>
      </c>
      <c r="G141" s="44">
        <f t="shared" si="49"/>
        <v>5.61</v>
      </c>
      <c r="H141" s="44">
        <f t="shared" si="49"/>
        <v>5.61</v>
      </c>
      <c r="I141" s="44">
        <f t="shared" si="49"/>
        <v>5.61</v>
      </c>
      <c r="J141" s="44">
        <f t="shared" si="49"/>
        <v>5.61</v>
      </c>
      <c r="K141" s="44">
        <f t="shared" si="49"/>
        <v>5.61</v>
      </c>
      <c r="L141" s="44">
        <f t="shared" si="49"/>
        <v>5.61</v>
      </c>
      <c r="M141" s="44">
        <f t="shared" si="49"/>
        <v>5.61</v>
      </c>
      <c r="N141" s="44">
        <f t="shared" si="49"/>
        <v>5.61</v>
      </c>
      <c r="O141" s="44">
        <f t="shared" si="49"/>
        <v>5.61</v>
      </c>
      <c r="P141" s="44">
        <f t="shared" si="49"/>
        <v>5.61</v>
      </c>
      <c r="Q141" s="44">
        <f t="shared" si="49"/>
        <v>5.61</v>
      </c>
      <c r="R141" s="44">
        <f t="shared" si="49"/>
        <v>5.61</v>
      </c>
      <c r="S141" s="44">
        <f t="shared" si="49"/>
        <v>5.61</v>
      </c>
      <c r="T141" s="44">
        <f t="shared" si="50"/>
        <v>5.61</v>
      </c>
      <c r="U141" s="44">
        <f t="shared" si="50"/>
        <v>5.61</v>
      </c>
      <c r="V141" s="44">
        <f t="shared" si="50"/>
        <v>5.61</v>
      </c>
      <c r="W141" s="44">
        <f t="shared" si="50"/>
        <v>5.61</v>
      </c>
      <c r="X141" s="44">
        <f t="shared" si="50"/>
        <v>5.61</v>
      </c>
      <c r="Y141" s="44">
        <f t="shared" si="50"/>
        <v>5.61</v>
      </c>
      <c r="Z141" s="44">
        <f t="shared" si="50"/>
        <v>5.61</v>
      </c>
      <c r="AA141" s="44">
        <f t="shared" si="50"/>
        <v>5.61</v>
      </c>
      <c r="AB141" s="44">
        <f t="shared" si="50"/>
        <v>5.61</v>
      </c>
      <c r="AC141" s="44">
        <f t="shared" si="50"/>
        <v>5.61</v>
      </c>
      <c r="AD141" s="44">
        <f t="shared" si="50"/>
        <v>5.61</v>
      </c>
      <c r="AE141" s="44">
        <f t="shared" si="50"/>
        <v>5.61</v>
      </c>
      <c r="AF141" s="44">
        <f t="shared" si="50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48"/>
        <v>1.25</v>
      </c>
      <c r="C142" s="55">
        <v>1.25</v>
      </c>
      <c r="D142" s="44">
        <f t="shared" si="49"/>
        <v>1.25</v>
      </c>
      <c r="E142" s="44">
        <f t="shared" si="49"/>
        <v>1.25</v>
      </c>
      <c r="F142" s="44">
        <f t="shared" si="49"/>
        <v>1.25</v>
      </c>
      <c r="G142" s="44">
        <f t="shared" si="49"/>
        <v>1.25</v>
      </c>
      <c r="H142" s="44">
        <f t="shared" si="49"/>
        <v>1.25</v>
      </c>
      <c r="I142" s="44">
        <f t="shared" si="49"/>
        <v>1.25</v>
      </c>
      <c r="J142" s="44">
        <f t="shared" si="49"/>
        <v>1.25</v>
      </c>
      <c r="K142" s="44">
        <f t="shared" si="49"/>
        <v>1.25</v>
      </c>
      <c r="L142" s="44">
        <f t="shared" si="49"/>
        <v>1.25</v>
      </c>
      <c r="M142" s="44">
        <f t="shared" si="49"/>
        <v>1.25</v>
      </c>
      <c r="N142" s="44">
        <f t="shared" si="49"/>
        <v>1.25</v>
      </c>
      <c r="O142" s="44">
        <f t="shared" si="49"/>
        <v>1.25</v>
      </c>
      <c r="P142" s="44">
        <f t="shared" si="49"/>
        <v>1.25</v>
      </c>
      <c r="Q142" s="44">
        <f t="shared" si="49"/>
        <v>1.25</v>
      </c>
      <c r="R142" s="44">
        <f t="shared" si="49"/>
        <v>1.25</v>
      </c>
      <c r="S142" s="44">
        <f t="shared" si="49"/>
        <v>1.25</v>
      </c>
      <c r="T142" s="44">
        <f t="shared" si="50"/>
        <v>1.25</v>
      </c>
      <c r="U142" s="44">
        <f t="shared" si="50"/>
        <v>1.25</v>
      </c>
      <c r="V142" s="44">
        <f t="shared" si="50"/>
        <v>1.25</v>
      </c>
      <c r="W142" s="44">
        <f t="shared" si="50"/>
        <v>1.25</v>
      </c>
      <c r="X142" s="44">
        <f t="shared" si="50"/>
        <v>1.25</v>
      </c>
      <c r="Y142" s="44">
        <f t="shared" si="50"/>
        <v>1.25</v>
      </c>
      <c r="Z142" s="44">
        <f t="shared" si="50"/>
        <v>1.25</v>
      </c>
      <c r="AA142" s="44">
        <f t="shared" si="50"/>
        <v>1.25</v>
      </c>
      <c r="AB142" s="44">
        <f t="shared" si="50"/>
        <v>1.25</v>
      </c>
      <c r="AC142" s="44">
        <f t="shared" si="50"/>
        <v>1.25</v>
      </c>
      <c r="AD142" s="44">
        <f t="shared" si="50"/>
        <v>1.25</v>
      </c>
      <c r="AE142" s="44">
        <f t="shared" si="50"/>
        <v>1.25</v>
      </c>
      <c r="AF142" s="44">
        <f t="shared" si="50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48"/>
        <v>1.25</v>
      </c>
      <c r="C143" s="55">
        <v>1.25</v>
      </c>
      <c r="D143" s="44">
        <f t="shared" si="49"/>
        <v>1.25</v>
      </c>
      <c r="E143" s="44">
        <f t="shared" si="49"/>
        <v>1.25</v>
      </c>
      <c r="F143" s="44">
        <f t="shared" si="49"/>
        <v>1.25</v>
      </c>
      <c r="G143" s="44">
        <f t="shared" si="49"/>
        <v>1.25</v>
      </c>
      <c r="H143" s="44">
        <f t="shared" si="49"/>
        <v>1.25</v>
      </c>
      <c r="I143" s="44">
        <f t="shared" si="49"/>
        <v>1.25</v>
      </c>
      <c r="J143" s="44">
        <f t="shared" si="49"/>
        <v>1.25</v>
      </c>
      <c r="K143" s="44">
        <f t="shared" si="49"/>
        <v>1.25</v>
      </c>
      <c r="L143" s="44">
        <f t="shared" si="49"/>
        <v>1.25</v>
      </c>
      <c r="M143" s="44">
        <f t="shared" si="49"/>
        <v>1.25</v>
      </c>
      <c r="N143" s="44">
        <f t="shared" si="49"/>
        <v>1.25</v>
      </c>
      <c r="O143" s="44">
        <f t="shared" si="49"/>
        <v>1.25</v>
      </c>
      <c r="P143" s="44">
        <f t="shared" si="49"/>
        <v>1.25</v>
      </c>
      <c r="Q143" s="44">
        <f t="shared" si="49"/>
        <v>1.25</v>
      </c>
      <c r="R143" s="44">
        <f t="shared" si="49"/>
        <v>1.25</v>
      </c>
      <c r="S143" s="44">
        <f t="shared" si="49"/>
        <v>1.25</v>
      </c>
      <c r="T143" s="44">
        <f t="shared" si="50"/>
        <v>1.25</v>
      </c>
      <c r="U143" s="44">
        <f t="shared" si="50"/>
        <v>1.25</v>
      </c>
      <c r="V143" s="44">
        <f t="shared" si="50"/>
        <v>1.25</v>
      </c>
      <c r="W143" s="44">
        <f t="shared" si="50"/>
        <v>1.25</v>
      </c>
      <c r="X143" s="44">
        <f t="shared" si="50"/>
        <v>1.25</v>
      </c>
      <c r="Y143" s="44">
        <f t="shared" si="50"/>
        <v>1.25</v>
      </c>
      <c r="Z143" s="44">
        <f t="shared" si="50"/>
        <v>1.25</v>
      </c>
      <c r="AA143" s="44">
        <f t="shared" si="50"/>
        <v>1.25</v>
      </c>
      <c r="AB143" s="44">
        <f t="shared" si="50"/>
        <v>1.25</v>
      </c>
      <c r="AC143" s="44">
        <f t="shared" si="50"/>
        <v>1.25</v>
      </c>
      <c r="AD143" s="44">
        <f t="shared" si="50"/>
        <v>1.25</v>
      </c>
      <c r="AE143" s="44">
        <f t="shared" si="50"/>
        <v>1.25</v>
      </c>
      <c r="AF143" s="44">
        <f t="shared" si="50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48"/>
        <v>1.46</v>
      </c>
      <c r="C144" s="55">
        <v>1.46</v>
      </c>
      <c r="D144" s="44">
        <f t="shared" si="49"/>
        <v>1.46</v>
      </c>
      <c r="E144" s="44">
        <f t="shared" si="49"/>
        <v>1.46</v>
      </c>
      <c r="F144" s="44">
        <f t="shared" si="49"/>
        <v>1.46</v>
      </c>
      <c r="G144" s="44">
        <f t="shared" si="49"/>
        <v>1.46</v>
      </c>
      <c r="H144" s="44">
        <f t="shared" si="49"/>
        <v>1.46</v>
      </c>
      <c r="I144" s="44">
        <f t="shared" si="49"/>
        <v>1.46</v>
      </c>
      <c r="J144" s="44">
        <f t="shared" si="49"/>
        <v>1.46</v>
      </c>
      <c r="K144" s="44">
        <f t="shared" si="49"/>
        <v>1.46</v>
      </c>
      <c r="L144" s="44">
        <f t="shared" si="49"/>
        <v>1.46</v>
      </c>
      <c r="M144" s="44">
        <f t="shared" si="49"/>
        <v>1.46</v>
      </c>
      <c r="N144" s="44">
        <f t="shared" si="49"/>
        <v>1.46</v>
      </c>
      <c r="O144" s="44">
        <f t="shared" si="49"/>
        <v>1.46</v>
      </c>
      <c r="P144" s="44">
        <f t="shared" si="49"/>
        <v>1.46</v>
      </c>
      <c r="Q144" s="44">
        <f t="shared" si="49"/>
        <v>1.46</v>
      </c>
      <c r="R144" s="44">
        <f t="shared" si="49"/>
        <v>1.46</v>
      </c>
      <c r="S144" s="44">
        <f t="shared" si="49"/>
        <v>1.46</v>
      </c>
      <c r="T144" s="44">
        <f t="shared" si="50"/>
        <v>1.46</v>
      </c>
      <c r="U144" s="44">
        <f t="shared" si="50"/>
        <v>1.46</v>
      </c>
      <c r="V144" s="44">
        <f t="shared" si="50"/>
        <v>1.46</v>
      </c>
      <c r="W144" s="44">
        <f t="shared" si="50"/>
        <v>1.46</v>
      </c>
      <c r="X144" s="44">
        <f t="shared" si="50"/>
        <v>1.46</v>
      </c>
      <c r="Y144" s="44">
        <f t="shared" si="50"/>
        <v>1.46</v>
      </c>
      <c r="Z144" s="44">
        <f t="shared" si="50"/>
        <v>1.46</v>
      </c>
      <c r="AA144" s="44">
        <f t="shared" si="50"/>
        <v>1.46</v>
      </c>
      <c r="AB144" s="44">
        <f t="shared" si="50"/>
        <v>1.46</v>
      </c>
      <c r="AC144" s="44">
        <f t="shared" si="50"/>
        <v>1.46</v>
      </c>
      <c r="AD144" s="44">
        <f t="shared" si="50"/>
        <v>1.46</v>
      </c>
      <c r="AE144" s="44">
        <f t="shared" si="50"/>
        <v>1.46</v>
      </c>
      <c r="AF144" s="44">
        <f t="shared" si="50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48"/>
        <v>3</v>
      </c>
      <c r="C145" s="55">
        <v>3</v>
      </c>
      <c r="D145" s="44">
        <f t="shared" si="49"/>
        <v>3</v>
      </c>
      <c r="E145" s="44">
        <f t="shared" si="49"/>
        <v>3</v>
      </c>
      <c r="F145" s="44">
        <f t="shared" si="49"/>
        <v>3</v>
      </c>
      <c r="G145" s="44">
        <f t="shared" si="49"/>
        <v>3</v>
      </c>
      <c r="H145" s="44">
        <f t="shared" si="49"/>
        <v>3</v>
      </c>
      <c r="I145" s="44">
        <f t="shared" si="49"/>
        <v>3</v>
      </c>
      <c r="J145" s="44">
        <f t="shared" si="49"/>
        <v>3</v>
      </c>
      <c r="K145" s="44">
        <f t="shared" si="49"/>
        <v>3</v>
      </c>
      <c r="L145" s="44">
        <f t="shared" si="49"/>
        <v>3</v>
      </c>
      <c r="M145" s="44">
        <f t="shared" si="49"/>
        <v>3</v>
      </c>
      <c r="N145" s="44">
        <f t="shared" si="49"/>
        <v>3</v>
      </c>
      <c r="O145" s="44">
        <f t="shared" si="49"/>
        <v>3</v>
      </c>
      <c r="P145" s="44">
        <f t="shared" si="49"/>
        <v>3</v>
      </c>
      <c r="Q145" s="44">
        <f t="shared" si="49"/>
        <v>3</v>
      </c>
      <c r="R145" s="44">
        <f t="shared" si="49"/>
        <v>3</v>
      </c>
      <c r="S145" s="44">
        <f t="shared" si="49"/>
        <v>3</v>
      </c>
      <c r="T145" s="44">
        <f t="shared" si="50"/>
        <v>3</v>
      </c>
      <c r="U145" s="44">
        <f t="shared" si="50"/>
        <v>3</v>
      </c>
      <c r="V145" s="44">
        <f t="shared" si="50"/>
        <v>3</v>
      </c>
      <c r="W145" s="44">
        <f t="shared" si="50"/>
        <v>3</v>
      </c>
      <c r="X145" s="44">
        <f t="shared" si="50"/>
        <v>3</v>
      </c>
      <c r="Y145" s="44">
        <f t="shared" si="50"/>
        <v>3</v>
      </c>
      <c r="Z145" s="44">
        <f t="shared" si="50"/>
        <v>3</v>
      </c>
      <c r="AA145" s="44">
        <f t="shared" si="50"/>
        <v>3</v>
      </c>
      <c r="AB145" s="44">
        <f t="shared" si="50"/>
        <v>3</v>
      </c>
      <c r="AC145" s="44">
        <f t="shared" si="50"/>
        <v>3</v>
      </c>
      <c r="AD145" s="44">
        <f t="shared" si="50"/>
        <v>3</v>
      </c>
      <c r="AE145" s="44">
        <f t="shared" si="50"/>
        <v>3</v>
      </c>
      <c r="AF145" s="44">
        <f t="shared" si="50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48"/>
        <v>3.3</v>
      </c>
      <c r="C146" s="55">
        <v>3.3</v>
      </c>
      <c r="D146" s="44">
        <f t="shared" si="49"/>
        <v>3.3</v>
      </c>
      <c r="E146" s="44">
        <f t="shared" si="49"/>
        <v>3.3</v>
      </c>
      <c r="F146" s="44">
        <f t="shared" si="49"/>
        <v>3.3</v>
      </c>
      <c r="G146" s="44">
        <f t="shared" si="49"/>
        <v>3.3</v>
      </c>
      <c r="H146" s="44">
        <f t="shared" si="49"/>
        <v>3.3</v>
      </c>
      <c r="I146" s="44">
        <f t="shared" si="49"/>
        <v>3.3</v>
      </c>
      <c r="J146" s="44">
        <f t="shared" si="49"/>
        <v>3.3</v>
      </c>
      <c r="K146" s="44">
        <f t="shared" si="49"/>
        <v>3.3</v>
      </c>
      <c r="L146" s="44">
        <f t="shared" si="49"/>
        <v>3.3</v>
      </c>
      <c r="M146" s="44">
        <f t="shared" si="49"/>
        <v>3.3</v>
      </c>
      <c r="N146" s="44">
        <f t="shared" si="49"/>
        <v>3.3</v>
      </c>
      <c r="O146" s="44">
        <f t="shared" si="49"/>
        <v>3.3</v>
      </c>
      <c r="P146" s="44">
        <f t="shared" si="49"/>
        <v>3.3</v>
      </c>
      <c r="Q146" s="44">
        <f t="shared" si="49"/>
        <v>3.3</v>
      </c>
      <c r="R146" s="44">
        <f t="shared" si="49"/>
        <v>3.3</v>
      </c>
      <c r="S146" s="44">
        <f t="shared" si="49"/>
        <v>3.3</v>
      </c>
      <c r="T146" s="44">
        <f t="shared" si="50"/>
        <v>3.3</v>
      </c>
      <c r="U146" s="44">
        <f t="shared" si="50"/>
        <v>3.3</v>
      </c>
      <c r="V146" s="44">
        <f t="shared" si="50"/>
        <v>3.3</v>
      </c>
      <c r="W146" s="44">
        <f t="shared" si="50"/>
        <v>3.3</v>
      </c>
      <c r="X146" s="44">
        <f t="shared" si="50"/>
        <v>3.3</v>
      </c>
      <c r="Y146" s="44">
        <f t="shared" si="50"/>
        <v>3.3</v>
      </c>
      <c r="Z146" s="44">
        <f t="shared" si="50"/>
        <v>3.3</v>
      </c>
      <c r="AA146" s="44">
        <f t="shared" si="50"/>
        <v>3.3</v>
      </c>
      <c r="AB146" s="44">
        <f t="shared" si="50"/>
        <v>3.3</v>
      </c>
      <c r="AC146" s="44">
        <f t="shared" si="50"/>
        <v>3.3</v>
      </c>
      <c r="AD146" s="44">
        <f t="shared" si="50"/>
        <v>3.3</v>
      </c>
      <c r="AE146" s="44">
        <f t="shared" si="50"/>
        <v>3.3</v>
      </c>
      <c r="AF146" s="44">
        <f t="shared" si="50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1">C148</f>
        <v>1.76</v>
      </c>
      <c r="E148" s="44">
        <f t="shared" si="51"/>
        <v>1.76</v>
      </c>
      <c r="F148" s="44">
        <f t="shared" si="51"/>
        <v>1.76</v>
      </c>
      <c r="G148" s="44">
        <f t="shared" si="51"/>
        <v>1.76</v>
      </c>
      <c r="H148" s="44">
        <f t="shared" si="51"/>
        <v>1.76</v>
      </c>
      <c r="I148" s="44">
        <f t="shared" si="51"/>
        <v>1.76</v>
      </c>
      <c r="J148" s="44">
        <f t="shared" si="51"/>
        <v>1.76</v>
      </c>
      <c r="K148" s="44">
        <f t="shared" si="51"/>
        <v>1.76</v>
      </c>
      <c r="L148" s="44">
        <f t="shared" si="51"/>
        <v>1.76</v>
      </c>
      <c r="M148" s="44">
        <f t="shared" si="51"/>
        <v>1.76</v>
      </c>
      <c r="N148" s="44">
        <f t="shared" si="51"/>
        <v>1.76</v>
      </c>
      <c r="O148" s="44">
        <f t="shared" si="51"/>
        <v>1.76</v>
      </c>
      <c r="P148" s="44">
        <f t="shared" si="51"/>
        <v>1.76</v>
      </c>
      <c r="Q148" s="44">
        <f t="shared" si="51"/>
        <v>1.76</v>
      </c>
      <c r="R148" s="44">
        <f t="shared" si="51"/>
        <v>1.76</v>
      </c>
      <c r="S148" s="44">
        <f t="shared" si="51"/>
        <v>1.76</v>
      </c>
      <c r="T148" s="44">
        <f t="shared" ref="T148:AF149" si="52">S148</f>
        <v>1.76</v>
      </c>
      <c r="U148" s="44">
        <f t="shared" si="52"/>
        <v>1.76</v>
      </c>
      <c r="V148" s="44">
        <f t="shared" si="52"/>
        <v>1.76</v>
      </c>
      <c r="W148" s="44">
        <f t="shared" si="52"/>
        <v>1.76</v>
      </c>
      <c r="X148" s="44">
        <f t="shared" si="52"/>
        <v>1.76</v>
      </c>
      <c r="Y148" s="44">
        <f t="shared" si="52"/>
        <v>1.76</v>
      </c>
      <c r="Z148" s="44">
        <f t="shared" si="52"/>
        <v>1.76</v>
      </c>
      <c r="AA148" s="44">
        <f t="shared" si="52"/>
        <v>1.76</v>
      </c>
      <c r="AB148" s="44">
        <f t="shared" si="52"/>
        <v>1.76</v>
      </c>
      <c r="AC148" s="44">
        <f t="shared" si="52"/>
        <v>1.76</v>
      </c>
      <c r="AD148" s="44">
        <f t="shared" si="52"/>
        <v>1.76</v>
      </c>
      <c r="AE148" s="44">
        <f t="shared" si="52"/>
        <v>1.76</v>
      </c>
      <c r="AF148" s="44">
        <f t="shared" si="52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1"/>
        <v>0</v>
      </c>
      <c r="E149" s="44">
        <f t="shared" si="51"/>
        <v>0</v>
      </c>
      <c r="F149" s="44">
        <f t="shared" si="51"/>
        <v>0</v>
      </c>
      <c r="G149" s="44">
        <f t="shared" si="51"/>
        <v>0</v>
      </c>
      <c r="H149" s="44">
        <f t="shared" si="51"/>
        <v>0</v>
      </c>
      <c r="I149" s="44">
        <f t="shared" si="51"/>
        <v>0</v>
      </c>
      <c r="J149" s="44">
        <f t="shared" si="51"/>
        <v>0</v>
      </c>
      <c r="K149" s="44">
        <f t="shared" si="51"/>
        <v>0</v>
      </c>
      <c r="L149" s="44">
        <f t="shared" si="51"/>
        <v>0</v>
      </c>
      <c r="M149" s="44">
        <f t="shared" si="51"/>
        <v>0</v>
      </c>
      <c r="N149" s="44">
        <f t="shared" si="51"/>
        <v>0</v>
      </c>
      <c r="O149" s="44">
        <f t="shared" si="51"/>
        <v>0</v>
      </c>
      <c r="P149" s="44">
        <f t="shared" si="51"/>
        <v>0</v>
      </c>
      <c r="Q149" s="44">
        <f t="shared" si="51"/>
        <v>0</v>
      </c>
      <c r="R149" s="44">
        <f t="shared" si="51"/>
        <v>0</v>
      </c>
      <c r="S149" s="44">
        <f t="shared" si="51"/>
        <v>0</v>
      </c>
      <c r="T149" s="44">
        <f t="shared" si="52"/>
        <v>0</v>
      </c>
      <c r="U149" s="44">
        <f t="shared" si="52"/>
        <v>0</v>
      </c>
      <c r="V149" s="44">
        <f t="shared" si="52"/>
        <v>0</v>
      </c>
      <c r="W149" s="44">
        <f t="shared" si="52"/>
        <v>0</v>
      </c>
      <c r="X149" s="44">
        <f t="shared" si="52"/>
        <v>0</v>
      </c>
      <c r="Y149" s="44">
        <f t="shared" si="52"/>
        <v>0</v>
      </c>
      <c r="Z149" s="44">
        <f t="shared" si="52"/>
        <v>0</v>
      </c>
      <c r="AA149" s="44">
        <f t="shared" si="52"/>
        <v>0</v>
      </c>
      <c r="AB149" s="44">
        <f t="shared" si="52"/>
        <v>0</v>
      </c>
      <c r="AC149" s="44">
        <f t="shared" si="52"/>
        <v>0</v>
      </c>
      <c r="AD149" s="44">
        <f t="shared" si="52"/>
        <v>0</v>
      </c>
      <c r="AE149" s="44">
        <f t="shared" si="52"/>
        <v>0</v>
      </c>
      <c r="AF149" s="44">
        <f t="shared" si="52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3">C151</f>
        <v>0.1</v>
      </c>
      <c r="E151" s="44">
        <f t="shared" si="53"/>
        <v>0.1</v>
      </c>
      <c r="F151" s="44">
        <f t="shared" si="53"/>
        <v>0.1</v>
      </c>
      <c r="G151" s="44">
        <f t="shared" si="53"/>
        <v>0.1</v>
      </c>
      <c r="H151" s="44">
        <f t="shared" si="53"/>
        <v>0.1</v>
      </c>
      <c r="I151" s="44">
        <f t="shared" si="53"/>
        <v>0.1</v>
      </c>
      <c r="J151" s="44">
        <f t="shared" si="53"/>
        <v>0.1</v>
      </c>
      <c r="K151" s="44">
        <f t="shared" si="53"/>
        <v>0.1</v>
      </c>
      <c r="L151" s="44">
        <f t="shared" si="53"/>
        <v>0.1</v>
      </c>
      <c r="M151" s="44">
        <f t="shared" si="53"/>
        <v>0.1</v>
      </c>
      <c r="N151" s="44">
        <f t="shared" si="53"/>
        <v>0.1</v>
      </c>
      <c r="O151" s="44">
        <f t="shared" si="53"/>
        <v>0.1</v>
      </c>
      <c r="P151" s="44">
        <f t="shared" si="53"/>
        <v>0.1</v>
      </c>
      <c r="Q151" s="44">
        <f t="shared" si="53"/>
        <v>0.1</v>
      </c>
      <c r="R151" s="44">
        <f t="shared" si="53"/>
        <v>0.1</v>
      </c>
      <c r="S151" s="44">
        <f t="shared" si="53"/>
        <v>0.1</v>
      </c>
      <c r="T151" s="44">
        <f t="shared" ref="T151:AF154" si="54">S151</f>
        <v>0.1</v>
      </c>
      <c r="U151" s="44">
        <f t="shared" si="54"/>
        <v>0.1</v>
      </c>
      <c r="V151" s="44">
        <f t="shared" si="54"/>
        <v>0.1</v>
      </c>
      <c r="W151" s="44">
        <f t="shared" si="54"/>
        <v>0.1</v>
      </c>
      <c r="X151" s="44">
        <f t="shared" si="54"/>
        <v>0.1</v>
      </c>
      <c r="Y151" s="44">
        <f t="shared" si="54"/>
        <v>0.1</v>
      </c>
      <c r="Z151" s="44">
        <f t="shared" si="54"/>
        <v>0.1</v>
      </c>
      <c r="AA151" s="44">
        <f t="shared" si="54"/>
        <v>0.1</v>
      </c>
      <c r="AB151" s="44">
        <f t="shared" si="54"/>
        <v>0.1</v>
      </c>
      <c r="AC151" s="44">
        <f t="shared" si="54"/>
        <v>0.1</v>
      </c>
      <c r="AD151" s="44">
        <f t="shared" si="54"/>
        <v>0.1</v>
      </c>
      <c r="AE151" s="44">
        <f t="shared" si="54"/>
        <v>0.1</v>
      </c>
      <c r="AF151" s="44">
        <f t="shared" si="54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3"/>
        <v>2.0499999999999998</v>
      </c>
      <c r="E152" s="44">
        <f t="shared" si="53"/>
        <v>2.0499999999999998</v>
      </c>
      <c r="F152" s="44">
        <f t="shared" si="53"/>
        <v>2.0499999999999998</v>
      </c>
      <c r="G152" s="44">
        <f t="shared" si="53"/>
        <v>2.0499999999999998</v>
      </c>
      <c r="H152" s="44">
        <f t="shared" si="53"/>
        <v>2.0499999999999998</v>
      </c>
      <c r="I152" s="44">
        <f t="shared" si="53"/>
        <v>2.0499999999999998</v>
      </c>
      <c r="J152" s="44">
        <f t="shared" si="53"/>
        <v>2.0499999999999998</v>
      </c>
      <c r="K152" s="44">
        <f t="shared" si="53"/>
        <v>2.0499999999999998</v>
      </c>
      <c r="L152" s="44">
        <f t="shared" si="53"/>
        <v>2.0499999999999998</v>
      </c>
      <c r="M152" s="44">
        <f t="shared" si="53"/>
        <v>2.0499999999999998</v>
      </c>
      <c r="N152" s="44">
        <f t="shared" si="53"/>
        <v>2.0499999999999998</v>
      </c>
      <c r="O152" s="44">
        <f t="shared" si="53"/>
        <v>2.0499999999999998</v>
      </c>
      <c r="P152" s="44">
        <f t="shared" si="53"/>
        <v>2.0499999999999998</v>
      </c>
      <c r="Q152" s="44">
        <f t="shared" si="53"/>
        <v>2.0499999999999998</v>
      </c>
      <c r="R152" s="44">
        <f t="shared" si="53"/>
        <v>2.0499999999999998</v>
      </c>
      <c r="S152" s="44">
        <f t="shared" si="53"/>
        <v>2.0499999999999998</v>
      </c>
      <c r="T152" s="44">
        <f t="shared" si="54"/>
        <v>2.0499999999999998</v>
      </c>
      <c r="U152" s="44">
        <f t="shared" si="54"/>
        <v>2.0499999999999998</v>
      </c>
      <c r="V152" s="44">
        <f t="shared" si="54"/>
        <v>2.0499999999999998</v>
      </c>
      <c r="W152" s="44">
        <f t="shared" si="54"/>
        <v>2.0499999999999998</v>
      </c>
      <c r="X152" s="44">
        <f t="shared" si="54"/>
        <v>2.0499999999999998</v>
      </c>
      <c r="Y152" s="44">
        <f t="shared" si="54"/>
        <v>2.0499999999999998</v>
      </c>
      <c r="Z152" s="44">
        <f t="shared" si="54"/>
        <v>2.0499999999999998</v>
      </c>
      <c r="AA152" s="44">
        <f t="shared" si="54"/>
        <v>2.0499999999999998</v>
      </c>
      <c r="AB152" s="44">
        <f t="shared" si="54"/>
        <v>2.0499999999999998</v>
      </c>
      <c r="AC152" s="44">
        <f t="shared" si="54"/>
        <v>2.0499999999999998</v>
      </c>
      <c r="AD152" s="44">
        <f t="shared" si="54"/>
        <v>2.0499999999999998</v>
      </c>
      <c r="AE152" s="44">
        <f t="shared" si="54"/>
        <v>2.0499999999999998</v>
      </c>
      <c r="AF152" s="44">
        <f t="shared" si="54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3"/>
        <v>2.7</v>
      </c>
      <c r="E153" s="44">
        <f t="shared" si="53"/>
        <v>2.7</v>
      </c>
      <c r="F153" s="44">
        <f t="shared" si="53"/>
        <v>2.7</v>
      </c>
      <c r="G153" s="44">
        <f t="shared" si="53"/>
        <v>2.7</v>
      </c>
      <c r="H153" s="44">
        <f t="shared" si="53"/>
        <v>2.7</v>
      </c>
      <c r="I153" s="44">
        <f t="shared" si="53"/>
        <v>2.7</v>
      </c>
      <c r="J153" s="44">
        <f t="shared" si="53"/>
        <v>2.7</v>
      </c>
      <c r="K153" s="44">
        <f t="shared" si="53"/>
        <v>2.7</v>
      </c>
      <c r="L153" s="44">
        <f t="shared" si="53"/>
        <v>2.7</v>
      </c>
      <c r="M153" s="44">
        <f t="shared" si="53"/>
        <v>2.7</v>
      </c>
      <c r="N153" s="44">
        <f t="shared" si="53"/>
        <v>2.7</v>
      </c>
      <c r="O153" s="44">
        <f t="shared" si="53"/>
        <v>2.7</v>
      </c>
      <c r="P153" s="44">
        <f t="shared" si="53"/>
        <v>2.7</v>
      </c>
      <c r="Q153" s="44">
        <f t="shared" si="53"/>
        <v>2.7</v>
      </c>
      <c r="R153" s="44">
        <f t="shared" si="53"/>
        <v>2.7</v>
      </c>
      <c r="S153" s="44">
        <f t="shared" si="53"/>
        <v>2.7</v>
      </c>
      <c r="T153" s="44">
        <f t="shared" si="54"/>
        <v>2.7</v>
      </c>
      <c r="U153" s="44">
        <f t="shared" si="54"/>
        <v>2.7</v>
      </c>
      <c r="V153" s="44">
        <f t="shared" si="54"/>
        <v>2.7</v>
      </c>
      <c r="W153" s="44">
        <f t="shared" si="54"/>
        <v>2.7</v>
      </c>
      <c r="X153" s="44">
        <f t="shared" si="54"/>
        <v>2.7</v>
      </c>
      <c r="Y153" s="44">
        <f t="shared" si="54"/>
        <v>2.7</v>
      </c>
      <c r="Z153" s="44">
        <f t="shared" si="54"/>
        <v>2.7</v>
      </c>
      <c r="AA153" s="44">
        <f t="shared" si="54"/>
        <v>2.7</v>
      </c>
      <c r="AB153" s="44">
        <f t="shared" si="54"/>
        <v>2.7</v>
      </c>
      <c r="AC153" s="44">
        <f t="shared" si="54"/>
        <v>2.7</v>
      </c>
      <c r="AD153" s="44">
        <f t="shared" si="54"/>
        <v>2.7</v>
      </c>
      <c r="AE153" s="44">
        <f t="shared" si="54"/>
        <v>2.7</v>
      </c>
      <c r="AF153" s="44">
        <f t="shared" si="54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3"/>
        <v>2.15</v>
      </c>
      <c r="E154" s="44">
        <f t="shared" si="53"/>
        <v>2.15</v>
      </c>
      <c r="F154" s="44">
        <f t="shared" si="53"/>
        <v>2.15</v>
      </c>
      <c r="G154" s="44">
        <f t="shared" si="53"/>
        <v>2.15</v>
      </c>
      <c r="H154" s="44">
        <f t="shared" si="53"/>
        <v>2.15</v>
      </c>
      <c r="I154" s="44">
        <f t="shared" si="53"/>
        <v>2.15</v>
      </c>
      <c r="J154" s="44">
        <f t="shared" si="53"/>
        <v>2.15</v>
      </c>
      <c r="K154" s="44">
        <f t="shared" si="53"/>
        <v>2.15</v>
      </c>
      <c r="L154" s="44">
        <f t="shared" si="53"/>
        <v>2.15</v>
      </c>
      <c r="M154" s="44">
        <f t="shared" si="53"/>
        <v>2.15</v>
      </c>
      <c r="N154" s="44">
        <f t="shared" si="53"/>
        <v>2.15</v>
      </c>
      <c r="O154" s="44">
        <f t="shared" si="53"/>
        <v>2.15</v>
      </c>
      <c r="P154" s="44">
        <f t="shared" si="53"/>
        <v>2.15</v>
      </c>
      <c r="Q154" s="44">
        <f t="shared" si="53"/>
        <v>2.15</v>
      </c>
      <c r="R154" s="44">
        <f t="shared" si="53"/>
        <v>2.15</v>
      </c>
      <c r="S154" s="44">
        <f t="shared" si="53"/>
        <v>2.15</v>
      </c>
      <c r="T154" s="44">
        <f t="shared" si="54"/>
        <v>2.15</v>
      </c>
      <c r="U154" s="44">
        <f t="shared" si="54"/>
        <v>2.15</v>
      </c>
      <c r="V154" s="44">
        <f t="shared" si="54"/>
        <v>2.15</v>
      </c>
      <c r="W154" s="44">
        <f t="shared" si="54"/>
        <v>2.15</v>
      </c>
      <c r="X154" s="44">
        <f t="shared" si="54"/>
        <v>2.15</v>
      </c>
      <c r="Y154" s="44">
        <f t="shared" si="54"/>
        <v>2.15</v>
      </c>
      <c r="Z154" s="44">
        <f t="shared" si="54"/>
        <v>2.15</v>
      </c>
      <c r="AA154" s="44">
        <f t="shared" si="54"/>
        <v>2.15</v>
      </c>
      <c r="AB154" s="44">
        <f t="shared" si="54"/>
        <v>2.15</v>
      </c>
      <c r="AC154" s="44">
        <f t="shared" si="54"/>
        <v>2.15</v>
      </c>
      <c r="AD154" s="44">
        <f t="shared" si="54"/>
        <v>2.15</v>
      </c>
      <c r="AE154" s="44">
        <f t="shared" si="54"/>
        <v>2.15</v>
      </c>
      <c r="AF154" s="44">
        <f t="shared" si="54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55">AF156</f>
        <v>0.9</v>
      </c>
      <c r="C156" s="55">
        <v>0.9</v>
      </c>
      <c r="D156" s="44">
        <f t="shared" ref="D156:S168" si="56">C156</f>
        <v>0.9</v>
      </c>
      <c r="E156" s="44">
        <f t="shared" si="56"/>
        <v>0.9</v>
      </c>
      <c r="F156" s="44">
        <f t="shared" si="56"/>
        <v>0.9</v>
      </c>
      <c r="G156" s="44">
        <f t="shared" si="56"/>
        <v>0.9</v>
      </c>
      <c r="H156" s="44">
        <f t="shared" si="56"/>
        <v>0.9</v>
      </c>
      <c r="I156" s="44">
        <f t="shared" si="56"/>
        <v>0.9</v>
      </c>
      <c r="J156" s="44">
        <f t="shared" si="56"/>
        <v>0.9</v>
      </c>
      <c r="K156" s="44">
        <f t="shared" si="56"/>
        <v>0.9</v>
      </c>
      <c r="L156" s="44">
        <f t="shared" si="56"/>
        <v>0.9</v>
      </c>
      <c r="M156" s="44">
        <f t="shared" si="56"/>
        <v>0.9</v>
      </c>
      <c r="N156" s="44">
        <f t="shared" si="56"/>
        <v>0.9</v>
      </c>
      <c r="O156" s="44">
        <f t="shared" si="56"/>
        <v>0.9</v>
      </c>
      <c r="P156" s="44">
        <f t="shared" si="56"/>
        <v>0.9</v>
      </c>
      <c r="Q156" s="44">
        <f t="shared" si="56"/>
        <v>0.9</v>
      </c>
      <c r="R156" s="44">
        <f t="shared" si="56"/>
        <v>0.9</v>
      </c>
      <c r="S156" s="44">
        <f t="shared" si="56"/>
        <v>0.9</v>
      </c>
      <c r="T156" s="44">
        <f t="shared" ref="S156:AF168" si="57">S156</f>
        <v>0.9</v>
      </c>
      <c r="U156" s="44">
        <f t="shared" si="57"/>
        <v>0.9</v>
      </c>
      <c r="V156" s="44">
        <f t="shared" si="57"/>
        <v>0.9</v>
      </c>
      <c r="W156" s="44">
        <f t="shared" si="57"/>
        <v>0.9</v>
      </c>
      <c r="X156" s="44">
        <f t="shared" si="57"/>
        <v>0.9</v>
      </c>
      <c r="Y156" s="44">
        <f t="shared" si="57"/>
        <v>0.9</v>
      </c>
      <c r="Z156" s="44">
        <f t="shared" si="57"/>
        <v>0.9</v>
      </c>
      <c r="AA156" s="44">
        <f t="shared" si="57"/>
        <v>0.9</v>
      </c>
      <c r="AB156" s="44">
        <f t="shared" si="57"/>
        <v>0.9</v>
      </c>
      <c r="AC156" s="44">
        <f t="shared" si="57"/>
        <v>0.9</v>
      </c>
      <c r="AD156" s="44">
        <f t="shared" si="57"/>
        <v>0.9</v>
      </c>
      <c r="AE156" s="44">
        <f t="shared" si="57"/>
        <v>0.9</v>
      </c>
      <c r="AF156" s="44">
        <f t="shared" si="57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55"/>
        <v>1.08</v>
      </c>
      <c r="C157" s="55">
        <v>1.08</v>
      </c>
      <c r="D157" s="44">
        <f t="shared" si="56"/>
        <v>1.08</v>
      </c>
      <c r="E157" s="44">
        <f t="shared" si="56"/>
        <v>1.08</v>
      </c>
      <c r="F157" s="44">
        <f t="shared" si="56"/>
        <v>1.08</v>
      </c>
      <c r="G157" s="44">
        <f t="shared" si="56"/>
        <v>1.08</v>
      </c>
      <c r="H157" s="44">
        <f t="shared" si="56"/>
        <v>1.08</v>
      </c>
      <c r="I157" s="44">
        <f t="shared" si="56"/>
        <v>1.08</v>
      </c>
      <c r="J157" s="44">
        <f t="shared" si="56"/>
        <v>1.08</v>
      </c>
      <c r="K157" s="44">
        <f t="shared" si="56"/>
        <v>1.08</v>
      </c>
      <c r="L157" s="44">
        <f t="shared" si="56"/>
        <v>1.08</v>
      </c>
      <c r="M157" s="44">
        <f t="shared" si="56"/>
        <v>1.08</v>
      </c>
      <c r="N157" s="44">
        <f t="shared" si="56"/>
        <v>1.08</v>
      </c>
      <c r="O157" s="44">
        <f t="shared" si="56"/>
        <v>1.08</v>
      </c>
      <c r="P157" s="44">
        <f t="shared" si="56"/>
        <v>1.08</v>
      </c>
      <c r="Q157" s="44">
        <f t="shared" si="56"/>
        <v>1.08</v>
      </c>
      <c r="R157" s="44">
        <f t="shared" si="56"/>
        <v>1.08</v>
      </c>
      <c r="S157" s="44">
        <f t="shared" si="56"/>
        <v>1.08</v>
      </c>
      <c r="T157" s="44">
        <f t="shared" si="57"/>
        <v>1.08</v>
      </c>
      <c r="U157" s="44">
        <f t="shared" si="57"/>
        <v>1.08</v>
      </c>
      <c r="V157" s="44">
        <f t="shared" si="57"/>
        <v>1.08</v>
      </c>
      <c r="W157" s="44">
        <f t="shared" si="57"/>
        <v>1.08</v>
      </c>
      <c r="X157" s="44">
        <f t="shared" si="57"/>
        <v>1.08</v>
      </c>
      <c r="Y157" s="44">
        <f t="shared" si="57"/>
        <v>1.08</v>
      </c>
      <c r="Z157" s="44">
        <f t="shared" si="57"/>
        <v>1.08</v>
      </c>
      <c r="AA157" s="44">
        <f t="shared" si="57"/>
        <v>1.08</v>
      </c>
      <c r="AB157" s="44">
        <f t="shared" si="57"/>
        <v>1.08</v>
      </c>
      <c r="AC157" s="44">
        <f t="shared" si="57"/>
        <v>1.08</v>
      </c>
      <c r="AD157" s="44">
        <f t="shared" si="57"/>
        <v>1.08</v>
      </c>
      <c r="AE157" s="44">
        <f t="shared" si="57"/>
        <v>1.08</v>
      </c>
      <c r="AF157" s="44">
        <f t="shared" si="57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55"/>
        <v>2.37</v>
      </c>
      <c r="C158" s="55">
        <v>2.37</v>
      </c>
      <c r="D158" s="44">
        <f t="shared" si="56"/>
        <v>2.37</v>
      </c>
      <c r="E158" s="44">
        <f t="shared" si="56"/>
        <v>2.37</v>
      </c>
      <c r="F158" s="44">
        <f t="shared" si="56"/>
        <v>2.37</v>
      </c>
      <c r="G158" s="44">
        <f t="shared" si="56"/>
        <v>2.37</v>
      </c>
      <c r="H158" s="44">
        <f t="shared" si="56"/>
        <v>2.37</v>
      </c>
      <c r="I158" s="44">
        <f t="shared" si="56"/>
        <v>2.37</v>
      </c>
      <c r="J158" s="44">
        <f t="shared" si="56"/>
        <v>2.37</v>
      </c>
      <c r="K158" s="44">
        <f t="shared" si="56"/>
        <v>2.37</v>
      </c>
      <c r="L158" s="44">
        <f t="shared" si="56"/>
        <v>2.37</v>
      </c>
      <c r="M158" s="44">
        <f t="shared" si="56"/>
        <v>2.37</v>
      </c>
      <c r="N158" s="44">
        <f t="shared" si="56"/>
        <v>2.37</v>
      </c>
      <c r="O158" s="44">
        <f t="shared" si="56"/>
        <v>2.37</v>
      </c>
      <c r="P158" s="44">
        <f t="shared" si="56"/>
        <v>2.37</v>
      </c>
      <c r="Q158" s="44">
        <f t="shared" si="56"/>
        <v>2.37</v>
      </c>
      <c r="R158" s="44">
        <f t="shared" si="56"/>
        <v>2.37</v>
      </c>
      <c r="S158" s="44">
        <f t="shared" si="56"/>
        <v>2.37</v>
      </c>
      <c r="T158" s="44">
        <f t="shared" si="57"/>
        <v>2.37</v>
      </c>
      <c r="U158" s="44">
        <f t="shared" si="57"/>
        <v>2.37</v>
      </c>
      <c r="V158" s="44">
        <f t="shared" si="57"/>
        <v>2.37</v>
      </c>
      <c r="W158" s="44">
        <f t="shared" si="57"/>
        <v>2.37</v>
      </c>
      <c r="X158" s="44">
        <f t="shared" si="57"/>
        <v>2.37</v>
      </c>
      <c r="Y158" s="44">
        <f t="shared" si="57"/>
        <v>2.37</v>
      </c>
      <c r="Z158" s="44">
        <f t="shared" si="57"/>
        <v>2.37</v>
      </c>
      <c r="AA158" s="44">
        <f t="shared" si="57"/>
        <v>2.37</v>
      </c>
      <c r="AB158" s="44">
        <f t="shared" si="57"/>
        <v>2.37</v>
      </c>
      <c r="AC158" s="44">
        <f t="shared" si="57"/>
        <v>2.37</v>
      </c>
      <c r="AD158" s="44">
        <f t="shared" si="57"/>
        <v>2.37</v>
      </c>
      <c r="AE158" s="44">
        <f t="shared" si="57"/>
        <v>2.37</v>
      </c>
      <c r="AF158" s="44">
        <f t="shared" si="57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55"/>
        <v>1.81</v>
      </c>
      <c r="C159" s="55">
        <v>1.81</v>
      </c>
      <c r="D159" s="44">
        <f t="shared" si="56"/>
        <v>1.81</v>
      </c>
      <c r="E159" s="44">
        <f t="shared" si="56"/>
        <v>1.81</v>
      </c>
      <c r="F159" s="44">
        <f t="shared" si="56"/>
        <v>1.81</v>
      </c>
      <c r="G159" s="44">
        <f t="shared" si="56"/>
        <v>1.81</v>
      </c>
      <c r="H159" s="44">
        <f t="shared" si="56"/>
        <v>1.81</v>
      </c>
      <c r="I159" s="44">
        <f t="shared" si="56"/>
        <v>1.81</v>
      </c>
      <c r="J159" s="44">
        <f t="shared" si="56"/>
        <v>1.81</v>
      </c>
      <c r="K159" s="44">
        <f t="shared" si="56"/>
        <v>1.81</v>
      </c>
      <c r="L159" s="44">
        <f t="shared" si="56"/>
        <v>1.81</v>
      </c>
      <c r="M159" s="44">
        <f t="shared" si="56"/>
        <v>1.81</v>
      </c>
      <c r="N159" s="44">
        <f t="shared" si="56"/>
        <v>1.81</v>
      </c>
      <c r="O159" s="44">
        <f t="shared" si="56"/>
        <v>1.81</v>
      </c>
      <c r="P159" s="44">
        <f t="shared" si="56"/>
        <v>1.81</v>
      </c>
      <c r="Q159" s="44">
        <f t="shared" si="56"/>
        <v>1.81</v>
      </c>
      <c r="R159" s="44">
        <f t="shared" si="56"/>
        <v>1.81</v>
      </c>
      <c r="S159" s="44">
        <f t="shared" si="56"/>
        <v>1.81</v>
      </c>
      <c r="T159" s="44">
        <f t="shared" si="57"/>
        <v>1.81</v>
      </c>
      <c r="U159" s="44">
        <f t="shared" si="57"/>
        <v>1.81</v>
      </c>
      <c r="V159" s="44">
        <f t="shared" si="57"/>
        <v>1.81</v>
      </c>
      <c r="W159" s="44">
        <f t="shared" si="57"/>
        <v>1.81</v>
      </c>
      <c r="X159" s="44">
        <f t="shared" si="57"/>
        <v>1.81</v>
      </c>
      <c r="Y159" s="44">
        <f t="shared" si="57"/>
        <v>1.81</v>
      </c>
      <c r="Z159" s="44">
        <f t="shared" si="57"/>
        <v>1.81</v>
      </c>
      <c r="AA159" s="44">
        <f t="shared" si="57"/>
        <v>1.81</v>
      </c>
      <c r="AB159" s="44">
        <f t="shared" si="57"/>
        <v>1.81</v>
      </c>
      <c r="AC159" s="44">
        <f t="shared" si="57"/>
        <v>1.81</v>
      </c>
      <c r="AD159" s="44">
        <f t="shared" si="57"/>
        <v>1.81</v>
      </c>
      <c r="AE159" s="44">
        <f t="shared" si="57"/>
        <v>1.81</v>
      </c>
      <c r="AF159" s="44">
        <f t="shared" si="57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55"/>
        <v>1.0900000000000001</v>
      </c>
      <c r="C160" s="55">
        <v>1.0900000000000001</v>
      </c>
      <c r="D160" s="44">
        <f t="shared" si="56"/>
        <v>1.0900000000000001</v>
      </c>
      <c r="E160" s="44">
        <f t="shared" si="56"/>
        <v>1.0900000000000001</v>
      </c>
      <c r="F160" s="44">
        <f t="shared" si="56"/>
        <v>1.0900000000000001</v>
      </c>
      <c r="G160" s="44">
        <f t="shared" si="56"/>
        <v>1.0900000000000001</v>
      </c>
      <c r="H160" s="44">
        <f t="shared" si="56"/>
        <v>1.0900000000000001</v>
      </c>
      <c r="I160" s="44">
        <f t="shared" si="56"/>
        <v>1.0900000000000001</v>
      </c>
      <c r="J160" s="44">
        <f t="shared" si="56"/>
        <v>1.0900000000000001</v>
      </c>
      <c r="K160" s="44">
        <f t="shared" si="56"/>
        <v>1.0900000000000001</v>
      </c>
      <c r="L160" s="44">
        <f t="shared" si="56"/>
        <v>1.0900000000000001</v>
      </c>
      <c r="M160" s="44">
        <f t="shared" si="56"/>
        <v>1.0900000000000001</v>
      </c>
      <c r="N160" s="44">
        <f t="shared" si="56"/>
        <v>1.0900000000000001</v>
      </c>
      <c r="O160" s="44">
        <f t="shared" si="56"/>
        <v>1.0900000000000001</v>
      </c>
      <c r="P160" s="44">
        <f t="shared" si="56"/>
        <v>1.0900000000000001</v>
      </c>
      <c r="Q160" s="44">
        <f t="shared" si="56"/>
        <v>1.0900000000000001</v>
      </c>
      <c r="R160" s="44">
        <f t="shared" si="56"/>
        <v>1.0900000000000001</v>
      </c>
      <c r="S160" s="44">
        <f t="shared" si="56"/>
        <v>1.0900000000000001</v>
      </c>
      <c r="T160" s="44">
        <f t="shared" si="57"/>
        <v>1.0900000000000001</v>
      </c>
      <c r="U160" s="44">
        <f t="shared" si="57"/>
        <v>1.0900000000000001</v>
      </c>
      <c r="V160" s="44">
        <f t="shared" si="57"/>
        <v>1.0900000000000001</v>
      </c>
      <c r="W160" s="44">
        <f t="shared" si="57"/>
        <v>1.0900000000000001</v>
      </c>
      <c r="X160" s="44">
        <f t="shared" si="57"/>
        <v>1.0900000000000001</v>
      </c>
      <c r="Y160" s="44">
        <f t="shared" si="57"/>
        <v>1.0900000000000001</v>
      </c>
      <c r="Z160" s="44">
        <f t="shared" si="57"/>
        <v>1.0900000000000001</v>
      </c>
      <c r="AA160" s="44">
        <f t="shared" si="57"/>
        <v>1.0900000000000001</v>
      </c>
      <c r="AB160" s="44">
        <f t="shared" si="57"/>
        <v>1.0900000000000001</v>
      </c>
      <c r="AC160" s="44">
        <f t="shared" si="57"/>
        <v>1.0900000000000001</v>
      </c>
      <c r="AD160" s="44">
        <f t="shared" si="57"/>
        <v>1.0900000000000001</v>
      </c>
      <c r="AE160" s="44">
        <f t="shared" si="57"/>
        <v>1.0900000000000001</v>
      </c>
      <c r="AF160" s="44">
        <f t="shared" si="57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55"/>
        <v>1.58</v>
      </c>
      <c r="C161" s="55">
        <v>1.58</v>
      </c>
      <c r="D161" s="44">
        <f t="shared" si="56"/>
        <v>1.58</v>
      </c>
      <c r="E161" s="44">
        <f t="shared" si="56"/>
        <v>1.58</v>
      </c>
      <c r="F161" s="44">
        <f t="shared" si="56"/>
        <v>1.58</v>
      </c>
      <c r="G161" s="44">
        <f t="shared" si="56"/>
        <v>1.58</v>
      </c>
      <c r="H161" s="44">
        <f t="shared" si="56"/>
        <v>1.58</v>
      </c>
      <c r="I161" s="44">
        <f t="shared" si="56"/>
        <v>1.58</v>
      </c>
      <c r="J161" s="44">
        <f t="shared" si="56"/>
        <v>1.58</v>
      </c>
      <c r="K161" s="44">
        <f t="shared" si="56"/>
        <v>1.58</v>
      </c>
      <c r="L161" s="44">
        <f t="shared" si="56"/>
        <v>1.58</v>
      </c>
      <c r="M161" s="44">
        <f t="shared" si="56"/>
        <v>1.58</v>
      </c>
      <c r="N161" s="44">
        <f t="shared" si="56"/>
        <v>1.58</v>
      </c>
      <c r="O161" s="44">
        <f t="shared" si="56"/>
        <v>1.58</v>
      </c>
      <c r="P161" s="44">
        <f t="shared" si="56"/>
        <v>1.58</v>
      </c>
      <c r="Q161" s="44">
        <f t="shared" si="56"/>
        <v>1.58</v>
      </c>
      <c r="R161" s="44">
        <f t="shared" si="56"/>
        <v>1.58</v>
      </c>
      <c r="S161" s="44">
        <f t="shared" si="56"/>
        <v>1.58</v>
      </c>
      <c r="T161" s="44">
        <f t="shared" si="57"/>
        <v>1.58</v>
      </c>
      <c r="U161" s="44">
        <f t="shared" si="57"/>
        <v>1.58</v>
      </c>
      <c r="V161" s="44">
        <f t="shared" si="57"/>
        <v>1.58</v>
      </c>
      <c r="W161" s="44">
        <f t="shared" si="57"/>
        <v>1.58</v>
      </c>
      <c r="X161" s="44">
        <f t="shared" si="57"/>
        <v>1.58</v>
      </c>
      <c r="Y161" s="44">
        <f t="shared" si="57"/>
        <v>1.58</v>
      </c>
      <c r="Z161" s="44">
        <f t="shared" si="57"/>
        <v>1.58</v>
      </c>
      <c r="AA161" s="44">
        <f t="shared" si="57"/>
        <v>1.58</v>
      </c>
      <c r="AB161" s="44">
        <f t="shared" si="57"/>
        <v>1.58</v>
      </c>
      <c r="AC161" s="44">
        <f t="shared" si="57"/>
        <v>1.58</v>
      </c>
      <c r="AD161" s="44">
        <f t="shared" si="57"/>
        <v>1.58</v>
      </c>
      <c r="AE161" s="44">
        <f t="shared" si="57"/>
        <v>1.58</v>
      </c>
      <c r="AF161" s="44">
        <f t="shared" si="57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55"/>
        <v>2</v>
      </c>
      <c r="C162" s="55">
        <v>2</v>
      </c>
      <c r="D162" s="44">
        <f t="shared" si="56"/>
        <v>2</v>
      </c>
      <c r="E162" s="44">
        <f t="shared" si="56"/>
        <v>2</v>
      </c>
      <c r="F162" s="44">
        <f t="shared" si="56"/>
        <v>2</v>
      </c>
      <c r="G162" s="44">
        <f t="shared" si="56"/>
        <v>2</v>
      </c>
      <c r="H162" s="44">
        <f t="shared" si="56"/>
        <v>2</v>
      </c>
      <c r="I162" s="44">
        <f t="shared" si="56"/>
        <v>2</v>
      </c>
      <c r="J162" s="44">
        <f t="shared" si="56"/>
        <v>2</v>
      </c>
      <c r="K162" s="44">
        <f t="shared" si="56"/>
        <v>2</v>
      </c>
      <c r="L162" s="44">
        <f t="shared" si="56"/>
        <v>2</v>
      </c>
      <c r="M162" s="44">
        <f t="shared" si="56"/>
        <v>2</v>
      </c>
      <c r="N162" s="44">
        <f t="shared" si="56"/>
        <v>2</v>
      </c>
      <c r="O162" s="44">
        <f t="shared" si="56"/>
        <v>2</v>
      </c>
      <c r="P162" s="44">
        <f t="shared" si="56"/>
        <v>2</v>
      </c>
      <c r="Q162" s="44">
        <f t="shared" si="56"/>
        <v>2</v>
      </c>
      <c r="R162" s="44">
        <f t="shared" si="56"/>
        <v>2</v>
      </c>
      <c r="S162" s="44">
        <f t="shared" si="56"/>
        <v>2</v>
      </c>
      <c r="T162" s="44">
        <f t="shared" si="57"/>
        <v>2</v>
      </c>
      <c r="U162" s="44">
        <f t="shared" si="57"/>
        <v>2</v>
      </c>
      <c r="V162" s="44">
        <f t="shared" si="57"/>
        <v>2</v>
      </c>
      <c r="W162" s="44">
        <f t="shared" si="57"/>
        <v>2</v>
      </c>
      <c r="X162" s="44">
        <f t="shared" si="57"/>
        <v>2</v>
      </c>
      <c r="Y162" s="44">
        <f t="shared" si="57"/>
        <v>2</v>
      </c>
      <c r="Z162" s="44">
        <f t="shared" si="57"/>
        <v>2</v>
      </c>
      <c r="AA162" s="44">
        <f t="shared" si="57"/>
        <v>2</v>
      </c>
      <c r="AB162" s="44">
        <f t="shared" si="57"/>
        <v>2</v>
      </c>
      <c r="AC162" s="44">
        <f t="shared" si="57"/>
        <v>2</v>
      </c>
      <c r="AD162" s="44">
        <f t="shared" si="57"/>
        <v>2</v>
      </c>
      <c r="AE162" s="44">
        <f t="shared" si="57"/>
        <v>2</v>
      </c>
      <c r="AF162" s="44">
        <f t="shared" si="57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55"/>
        <v>0.47</v>
      </c>
      <c r="C163" s="55">
        <v>0.47</v>
      </c>
      <c r="D163" s="44">
        <f t="shared" si="56"/>
        <v>0.47</v>
      </c>
      <c r="E163" s="44">
        <f t="shared" si="56"/>
        <v>0.47</v>
      </c>
      <c r="F163" s="44">
        <f t="shared" si="56"/>
        <v>0.47</v>
      </c>
      <c r="G163" s="44">
        <f t="shared" si="56"/>
        <v>0.47</v>
      </c>
      <c r="H163" s="44">
        <f t="shared" si="56"/>
        <v>0.47</v>
      </c>
      <c r="I163" s="44">
        <f t="shared" si="56"/>
        <v>0.47</v>
      </c>
      <c r="J163" s="44">
        <f t="shared" si="56"/>
        <v>0.47</v>
      </c>
      <c r="K163" s="44">
        <f t="shared" si="56"/>
        <v>0.47</v>
      </c>
      <c r="L163" s="44">
        <f t="shared" si="56"/>
        <v>0.47</v>
      </c>
      <c r="M163" s="44">
        <f t="shared" si="56"/>
        <v>0.47</v>
      </c>
      <c r="N163" s="44">
        <f t="shared" si="56"/>
        <v>0.47</v>
      </c>
      <c r="O163" s="44">
        <f t="shared" si="56"/>
        <v>0.47</v>
      </c>
      <c r="P163" s="44">
        <f t="shared" si="56"/>
        <v>0.47</v>
      </c>
      <c r="Q163" s="44">
        <f t="shared" si="56"/>
        <v>0.47</v>
      </c>
      <c r="R163" s="44">
        <f t="shared" si="56"/>
        <v>0.47</v>
      </c>
      <c r="S163" s="44">
        <f t="shared" si="56"/>
        <v>0.47</v>
      </c>
      <c r="T163" s="44">
        <f t="shared" si="57"/>
        <v>0.47</v>
      </c>
      <c r="U163" s="44">
        <f t="shared" si="57"/>
        <v>0.47</v>
      </c>
      <c r="V163" s="44">
        <f t="shared" si="57"/>
        <v>0.47</v>
      </c>
      <c r="W163" s="44">
        <f t="shared" si="57"/>
        <v>0.47</v>
      </c>
      <c r="X163" s="44">
        <f t="shared" si="57"/>
        <v>0.47</v>
      </c>
      <c r="Y163" s="44">
        <f t="shared" si="57"/>
        <v>0.47</v>
      </c>
      <c r="Z163" s="44">
        <f t="shared" si="57"/>
        <v>0.47</v>
      </c>
      <c r="AA163" s="44">
        <f t="shared" si="57"/>
        <v>0.47</v>
      </c>
      <c r="AB163" s="44">
        <f t="shared" si="57"/>
        <v>0.47</v>
      </c>
      <c r="AC163" s="44">
        <f t="shared" si="57"/>
        <v>0.47</v>
      </c>
      <c r="AD163" s="44">
        <f t="shared" si="57"/>
        <v>0.47</v>
      </c>
      <c r="AE163" s="44">
        <f t="shared" si="57"/>
        <v>0.47</v>
      </c>
      <c r="AF163" s="44">
        <f t="shared" si="57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55"/>
        <v>0</v>
      </c>
      <c r="C164" s="55">
        <v>0</v>
      </c>
      <c r="D164" s="44">
        <f t="shared" si="56"/>
        <v>0</v>
      </c>
      <c r="E164" s="44">
        <f t="shared" si="56"/>
        <v>0</v>
      </c>
      <c r="F164" s="44">
        <f t="shared" si="56"/>
        <v>0</v>
      </c>
      <c r="G164" s="44">
        <f t="shared" si="56"/>
        <v>0</v>
      </c>
      <c r="H164" s="44">
        <f t="shared" si="56"/>
        <v>0</v>
      </c>
      <c r="I164" s="44">
        <f t="shared" si="56"/>
        <v>0</v>
      </c>
      <c r="J164" s="44">
        <f t="shared" si="56"/>
        <v>0</v>
      </c>
      <c r="K164" s="44">
        <f t="shared" si="56"/>
        <v>0</v>
      </c>
      <c r="L164" s="44">
        <f t="shared" si="56"/>
        <v>0</v>
      </c>
      <c r="M164" s="44">
        <f t="shared" si="56"/>
        <v>0</v>
      </c>
      <c r="N164" s="44">
        <f t="shared" si="56"/>
        <v>0</v>
      </c>
      <c r="O164" s="44">
        <f t="shared" si="56"/>
        <v>0</v>
      </c>
      <c r="P164" s="44">
        <f t="shared" si="56"/>
        <v>0</v>
      </c>
      <c r="Q164" s="44">
        <f t="shared" si="56"/>
        <v>0</v>
      </c>
      <c r="R164" s="44">
        <f t="shared" si="56"/>
        <v>0</v>
      </c>
      <c r="S164" s="44">
        <f t="shared" si="56"/>
        <v>0</v>
      </c>
      <c r="T164" s="44">
        <f t="shared" si="57"/>
        <v>0</v>
      </c>
      <c r="U164" s="44">
        <f t="shared" si="57"/>
        <v>0</v>
      </c>
      <c r="V164" s="44">
        <f t="shared" si="57"/>
        <v>0</v>
      </c>
      <c r="W164" s="44">
        <f t="shared" si="57"/>
        <v>0</v>
      </c>
      <c r="X164" s="44">
        <f t="shared" si="57"/>
        <v>0</v>
      </c>
      <c r="Y164" s="44">
        <f t="shared" si="57"/>
        <v>0</v>
      </c>
      <c r="Z164" s="44">
        <f t="shared" si="57"/>
        <v>0</v>
      </c>
      <c r="AA164" s="44">
        <f t="shared" si="57"/>
        <v>0</v>
      </c>
      <c r="AB164" s="44">
        <f t="shared" si="57"/>
        <v>0</v>
      </c>
      <c r="AC164" s="44">
        <f t="shared" si="57"/>
        <v>0</v>
      </c>
      <c r="AD164" s="44">
        <f t="shared" si="57"/>
        <v>0</v>
      </c>
      <c r="AE164" s="44">
        <f t="shared" si="57"/>
        <v>0</v>
      </c>
      <c r="AF164" s="44">
        <f t="shared" si="57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55"/>
        <v>0</v>
      </c>
      <c r="C165" s="55">
        <v>0</v>
      </c>
      <c r="D165" s="44">
        <f t="shared" si="56"/>
        <v>0</v>
      </c>
      <c r="E165" s="44">
        <f t="shared" si="56"/>
        <v>0</v>
      </c>
      <c r="F165" s="44">
        <f t="shared" si="56"/>
        <v>0</v>
      </c>
      <c r="G165" s="44">
        <f t="shared" si="56"/>
        <v>0</v>
      </c>
      <c r="H165" s="44">
        <f t="shared" si="56"/>
        <v>0</v>
      </c>
      <c r="I165" s="44">
        <f t="shared" si="56"/>
        <v>0</v>
      </c>
      <c r="J165" s="44">
        <f t="shared" si="56"/>
        <v>0</v>
      </c>
      <c r="K165" s="44">
        <f t="shared" si="56"/>
        <v>0</v>
      </c>
      <c r="L165" s="44">
        <f t="shared" si="56"/>
        <v>0</v>
      </c>
      <c r="M165" s="44">
        <f t="shared" si="56"/>
        <v>0</v>
      </c>
      <c r="N165" s="44">
        <f t="shared" si="56"/>
        <v>0</v>
      </c>
      <c r="O165" s="44">
        <f t="shared" si="56"/>
        <v>0</v>
      </c>
      <c r="P165" s="44">
        <f t="shared" si="56"/>
        <v>0</v>
      </c>
      <c r="Q165" s="44">
        <f t="shared" si="56"/>
        <v>0</v>
      </c>
      <c r="R165" s="44">
        <f t="shared" si="56"/>
        <v>0</v>
      </c>
      <c r="S165" s="44">
        <f t="shared" si="57"/>
        <v>0</v>
      </c>
      <c r="T165" s="44">
        <f t="shared" si="57"/>
        <v>0</v>
      </c>
      <c r="U165" s="44">
        <f t="shared" si="57"/>
        <v>0</v>
      </c>
      <c r="V165" s="44">
        <f t="shared" si="57"/>
        <v>0</v>
      </c>
      <c r="W165" s="44">
        <f t="shared" si="57"/>
        <v>0</v>
      </c>
      <c r="X165" s="44">
        <f t="shared" si="57"/>
        <v>0</v>
      </c>
      <c r="Y165" s="44">
        <f t="shared" si="57"/>
        <v>0</v>
      </c>
      <c r="Z165" s="44">
        <f t="shared" si="57"/>
        <v>0</v>
      </c>
      <c r="AA165" s="44">
        <f t="shared" si="57"/>
        <v>0</v>
      </c>
      <c r="AB165" s="44">
        <f t="shared" si="57"/>
        <v>0</v>
      </c>
      <c r="AC165" s="44">
        <f t="shared" si="57"/>
        <v>0</v>
      </c>
      <c r="AD165" s="44">
        <f t="shared" si="57"/>
        <v>0</v>
      </c>
      <c r="AE165" s="44">
        <f t="shared" si="57"/>
        <v>0</v>
      </c>
      <c r="AF165" s="44">
        <f t="shared" si="57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55"/>
        <v>0.8</v>
      </c>
      <c r="C166" s="55">
        <v>0.8</v>
      </c>
      <c r="D166" s="44">
        <f t="shared" si="56"/>
        <v>0.8</v>
      </c>
      <c r="E166" s="44">
        <f t="shared" si="56"/>
        <v>0.8</v>
      </c>
      <c r="F166" s="44">
        <f t="shared" si="56"/>
        <v>0.8</v>
      </c>
      <c r="G166" s="44">
        <f t="shared" si="56"/>
        <v>0.8</v>
      </c>
      <c r="H166" s="44">
        <f t="shared" si="56"/>
        <v>0.8</v>
      </c>
      <c r="I166" s="44">
        <f t="shared" si="56"/>
        <v>0.8</v>
      </c>
      <c r="J166" s="44">
        <f t="shared" si="56"/>
        <v>0.8</v>
      </c>
      <c r="K166" s="44">
        <f t="shared" si="56"/>
        <v>0.8</v>
      </c>
      <c r="L166" s="44">
        <f t="shared" si="56"/>
        <v>0.8</v>
      </c>
      <c r="M166" s="44">
        <f t="shared" si="56"/>
        <v>0.8</v>
      </c>
      <c r="N166" s="44">
        <f t="shared" si="56"/>
        <v>0.8</v>
      </c>
      <c r="O166" s="44">
        <f t="shared" si="56"/>
        <v>0.8</v>
      </c>
      <c r="P166" s="44">
        <f t="shared" si="56"/>
        <v>0.8</v>
      </c>
      <c r="Q166" s="44">
        <f t="shared" si="56"/>
        <v>0.8</v>
      </c>
      <c r="R166" s="44">
        <f t="shared" si="56"/>
        <v>0.8</v>
      </c>
      <c r="S166" s="44">
        <f t="shared" si="57"/>
        <v>0.8</v>
      </c>
      <c r="T166" s="44">
        <f t="shared" si="57"/>
        <v>0.8</v>
      </c>
      <c r="U166" s="44">
        <f t="shared" si="57"/>
        <v>0.8</v>
      </c>
      <c r="V166" s="44">
        <f t="shared" si="57"/>
        <v>0.8</v>
      </c>
      <c r="W166" s="44">
        <f t="shared" si="57"/>
        <v>0.8</v>
      </c>
      <c r="X166" s="44">
        <f t="shared" si="57"/>
        <v>0.8</v>
      </c>
      <c r="Y166" s="44">
        <f t="shared" si="57"/>
        <v>0.8</v>
      </c>
      <c r="Z166" s="44">
        <f t="shared" si="57"/>
        <v>0.8</v>
      </c>
      <c r="AA166" s="44">
        <f t="shared" si="57"/>
        <v>0.8</v>
      </c>
      <c r="AB166" s="44">
        <f t="shared" si="57"/>
        <v>0.8</v>
      </c>
      <c r="AC166" s="44">
        <f t="shared" si="57"/>
        <v>0.8</v>
      </c>
      <c r="AD166" s="44">
        <f t="shared" si="57"/>
        <v>0.8</v>
      </c>
      <c r="AE166" s="44">
        <f t="shared" si="57"/>
        <v>0.8</v>
      </c>
      <c r="AF166" s="44">
        <f t="shared" si="57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55"/>
        <v>1.5</v>
      </c>
      <c r="C167" s="55">
        <v>1.5</v>
      </c>
      <c r="D167" s="44">
        <f t="shared" si="56"/>
        <v>1.5</v>
      </c>
      <c r="E167" s="44">
        <f t="shared" si="56"/>
        <v>1.5</v>
      </c>
      <c r="F167" s="44">
        <f t="shared" si="56"/>
        <v>1.5</v>
      </c>
      <c r="G167" s="44">
        <f t="shared" si="56"/>
        <v>1.5</v>
      </c>
      <c r="H167" s="44">
        <f t="shared" si="56"/>
        <v>1.5</v>
      </c>
      <c r="I167" s="44">
        <f t="shared" si="56"/>
        <v>1.5</v>
      </c>
      <c r="J167" s="44">
        <f t="shared" si="56"/>
        <v>1.5</v>
      </c>
      <c r="K167" s="44">
        <f t="shared" si="56"/>
        <v>1.5</v>
      </c>
      <c r="L167" s="44">
        <f t="shared" si="56"/>
        <v>1.5</v>
      </c>
      <c r="M167" s="44">
        <f t="shared" si="56"/>
        <v>1.5</v>
      </c>
      <c r="N167" s="44">
        <f t="shared" si="56"/>
        <v>1.5</v>
      </c>
      <c r="O167" s="44">
        <f t="shared" si="56"/>
        <v>1.5</v>
      </c>
      <c r="P167" s="44">
        <f t="shared" si="56"/>
        <v>1.5</v>
      </c>
      <c r="Q167" s="44">
        <f t="shared" si="56"/>
        <v>1.5</v>
      </c>
      <c r="R167" s="44">
        <f t="shared" si="56"/>
        <v>1.5</v>
      </c>
      <c r="S167" s="44">
        <f t="shared" si="57"/>
        <v>1.5</v>
      </c>
      <c r="T167" s="44">
        <f t="shared" si="57"/>
        <v>1.5</v>
      </c>
      <c r="U167" s="44">
        <f t="shared" si="57"/>
        <v>1.5</v>
      </c>
      <c r="V167" s="44">
        <f t="shared" si="57"/>
        <v>1.5</v>
      </c>
      <c r="W167" s="44">
        <f t="shared" si="57"/>
        <v>1.5</v>
      </c>
      <c r="X167" s="44">
        <f t="shared" si="57"/>
        <v>1.5</v>
      </c>
      <c r="Y167" s="44">
        <f t="shared" si="57"/>
        <v>1.5</v>
      </c>
      <c r="Z167" s="44">
        <f t="shared" si="57"/>
        <v>1.5</v>
      </c>
      <c r="AA167" s="44">
        <f t="shared" si="57"/>
        <v>1.5</v>
      </c>
      <c r="AB167" s="44">
        <f t="shared" si="57"/>
        <v>1.5</v>
      </c>
      <c r="AC167" s="44">
        <f t="shared" si="57"/>
        <v>1.5</v>
      </c>
      <c r="AD167" s="44">
        <f t="shared" si="57"/>
        <v>1.5</v>
      </c>
      <c r="AE167" s="44">
        <f t="shared" si="57"/>
        <v>1.5</v>
      </c>
      <c r="AF167" s="44">
        <f t="shared" si="57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55"/>
        <v>1</v>
      </c>
      <c r="C168" s="55">
        <v>1</v>
      </c>
      <c r="D168" s="44">
        <f t="shared" si="56"/>
        <v>1</v>
      </c>
      <c r="E168" s="44">
        <f t="shared" si="56"/>
        <v>1</v>
      </c>
      <c r="F168" s="44">
        <f t="shared" si="56"/>
        <v>1</v>
      </c>
      <c r="G168" s="44">
        <f t="shared" si="56"/>
        <v>1</v>
      </c>
      <c r="H168" s="44">
        <f t="shared" si="56"/>
        <v>1</v>
      </c>
      <c r="I168" s="44">
        <f t="shared" si="56"/>
        <v>1</v>
      </c>
      <c r="J168" s="44">
        <f t="shared" si="56"/>
        <v>1</v>
      </c>
      <c r="K168" s="44">
        <f t="shared" si="56"/>
        <v>1</v>
      </c>
      <c r="L168" s="44">
        <f t="shared" si="56"/>
        <v>1</v>
      </c>
      <c r="M168" s="44">
        <f t="shared" si="56"/>
        <v>1</v>
      </c>
      <c r="N168" s="44">
        <f t="shared" si="56"/>
        <v>1</v>
      </c>
      <c r="O168" s="44">
        <f t="shared" si="56"/>
        <v>1</v>
      </c>
      <c r="P168" s="44">
        <f t="shared" si="56"/>
        <v>1</v>
      </c>
      <c r="Q168" s="44">
        <f t="shared" si="56"/>
        <v>1</v>
      </c>
      <c r="R168" s="44">
        <f t="shared" si="56"/>
        <v>1</v>
      </c>
      <c r="S168" s="44">
        <f t="shared" si="57"/>
        <v>1</v>
      </c>
      <c r="T168" s="44">
        <f t="shared" si="57"/>
        <v>1</v>
      </c>
      <c r="U168" s="44">
        <f t="shared" si="57"/>
        <v>1</v>
      </c>
      <c r="V168" s="44">
        <f t="shared" si="57"/>
        <v>1</v>
      </c>
      <c r="W168" s="44">
        <f t="shared" si="57"/>
        <v>1</v>
      </c>
      <c r="X168" s="44">
        <f t="shared" si="57"/>
        <v>1</v>
      </c>
      <c r="Y168" s="44">
        <f t="shared" si="57"/>
        <v>1</v>
      </c>
      <c r="Z168" s="44">
        <f t="shared" si="57"/>
        <v>1</v>
      </c>
      <c r="AA168" s="44">
        <f t="shared" si="57"/>
        <v>1</v>
      </c>
      <c r="AB168" s="44">
        <f t="shared" si="57"/>
        <v>1</v>
      </c>
      <c r="AC168" s="44">
        <f t="shared" si="57"/>
        <v>1</v>
      </c>
      <c r="AD168" s="44">
        <f t="shared" si="57"/>
        <v>1</v>
      </c>
      <c r="AE168" s="44">
        <f t="shared" si="57"/>
        <v>1</v>
      </c>
      <c r="AF168" s="44">
        <f t="shared" si="57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58">AF170</f>
        <v>1</v>
      </c>
      <c r="C170" s="55">
        <v>1</v>
      </c>
      <c r="D170" s="44">
        <f t="shared" ref="D170:S177" si="59">C170</f>
        <v>1</v>
      </c>
      <c r="E170" s="44">
        <f t="shared" si="59"/>
        <v>1</v>
      </c>
      <c r="F170" s="44">
        <f t="shared" si="59"/>
        <v>1</v>
      </c>
      <c r="G170" s="44">
        <f t="shared" si="59"/>
        <v>1</v>
      </c>
      <c r="H170" s="44">
        <f t="shared" si="59"/>
        <v>1</v>
      </c>
      <c r="I170" s="44">
        <f t="shared" si="59"/>
        <v>1</v>
      </c>
      <c r="J170" s="44">
        <f t="shared" si="59"/>
        <v>1</v>
      </c>
      <c r="K170" s="44">
        <f t="shared" si="59"/>
        <v>1</v>
      </c>
      <c r="L170" s="44">
        <f t="shared" si="59"/>
        <v>1</v>
      </c>
      <c r="M170" s="44">
        <f t="shared" si="59"/>
        <v>1</v>
      </c>
      <c r="N170" s="44">
        <f t="shared" si="59"/>
        <v>1</v>
      </c>
      <c r="O170" s="44">
        <f t="shared" si="59"/>
        <v>1</v>
      </c>
      <c r="P170" s="44">
        <f t="shared" si="59"/>
        <v>1</v>
      </c>
      <c r="Q170" s="44">
        <f t="shared" si="59"/>
        <v>1</v>
      </c>
      <c r="R170" s="44">
        <f t="shared" si="59"/>
        <v>1</v>
      </c>
      <c r="S170" s="44">
        <f t="shared" si="59"/>
        <v>1</v>
      </c>
      <c r="T170" s="44">
        <f t="shared" ref="S170:AF177" si="60">S170</f>
        <v>1</v>
      </c>
      <c r="U170" s="44">
        <f t="shared" si="60"/>
        <v>1</v>
      </c>
      <c r="V170" s="44">
        <f t="shared" si="60"/>
        <v>1</v>
      </c>
      <c r="W170" s="44">
        <f t="shared" si="60"/>
        <v>1</v>
      </c>
      <c r="X170" s="44">
        <f t="shared" si="60"/>
        <v>1</v>
      </c>
      <c r="Y170" s="44">
        <f t="shared" si="60"/>
        <v>1</v>
      </c>
      <c r="Z170" s="44">
        <f t="shared" si="60"/>
        <v>1</v>
      </c>
      <c r="AA170" s="44">
        <f t="shared" si="60"/>
        <v>1</v>
      </c>
      <c r="AB170" s="44">
        <f t="shared" si="60"/>
        <v>1</v>
      </c>
      <c r="AC170" s="44">
        <f t="shared" si="60"/>
        <v>1</v>
      </c>
      <c r="AD170" s="44">
        <f t="shared" si="60"/>
        <v>1</v>
      </c>
      <c r="AE170" s="44">
        <f t="shared" si="60"/>
        <v>1</v>
      </c>
      <c r="AF170" s="44">
        <f t="shared" si="60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58"/>
        <v>0.42</v>
      </c>
      <c r="C171" s="55">
        <v>0.42</v>
      </c>
      <c r="D171" s="44">
        <f t="shared" si="59"/>
        <v>0.42</v>
      </c>
      <c r="E171" s="44">
        <f t="shared" si="59"/>
        <v>0.42</v>
      </c>
      <c r="F171" s="44">
        <f t="shared" si="59"/>
        <v>0.42</v>
      </c>
      <c r="G171" s="44">
        <f t="shared" si="59"/>
        <v>0.42</v>
      </c>
      <c r="H171" s="44">
        <f t="shared" si="59"/>
        <v>0.42</v>
      </c>
      <c r="I171" s="44">
        <f t="shared" si="59"/>
        <v>0.42</v>
      </c>
      <c r="J171" s="44">
        <f t="shared" si="59"/>
        <v>0.42</v>
      </c>
      <c r="K171" s="44">
        <f t="shared" si="59"/>
        <v>0.42</v>
      </c>
      <c r="L171" s="44">
        <f t="shared" si="59"/>
        <v>0.42</v>
      </c>
      <c r="M171" s="44">
        <f t="shared" si="59"/>
        <v>0.42</v>
      </c>
      <c r="N171" s="44">
        <f t="shared" si="59"/>
        <v>0.42</v>
      </c>
      <c r="O171" s="44">
        <f t="shared" si="59"/>
        <v>0.42</v>
      </c>
      <c r="P171" s="44">
        <f t="shared" si="59"/>
        <v>0.42</v>
      </c>
      <c r="Q171" s="44">
        <f t="shared" si="59"/>
        <v>0.42</v>
      </c>
      <c r="R171" s="44">
        <f t="shared" si="59"/>
        <v>0.42</v>
      </c>
      <c r="S171" s="44">
        <f t="shared" si="60"/>
        <v>0.42</v>
      </c>
      <c r="T171" s="44">
        <f t="shared" si="60"/>
        <v>0.42</v>
      </c>
      <c r="U171" s="44">
        <f t="shared" si="60"/>
        <v>0.42</v>
      </c>
      <c r="V171" s="44">
        <f t="shared" si="60"/>
        <v>0.42</v>
      </c>
      <c r="W171" s="44">
        <f t="shared" si="60"/>
        <v>0.42</v>
      </c>
      <c r="X171" s="44">
        <f t="shared" si="60"/>
        <v>0.42</v>
      </c>
      <c r="Y171" s="44">
        <f t="shared" si="60"/>
        <v>0.42</v>
      </c>
      <c r="Z171" s="44">
        <f t="shared" si="60"/>
        <v>0.42</v>
      </c>
      <c r="AA171" s="44">
        <f t="shared" si="60"/>
        <v>0.42</v>
      </c>
      <c r="AB171" s="44">
        <f t="shared" si="60"/>
        <v>0.42</v>
      </c>
      <c r="AC171" s="44">
        <f t="shared" si="60"/>
        <v>0.42</v>
      </c>
      <c r="AD171" s="44">
        <f t="shared" si="60"/>
        <v>0.42</v>
      </c>
      <c r="AE171" s="44">
        <f t="shared" si="60"/>
        <v>0.42</v>
      </c>
      <c r="AF171" s="44">
        <f t="shared" si="60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58"/>
        <v>0.46</v>
      </c>
      <c r="C172" s="55">
        <v>0.46</v>
      </c>
      <c r="D172" s="44">
        <f t="shared" si="59"/>
        <v>0.46</v>
      </c>
      <c r="E172" s="44">
        <f t="shared" si="59"/>
        <v>0.46</v>
      </c>
      <c r="F172" s="44">
        <f t="shared" si="59"/>
        <v>0.46</v>
      </c>
      <c r="G172" s="44">
        <f t="shared" si="59"/>
        <v>0.46</v>
      </c>
      <c r="H172" s="44">
        <f t="shared" si="59"/>
        <v>0.46</v>
      </c>
      <c r="I172" s="44">
        <f t="shared" si="59"/>
        <v>0.46</v>
      </c>
      <c r="J172" s="44">
        <f t="shared" si="59"/>
        <v>0.46</v>
      </c>
      <c r="K172" s="44">
        <f t="shared" si="59"/>
        <v>0.46</v>
      </c>
      <c r="L172" s="44">
        <f t="shared" si="59"/>
        <v>0.46</v>
      </c>
      <c r="M172" s="44">
        <f t="shared" si="59"/>
        <v>0.46</v>
      </c>
      <c r="N172" s="44">
        <f t="shared" si="59"/>
        <v>0.46</v>
      </c>
      <c r="O172" s="44">
        <f t="shared" si="59"/>
        <v>0.46</v>
      </c>
      <c r="P172" s="44">
        <f t="shared" si="59"/>
        <v>0.46</v>
      </c>
      <c r="Q172" s="44">
        <f t="shared" si="59"/>
        <v>0.46</v>
      </c>
      <c r="R172" s="44">
        <f t="shared" si="59"/>
        <v>0.46</v>
      </c>
      <c r="S172" s="44">
        <f t="shared" si="60"/>
        <v>0.46</v>
      </c>
      <c r="T172" s="44">
        <f t="shared" si="60"/>
        <v>0.46</v>
      </c>
      <c r="U172" s="44">
        <f t="shared" si="60"/>
        <v>0.46</v>
      </c>
      <c r="V172" s="44">
        <f t="shared" si="60"/>
        <v>0.46</v>
      </c>
      <c r="W172" s="44">
        <f t="shared" si="60"/>
        <v>0.46</v>
      </c>
      <c r="X172" s="44">
        <f t="shared" si="60"/>
        <v>0.46</v>
      </c>
      <c r="Y172" s="44">
        <f t="shared" si="60"/>
        <v>0.46</v>
      </c>
      <c r="Z172" s="44">
        <f t="shared" si="60"/>
        <v>0.46</v>
      </c>
      <c r="AA172" s="44">
        <f t="shared" si="60"/>
        <v>0.46</v>
      </c>
      <c r="AB172" s="44">
        <f t="shared" si="60"/>
        <v>0.46</v>
      </c>
      <c r="AC172" s="44">
        <f t="shared" si="60"/>
        <v>0.46</v>
      </c>
      <c r="AD172" s="44">
        <f t="shared" si="60"/>
        <v>0.46</v>
      </c>
      <c r="AE172" s="44">
        <f t="shared" si="60"/>
        <v>0.46</v>
      </c>
      <c r="AF172" s="44">
        <f t="shared" si="60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58"/>
        <v>0.85</v>
      </c>
      <c r="C173" s="55">
        <v>0.85</v>
      </c>
      <c r="D173" s="44">
        <f t="shared" si="59"/>
        <v>0.85</v>
      </c>
      <c r="E173" s="44">
        <f t="shared" si="59"/>
        <v>0.85</v>
      </c>
      <c r="F173" s="44">
        <f t="shared" si="59"/>
        <v>0.85</v>
      </c>
      <c r="G173" s="44">
        <f t="shared" si="59"/>
        <v>0.85</v>
      </c>
      <c r="H173" s="44">
        <f t="shared" si="59"/>
        <v>0.85</v>
      </c>
      <c r="I173" s="44">
        <f t="shared" si="59"/>
        <v>0.85</v>
      </c>
      <c r="J173" s="44">
        <f t="shared" si="59"/>
        <v>0.85</v>
      </c>
      <c r="K173" s="44">
        <f t="shared" si="59"/>
        <v>0.85</v>
      </c>
      <c r="L173" s="44">
        <f t="shared" si="59"/>
        <v>0.85</v>
      </c>
      <c r="M173" s="44">
        <f t="shared" si="59"/>
        <v>0.85</v>
      </c>
      <c r="N173" s="44">
        <f t="shared" si="59"/>
        <v>0.85</v>
      </c>
      <c r="O173" s="44">
        <f t="shared" si="59"/>
        <v>0.85</v>
      </c>
      <c r="P173" s="44">
        <f t="shared" si="59"/>
        <v>0.85</v>
      </c>
      <c r="Q173" s="44">
        <f t="shared" si="59"/>
        <v>0.85</v>
      </c>
      <c r="R173" s="44">
        <f t="shared" si="59"/>
        <v>0.85</v>
      </c>
      <c r="S173" s="44">
        <f t="shared" si="60"/>
        <v>0.85</v>
      </c>
      <c r="T173" s="44">
        <f t="shared" si="60"/>
        <v>0.85</v>
      </c>
      <c r="U173" s="44">
        <f t="shared" si="60"/>
        <v>0.85</v>
      </c>
      <c r="V173" s="44">
        <f t="shared" si="60"/>
        <v>0.85</v>
      </c>
      <c r="W173" s="44">
        <f t="shared" si="60"/>
        <v>0.85</v>
      </c>
      <c r="X173" s="44">
        <f t="shared" si="60"/>
        <v>0.85</v>
      </c>
      <c r="Y173" s="44">
        <f t="shared" si="60"/>
        <v>0.85</v>
      </c>
      <c r="Z173" s="44">
        <f t="shared" si="60"/>
        <v>0.85</v>
      </c>
      <c r="AA173" s="44">
        <f t="shared" si="60"/>
        <v>0.85</v>
      </c>
      <c r="AB173" s="44">
        <f t="shared" si="60"/>
        <v>0.85</v>
      </c>
      <c r="AC173" s="44">
        <f t="shared" si="60"/>
        <v>0.85</v>
      </c>
      <c r="AD173" s="44">
        <f t="shared" si="60"/>
        <v>0.85</v>
      </c>
      <c r="AE173" s="44">
        <f t="shared" si="60"/>
        <v>0.85</v>
      </c>
      <c r="AF173" s="44">
        <f t="shared" si="60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58"/>
        <v>0.9</v>
      </c>
      <c r="C174" s="55">
        <v>0.9</v>
      </c>
      <c r="D174" s="44">
        <f t="shared" si="59"/>
        <v>0.9</v>
      </c>
      <c r="E174" s="44">
        <f t="shared" si="59"/>
        <v>0.9</v>
      </c>
      <c r="F174" s="44">
        <f t="shared" si="59"/>
        <v>0.9</v>
      </c>
      <c r="G174" s="44">
        <f t="shared" si="59"/>
        <v>0.9</v>
      </c>
      <c r="H174" s="44">
        <f t="shared" si="59"/>
        <v>0.9</v>
      </c>
      <c r="I174" s="44">
        <f t="shared" si="59"/>
        <v>0.9</v>
      </c>
      <c r="J174" s="44">
        <f t="shared" si="59"/>
        <v>0.9</v>
      </c>
      <c r="K174" s="44">
        <f t="shared" si="59"/>
        <v>0.9</v>
      </c>
      <c r="L174" s="44">
        <f t="shared" si="59"/>
        <v>0.9</v>
      </c>
      <c r="M174" s="44">
        <f t="shared" si="59"/>
        <v>0.9</v>
      </c>
      <c r="N174" s="44">
        <f t="shared" si="59"/>
        <v>0.9</v>
      </c>
      <c r="O174" s="44">
        <f t="shared" si="59"/>
        <v>0.9</v>
      </c>
      <c r="P174" s="44">
        <f t="shared" si="59"/>
        <v>0.9</v>
      </c>
      <c r="Q174" s="44">
        <f t="shared" si="59"/>
        <v>0.9</v>
      </c>
      <c r="R174" s="44">
        <f t="shared" si="59"/>
        <v>0.9</v>
      </c>
      <c r="S174" s="44">
        <f t="shared" si="60"/>
        <v>0.9</v>
      </c>
      <c r="T174" s="44">
        <f t="shared" si="60"/>
        <v>0.9</v>
      </c>
      <c r="U174" s="44">
        <f t="shared" si="60"/>
        <v>0.9</v>
      </c>
      <c r="V174" s="44">
        <f t="shared" si="60"/>
        <v>0.9</v>
      </c>
      <c r="W174" s="44">
        <f t="shared" si="60"/>
        <v>0.9</v>
      </c>
      <c r="X174" s="44">
        <f t="shared" si="60"/>
        <v>0.9</v>
      </c>
      <c r="Y174" s="44">
        <f t="shared" si="60"/>
        <v>0.9</v>
      </c>
      <c r="Z174" s="44">
        <f t="shared" si="60"/>
        <v>0.9</v>
      </c>
      <c r="AA174" s="44">
        <f t="shared" si="60"/>
        <v>0.9</v>
      </c>
      <c r="AB174" s="44">
        <f t="shared" si="60"/>
        <v>0.9</v>
      </c>
      <c r="AC174" s="44">
        <f t="shared" si="60"/>
        <v>0.9</v>
      </c>
      <c r="AD174" s="44">
        <f t="shared" si="60"/>
        <v>0.9</v>
      </c>
      <c r="AE174" s="44">
        <f t="shared" si="60"/>
        <v>0.9</v>
      </c>
      <c r="AF174" s="44">
        <f t="shared" si="60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58"/>
        <v>0.44</v>
      </c>
      <c r="C175" s="55">
        <v>0.44</v>
      </c>
      <c r="D175" s="44">
        <f t="shared" si="59"/>
        <v>0.44</v>
      </c>
      <c r="E175" s="44">
        <f t="shared" si="59"/>
        <v>0.44</v>
      </c>
      <c r="F175" s="44">
        <f t="shared" si="59"/>
        <v>0.44</v>
      </c>
      <c r="G175" s="44">
        <f t="shared" si="59"/>
        <v>0.44</v>
      </c>
      <c r="H175" s="44">
        <f t="shared" si="59"/>
        <v>0.44</v>
      </c>
      <c r="I175" s="44">
        <f t="shared" si="59"/>
        <v>0.44</v>
      </c>
      <c r="J175" s="44">
        <f t="shared" si="59"/>
        <v>0.44</v>
      </c>
      <c r="K175" s="44">
        <f t="shared" si="59"/>
        <v>0.44</v>
      </c>
      <c r="L175" s="44">
        <f t="shared" si="59"/>
        <v>0.44</v>
      </c>
      <c r="M175" s="44">
        <f t="shared" si="59"/>
        <v>0.44</v>
      </c>
      <c r="N175" s="44">
        <f t="shared" si="59"/>
        <v>0.44</v>
      </c>
      <c r="O175" s="44">
        <f t="shared" si="59"/>
        <v>0.44</v>
      </c>
      <c r="P175" s="44">
        <f t="shared" si="59"/>
        <v>0.44</v>
      </c>
      <c r="Q175" s="44">
        <f t="shared" si="59"/>
        <v>0.44</v>
      </c>
      <c r="R175" s="44">
        <f t="shared" si="59"/>
        <v>0.44</v>
      </c>
      <c r="S175" s="44">
        <f t="shared" si="60"/>
        <v>0.44</v>
      </c>
      <c r="T175" s="44">
        <f t="shared" si="60"/>
        <v>0.44</v>
      </c>
      <c r="U175" s="44">
        <f t="shared" si="60"/>
        <v>0.44</v>
      </c>
      <c r="V175" s="44">
        <f t="shared" si="60"/>
        <v>0.44</v>
      </c>
      <c r="W175" s="44">
        <f t="shared" si="60"/>
        <v>0.44</v>
      </c>
      <c r="X175" s="44">
        <f t="shared" si="60"/>
        <v>0.44</v>
      </c>
      <c r="Y175" s="44">
        <f t="shared" si="60"/>
        <v>0.44</v>
      </c>
      <c r="Z175" s="44">
        <f t="shared" si="60"/>
        <v>0.44</v>
      </c>
      <c r="AA175" s="44">
        <f t="shared" si="60"/>
        <v>0.44</v>
      </c>
      <c r="AB175" s="44">
        <f t="shared" si="60"/>
        <v>0.44</v>
      </c>
      <c r="AC175" s="44">
        <f t="shared" si="60"/>
        <v>0.44</v>
      </c>
      <c r="AD175" s="44">
        <f t="shared" si="60"/>
        <v>0.44</v>
      </c>
      <c r="AE175" s="44">
        <f t="shared" si="60"/>
        <v>0.44</v>
      </c>
      <c r="AF175" s="44">
        <f t="shared" si="60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58"/>
        <v>2.1</v>
      </c>
      <c r="C176" s="55">
        <v>2.1</v>
      </c>
      <c r="D176" s="44">
        <f t="shared" si="59"/>
        <v>2.1</v>
      </c>
      <c r="E176" s="44">
        <f t="shared" si="59"/>
        <v>2.1</v>
      </c>
      <c r="F176" s="44">
        <f t="shared" si="59"/>
        <v>2.1</v>
      </c>
      <c r="G176" s="44">
        <f t="shared" si="59"/>
        <v>2.1</v>
      </c>
      <c r="H176" s="44">
        <f t="shared" si="59"/>
        <v>2.1</v>
      </c>
      <c r="I176" s="44">
        <f t="shared" si="59"/>
        <v>2.1</v>
      </c>
      <c r="J176" s="44">
        <f t="shared" si="59"/>
        <v>2.1</v>
      </c>
      <c r="K176" s="44">
        <f t="shared" si="59"/>
        <v>2.1</v>
      </c>
      <c r="L176" s="44">
        <f t="shared" si="59"/>
        <v>2.1</v>
      </c>
      <c r="M176" s="44">
        <f t="shared" si="59"/>
        <v>2.1</v>
      </c>
      <c r="N176" s="44">
        <f t="shared" si="59"/>
        <v>2.1</v>
      </c>
      <c r="O176" s="44">
        <f t="shared" si="59"/>
        <v>2.1</v>
      </c>
      <c r="P176" s="44">
        <f t="shared" si="59"/>
        <v>2.1</v>
      </c>
      <c r="Q176" s="44">
        <f t="shared" si="59"/>
        <v>2.1</v>
      </c>
      <c r="R176" s="44">
        <f t="shared" si="59"/>
        <v>2.1</v>
      </c>
      <c r="S176" s="44">
        <f t="shared" si="60"/>
        <v>2.1</v>
      </c>
      <c r="T176" s="44">
        <f t="shared" si="60"/>
        <v>2.1</v>
      </c>
      <c r="U176" s="44">
        <f t="shared" si="60"/>
        <v>2.1</v>
      </c>
      <c r="V176" s="44">
        <f t="shared" si="60"/>
        <v>2.1</v>
      </c>
      <c r="W176" s="44">
        <f t="shared" si="60"/>
        <v>2.1</v>
      </c>
      <c r="X176" s="44">
        <f t="shared" si="60"/>
        <v>2.1</v>
      </c>
      <c r="Y176" s="44">
        <f t="shared" si="60"/>
        <v>2.1</v>
      </c>
      <c r="Z176" s="44">
        <f t="shared" si="60"/>
        <v>2.1</v>
      </c>
      <c r="AA176" s="44">
        <f t="shared" si="60"/>
        <v>2.1</v>
      </c>
      <c r="AB176" s="44">
        <f t="shared" si="60"/>
        <v>2.1</v>
      </c>
      <c r="AC176" s="44">
        <f t="shared" si="60"/>
        <v>2.1</v>
      </c>
      <c r="AD176" s="44">
        <f t="shared" si="60"/>
        <v>2.1</v>
      </c>
      <c r="AE176" s="44">
        <f t="shared" si="60"/>
        <v>2.1</v>
      </c>
      <c r="AF176" s="44">
        <f t="shared" si="60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58"/>
        <v>0.9</v>
      </c>
      <c r="C177" s="55">
        <v>0.9</v>
      </c>
      <c r="D177" s="44">
        <f t="shared" si="59"/>
        <v>0.9</v>
      </c>
      <c r="E177" s="44">
        <f t="shared" si="59"/>
        <v>0.9</v>
      </c>
      <c r="F177" s="44">
        <f t="shared" si="59"/>
        <v>0.9</v>
      </c>
      <c r="G177" s="44">
        <f t="shared" si="59"/>
        <v>0.9</v>
      </c>
      <c r="H177" s="44">
        <f t="shared" si="59"/>
        <v>0.9</v>
      </c>
      <c r="I177" s="44">
        <f t="shared" si="59"/>
        <v>0.9</v>
      </c>
      <c r="J177" s="44">
        <f t="shared" si="59"/>
        <v>0.9</v>
      </c>
      <c r="K177" s="44">
        <f t="shared" si="59"/>
        <v>0.9</v>
      </c>
      <c r="L177" s="44">
        <f t="shared" si="59"/>
        <v>0.9</v>
      </c>
      <c r="M177" s="44">
        <f t="shared" si="59"/>
        <v>0.9</v>
      </c>
      <c r="N177" s="44">
        <f t="shared" si="59"/>
        <v>0.9</v>
      </c>
      <c r="O177" s="44">
        <f t="shared" si="59"/>
        <v>0.9</v>
      </c>
      <c r="P177" s="44">
        <f t="shared" si="59"/>
        <v>0.9</v>
      </c>
      <c r="Q177" s="44">
        <f t="shared" si="59"/>
        <v>0.9</v>
      </c>
      <c r="R177" s="44">
        <f t="shared" si="59"/>
        <v>0.9</v>
      </c>
      <c r="S177" s="44">
        <f t="shared" si="60"/>
        <v>0.9</v>
      </c>
      <c r="T177" s="44">
        <f t="shared" si="60"/>
        <v>0.9</v>
      </c>
      <c r="U177" s="44">
        <f t="shared" si="60"/>
        <v>0.9</v>
      </c>
      <c r="V177" s="44">
        <f t="shared" si="60"/>
        <v>0.9</v>
      </c>
      <c r="W177" s="44">
        <f t="shared" si="60"/>
        <v>0.9</v>
      </c>
      <c r="X177" s="44">
        <f t="shared" si="60"/>
        <v>0.9</v>
      </c>
      <c r="Y177" s="44">
        <f t="shared" si="60"/>
        <v>0.9</v>
      </c>
      <c r="Z177" s="44">
        <f t="shared" si="60"/>
        <v>0.9</v>
      </c>
      <c r="AA177" s="44">
        <f t="shared" si="60"/>
        <v>0.9</v>
      </c>
      <c r="AB177" s="44">
        <f t="shared" si="60"/>
        <v>0.9</v>
      </c>
      <c r="AC177" s="44">
        <f t="shared" si="60"/>
        <v>0.9</v>
      </c>
      <c r="AD177" s="44">
        <f t="shared" si="60"/>
        <v>0.9</v>
      </c>
      <c r="AE177" s="44">
        <f t="shared" si="60"/>
        <v>0.9</v>
      </c>
      <c r="AF177" s="44">
        <f t="shared" si="60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1">AF179</f>
        <v>0.57999999999999996</v>
      </c>
      <c r="C179" s="55">
        <v>0.57999999999999996</v>
      </c>
      <c r="D179" s="44">
        <f t="shared" ref="D179:S191" si="62">C179</f>
        <v>0.57999999999999996</v>
      </c>
      <c r="E179" s="44">
        <f t="shared" si="62"/>
        <v>0.57999999999999996</v>
      </c>
      <c r="F179" s="44">
        <f t="shared" si="62"/>
        <v>0.57999999999999996</v>
      </c>
      <c r="G179" s="44">
        <f t="shared" si="62"/>
        <v>0.57999999999999996</v>
      </c>
      <c r="H179" s="44">
        <f t="shared" si="62"/>
        <v>0.57999999999999996</v>
      </c>
      <c r="I179" s="44">
        <f t="shared" si="62"/>
        <v>0.57999999999999996</v>
      </c>
      <c r="J179" s="44">
        <f t="shared" si="62"/>
        <v>0.57999999999999996</v>
      </c>
      <c r="K179" s="44">
        <f t="shared" si="62"/>
        <v>0.57999999999999996</v>
      </c>
      <c r="L179" s="44">
        <f t="shared" si="62"/>
        <v>0.57999999999999996</v>
      </c>
      <c r="M179" s="44">
        <f t="shared" si="62"/>
        <v>0.57999999999999996</v>
      </c>
      <c r="N179" s="44">
        <f t="shared" si="62"/>
        <v>0.57999999999999996</v>
      </c>
      <c r="O179" s="44">
        <f t="shared" si="62"/>
        <v>0.57999999999999996</v>
      </c>
      <c r="P179" s="44">
        <f t="shared" si="62"/>
        <v>0.57999999999999996</v>
      </c>
      <c r="Q179" s="44">
        <f t="shared" si="62"/>
        <v>0.57999999999999996</v>
      </c>
      <c r="R179" s="44">
        <f t="shared" si="62"/>
        <v>0.57999999999999996</v>
      </c>
      <c r="S179" s="44">
        <f t="shared" si="62"/>
        <v>0.57999999999999996</v>
      </c>
      <c r="T179" s="44">
        <f t="shared" ref="S179:AF191" si="63">S179</f>
        <v>0.57999999999999996</v>
      </c>
      <c r="U179" s="44">
        <f t="shared" si="63"/>
        <v>0.57999999999999996</v>
      </c>
      <c r="V179" s="44">
        <f t="shared" si="63"/>
        <v>0.57999999999999996</v>
      </c>
      <c r="W179" s="44">
        <f t="shared" si="63"/>
        <v>0.57999999999999996</v>
      </c>
      <c r="X179" s="44">
        <f t="shared" si="63"/>
        <v>0.57999999999999996</v>
      </c>
      <c r="Y179" s="44">
        <f t="shared" si="63"/>
        <v>0.57999999999999996</v>
      </c>
      <c r="Z179" s="44">
        <f t="shared" si="63"/>
        <v>0.57999999999999996</v>
      </c>
      <c r="AA179" s="44">
        <f t="shared" si="63"/>
        <v>0.57999999999999996</v>
      </c>
      <c r="AB179" s="44">
        <f t="shared" si="63"/>
        <v>0.57999999999999996</v>
      </c>
      <c r="AC179" s="44">
        <f t="shared" si="63"/>
        <v>0.57999999999999996</v>
      </c>
      <c r="AD179" s="44">
        <f t="shared" si="63"/>
        <v>0.57999999999999996</v>
      </c>
      <c r="AE179" s="44">
        <f t="shared" si="63"/>
        <v>0.57999999999999996</v>
      </c>
      <c r="AF179" s="44">
        <f t="shared" si="63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1"/>
        <v>0.8</v>
      </c>
      <c r="C180" s="55">
        <v>0.8</v>
      </c>
      <c r="D180" s="44">
        <f t="shared" si="62"/>
        <v>0.8</v>
      </c>
      <c r="E180" s="44">
        <f t="shared" si="62"/>
        <v>0.8</v>
      </c>
      <c r="F180" s="44">
        <f t="shared" si="62"/>
        <v>0.8</v>
      </c>
      <c r="G180" s="44">
        <f t="shared" si="62"/>
        <v>0.8</v>
      </c>
      <c r="H180" s="44">
        <f t="shared" si="62"/>
        <v>0.8</v>
      </c>
      <c r="I180" s="44">
        <f t="shared" si="62"/>
        <v>0.8</v>
      </c>
      <c r="J180" s="44">
        <f t="shared" si="62"/>
        <v>0.8</v>
      </c>
      <c r="K180" s="44">
        <f t="shared" si="62"/>
        <v>0.8</v>
      </c>
      <c r="L180" s="44">
        <f t="shared" si="62"/>
        <v>0.8</v>
      </c>
      <c r="M180" s="44">
        <f t="shared" si="62"/>
        <v>0.8</v>
      </c>
      <c r="N180" s="44">
        <f t="shared" si="62"/>
        <v>0.8</v>
      </c>
      <c r="O180" s="44">
        <f t="shared" si="62"/>
        <v>0.8</v>
      </c>
      <c r="P180" s="44">
        <f t="shared" si="62"/>
        <v>0.8</v>
      </c>
      <c r="Q180" s="44">
        <f t="shared" si="62"/>
        <v>0.8</v>
      </c>
      <c r="R180" s="44">
        <f t="shared" si="62"/>
        <v>0.8</v>
      </c>
      <c r="S180" s="44">
        <f t="shared" si="62"/>
        <v>0.8</v>
      </c>
      <c r="T180" s="44">
        <f t="shared" si="63"/>
        <v>0.8</v>
      </c>
      <c r="U180" s="44">
        <f t="shared" si="63"/>
        <v>0.8</v>
      </c>
      <c r="V180" s="44">
        <f t="shared" si="63"/>
        <v>0.8</v>
      </c>
      <c r="W180" s="44">
        <f t="shared" si="63"/>
        <v>0.8</v>
      </c>
      <c r="X180" s="44">
        <f t="shared" si="63"/>
        <v>0.8</v>
      </c>
      <c r="Y180" s="44">
        <f t="shared" si="63"/>
        <v>0.8</v>
      </c>
      <c r="Z180" s="44">
        <f t="shared" si="63"/>
        <v>0.8</v>
      </c>
      <c r="AA180" s="44">
        <f t="shared" si="63"/>
        <v>0.8</v>
      </c>
      <c r="AB180" s="44">
        <f t="shared" si="63"/>
        <v>0.8</v>
      </c>
      <c r="AC180" s="44">
        <f t="shared" si="63"/>
        <v>0.8</v>
      </c>
      <c r="AD180" s="44">
        <f t="shared" si="63"/>
        <v>0.8</v>
      </c>
      <c r="AE180" s="44">
        <f t="shared" si="63"/>
        <v>0.8</v>
      </c>
      <c r="AF180" s="44">
        <f t="shared" si="63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1"/>
        <v>0</v>
      </c>
      <c r="C181" s="55">
        <v>0</v>
      </c>
      <c r="D181" s="44">
        <f t="shared" si="62"/>
        <v>0</v>
      </c>
      <c r="E181" s="44">
        <f t="shared" si="62"/>
        <v>0</v>
      </c>
      <c r="F181" s="44">
        <f t="shared" si="62"/>
        <v>0</v>
      </c>
      <c r="G181" s="44">
        <f t="shared" si="62"/>
        <v>0</v>
      </c>
      <c r="H181" s="44">
        <f t="shared" si="62"/>
        <v>0</v>
      </c>
      <c r="I181" s="44">
        <f t="shared" si="62"/>
        <v>0</v>
      </c>
      <c r="J181" s="44">
        <f t="shared" si="62"/>
        <v>0</v>
      </c>
      <c r="K181" s="44">
        <f t="shared" si="62"/>
        <v>0</v>
      </c>
      <c r="L181" s="44">
        <f t="shared" si="62"/>
        <v>0</v>
      </c>
      <c r="M181" s="44">
        <f t="shared" si="62"/>
        <v>0</v>
      </c>
      <c r="N181" s="44">
        <f t="shared" si="62"/>
        <v>0</v>
      </c>
      <c r="O181" s="44">
        <f t="shared" si="62"/>
        <v>0</v>
      </c>
      <c r="P181" s="44">
        <f t="shared" si="62"/>
        <v>0</v>
      </c>
      <c r="Q181" s="44">
        <f t="shared" si="62"/>
        <v>0</v>
      </c>
      <c r="R181" s="44">
        <f t="shared" si="62"/>
        <v>0</v>
      </c>
      <c r="S181" s="44">
        <f t="shared" si="62"/>
        <v>0</v>
      </c>
      <c r="T181" s="44">
        <f t="shared" si="63"/>
        <v>0</v>
      </c>
      <c r="U181" s="44">
        <f t="shared" si="63"/>
        <v>0</v>
      </c>
      <c r="V181" s="44">
        <f t="shared" si="63"/>
        <v>0</v>
      </c>
      <c r="W181" s="44">
        <f t="shared" si="63"/>
        <v>0</v>
      </c>
      <c r="X181" s="44">
        <f t="shared" si="63"/>
        <v>0</v>
      </c>
      <c r="Y181" s="44">
        <f t="shared" si="63"/>
        <v>0</v>
      </c>
      <c r="Z181" s="44">
        <f t="shared" si="63"/>
        <v>0</v>
      </c>
      <c r="AA181" s="44">
        <f t="shared" si="63"/>
        <v>0</v>
      </c>
      <c r="AB181" s="44">
        <f t="shared" si="63"/>
        <v>0</v>
      </c>
      <c r="AC181" s="44">
        <f t="shared" si="63"/>
        <v>0</v>
      </c>
      <c r="AD181" s="44">
        <f t="shared" si="63"/>
        <v>0</v>
      </c>
      <c r="AE181" s="44">
        <f t="shared" si="63"/>
        <v>0</v>
      </c>
      <c r="AF181" s="44">
        <f t="shared" si="63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1"/>
        <v>0.6</v>
      </c>
      <c r="C182" s="55">
        <v>0.6</v>
      </c>
      <c r="D182" s="44">
        <f t="shared" si="62"/>
        <v>0.6</v>
      </c>
      <c r="E182" s="44">
        <f t="shared" si="62"/>
        <v>0.6</v>
      </c>
      <c r="F182" s="44">
        <f t="shared" si="62"/>
        <v>0.6</v>
      </c>
      <c r="G182" s="44">
        <f t="shared" si="62"/>
        <v>0.6</v>
      </c>
      <c r="H182" s="44">
        <f t="shared" si="62"/>
        <v>0.6</v>
      </c>
      <c r="I182" s="44">
        <f t="shared" si="62"/>
        <v>0.6</v>
      </c>
      <c r="J182" s="44">
        <f t="shared" si="62"/>
        <v>0.6</v>
      </c>
      <c r="K182" s="44">
        <f t="shared" si="62"/>
        <v>0.6</v>
      </c>
      <c r="L182" s="44">
        <f t="shared" si="62"/>
        <v>0.6</v>
      </c>
      <c r="M182" s="44">
        <f t="shared" si="62"/>
        <v>0.6</v>
      </c>
      <c r="N182" s="44">
        <f t="shared" si="62"/>
        <v>0.6</v>
      </c>
      <c r="O182" s="44">
        <f t="shared" si="62"/>
        <v>0.6</v>
      </c>
      <c r="P182" s="44">
        <f t="shared" si="62"/>
        <v>0.6</v>
      </c>
      <c r="Q182" s="44">
        <f t="shared" si="62"/>
        <v>0.6</v>
      </c>
      <c r="R182" s="44">
        <f t="shared" si="62"/>
        <v>0.6</v>
      </c>
      <c r="S182" s="44">
        <f t="shared" si="62"/>
        <v>0.6</v>
      </c>
      <c r="T182" s="44">
        <f t="shared" si="63"/>
        <v>0.6</v>
      </c>
      <c r="U182" s="44">
        <f t="shared" si="63"/>
        <v>0.6</v>
      </c>
      <c r="V182" s="44">
        <f t="shared" si="63"/>
        <v>0.6</v>
      </c>
      <c r="W182" s="44">
        <f t="shared" si="63"/>
        <v>0.6</v>
      </c>
      <c r="X182" s="44">
        <f t="shared" si="63"/>
        <v>0.6</v>
      </c>
      <c r="Y182" s="44">
        <f t="shared" si="63"/>
        <v>0.6</v>
      </c>
      <c r="Z182" s="44">
        <f t="shared" si="63"/>
        <v>0.6</v>
      </c>
      <c r="AA182" s="44">
        <f t="shared" si="63"/>
        <v>0.6</v>
      </c>
      <c r="AB182" s="44">
        <f t="shared" si="63"/>
        <v>0.6</v>
      </c>
      <c r="AC182" s="44">
        <f t="shared" si="63"/>
        <v>0.6</v>
      </c>
      <c r="AD182" s="44">
        <f t="shared" si="63"/>
        <v>0.6</v>
      </c>
      <c r="AE182" s="44">
        <f t="shared" si="63"/>
        <v>0.6</v>
      </c>
      <c r="AF182" s="44">
        <f t="shared" si="63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1"/>
        <v>0.6</v>
      </c>
      <c r="C183" s="55">
        <v>0.6</v>
      </c>
      <c r="D183" s="44">
        <f t="shared" si="62"/>
        <v>0.6</v>
      </c>
      <c r="E183" s="44">
        <f t="shared" si="62"/>
        <v>0.6</v>
      </c>
      <c r="F183" s="44">
        <f t="shared" si="62"/>
        <v>0.6</v>
      </c>
      <c r="G183" s="44">
        <f t="shared" si="62"/>
        <v>0.6</v>
      </c>
      <c r="H183" s="44">
        <f t="shared" si="62"/>
        <v>0.6</v>
      </c>
      <c r="I183" s="44">
        <f t="shared" si="62"/>
        <v>0.6</v>
      </c>
      <c r="J183" s="44">
        <f t="shared" si="62"/>
        <v>0.6</v>
      </c>
      <c r="K183" s="44">
        <f t="shared" si="62"/>
        <v>0.6</v>
      </c>
      <c r="L183" s="44">
        <f t="shared" si="62"/>
        <v>0.6</v>
      </c>
      <c r="M183" s="44">
        <f t="shared" si="62"/>
        <v>0.6</v>
      </c>
      <c r="N183" s="44">
        <f t="shared" si="62"/>
        <v>0.6</v>
      </c>
      <c r="O183" s="44">
        <f t="shared" si="62"/>
        <v>0.6</v>
      </c>
      <c r="P183" s="44">
        <f t="shared" si="62"/>
        <v>0.6</v>
      </c>
      <c r="Q183" s="44">
        <f t="shared" si="62"/>
        <v>0.6</v>
      </c>
      <c r="R183" s="44">
        <f t="shared" si="62"/>
        <v>0.6</v>
      </c>
      <c r="S183" s="44">
        <f t="shared" si="62"/>
        <v>0.6</v>
      </c>
      <c r="T183" s="44">
        <f t="shared" si="63"/>
        <v>0.6</v>
      </c>
      <c r="U183" s="44">
        <f t="shared" si="63"/>
        <v>0.6</v>
      </c>
      <c r="V183" s="44">
        <f t="shared" si="63"/>
        <v>0.6</v>
      </c>
      <c r="W183" s="44">
        <f t="shared" si="63"/>
        <v>0.6</v>
      </c>
      <c r="X183" s="44">
        <f t="shared" si="63"/>
        <v>0.6</v>
      </c>
      <c r="Y183" s="44">
        <f t="shared" si="63"/>
        <v>0.6</v>
      </c>
      <c r="Z183" s="44">
        <f t="shared" si="63"/>
        <v>0.6</v>
      </c>
      <c r="AA183" s="44">
        <f t="shared" si="63"/>
        <v>0.6</v>
      </c>
      <c r="AB183" s="44">
        <f t="shared" si="63"/>
        <v>0.6</v>
      </c>
      <c r="AC183" s="44">
        <f t="shared" si="63"/>
        <v>0.6</v>
      </c>
      <c r="AD183" s="44">
        <f t="shared" si="63"/>
        <v>0.6</v>
      </c>
      <c r="AE183" s="44">
        <f t="shared" si="63"/>
        <v>0.6</v>
      </c>
      <c r="AF183" s="44">
        <f t="shared" si="63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1"/>
        <v>0.35</v>
      </c>
      <c r="C184" s="55">
        <v>0.35</v>
      </c>
      <c r="D184" s="44">
        <f t="shared" si="62"/>
        <v>0.35</v>
      </c>
      <c r="E184" s="44">
        <f t="shared" si="62"/>
        <v>0.35</v>
      </c>
      <c r="F184" s="44">
        <f t="shared" si="62"/>
        <v>0.35</v>
      </c>
      <c r="G184" s="44">
        <f t="shared" si="62"/>
        <v>0.35</v>
      </c>
      <c r="H184" s="44">
        <f t="shared" si="62"/>
        <v>0.35</v>
      </c>
      <c r="I184" s="44">
        <f t="shared" si="62"/>
        <v>0.35</v>
      </c>
      <c r="J184" s="44">
        <f t="shared" si="62"/>
        <v>0.35</v>
      </c>
      <c r="K184" s="44">
        <f t="shared" si="62"/>
        <v>0.35</v>
      </c>
      <c r="L184" s="44">
        <f t="shared" si="62"/>
        <v>0.35</v>
      </c>
      <c r="M184" s="44">
        <f t="shared" si="62"/>
        <v>0.35</v>
      </c>
      <c r="N184" s="44">
        <f t="shared" si="62"/>
        <v>0.35</v>
      </c>
      <c r="O184" s="44">
        <f t="shared" si="62"/>
        <v>0.35</v>
      </c>
      <c r="P184" s="44">
        <f t="shared" si="62"/>
        <v>0.35</v>
      </c>
      <c r="Q184" s="44">
        <f t="shared" si="62"/>
        <v>0.35</v>
      </c>
      <c r="R184" s="44">
        <f t="shared" si="62"/>
        <v>0.35</v>
      </c>
      <c r="S184" s="44">
        <f t="shared" si="62"/>
        <v>0.35</v>
      </c>
      <c r="T184" s="44">
        <f t="shared" si="63"/>
        <v>0.35</v>
      </c>
      <c r="U184" s="44">
        <f t="shared" si="63"/>
        <v>0.35</v>
      </c>
      <c r="V184" s="44">
        <f t="shared" si="63"/>
        <v>0.35</v>
      </c>
      <c r="W184" s="44">
        <f t="shared" si="63"/>
        <v>0.35</v>
      </c>
      <c r="X184" s="44">
        <f t="shared" si="63"/>
        <v>0.35</v>
      </c>
      <c r="Y184" s="44">
        <f t="shared" si="63"/>
        <v>0.35</v>
      </c>
      <c r="Z184" s="44">
        <f t="shared" si="63"/>
        <v>0.35</v>
      </c>
      <c r="AA184" s="44">
        <f t="shared" si="63"/>
        <v>0.35</v>
      </c>
      <c r="AB184" s="44">
        <f t="shared" si="63"/>
        <v>0.35</v>
      </c>
      <c r="AC184" s="44">
        <f t="shared" si="63"/>
        <v>0.35</v>
      </c>
      <c r="AD184" s="44">
        <f t="shared" si="63"/>
        <v>0.35</v>
      </c>
      <c r="AE184" s="44">
        <f t="shared" si="63"/>
        <v>0.35</v>
      </c>
      <c r="AF184" s="44">
        <f t="shared" si="63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1"/>
        <v>0.28999999999999998</v>
      </c>
      <c r="C185" s="55">
        <v>0.28999999999999998</v>
      </c>
      <c r="D185" s="44">
        <f t="shared" si="62"/>
        <v>0.28999999999999998</v>
      </c>
      <c r="E185" s="44">
        <f t="shared" si="62"/>
        <v>0.28999999999999998</v>
      </c>
      <c r="F185" s="44">
        <f t="shared" si="62"/>
        <v>0.28999999999999998</v>
      </c>
      <c r="G185" s="44">
        <f t="shared" si="62"/>
        <v>0.28999999999999998</v>
      </c>
      <c r="H185" s="44">
        <f t="shared" si="62"/>
        <v>0.28999999999999998</v>
      </c>
      <c r="I185" s="44">
        <f t="shared" si="62"/>
        <v>0.28999999999999998</v>
      </c>
      <c r="J185" s="44">
        <f t="shared" si="62"/>
        <v>0.28999999999999998</v>
      </c>
      <c r="K185" s="44">
        <f t="shared" si="62"/>
        <v>0.28999999999999998</v>
      </c>
      <c r="L185" s="44">
        <f t="shared" si="62"/>
        <v>0.28999999999999998</v>
      </c>
      <c r="M185" s="44">
        <f t="shared" si="62"/>
        <v>0.28999999999999998</v>
      </c>
      <c r="N185" s="44">
        <f t="shared" si="62"/>
        <v>0.28999999999999998</v>
      </c>
      <c r="O185" s="44">
        <f t="shared" si="62"/>
        <v>0.28999999999999998</v>
      </c>
      <c r="P185" s="44">
        <f t="shared" si="62"/>
        <v>0.28999999999999998</v>
      </c>
      <c r="Q185" s="44">
        <f t="shared" si="62"/>
        <v>0.28999999999999998</v>
      </c>
      <c r="R185" s="44">
        <f t="shared" si="62"/>
        <v>0.28999999999999998</v>
      </c>
      <c r="S185" s="44">
        <f t="shared" si="62"/>
        <v>0.28999999999999998</v>
      </c>
      <c r="T185" s="44">
        <f t="shared" si="63"/>
        <v>0.28999999999999998</v>
      </c>
      <c r="U185" s="44">
        <f t="shared" si="63"/>
        <v>0.28999999999999998</v>
      </c>
      <c r="V185" s="44">
        <f t="shared" si="63"/>
        <v>0.28999999999999998</v>
      </c>
      <c r="W185" s="44">
        <f t="shared" si="63"/>
        <v>0.28999999999999998</v>
      </c>
      <c r="X185" s="44">
        <f t="shared" si="63"/>
        <v>0.28999999999999998</v>
      </c>
      <c r="Y185" s="44">
        <f t="shared" si="63"/>
        <v>0.28999999999999998</v>
      </c>
      <c r="Z185" s="44">
        <f t="shared" si="63"/>
        <v>0.28999999999999998</v>
      </c>
      <c r="AA185" s="44">
        <f t="shared" si="63"/>
        <v>0.28999999999999998</v>
      </c>
      <c r="AB185" s="44">
        <f t="shared" si="63"/>
        <v>0.28999999999999998</v>
      </c>
      <c r="AC185" s="44">
        <f t="shared" si="63"/>
        <v>0.28999999999999998</v>
      </c>
      <c r="AD185" s="44">
        <f t="shared" si="63"/>
        <v>0.28999999999999998</v>
      </c>
      <c r="AE185" s="44">
        <f t="shared" si="63"/>
        <v>0.28999999999999998</v>
      </c>
      <c r="AF185" s="44">
        <f t="shared" si="63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1"/>
        <v>0.06</v>
      </c>
      <c r="C186" s="55">
        <v>0.06</v>
      </c>
      <c r="D186" s="44">
        <f t="shared" si="62"/>
        <v>0.06</v>
      </c>
      <c r="E186" s="44">
        <f t="shared" si="62"/>
        <v>0.06</v>
      </c>
      <c r="F186" s="44">
        <f t="shared" si="62"/>
        <v>0.06</v>
      </c>
      <c r="G186" s="44">
        <f t="shared" si="62"/>
        <v>0.06</v>
      </c>
      <c r="H186" s="44">
        <f t="shared" si="62"/>
        <v>0.06</v>
      </c>
      <c r="I186" s="44">
        <f t="shared" si="62"/>
        <v>0.06</v>
      </c>
      <c r="J186" s="44">
        <f t="shared" si="62"/>
        <v>0.06</v>
      </c>
      <c r="K186" s="44">
        <f t="shared" si="62"/>
        <v>0.06</v>
      </c>
      <c r="L186" s="44">
        <f t="shared" si="62"/>
        <v>0.06</v>
      </c>
      <c r="M186" s="44">
        <f t="shared" si="62"/>
        <v>0.06</v>
      </c>
      <c r="N186" s="44">
        <f t="shared" si="62"/>
        <v>0.06</v>
      </c>
      <c r="O186" s="44">
        <f t="shared" si="62"/>
        <v>0.06</v>
      </c>
      <c r="P186" s="44">
        <f t="shared" si="62"/>
        <v>0.06</v>
      </c>
      <c r="Q186" s="44">
        <f t="shared" si="62"/>
        <v>0.06</v>
      </c>
      <c r="R186" s="44">
        <f t="shared" si="62"/>
        <v>0.06</v>
      </c>
      <c r="S186" s="44">
        <f t="shared" si="62"/>
        <v>0.06</v>
      </c>
      <c r="T186" s="44">
        <f t="shared" si="63"/>
        <v>0.06</v>
      </c>
      <c r="U186" s="44">
        <f t="shared" si="63"/>
        <v>0.06</v>
      </c>
      <c r="V186" s="44">
        <f t="shared" si="63"/>
        <v>0.06</v>
      </c>
      <c r="W186" s="44">
        <f t="shared" si="63"/>
        <v>0.06</v>
      </c>
      <c r="X186" s="44">
        <f t="shared" si="63"/>
        <v>0.06</v>
      </c>
      <c r="Y186" s="44">
        <f t="shared" si="63"/>
        <v>0.06</v>
      </c>
      <c r="Z186" s="44">
        <f t="shared" si="63"/>
        <v>0.06</v>
      </c>
      <c r="AA186" s="44">
        <f t="shared" si="63"/>
        <v>0.06</v>
      </c>
      <c r="AB186" s="44">
        <f t="shared" si="63"/>
        <v>0.06</v>
      </c>
      <c r="AC186" s="44">
        <f t="shared" si="63"/>
        <v>0.06</v>
      </c>
      <c r="AD186" s="44">
        <f t="shared" si="63"/>
        <v>0.06</v>
      </c>
      <c r="AE186" s="44">
        <f t="shared" si="63"/>
        <v>0.06</v>
      </c>
      <c r="AF186" s="44">
        <f t="shared" si="63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1"/>
        <v>0.11</v>
      </c>
      <c r="C187" s="55">
        <v>0.11</v>
      </c>
      <c r="D187" s="44">
        <f t="shared" si="62"/>
        <v>0.11</v>
      </c>
      <c r="E187" s="44">
        <f t="shared" si="62"/>
        <v>0.11</v>
      </c>
      <c r="F187" s="44">
        <f t="shared" si="62"/>
        <v>0.11</v>
      </c>
      <c r="G187" s="44">
        <f t="shared" si="62"/>
        <v>0.11</v>
      </c>
      <c r="H187" s="44">
        <f t="shared" si="62"/>
        <v>0.11</v>
      </c>
      <c r="I187" s="44">
        <f t="shared" si="62"/>
        <v>0.11</v>
      </c>
      <c r="J187" s="44">
        <f t="shared" si="62"/>
        <v>0.11</v>
      </c>
      <c r="K187" s="44">
        <f t="shared" si="62"/>
        <v>0.11</v>
      </c>
      <c r="L187" s="44">
        <f t="shared" si="62"/>
        <v>0.11</v>
      </c>
      <c r="M187" s="44">
        <f t="shared" si="62"/>
        <v>0.11</v>
      </c>
      <c r="N187" s="44">
        <f t="shared" si="62"/>
        <v>0.11</v>
      </c>
      <c r="O187" s="44">
        <f t="shared" si="62"/>
        <v>0.11</v>
      </c>
      <c r="P187" s="44">
        <f t="shared" si="62"/>
        <v>0.11</v>
      </c>
      <c r="Q187" s="44">
        <f t="shared" si="62"/>
        <v>0.11</v>
      </c>
      <c r="R187" s="44">
        <f t="shared" si="62"/>
        <v>0.11</v>
      </c>
      <c r="S187" s="44">
        <f t="shared" si="62"/>
        <v>0.11</v>
      </c>
      <c r="T187" s="44">
        <f t="shared" si="63"/>
        <v>0.11</v>
      </c>
      <c r="U187" s="44">
        <f t="shared" si="63"/>
        <v>0.11</v>
      </c>
      <c r="V187" s="44">
        <f t="shared" si="63"/>
        <v>0.11</v>
      </c>
      <c r="W187" s="44">
        <f t="shared" si="63"/>
        <v>0.11</v>
      </c>
      <c r="X187" s="44">
        <f t="shared" si="63"/>
        <v>0.11</v>
      </c>
      <c r="Y187" s="44">
        <f t="shared" si="63"/>
        <v>0.11</v>
      </c>
      <c r="Z187" s="44">
        <f t="shared" si="63"/>
        <v>0.11</v>
      </c>
      <c r="AA187" s="44">
        <f t="shared" si="63"/>
        <v>0.11</v>
      </c>
      <c r="AB187" s="44">
        <f t="shared" si="63"/>
        <v>0.11</v>
      </c>
      <c r="AC187" s="44">
        <f t="shared" si="63"/>
        <v>0.11</v>
      </c>
      <c r="AD187" s="44">
        <f t="shared" si="63"/>
        <v>0.11</v>
      </c>
      <c r="AE187" s="44">
        <f t="shared" si="63"/>
        <v>0.11</v>
      </c>
      <c r="AF187" s="44">
        <f t="shared" si="63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1"/>
        <v>0.1</v>
      </c>
      <c r="C188" s="55">
        <v>0.1</v>
      </c>
      <c r="D188" s="44">
        <f t="shared" si="62"/>
        <v>0.1</v>
      </c>
      <c r="E188" s="44">
        <f t="shared" si="62"/>
        <v>0.1</v>
      </c>
      <c r="F188" s="44">
        <f t="shared" si="62"/>
        <v>0.1</v>
      </c>
      <c r="G188" s="44">
        <f t="shared" si="62"/>
        <v>0.1</v>
      </c>
      <c r="H188" s="44">
        <f t="shared" si="62"/>
        <v>0.1</v>
      </c>
      <c r="I188" s="44">
        <f t="shared" si="62"/>
        <v>0.1</v>
      </c>
      <c r="J188" s="44">
        <f t="shared" si="62"/>
        <v>0.1</v>
      </c>
      <c r="K188" s="44">
        <f t="shared" si="62"/>
        <v>0.1</v>
      </c>
      <c r="L188" s="44">
        <f t="shared" si="62"/>
        <v>0.1</v>
      </c>
      <c r="M188" s="44">
        <f t="shared" si="62"/>
        <v>0.1</v>
      </c>
      <c r="N188" s="44">
        <f t="shared" si="62"/>
        <v>0.1</v>
      </c>
      <c r="O188" s="44">
        <f t="shared" si="62"/>
        <v>0.1</v>
      </c>
      <c r="P188" s="44">
        <f t="shared" si="62"/>
        <v>0.1</v>
      </c>
      <c r="Q188" s="44">
        <f t="shared" si="62"/>
        <v>0.1</v>
      </c>
      <c r="R188" s="44">
        <f t="shared" si="62"/>
        <v>0.1</v>
      </c>
      <c r="S188" s="44">
        <f t="shared" si="63"/>
        <v>0.1</v>
      </c>
      <c r="T188" s="44">
        <f t="shared" si="63"/>
        <v>0.1</v>
      </c>
      <c r="U188" s="44">
        <f t="shared" si="63"/>
        <v>0.1</v>
      </c>
      <c r="V188" s="44">
        <f t="shared" si="63"/>
        <v>0.1</v>
      </c>
      <c r="W188" s="44">
        <f t="shared" si="63"/>
        <v>0.1</v>
      </c>
      <c r="X188" s="44">
        <f t="shared" si="63"/>
        <v>0.1</v>
      </c>
      <c r="Y188" s="44">
        <f t="shared" si="63"/>
        <v>0.1</v>
      </c>
      <c r="Z188" s="44">
        <f t="shared" si="63"/>
        <v>0.1</v>
      </c>
      <c r="AA188" s="44">
        <f t="shared" si="63"/>
        <v>0.1</v>
      </c>
      <c r="AB188" s="44">
        <f t="shared" si="63"/>
        <v>0.1</v>
      </c>
      <c r="AC188" s="44">
        <f t="shared" si="63"/>
        <v>0.1</v>
      </c>
      <c r="AD188" s="44">
        <f t="shared" si="63"/>
        <v>0.1</v>
      </c>
      <c r="AE188" s="44">
        <f t="shared" si="63"/>
        <v>0.1</v>
      </c>
      <c r="AF188" s="44">
        <f t="shared" si="63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1"/>
        <v>0.09</v>
      </c>
      <c r="C189" s="55">
        <v>0.09</v>
      </c>
      <c r="D189" s="44">
        <f t="shared" si="62"/>
        <v>0.09</v>
      </c>
      <c r="E189" s="44">
        <f t="shared" si="62"/>
        <v>0.09</v>
      </c>
      <c r="F189" s="44">
        <f t="shared" si="62"/>
        <v>0.09</v>
      </c>
      <c r="G189" s="44">
        <f t="shared" si="62"/>
        <v>0.09</v>
      </c>
      <c r="H189" s="44">
        <f t="shared" si="62"/>
        <v>0.09</v>
      </c>
      <c r="I189" s="44">
        <f t="shared" si="62"/>
        <v>0.09</v>
      </c>
      <c r="J189" s="44">
        <f t="shared" si="62"/>
        <v>0.09</v>
      </c>
      <c r="K189" s="44">
        <f t="shared" si="62"/>
        <v>0.09</v>
      </c>
      <c r="L189" s="44">
        <f t="shared" si="62"/>
        <v>0.09</v>
      </c>
      <c r="M189" s="44">
        <f t="shared" si="62"/>
        <v>0.09</v>
      </c>
      <c r="N189" s="44">
        <f t="shared" si="62"/>
        <v>0.09</v>
      </c>
      <c r="O189" s="44">
        <f t="shared" si="62"/>
        <v>0.09</v>
      </c>
      <c r="P189" s="44">
        <f t="shared" si="62"/>
        <v>0.09</v>
      </c>
      <c r="Q189" s="44">
        <f t="shared" si="62"/>
        <v>0.09</v>
      </c>
      <c r="R189" s="44">
        <f t="shared" si="62"/>
        <v>0.09</v>
      </c>
      <c r="S189" s="44">
        <f t="shared" si="63"/>
        <v>0.09</v>
      </c>
      <c r="T189" s="44">
        <f t="shared" si="63"/>
        <v>0.09</v>
      </c>
      <c r="U189" s="44">
        <f t="shared" si="63"/>
        <v>0.09</v>
      </c>
      <c r="V189" s="44">
        <f t="shared" si="63"/>
        <v>0.09</v>
      </c>
      <c r="W189" s="44">
        <f t="shared" si="63"/>
        <v>0.09</v>
      </c>
      <c r="X189" s="44">
        <f t="shared" si="63"/>
        <v>0.09</v>
      </c>
      <c r="Y189" s="44">
        <f t="shared" si="63"/>
        <v>0.09</v>
      </c>
      <c r="Z189" s="44">
        <f t="shared" si="63"/>
        <v>0.09</v>
      </c>
      <c r="AA189" s="44">
        <f t="shared" si="63"/>
        <v>0.09</v>
      </c>
      <c r="AB189" s="44">
        <f t="shared" si="63"/>
        <v>0.09</v>
      </c>
      <c r="AC189" s="44">
        <f t="shared" si="63"/>
        <v>0.09</v>
      </c>
      <c r="AD189" s="44">
        <f t="shared" si="63"/>
        <v>0.09</v>
      </c>
      <c r="AE189" s="44">
        <f t="shared" si="63"/>
        <v>0.09</v>
      </c>
      <c r="AF189" s="44">
        <f t="shared" si="63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1"/>
        <v>0.04</v>
      </c>
      <c r="C190" s="54">
        <v>0.04</v>
      </c>
      <c r="D190" s="44">
        <f t="shared" si="62"/>
        <v>0.04</v>
      </c>
      <c r="E190" s="44">
        <f t="shared" si="62"/>
        <v>0.04</v>
      </c>
      <c r="F190" s="44">
        <f t="shared" si="62"/>
        <v>0.04</v>
      </c>
      <c r="G190" s="44">
        <f t="shared" si="62"/>
        <v>0.04</v>
      </c>
      <c r="H190" s="44">
        <f t="shared" si="62"/>
        <v>0.04</v>
      </c>
      <c r="I190" s="44">
        <f t="shared" si="62"/>
        <v>0.04</v>
      </c>
      <c r="J190" s="44">
        <f t="shared" si="62"/>
        <v>0.04</v>
      </c>
      <c r="K190" s="44">
        <f t="shared" si="62"/>
        <v>0.04</v>
      </c>
      <c r="L190" s="44">
        <f t="shared" si="62"/>
        <v>0.04</v>
      </c>
      <c r="M190" s="44">
        <f t="shared" si="62"/>
        <v>0.04</v>
      </c>
      <c r="N190" s="44">
        <f t="shared" si="62"/>
        <v>0.04</v>
      </c>
      <c r="O190" s="44">
        <f t="shared" si="62"/>
        <v>0.04</v>
      </c>
      <c r="P190" s="44">
        <f t="shared" si="62"/>
        <v>0.04</v>
      </c>
      <c r="Q190" s="44">
        <f t="shared" si="62"/>
        <v>0.04</v>
      </c>
      <c r="R190" s="44">
        <f t="shared" si="62"/>
        <v>0.04</v>
      </c>
      <c r="S190" s="44">
        <f t="shared" si="63"/>
        <v>0.04</v>
      </c>
      <c r="T190" s="44">
        <f t="shared" si="63"/>
        <v>0.04</v>
      </c>
      <c r="U190" s="44">
        <f t="shared" si="63"/>
        <v>0.04</v>
      </c>
      <c r="V190" s="44">
        <f t="shared" si="63"/>
        <v>0.04</v>
      </c>
      <c r="W190" s="44">
        <f t="shared" si="63"/>
        <v>0.04</v>
      </c>
      <c r="X190" s="44">
        <f t="shared" si="63"/>
        <v>0.04</v>
      </c>
      <c r="Y190" s="44">
        <f t="shared" si="63"/>
        <v>0.04</v>
      </c>
      <c r="Z190" s="44">
        <f t="shared" si="63"/>
        <v>0.04</v>
      </c>
      <c r="AA190" s="44">
        <f t="shared" si="63"/>
        <v>0.04</v>
      </c>
      <c r="AB190" s="44">
        <f t="shared" si="63"/>
        <v>0.04</v>
      </c>
      <c r="AC190" s="44">
        <f t="shared" si="63"/>
        <v>0.04</v>
      </c>
      <c r="AD190" s="44">
        <f t="shared" si="63"/>
        <v>0.04</v>
      </c>
      <c r="AE190" s="44">
        <f t="shared" si="63"/>
        <v>0.04</v>
      </c>
      <c r="AF190" s="44">
        <f t="shared" si="63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1"/>
        <v>2.3E-2</v>
      </c>
      <c r="C191" s="54">
        <v>2.3E-2</v>
      </c>
      <c r="D191" s="44">
        <f>C191</f>
        <v>2.3E-2</v>
      </c>
      <c r="E191" s="44">
        <f t="shared" si="62"/>
        <v>2.3E-2</v>
      </c>
      <c r="F191" s="44">
        <f t="shared" si="62"/>
        <v>2.3E-2</v>
      </c>
      <c r="G191" s="44">
        <f t="shared" si="62"/>
        <v>2.3E-2</v>
      </c>
      <c r="H191" s="44">
        <f t="shared" si="62"/>
        <v>2.3E-2</v>
      </c>
      <c r="I191" s="44">
        <f t="shared" si="62"/>
        <v>2.3E-2</v>
      </c>
      <c r="J191" s="44">
        <f t="shared" si="62"/>
        <v>2.3E-2</v>
      </c>
      <c r="K191" s="44">
        <f t="shared" si="62"/>
        <v>2.3E-2</v>
      </c>
      <c r="L191" s="44">
        <f t="shared" si="62"/>
        <v>2.3E-2</v>
      </c>
      <c r="M191" s="44">
        <f t="shared" si="62"/>
        <v>2.3E-2</v>
      </c>
      <c r="N191" s="44">
        <f t="shared" si="62"/>
        <v>2.3E-2</v>
      </c>
      <c r="O191" s="44">
        <f t="shared" si="62"/>
        <v>2.3E-2</v>
      </c>
      <c r="P191" s="44">
        <f t="shared" si="62"/>
        <v>2.3E-2</v>
      </c>
      <c r="Q191" s="44">
        <f t="shared" si="62"/>
        <v>2.3E-2</v>
      </c>
      <c r="R191" s="44">
        <f t="shared" si="62"/>
        <v>2.3E-2</v>
      </c>
      <c r="S191" s="44">
        <f t="shared" si="63"/>
        <v>2.3E-2</v>
      </c>
      <c r="T191" s="44">
        <f t="shared" si="63"/>
        <v>2.3E-2</v>
      </c>
      <c r="U191" s="44">
        <f t="shared" si="63"/>
        <v>2.3E-2</v>
      </c>
      <c r="V191" s="44">
        <f t="shared" si="63"/>
        <v>2.3E-2</v>
      </c>
      <c r="W191" s="44">
        <f t="shared" si="63"/>
        <v>2.3E-2</v>
      </c>
      <c r="X191" s="44">
        <f t="shared" si="63"/>
        <v>2.3E-2</v>
      </c>
      <c r="Y191" s="44">
        <f t="shared" si="63"/>
        <v>2.3E-2</v>
      </c>
      <c r="Z191" s="44">
        <f t="shared" si="63"/>
        <v>2.3E-2</v>
      </c>
      <c r="AA191" s="44">
        <f t="shared" si="63"/>
        <v>2.3E-2</v>
      </c>
      <c r="AB191" s="44">
        <f t="shared" si="63"/>
        <v>2.3E-2</v>
      </c>
      <c r="AC191" s="44">
        <f t="shared" si="63"/>
        <v>2.3E-2</v>
      </c>
      <c r="AD191" s="44">
        <f t="shared" si="63"/>
        <v>2.3E-2</v>
      </c>
      <c r="AE191" s="44">
        <f t="shared" si="63"/>
        <v>2.3E-2</v>
      </c>
      <c r="AF191" s="44">
        <f t="shared" si="63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4">SUM(C102:C191)</f>
        <v>194.70600000000002</v>
      </c>
      <c r="D192" s="51">
        <f t="shared" si="64"/>
        <v>194.70600000000002</v>
      </c>
      <c r="E192" s="51">
        <f t="shared" si="64"/>
        <v>194.70600000000002</v>
      </c>
      <c r="F192" s="51">
        <f t="shared" si="64"/>
        <v>194.70600000000002</v>
      </c>
      <c r="G192" s="51">
        <f t="shared" si="64"/>
        <v>194.70600000000002</v>
      </c>
      <c r="H192" s="51">
        <f t="shared" si="64"/>
        <v>194.70600000000002</v>
      </c>
      <c r="I192" s="51">
        <f t="shared" si="64"/>
        <v>194.70600000000002</v>
      </c>
      <c r="J192" s="51">
        <f t="shared" si="64"/>
        <v>192.10600000000005</v>
      </c>
      <c r="K192" s="51">
        <f t="shared" si="64"/>
        <v>192.10600000000005</v>
      </c>
      <c r="L192" s="51">
        <f t="shared" si="64"/>
        <v>192.10600000000005</v>
      </c>
      <c r="M192" s="51">
        <f t="shared" si="64"/>
        <v>192.10600000000005</v>
      </c>
      <c r="N192" s="51">
        <f t="shared" si="64"/>
        <v>192.10600000000005</v>
      </c>
      <c r="O192" s="51">
        <f t="shared" si="64"/>
        <v>192.10600000000005</v>
      </c>
      <c r="P192" s="51">
        <f t="shared" si="64"/>
        <v>192.10600000000005</v>
      </c>
      <c r="Q192" s="51">
        <f t="shared" si="64"/>
        <v>192.10600000000005</v>
      </c>
      <c r="R192" s="51">
        <f t="shared" si="64"/>
        <v>192.10600000000005</v>
      </c>
      <c r="S192" s="51">
        <f t="shared" si="64"/>
        <v>192.10600000000005</v>
      </c>
      <c r="T192" s="51">
        <f t="shared" si="64"/>
        <v>192.10600000000005</v>
      </c>
      <c r="U192" s="51">
        <f t="shared" si="64"/>
        <v>192.10600000000005</v>
      </c>
      <c r="V192" s="51">
        <f t="shared" si="64"/>
        <v>192.10600000000005</v>
      </c>
      <c r="W192" s="51">
        <f t="shared" si="64"/>
        <v>192.10600000000005</v>
      </c>
      <c r="X192" s="51">
        <f t="shared" si="64"/>
        <v>192.10600000000005</v>
      </c>
      <c r="Y192" s="51">
        <f t="shared" si="64"/>
        <v>192.10600000000005</v>
      </c>
      <c r="Z192" s="51">
        <f t="shared" si="64"/>
        <v>192.10600000000005</v>
      </c>
      <c r="AA192" s="51">
        <f t="shared" si="64"/>
        <v>192.10600000000005</v>
      </c>
      <c r="AB192" s="51">
        <f t="shared" si="64"/>
        <v>192.10600000000005</v>
      </c>
      <c r="AC192" s="51">
        <f t="shared" si="64"/>
        <v>192.10600000000005</v>
      </c>
      <c r="AD192" s="51">
        <f t="shared" si="64"/>
        <v>192.10600000000005</v>
      </c>
      <c r="AE192" s="51">
        <f t="shared" si="64"/>
        <v>192.10600000000005</v>
      </c>
      <c r="AF192" s="51">
        <f t="shared" si="64"/>
        <v>192.10600000000005</v>
      </c>
      <c r="AG192" s="50">
        <f t="shared" si="64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65">AF194</f>
        <v>0.3</v>
      </c>
      <c r="C194" s="47">
        <v>0.3</v>
      </c>
      <c r="D194" s="47">
        <f t="shared" ref="D194:S199" si="66">C194</f>
        <v>0.3</v>
      </c>
      <c r="E194" s="47">
        <f t="shared" si="66"/>
        <v>0.3</v>
      </c>
      <c r="F194" s="47">
        <f t="shared" si="66"/>
        <v>0.3</v>
      </c>
      <c r="G194" s="47">
        <f t="shared" si="66"/>
        <v>0.3</v>
      </c>
      <c r="H194" s="47">
        <f t="shared" si="66"/>
        <v>0.3</v>
      </c>
      <c r="I194" s="47">
        <f t="shared" si="66"/>
        <v>0.3</v>
      </c>
      <c r="J194" s="47">
        <f t="shared" si="66"/>
        <v>0.3</v>
      </c>
      <c r="K194" s="47">
        <f t="shared" si="66"/>
        <v>0.3</v>
      </c>
      <c r="L194" s="47">
        <f t="shared" si="66"/>
        <v>0.3</v>
      </c>
      <c r="M194" s="47">
        <f t="shared" si="66"/>
        <v>0.3</v>
      </c>
      <c r="N194" s="47">
        <f t="shared" si="66"/>
        <v>0.3</v>
      </c>
      <c r="O194" s="47">
        <f t="shared" si="66"/>
        <v>0.3</v>
      </c>
      <c r="P194" s="47">
        <f t="shared" si="66"/>
        <v>0.3</v>
      </c>
      <c r="Q194" s="47">
        <f t="shared" si="66"/>
        <v>0.3</v>
      </c>
      <c r="R194" s="47">
        <f t="shared" si="66"/>
        <v>0.3</v>
      </c>
      <c r="S194" s="47">
        <f t="shared" si="66"/>
        <v>0.3</v>
      </c>
      <c r="T194" s="47">
        <f t="shared" ref="T194:AF199" si="67">S194</f>
        <v>0.3</v>
      </c>
      <c r="U194" s="47">
        <f t="shared" si="67"/>
        <v>0.3</v>
      </c>
      <c r="V194" s="47">
        <f t="shared" si="67"/>
        <v>0.3</v>
      </c>
      <c r="W194" s="47">
        <f t="shared" si="67"/>
        <v>0.3</v>
      </c>
      <c r="X194" s="47">
        <f t="shared" si="67"/>
        <v>0.3</v>
      </c>
      <c r="Y194" s="47">
        <f t="shared" si="67"/>
        <v>0.3</v>
      </c>
      <c r="Z194" s="47">
        <f t="shared" si="67"/>
        <v>0.3</v>
      </c>
      <c r="AA194" s="47">
        <f t="shared" si="67"/>
        <v>0.3</v>
      </c>
      <c r="AB194" s="47">
        <f t="shared" si="67"/>
        <v>0.3</v>
      </c>
      <c r="AC194" s="47">
        <f t="shared" si="67"/>
        <v>0.3</v>
      </c>
      <c r="AD194" s="47">
        <f t="shared" si="67"/>
        <v>0.3</v>
      </c>
      <c r="AE194" s="47">
        <f t="shared" si="67"/>
        <v>0.3</v>
      </c>
      <c r="AF194" s="47">
        <f t="shared" si="67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65"/>
        <v>0.4</v>
      </c>
      <c r="C195" s="44">
        <v>0.4</v>
      </c>
      <c r="D195" s="44">
        <f t="shared" si="66"/>
        <v>0.4</v>
      </c>
      <c r="E195" s="44">
        <f t="shared" si="66"/>
        <v>0.4</v>
      </c>
      <c r="F195" s="44">
        <f t="shared" si="66"/>
        <v>0.4</v>
      </c>
      <c r="G195" s="44">
        <f t="shared" si="66"/>
        <v>0.4</v>
      </c>
      <c r="H195" s="44">
        <f t="shared" si="66"/>
        <v>0.4</v>
      </c>
      <c r="I195" s="44">
        <f t="shared" si="66"/>
        <v>0.4</v>
      </c>
      <c r="J195" s="44">
        <f t="shared" si="66"/>
        <v>0.4</v>
      </c>
      <c r="K195" s="44">
        <f t="shared" si="66"/>
        <v>0.4</v>
      </c>
      <c r="L195" s="44">
        <f t="shared" si="66"/>
        <v>0.4</v>
      </c>
      <c r="M195" s="44">
        <f t="shared" si="66"/>
        <v>0.4</v>
      </c>
      <c r="N195" s="44">
        <f t="shared" si="66"/>
        <v>0.4</v>
      </c>
      <c r="O195" s="44">
        <f t="shared" si="66"/>
        <v>0.4</v>
      </c>
      <c r="P195" s="44">
        <f t="shared" si="66"/>
        <v>0.4</v>
      </c>
      <c r="Q195" s="44">
        <f t="shared" si="66"/>
        <v>0.4</v>
      </c>
      <c r="R195" s="44">
        <f t="shared" si="66"/>
        <v>0.4</v>
      </c>
      <c r="S195" s="44">
        <f t="shared" si="66"/>
        <v>0.4</v>
      </c>
      <c r="T195" s="44">
        <f t="shared" si="67"/>
        <v>0.4</v>
      </c>
      <c r="U195" s="44">
        <f t="shared" si="67"/>
        <v>0.4</v>
      </c>
      <c r="V195" s="44">
        <f t="shared" si="67"/>
        <v>0.4</v>
      </c>
      <c r="W195" s="44">
        <f>V195</f>
        <v>0.4</v>
      </c>
      <c r="X195" s="44">
        <f>W195</f>
        <v>0.4</v>
      </c>
      <c r="Y195" s="44">
        <f t="shared" si="67"/>
        <v>0.4</v>
      </c>
      <c r="Z195" s="44">
        <f t="shared" si="67"/>
        <v>0.4</v>
      </c>
      <c r="AA195" s="44">
        <f t="shared" si="67"/>
        <v>0.4</v>
      </c>
      <c r="AB195" s="44">
        <f t="shared" si="67"/>
        <v>0.4</v>
      </c>
      <c r="AC195" s="44">
        <f t="shared" si="67"/>
        <v>0.4</v>
      </c>
      <c r="AD195" s="44">
        <f t="shared" si="67"/>
        <v>0.4</v>
      </c>
      <c r="AE195" s="44">
        <f t="shared" si="67"/>
        <v>0.4</v>
      </c>
      <c r="AF195" s="44">
        <f t="shared" si="67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65"/>
        <v>1.5</v>
      </c>
      <c r="C196" s="44">
        <v>1.5</v>
      </c>
      <c r="D196" s="44">
        <f t="shared" si="66"/>
        <v>1.5</v>
      </c>
      <c r="E196" s="44">
        <f t="shared" si="66"/>
        <v>1.5</v>
      </c>
      <c r="F196" s="44">
        <f t="shared" si="66"/>
        <v>1.5</v>
      </c>
      <c r="G196" s="44">
        <f t="shared" si="66"/>
        <v>1.5</v>
      </c>
      <c r="H196" s="44">
        <f t="shared" si="66"/>
        <v>1.5</v>
      </c>
      <c r="I196" s="44">
        <f t="shared" si="66"/>
        <v>1.5</v>
      </c>
      <c r="J196" s="44">
        <f t="shared" si="66"/>
        <v>1.5</v>
      </c>
      <c r="K196" s="44">
        <f t="shared" si="66"/>
        <v>1.5</v>
      </c>
      <c r="L196" s="44">
        <f t="shared" si="66"/>
        <v>1.5</v>
      </c>
      <c r="M196" s="44">
        <f t="shared" si="66"/>
        <v>1.5</v>
      </c>
      <c r="N196" s="44">
        <f t="shared" si="66"/>
        <v>1.5</v>
      </c>
      <c r="O196" s="44">
        <f t="shared" si="66"/>
        <v>1.5</v>
      </c>
      <c r="P196" s="44">
        <f t="shared" si="66"/>
        <v>1.5</v>
      </c>
      <c r="Q196" s="44">
        <f t="shared" si="66"/>
        <v>1.5</v>
      </c>
      <c r="R196" s="44">
        <f t="shared" si="66"/>
        <v>1.5</v>
      </c>
      <c r="S196" s="44">
        <f t="shared" si="66"/>
        <v>1.5</v>
      </c>
      <c r="T196" s="44">
        <f t="shared" si="67"/>
        <v>1.5</v>
      </c>
      <c r="U196" s="44">
        <f t="shared" si="67"/>
        <v>1.5</v>
      </c>
      <c r="V196" s="44">
        <f t="shared" si="67"/>
        <v>1.5</v>
      </c>
      <c r="W196" s="44">
        <f t="shared" si="67"/>
        <v>1.5</v>
      </c>
      <c r="X196" s="44">
        <f t="shared" si="67"/>
        <v>1.5</v>
      </c>
      <c r="Y196" s="44">
        <f t="shared" si="67"/>
        <v>1.5</v>
      </c>
      <c r="Z196" s="44">
        <f t="shared" si="67"/>
        <v>1.5</v>
      </c>
      <c r="AA196" s="44">
        <f t="shared" si="67"/>
        <v>1.5</v>
      </c>
      <c r="AB196" s="44">
        <f t="shared" si="67"/>
        <v>1.5</v>
      </c>
      <c r="AC196" s="44">
        <f t="shared" si="67"/>
        <v>1.5</v>
      </c>
      <c r="AD196" s="44">
        <f t="shared" si="67"/>
        <v>1.5</v>
      </c>
      <c r="AE196" s="44">
        <f t="shared" si="67"/>
        <v>1.5</v>
      </c>
      <c r="AF196" s="44">
        <f t="shared" si="67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65"/>
        <v>0.3</v>
      </c>
      <c r="C197" s="44">
        <v>0.3</v>
      </c>
      <c r="D197" s="44">
        <f t="shared" si="66"/>
        <v>0.3</v>
      </c>
      <c r="E197" s="44">
        <f t="shared" si="66"/>
        <v>0.3</v>
      </c>
      <c r="F197" s="44">
        <f t="shared" si="66"/>
        <v>0.3</v>
      </c>
      <c r="G197" s="44">
        <f t="shared" si="66"/>
        <v>0.3</v>
      </c>
      <c r="H197" s="44">
        <f t="shared" si="66"/>
        <v>0.3</v>
      </c>
      <c r="I197" s="44">
        <f t="shared" si="66"/>
        <v>0.3</v>
      </c>
      <c r="J197" s="44">
        <f t="shared" si="66"/>
        <v>0.3</v>
      </c>
      <c r="K197" s="44">
        <f t="shared" si="66"/>
        <v>0.3</v>
      </c>
      <c r="L197" s="44">
        <f t="shared" si="66"/>
        <v>0.3</v>
      </c>
      <c r="M197" s="44">
        <f t="shared" si="66"/>
        <v>0.3</v>
      </c>
      <c r="N197" s="44">
        <f t="shared" si="66"/>
        <v>0.3</v>
      </c>
      <c r="O197" s="44">
        <f t="shared" si="66"/>
        <v>0.3</v>
      </c>
      <c r="P197" s="44">
        <f t="shared" si="66"/>
        <v>0.3</v>
      </c>
      <c r="Q197" s="44">
        <f t="shared" si="66"/>
        <v>0.3</v>
      </c>
      <c r="R197" s="44">
        <f t="shared" si="66"/>
        <v>0.3</v>
      </c>
      <c r="S197" s="44">
        <f t="shared" si="66"/>
        <v>0.3</v>
      </c>
      <c r="T197" s="44">
        <f t="shared" si="67"/>
        <v>0.3</v>
      </c>
      <c r="U197" s="44">
        <f t="shared" si="67"/>
        <v>0.3</v>
      </c>
      <c r="V197" s="44">
        <f t="shared" si="67"/>
        <v>0.3</v>
      </c>
      <c r="W197" s="44">
        <f t="shared" si="67"/>
        <v>0.3</v>
      </c>
      <c r="X197" s="44">
        <f t="shared" si="67"/>
        <v>0.3</v>
      </c>
      <c r="Y197" s="44">
        <f t="shared" si="67"/>
        <v>0.3</v>
      </c>
      <c r="Z197" s="44">
        <f t="shared" si="67"/>
        <v>0.3</v>
      </c>
      <c r="AA197" s="44">
        <f t="shared" si="67"/>
        <v>0.3</v>
      </c>
      <c r="AB197" s="44">
        <f t="shared" si="67"/>
        <v>0.3</v>
      </c>
      <c r="AC197" s="44">
        <f t="shared" si="67"/>
        <v>0.3</v>
      </c>
      <c r="AD197" s="44">
        <f t="shared" si="67"/>
        <v>0.3</v>
      </c>
      <c r="AE197" s="44">
        <f t="shared" si="67"/>
        <v>0.3</v>
      </c>
      <c r="AF197" s="44">
        <f t="shared" si="67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65"/>
        <v>0.4</v>
      </c>
      <c r="C198" s="44">
        <v>0.4</v>
      </c>
      <c r="D198" s="44">
        <f t="shared" si="66"/>
        <v>0.4</v>
      </c>
      <c r="E198" s="44">
        <f t="shared" si="66"/>
        <v>0.4</v>
      </c>
      <c r="F198" s="44">
        <f t="shared" si="66"/>
        <v>0.4</v>
      </c>
      <c r="G198" s="44">
        <f t="shared" si="66"/>
        <v>0.4</v>
      </c>
      <c r="H198" s="44">
        <f t="shared" si="66"/>
        <v>0.4</v>
      </c>
      <c r="I198" s="44">
        <f t="shared" si="66"/>
        <v>0.4</v>
      </c>
      <c r="J198" s="44">
        <f t="shared" si="66"/>
        <v>0.4</v>
      </c>
      <c r="K198" s="44">
        <f t="shared" si="66"/>
        <v>0.4</v>
      </c>
      <c r="L198" s="44">
        <f t="shared" si="66"/>
        <v>0.4</v>
      </c>
      <c r="M198" s="44">
        <f t="shared" si="66"/>
        <v>0.4</v>
      </c>
      <c r="N198" s="44">
        <f t="shared" si="66"/>
        <v>0.4</v>
      </c>
      <c r="O198" s="44">
        <f t="shared" si="66"/>
        <v>0.4</v>
      </c>
      <c r="P198" s="44">
        <f t="shared" si="66"/>
        <v>0.4</v>
      </c>
      <c r="Q198" s="44">
        <f t="shared" si="66"/>
        <v>0.4</v>
      </c>
      <c r="R198" s="44">
        <f t="shared" si="66"/>
        <v>0.4</v>
      </c>
      <c r="S198" s="44">
        <f t="shared" si="66"/>
        <v>0.4</v>
      </c>
      <c r="T198" s="44">
        <f t="shared" si="67"/>
        <v>0.4</v>
      </c>
      <c r="U198" s="44">
        <f t="shared" si="67"/>
        <v>0.4</v>
      </c>
      <c r="V198" s="44">
        <f t="shared" si="67"/>
        <v>0.4</v>
      </c>
      <c r="W198" s="44">
        <f t="shared" si="67"/>
        <v>0.4</v>
      </c>
      <c r="X198" s="44">
        <f t="shared" si="67"/>
        <v>0.4</v>
      </c>
      <c r="Y198" s="44">
        <f t="shared" si="67"/>
        <v>0.4</v>
      </c>
      <c r="Z198" s="44">
        <f t="shared" si="67"/>
        <v>0.4</v>
      </c>
      <c r="AA198" s="44">
        <f t="shared" si="67"/>
        <v>0.4</v>
      </c>
      <c r="AB198" s="44">
        <f t="shared" si="67"/>
        <v>0.4</v>
      </c>
      <c r="AC198" s="44">
        <f t="shared" si="67"/>
        <v>0.4</v>
      </c>
      <c r="AD198" s="44">
        <f t="shared" si="67"/>
        <v>0.4</v>
      </c>
      <c r="AE198" s="44">
        <f t="shared" si="67"/>
        <v>0.4</v>
      </c>
      <c r="AF198" s="44">
        <f t="shared" si="67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65"/>
        <v>0.64</v>
      </c>
      <c r="C199" s="40">
        <v>0.64</v>
      </c>
      <c r="D199" s="40">
        <f t="shared" si="66"/>
        <v>0.64</v>
      </c>
      <c r="E199" s="40">
        <f t="shared" si="66"/>
        <v>0.64</v>
      </c>
      <c r="F199" s="40">
        <f t="shared" si="66"/>
        <v>0.64</v>
      </c>
      <c r="G199" s="40">
        <f t="shared" si="66"/>
        <v>0.64</v>
      </c>
      <c r="H199" s="40">
        <f t="shared" si="66"/>
        <v>0.64</v>
      </c>
      <c r="I199" s="40">
        <f t="shared" si="66"/>
        <v>0.64</v>
      </c>
      <c r="J199" s="40">
        <f t="shared" si="66"/>
        <v>0.64</v>
      </c>
      <c r="K199" s="40">
        <f t="shared" si="66"/>
        <v>0.64</v>
      </c>
      <c r="L199" s="40">
        <f t="shared" si="66"/>
        <v>0.64</v>
      </c>
      <c r="M199" s="40">
        <f t="shared" si="66"/>
        <v>0.64</v>
      </c>
      <c r="N199" s="40">
        <f t="shared" si="66"/>
        <v>0.64</v>
      </c>
      <c r="O199" s="40">
        <f t="shared" si="66"/>
        <v>0.64</v>
      </c>
      <c r="P199" s="40">
        <f t="shared" si="66"/>
        <v>0.64</v>
      </c>
      <c r="Q199" s="40">
        <f t="shared" si="66"/>
        <v>0.64</v>
      </c>
      <c r="R199" s="40">
        <f t="shared" si="66"/>
        <v>0.64</v>
      </c>
      <c r="S199" s="40">
        <f t="shared" si="66"/>
        <v>0.64</v>
      </c>
      <c r="T199" s="40">
        <f t="shared" si="67"/>
        <v>0.64</v>
      </c>
      <c r="U199" s="40">
        <f t="shared" si="67"/>
        <v>0.64</v>
      </c>
      <c r="V199" s="40">
        <f t="shared" si="67"/>
        <v>0.64</v>
      </c>
      <c r="W199" s="40">
        <f t="shared" si="67"/>
        <v>0.64</v>
      </c>
      <c r="X199" s="40">
        <f t="shared" si="67"/>
        <v>0.64</v>
      </c>
      <c r="Y199" s="40">
        <f t="shared" si="67"/>
        <v>0.64</v>
      </c>
      <c r="Z199" s="40">
        <f t="shared" si="67"/>
        <v>0.64</v>
      </c>
      <c r="AA199" s="40">
        <f t="shared" si="67"/>
        <v>0.64</v>
      </c>
      <c r="AB199" s="40">
        <f t="shared" si="67"/>
        <v>0.64</v>
      </c>
      <c r="AC199" s="40">
        <f t="shared" si="67"/>
        <v>0.64</v>
      </c>
      <c r="AD199" s="40">
        <f t="shared" si="67"/>
        <v>0.64</v>
      </c>
      <c r="AE199" s="40">
        <f t="shared" si="67"/>
        <v>0.64</v>
      </c>
      <c r="AF199" s="40">
        <f t="shared" si="67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68">SUM(D194:D199)</f>
        <v>3.54</v>
      </c>
      <c r="E200" s="37">
        <f t="shared" si="68"/>
        <v>3.54</v>
      </c>
      <c r="F200" s="37">
        <f t="shared" si="68"/>
        <v>3.54</v>
      </c>
      <c r="G200" s="37">
        <f t="shared" si="68"/>
        <v>3.54</v>
      </c>
      <c r="H200" s="37">
        <f t="shared" si="68"/>
        <v>3.54</v>
      </c>
      <c r="I200" s="37">
        <f t="shared" si="68"/>
        <v>3.54</v>
      </c>
      <c r="J200" s="37">
        <f t="shared" si="68"/>
        <v>3.54</v>
      </c>
      <c r="K200" s="37">
        <f t="shared" si="68"/>
        <v>3.54</v>
      </c>
      <c r="L200" s="37">
        <f t="shared" si="68"/>
        <v>3.54</v>
      </c>
      <c r="M200" s="37">
        <f>SUM(M194:M199)</f>
        <v>3.54</v>
      </c>
      <c r="N200" s="37">
        <f t="shared" ref="N200:S200" si="69">SUM(N194:N199)</f>
        <v>3.54</v>
      </c>
      <c r="O200" s="37">
        <f t="shared" si="69"/>
        <v>3.54</v>
      </c>
      <c r="P200" s="37">
        <f t="shared" si="69"/>
        <v>3.54</v>
      </c>
      <c r="Q200" s="37">
        <f t="shared" si="69"/>
        <v>3.54</v>
      </c>
      <c r="R200" s="37">
        <f t="shared" si="69"/>
        <v>3.54</v>
      </c>
      <c r="S200" s="37">
        <f t="shared" si="69"/>
        <v>3.54</v>
      </c>
      <c r="T200" s="37">
        <f>SUM(T194:T199)</f>
        <v>3.54</v>
      </c>
      <c r="U200" s="37">
        <f t="shared" ref="U200:AG200" si="70">SUM(U194:U199)</f>
        <v>3.54</v>
      </c>
      <c r="V200" s="37">
        <f t="shared" si="70"/>
        <v>3.54</v>
      </c>
      <c r="W200" s="37">
        <f t="shared" si="70"/>
        <v>3.54</v>
      </c>
      <c r="X200" s="37">
        <f t="shared" si="70"/>
        <v>3.54</v>
      </c>
      <c r="Y200" s="37">
        <f t="shared" si="70"/>
        <v>3.54</v>
      </c>
      <c r="Z200" s="37">
        <f t="shared" si="70"/>
        <v>3.54</v>
      </c>
      <c r="AA200" s="37">
        <f t="shared" si="70"/>
        <v>3.54</v>
      </c>
      <c r="AB200" s="37">
        <f t="shared" si="70"/>
        <v>3.54</v>
      </c>
      <c r="AC200" s="37">
        <f t="shared" si="70"/>
        <v>3.54</v>
      </c>
      <c r="AD200" s="37">
        <f t="shared" si="70"/>
        <v>3.54</v>
      </c>
      <c r="AE200" s="37">
        <f t="shared" si="70"/>
        <v>3.54</v>
      </c>
      <c r="AF200" s="37">
        <f t="shared" si="70"/>
        <v>3.54</v>
      </c>
      <c r="AG200" s="36">
        <f t="shared" si="70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1458.14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16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2078/12/16)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2078/12/16)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1">B75</f>
        <v>1198.3100000000002</v>
      </c>
      <c r="U214" s="9">
        <f t="shared" si="71"/>
        <v>1167.44</v>
      </c>
      <c r="V214" s="9">
        <f t="shared" si="71"/>
        <v>1134.44</v>
      </c>
      <c r="W214" s="9">
        <f t="shared" si="71"/>
        <v>1180.1399999999999</v>
      </c>
      <c r="X214" s="9">
        <f t="shared" si="71"/>
        <v>1120.3399999999999</v>
      </c>
      <c r="Y214" s="9">
        <f t="shared" si="71"/>
        <v>1169.54</v>
      </c>
      <c r="Z214" s="9">
        <f t="shared" si="71"/>
        <v>1189.6400000000001</v>
      </c>
      <c r="AA214" s="9">
        <f t="shared" si="71"/>
        <v>1234.94</v>
      </c>
      <c r="AB214" s="9">
        <f t="shared" si="71"/>
        <v>1265.04</v>
      </c>
      <c r="AC214" s="9">
        <f t="shared" si="71"/>
        <v>1418.81</v>
      </c>
      <c r="AD214" s="9">
        <f t="shared" si="71"/>
        <v>1458.14</v>
      </c>
      <c r="AE214" s="9">
        <f t="shared" si="71"/>
        <v>1449.1399999999999</v>
      </c>
      <c r="AF214" s="9">
        <f t="shared" si="71"/>
        <v>1360.7399999999998</v>
      </c>
      <c r="AG214" s="9">
        <f t="shared" si="71"/>
        <v>1394.3400000000001</v>
      </c>
      <c r="AH214" s="9">
        <f t="shared" si="71"/>
        <v>1398.54</v>
      </c>
      <c r="AI214" s="9">
        <f t="shared" si="71"/>
        <v>1408.44</v>
      </c>
      <c r="AJ214" s="9">
        <f t="shared" si="71"/>
        <v>1393.74</v>
      </c>
      <c r="AK214" s="9">
        <f t="shared" si="71"/>
        <v>1298.04</v>
      </c>
      <c r="AL214" s="9">
        <f t="shared" si="71"/>
        <v>1380.44</v>
      </c>
      <c r="AM214" s="9">
        <f t="shared" si="71"/>
        <v>1365.2400000000002</v>
      </c>
      <c r="AN214" s="9">
        <f t="shared" si="71"/>
        <v>1369.64</v>
      </c>
      <c r="AO214" s="9">
        <f t="shared" si="71"/>
        <v>1380.64</v>
      </c>
      <c r="AP214" s="9">
        <f t="shared" si="71"/>
        <v>1273.94</v>
      </c>
      <c r="AQ214" s="9">
        <f t="shared" si="71"/>
        <v>1543.44</v>
      </c>
      <c r="AR214" s="9">
        <f t="shared" si="71"/>
        <v>1606.8400000000001</v>
      </c>
      <c r="AS214" s="9">
        <f t="shared" si="71"/>
        <v>1551.9400000000003</v>
      </c>
      <c r="AT214" s="9">
        <f t="shared" si="71"/>
        <v>1503.94</v>
      </c>
      <c r="AU214" s="9">
        <f t="shared" si="71"/>
        <v>1497.0400000000002</v>
      </c>
      <c r="AV214" s="9">
        <f t="shared" si="71"/>
        <v>1402.1400000000003</v>
      </c>
      <c r="AW214" s="9">
        <f t="shared" si="71"/>
        <v>1383.8400000000001</v>
      </c>
      <c r="AX214" s="9">
        <f t="shared" si="71"/>
        <v>1259.24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2">C199</f>
        <v>0.64</v>
      </c>
      <c r="C235" s="4">
        <f t="shared" si="72"/>
        <v>0.64</v>
      </c>
      <c r="D235" s="4">
        <f t="shared" si="72"/>
        <v>0.64</v>
      </c>
      <c r="E235" s="4">
        <f t="shared" si="72"/>
        <v>0.64</v>
      </c>
      <c r="F235" s="4">
        <f t="shared" si="72"/>
        <v>0.64</v>
      </c>
      <c r="G235" s="4">
        <f t="shared" si="72"/>
        <v>0.64</v>
      </c>
      <c r="H235" s="4">
        <f t="shared" si="72"/>
        <v>0.64</v>
      </c>
      <c r="I235" s="4">
        <f t="shared" si="72"/>
        <v>0.64</v>
      </c>
      <c r="J235" s="4">
        <f t="shared" si="72"/>
        <v>0.64</v>
      </c>
      <c r="K235" s="4">
        <f t="shared" si="72"/>
        <v>0.64</v>
      </c>
      <c r="L235" s="4">
        <f t="shared" si="72"/>
        <v>0.64</v>
      </c>
      <c r="M235" s="4">
        <f t="shared" si="72"/>
        <v>0.64</v>
      </c>
      <c r="N235" s="4">
        <f t="shared" si="72"/>
        <v>0.64</v>
      </c>
      <c r="O235" s="4">
        <f t="shared" si="72"/>
        <v>0.64</v>
      </c>
      <c r="P235" s="4">
        <f t="shared" si="72"/>
        <v>0.64</v>
      </c>
      <c r="Q235" s="4">
        <f t="shared" si="72"/>
        <v>0.64</v>
      </c>
      <c r="R235" s="4">
        <f t="shared" si="72"/>
        <v>0.64</v>
      </c>
      <c r="S235" s="4">
        <f t="shared" si="72"/>
        <v>0.64</v>
      </c>
      <c r="T235" s="4">
        <f t="shared" si="72"/>
        <v>0.64</v>
      </c>
      <c r="U235" s="4">
        <f t="shared" si="72"/>
        <v>0.64</v>
      </c>
      <c r="V235" s="4">
        <f t="shared" si="72"/>
        <v>0.64</v>
      </c>
      <c r="W235" s="4">
        <f t="shared" si="72"/>
        <v>0.64</v>
      </c>
      <c r="X235" s="4">
        <f t="shared" si="72"/>
        <v>0.64</v>
      </c>
      <c r="Y235" s="4">
        <f t="shared" si="72"/>
        <v>0.64</v>
      </c>
      <c r="Z235" s="4">
        <f t="shared" si="72"/>
        <v>0.64</v>
      </c>
      <c r="AA235" s="4">
        <f t="shared" si="72"/>
        <v>0.64</v>
      </c>
      <c r="AB235" s="4">
        <f t="shared" si="72"/>
        <v>0.64</v>
      </c>
      <c r="AC235" s="4">
        <f t="shared" si="72"/>
        <v>0.64</v>
      </c>
      <c r="AD235" s="4">
        <f t="shared" si="72"/>
        <v>0.64</v>
      </c>
      <c r="AE235" s="4">
        <f t="shared" si="72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3">IF(C203&lt;100,"",C203-520)</f>
        <v/>
      </c>
      <c r="D236" s="3" t="str">
        <f t="shared" si="73"/>
        <v/>
      </c>
      <c r="E236" s="3" t="str">
        <f t="shared" si="73"/>
        <v/>
      </c>
      <c r="F236" s="3" t="str">
        <f t="shared" si="73"/>
        <v/>
      </c>
      <c r="G236" s="3" t="str">
        <f t="shared" si="73"/>
        <v/>
      </c>
      <c r="H236" s="3" t="str">
        <f t="shared" si="73"/>
        <v/>
      </c>
      <c r="I236" s="3" t="str">
        <f t="shared" si="73"/>
        <v/>
      </c>
      <c r="J236" s="3" t="str">
        <f t="shared" si="73"/>
        <v/>
      </c>
      <c r="K236" s="3" t="str">
        <f t="shared" si="73"/>
        <v/>
      </c>
      <c r="L236" s="3" t="str">
        <f t="shared" si="73"/>
        <v/>
      </c>
      <c r="M236" s="3" t="str">
        <f t="shared" si="73"/>
        <v/>
      </c>
      <c r="N236" s="3" t="str">
        <f t="shared" si="73"/>
        <v/>
      </c>
      <c r="O236" s="3" t="str">
        <f t="shared" si="73"/>
        <v/>
      </c>
      <c r="P236" s="3" t="str">
        <f t="shared" si="73"/>
        <v/>
      </c>
      <c r="Q236" s="3" t="str">
        <f t="shared" si="73"/>
        <v/>
      </c>
      <c r="R236" s="3" t="str">
        <f t="shared" si="73"/>
        <v/>
      </c>
      <c r="S236" s="3" t="str">
        <f t="shared" si="73"/>
        <v/>
      </c>
      <c r="T236" s="3" t="str">
        <f t="shared" si="73"/>
        <v/>
      </c>
      <c r="U236" s="3" t="str">
        <f t="shared" si="73"/>
        <v/>
      </c>
      <c r="V236" s="3" t="str">
        <f t="shared" si="73"/>
        <v/>
      </c>
      <c r="W236" s="3" t="str">
        <f t="shared" si="73"/>
        <v/>
      </c>
      <c r="X236" s="3" t="str">
        <f t="shared" si="73"/>
        <v/>
      </c>
      <c r="Y236" s="3" t="str">
        <f t="shared" si="73"/>
        <v/>
      </c>
      <c r="Z236" s="3" t="str">
        <f t="shared" si="73"/>
        <v/>
      </c>
      <c r="AA236" s="3" t="str">
        <f t="shared" si="73"/>
        <v/>
      </c>
      <c r="AB236" s="3" t="str">
        <f t="shared" si="73"/>
        <v/>
      </c>
      <c r="AC236" s="3" t="str">
        <f t="shared" si="73"/>
        <v/>
      </c>
      <c r="AD236" s="3" t="str">
        <f t="shared" si="73"/>
        <v/>
      </c>
      <c r="AE236" s="3" t="str">
        <f t="shared" si="73"/>
        <v/>
      </c>
      <c r="AF236" s="3" t="str">
        <f t="shared" si="73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4">IF(B204&lt;100,"",B204-620)</f>
        <v/>
      </c>
      <c r="C237" s="3" t="str">
        <f t="shared" si="74"/>
        <v/>
      </c>
      <c r="D237" s="3" t="str">
        <f t="shared" si="74"/>
        <v/>
      </c>
      <c r="E237" s="3" t="str">
        <f t="shared" si="74"/>
        <v/>
      </c>
      <c r="F237" s="3" t="str">
        <f t="shared" si="74"/>
        <v/>
      </c>
      <c r="G237" s="3" t="str">
        <f t="shared" si="74"/>
        <v/>
      </c>
      <c r="H237" s="3" t="str">
        <f t="shared" si="74"/>
        <v/>
      </c>
      <c r="I237" s="3" t="str">
        <f t="shared" si="74"/>
        <v/>
      </c>
      <c r="J237" s="3" t="str">
        <f t="shared" si="74"/>
        <v/>
      </c>
      <c r="K237" s="3" t="str">
        <f t="shared" si="74"/>
        <v/>
      </c>
      <c r="L237" s="3" t="str">
        <f t="shared" si="74"/>
        <v/>
      </c>
      <c r="M237" s="3" t="str">
        <f t="shared" si="74"/>
        <v/>
      </c>
      <c r="N237" s="3" t="str">
        <f t="shared" si="74"/>
        <v/>
      </c>
      <c r="O237" s="3" t="str">
        <f t="shared" si="74"/>
        <v/>
      </c>
      <c r="P237" s="3" t="str">
        <f t="shared" si="74"/>
        <v/>
      </c>
      <c r="Q237" s="3" t="str">
        <f t="shared" si="74"/>
        <v/>
      </c>
      <c r="R237" s="3" t="str">
        <f t="shared" si="74"/>
        <v/>
      </c>
      <c r="S237" s="3" t="str">
        <f t="shared" si="74"/>
        <v/>
      </c>
      <c r="T237" s="3" t="str">
        <f t="shared" si="74"/>
        <v/>
      </c>
      <c r="U237" s="3" t="str">
        <f t="shared" si="74"/>
        <v/>
      </c>
      <c r="V237" s="3" t="str">
        <f t="shared" si="74"/>
        <v/>
      </c>
      <c r="W237" s="3" t="str">
        <f t="shared" si="74"/>
        <v/>
      </c>
      <c r="X237" s="3" t="str">
        <f t="shared" si="74"/>
        <v/>
      </c>
      <c r="Y237" s="3" t="str">
        <f t="shared" si="74"/>
        <v/>
      </c>
      <c r="Z237" s="3" t="str">
        <f t="shared" si="74"/>
        <v/>
      </c>
      <c r="AA237" s="3" t="str">
        <f t="shared" si="74"/>
        <v/>
      </c>
      <c r="AB237" s="3" t="str">
        <f t="shared" si="74"/>
        <v/>
      </c>
      <c r="AC237" s="3" t="str">
        <f t="shared" si="74"/>
        <v/>
      </c>
      <c r="AD237" s="3" t="str">
        <f t="shared" si="74"/>
        <v/>
      </c>
      <c r="AE237" s="3" t="str">
        <f t="shared" si="74"/>
        <v/>
      </c>
      <c r="AF237" s="3" t="str">
        <f t="shared" si="74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75">IF(B205&lt;100,"",B205-330)</f>
        <v/>
      </c>
      <c r="C238" s="3" t="str">
        <f t="shared" si="75"/>
        <v/>
      </c>
      <c r="D238" s="3" t="str">
        <f t="shared" si="75"/>
        <v/>
      </c>
      <c r="E238" s="3" t="str">
        <f t="shared" si="75"/>
        <v/>
      </c>
      <c r="F238" s="3" t="str">
        <f t="shared" si="75"/>
        <v/>
      </c>
      <c r="G238" s="3" t="str">
        <f t="shared" si="75"/>
        <v/>
      </c>
      <c r="H238" s="3" t="str">
        <f t="shared" si="75"/>
        <v/>
      </c>
      <c r="I238" s="3" t="str">
        <f t="shared" si="75"/>
        <v/>
      </c>
      <c r="J238" s="3" t="str">
        <f t="shared" si="75"/>
        <v/>
      </c>
      <c r="K238" s="3" t="str">
        <f t="shared" si="75"/>
        <v/>
      </c>
      <c r="L238" s="3" t="str">
        <f t="shared" si="75"/>
        <v/>
      </c>
      <c r="M238" s="3" t="str">
        <f t="shared" si="75"/>
        <v/>
      </c>
      <c r="N238" s="3" t="str">
        <f t="shared" si="75"/>
        <v/>
      </c>
      <c r="O238" s="3" t="str">
        <f t="shared" si="75"/>
        <v/>
      </c>
      <c r="P238" s="3" t="str">
        <f t="shared" si="75"/>
        <v/>
      </c>
      <c r="Q238" s="3" t="str">
        <f t="shared" si="75"/>
        <v/>
      </c>
      <c r="R238" s="3" t="str">
        <f t="shared" si="75"/>
        <v/>
      </c>
      <c r="S238" s="3" t="str">
        <f t="shared" si="75"/>
        <v/>
      </c>
      <c r="T238" s="3" t="str">
        <f t="shared" si="75"/>
        <v/>
      </c>
      <c r="U238" s="3" t="str">
        <f t="shared" si="75"/>
        <v/>
      </c>
      <c r="V238" s="3" t="str">
        <f t="shared" si="75"/>
        <v/>
      </c>
      <c r="W238" s="3" t="str">
        <f t="shared" si="75"/>
        <v/>
      </c>
      <c r="X238" s="3" t="str">
        <f t="shared" si="75"/>
        <v/>
      </c>
      <c r="Y238" s="3" t="str">
        <f t="shared" si="75"/>
        <v/>
      </c>
      <c r="Z238" s="3" t="str">
        <f t="shared" si="75"/>
        <v/>
      </c>
      <c r="AA238" s="3" t="str">
        <f t="shared" si="75"/>
        <v/>
      </c>
      <c r="AB238" s="3" t="str">
        <f t="shared" si="75"/>
        <v/>
      </c>
      <c r="AC238" s="3" t="str">
        <f t="shared" si="75"/>
        <v/>
      </c>
      <c r="AD238" s="3" t="str">
        <f t="shared" si="75"/>
        <v/>
      </c>
      <c r="AE238" s="3" t="str">
        <f t="shared" si="75"/>
        <v/>
      </c>
      <c r="AF238" s="3" t="str">
        <f t="shared" si="75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76">IF(C206&lt;100,"",C206-1500)</f>
        <v/>
      </c>
      <c r="D239" s="3" t="str">
        <f t="shared" si="76"/>
        <v/>
      </c>
      <c r="E239" s="3" t="str">
        <f t="shared" si="76"/>
        <v/>
      </c>
      <c r="F239" s="3" t="str">
        <f t="shared" si="76"/>
        <v/>
      </c>
      <c r="G239" s="3" t="str">
        <f t="shared" si="76"/>
        <v/>
      </c>
      <c r="H239" s="3" t="str">
        <f t="shared" si="76"/>
        <v/>
      </c>
      <c r="I239" s="3" t="str">
        <f t="shared" si="76"/>
        <v/>
      </c>
      <c r="J239" s="3" t="str">
        <f t="shared" si="76"/>
        <v/>
      </c>
      <c r="K239" s="3" t="str">
        <f t="shared" si="76"/>
        <v/>
      </c>
      <c r="L239" s="3" t="str">
        <f t="shared" si="76"/>
        <v/>
      </c>
      <c r="M239" s="3" t="str">
        <f t="shared" si="76"/>
        <v/>
      </c>
      <c r="N239" s="3" t="str">
        <f t="shared" si="76"/>
        <v/>
      </c>
      <c r="O239" s="3" t="str">
        <f t="shared" si="76"/>
        <v/>
      </c>
      <c r="P239" s="3" t="str">
        <f t="shared" si="76"/>
        <v/>
      </c>
      <c r="Q239" s="3" t="str">
        <f t="shared" si="76"/>
        <v/>
      </c>
      <c r="R239" s="3" t="str">
        <f t="shared" si="76"/>
        <v/>
      </c>
      <c r="S239" s="3" t="str">
        <f t="shared" si="76"/>
        <v/>
      </c>
      <c r="T239" s="3" t="str">
        <f t="shared" si="76"/>
        <v/>
      </c>
      <c r="U239" s="3" t="str">
        <f t="shared" si="76"/>
        <v/>
      </c>
      <c r="V239" s="3" t="str">
        <f t="shared" si="76"/>
        <v/>
      </c>
      <c r="W239" s="3" t="str">
        <f t="shared" si="76"/>
        <v/>
      </c>
      <c r="X239" s="3" t="str">
        <f t="shared" si="76"/>
        <v/>
      </c>
      <c r="Y239" s="3" t="str">
        <f t="shared" si="76"/>
        <v/>
      </c>
      <c r="Z239" s="3" t="str">
        <f t="shared" si="76"/>
        <v/>
      </c>
      <c r="AA239" s="3" t="str">
        <f t="shared" si="76"/>
        <v/>
      </c>
      <c r="AB239" s="3" t="str">
        <f t="shared" si="76"/>
        <v/>
      </c>
      <c r="AC239" s="3" t="str">
        <f t="shared" si="76"/>
        <v/>
      </c>
      <c r="AD239" s="3" t="str">
        <f t="shared" si="76"/>
        <v/>
      </c>
      <c r="AE239" s="3" t="str">
        <f t="shared" si="76"/>
        <v/>
      </c>
      <c r="AF239" s="3" t="str">
        <f t="shared" si="76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D57:L59 P39:R39 M39:O42 P40:Q42 R42 M58:W59 AB81:AF81 C81:R81 C56:AF56 C82:AF83 D194:AF200 B194:B200 C68:AF68 B9:AF10 B192:AF192 AF57:AF59 AG73 AB94:AF100 U213:AF213 C57:C61 D60:R61 X85:AA91 M37:P37 C36:P36 M11:R11 Q36:Q37 P12:R12 R40:T41 Q62:T62 S11:X12 Y12 R36:Y36 U40:Y42 N45:Y48 Y11:AE11 Z40:AE43 AB84:AF91 C72:AF75 R37:AF37 Z18:AF23 AF42:AF43 M53:AF55">
    <cfRule type="expression" dxfId="4585" priority="345">
      <formula>B$9&gt;=20/24</formula>
    </cfRule>
    <cfRule type="expression" dxfId="4584" priority="346">
      <formula>AND(B$9&gt;=14/24,B$9&lt;20/24)</formula>
    </cfRule>
    <cfRule type="expression" dxfId="4583" priority="347">
      <formula>AND(B$9&gt;=8/24,B$9&lt;14/24)</formula>
    </cfRule>
    <cfRule type="expression" dxfId="4582" priority="348">
      <formula>B$9&lt;8/24</formula>
    </cfRule>
  </conditionalFormatting>
  <conditionalFormatting sqref="AL4:AL6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581" priority="340">
      <formula>M$9&gt;=20/24</formula>
    </cfRule>
    <cfRule type="expression" dxfId="4580" priority="341">
      <formula>AND(M$9&gt;=14/24,M$9&lt;20/24)</formula>
    </cfRule>
    <cfRule type="expression" dxfId="4579" priority="342">
      <formula>AND(M$9&gt;=8/24,M$9&lt;14/24)</formula>
    </cfRule>
    <cfRule type="expression" dxfId="4578" priority="343">
      <formula>M$9&lt;8/24</formula>
    </cfRule>
  </conditionalFormatting>
  <conditionalFormatting sqref="M43:R43">
    <cfRule type="expression" dxfId="4577" priority="336">
      <formula>M$9&gt;=20/24</formula>
    </cfRule>
    <cfRule type="expression" dxfId="4576" priority="337">
      <formula>AND(M$9&gt;=14/24,M$9&lt;20/24)</formula>
    </cfRule>
    <cfRule type="expression" dxfId="4575" priority="338">
      <formula>AND(M$9&gt;=8/24,M$9&lt;14/24)</formula>
    </cfRule>
    <cfRule type="expression" dxfId="4574" priority="339">
      <formula>M$9&lt;8/24</formula>
    </cfRule>
  </conditionalFormatting>
  <conditionalFormatting sqref="S39:AE39">
    <cfRule type="expression" dxfId="4573" priority="332">
      <formula>S$9&gt;=20/24</formula>
    </cfRule>
    <cfRule type="expression" dxfId="4572" priority="333">
      <formula>AND(S$9&gt;=14/24,S$9&lt;20/24)</formula>
    </cfRule>
    <cfRule type="expression" dxfId="4571" priority="334">
      <formula>AND(S$9&gt;=8/24,S$9&lt;14/24)</formula>
    </cfRule>
    <cfRule type="expression" dxfId="4570" priority="335">
      <formula>S$9&lt;8/24</formula>
    </cfRule>
  </conditionalFormatting>
  <conditionalFormatting sqref="S57:AE57">
    <cfRule type="expression" dxfId="4569" priority="328">
      <formula>S$9&gt;=20/24</formula>
    </cfRule>
    <cfRule type="expression" dxfId="4568" priority="329">
      <formula>AND(S$9&gt;=14/24,S$9&lt;20/24)</formula>
    </cfRule>
    <cfRule type="expression" dxfId="4567" priority="330">
      <formula>AND(S$9&gt;=8/24,S$9&lt;14/24)</formula>
    </cfRule>
    <cfRule type="expression" dxfId="4566" priority="331">
      <formula>S$9&lt;8/24</formula>
    </cfRule>
  </conditionalFormatting>
  <conditionalFormatting sqref="S81:AA81">
    <cfRule type="expression" dxfId="4565" priority="324">
      <formula>S$9&gt;=20/24</formula>
    </cfRule>
    <cfRule type="expression" dxfId="4564" priority="325">
      <formula>AND(S$9&gt;=14/24,S$9&lt;20/24)</formula>
    </cfRule>
    <cfRule type="expression" dxfId="4563" priority="326">
      <formula>AND(S$9&gt;=8/24,S$9&lt;14/24)</formula>
    </cfRule>
    <cfRule type="expression" dxfId="4562" priority="327">
      <formula>S$9&lt;8/24</formula>
    </cfRule>
  </conditionalFormatting>
  <conditionalFormatting sqref="U84 W84:AA84">
    <cfRule type="expression" dxfId="4561" priority="320">
      <formula>U$9&gt;=20/24</formula>
    </cfRule>
    <cfRule type="expression" dxfId="4560" priority="321">
      <formula>AND(U$9&gt;=14/24,U$9&lt;20/24)</formula>
    </cfRule>
    <cfRule type="expression" dxfId="4559" priority="322">
      <formula>AND(U$9&gt;=8/24,U$9&lt;14/24)</formula>
    </cfRule>
    <cfRule type="expression" dxfId="4558" priority="323">
      <formula>U$9&lt;8/24</formula>
    </cfRule>
  </conditionalFormatting>
  <conditionalFormatting sqref="N49:AF49">
    <cfRule type="expression" dxfId="4557" priority="316">
      <formula>N$9&gt;=20/24</formula>
    </cfRule>
    <cfRule type="expression" dxfId="4556" priority="317">
      <formula>AND(N$9&gt;=14/24,N$9&lt;20/24)</formula>
    </cfRule>
    <cfRule type="expression" dxfId="4555" priority="318">
      <formula>AND(N$9&gt;=8/24,N$9&lt;14/24)</formula>
    </cfRule>
    <cfRule type="expression" dxfId="4554" priority="319">
      <formula>N$9&lt;8/24</formula>
    </cfRule>
  </conditionalFormatting>
  <conditionalFormatting sqref="N50:Y50">
    <cfRule type="expression" dxfId="4553" priority="312">
      <formula>N$9&gt;=20/24</formula>
    </cfRule>
    <cfRule type="expression" dxfId="4552" priority="313">
      <formula>AND(N$9&gt;=14/24,N$9&lt;20/24)</formula>
    </cfRule>
    <cfRule type="expression" dxfId="4551" priority="314">
      <formula>AND(N$9&gt;=8/24,N$9&lt;14/24)</formula>
    </cfRule>
    <cfRule type="expression" dxfId="4550" priority="315">
      <formula>N$9&lt;8/24</formula>
    </cfRule>
  </conditionalFormatting>
  <conditionalFormatting sqref="N45:Y48">
    <cfRule type="expression" dxfId="4549" priority="308">
      <formula>N$9&gt;=20/24</formula>
    </cfRule>
    <cfRule type="expression" dxfId="4548" priority="309">
      <formula>AND(N$9&gt;=14/24,N$9&lt;20/24)</formula>
    </cfRule>
    <cfRule type="expression" dxfId="4547" priority="310">
      <formula>AND(N$9&gt;=8/24,N$9&lt;14/24)</formula>
    </cfRule>
    <cfRule type="expression" dxfId="4546" priority="311">
      <formula>N$9&lt;8/24</formula>
    </cfRule>
  </conditionalFormatting>
  <conditionalFormatting sqref="S42:T43 U43:Y43 S45:AF48">
    <cfRule type="expression" dxfId="4545" priority="300">
      <formula>S$9&gt;=20/24</formula>
    </cfRule>
    <cfRule type="expression" dxfId="4544" priority="301">
      <formula>AND(S$9&gt;=14/24,S$9&lt;20/24)</formula>
    </cfRule>
    <cfRule type="expression" dxfId="4543" priority="302">
      <formula>AND(S$9&gt;=8/24,S$9&lt;14/24)</formula>
    </cfRule>
    <cfRule type="expression" dxfId="4542" priority="303">
      <formula>S$9&lt;8/24</formula>
    </cfRule>
  </conditionalFormatting>
  <conditionalFormatting sqref="S49:AF49">
    <cfRule type="expression" dxfId="4541" priority="296">
      <formula>S$9&gt;=20/24</formula>
    </cfRule>
    <cfRule type="expression" dxfId="4540" priority="297">
      <formula>AND(S$9&gt;=14/24,S$9&lt;20/24)</formula>
    </cfRule>
    <cfRule type="expression" dxfId="4539" priority="298">
      <formula>AND(S$9&gt;=8/24,S$9&lt;14/24)</formula>
    </cfRule>
    <cfRule type="expression" dxfId="4538" priority="299">
      <formula>S$9&lt;8/24</formula>
    </cfRule>
  </conditionalFormatting>
  <conditionalFormatting sqref="S50:AF50">
    <cfRule type="expression" dxfId="4537" priority="292">
      <formula>S$9&gt;=20/24</formula>
    </cfRule>
    <cfRule type="expression" dxfId="4536" priority="293">
      <formula>AND(S$9&gt;=14/24,S$9&lt;20/24)</formula>
    </cfRule>
    <cfRule type="expression" dxfId="4535" priority="294">
      <formula>AND(S$9&gt;=8/24,S$9&lt;14/24)</formula>
    </cfRule>
    <cfRule type="expression" dxfId="4534" priority="295">
      <formula>S$9&lt;8/24</formula>
    </cfRule>
  </conditionalFormatting>
  <conditionalFormatting sqref="S60:T61 X60:X61 U62:X67 Y60:AF67">
    <cfRule type="expression" dxfId="4533" priority="288">
      <formula>S$9&gt;=20/24</formula>
    </cfRule>
    <cfRule type="expression" dxfId="4532" priority="289">
      <formula>AND(S$9&gt;=14/24,S$9&lt;20/24)</formula>
    </cfRule>
    <cfRule type="expression" dxfId="4531" priority="290">
      <formula>AND(S$9&gt;=8/24,S$9&lt;14/24)</formula>
    </cfRule>
    <cfRule type="expression" dxfId="4530" priority="291">
      <formula>S$9&lt;8/24</formula>
    </cfRule>
  </conditionalFormatting>
  <conditionalFormatting sqref="U94:U97 W94:AA97">
    <cfRule type="expression" dxfId="4529" priority="280">
      <formula>U$9&gt;=20/24</formula>
    </cfRule>
    <cfRule type="expression" dxfId="4528" priority="281">
      <formula>AND(U$9&gt;=14/24,U$9&lt;20/24)</formula>
    </cfRule>
    <cfRule type="expression" dxfId="4527" priority="282">
      <formula>AND(U$9&gt;=8/24,U$9&lt;14/24)</formula>
    </cfRule>
    <cfRule type="expression" dxfId="4526" priority="283">
      <formula>U$9&lt;8/24</formula>
    </cfRule>
  </conditionalFormatting>
  <conditionalFormatting sqref="AG51 C11:G11 M44:Q44 F12:G13 D12:E15 G14 F14:F15 H11:I14 C38:AF38 J12:L14 D17:L31 J11:R11 C36:Q37 N45:Q50 P12:R12 R44:S50 C39:S43 S11:X12 Y12 R36:Y36 Y11:AF11 R37:AF37 Z18:AF23 T39:AF50 C51:AF56">
    <cfRule type="expression" dxfId="4525" priority="279">
      <formula>C11&gt;$AG11</formula>
    </cfRule>
  </conditionalFormatting>
  <conditionalFormatting sqref="A101:A157 A84:A97 A11:A14 A16:A32 A45:A72 A80:A82 A74:A78 A35:A43 A170:A200">
    <cfRule type="expression" dxfId="4524" priority="278">
      <formula>$AH11=0</formula>
    </cfRule>
  </conditionalFormatting>
  <conditionalFormatting sqref="U98 W98:AA98">
    <cfRule type="expression" dxfId="4523" priority="274">
      <formula>U$9&gt;=20/24</formula>
    </cfRule>
    <cfRule type="expression" dxfId="4522" priority="275">
      <formula>AND(U$9&gt;=14/24,U$9&lt;20/24)</formula>
    </cfRule>
    <cfRule type="expression" dxfId="4521" priority="276">
      <formula>AND(U$9&gt;=8/24,U$9&lt;14/24)</formula>
    </cfRule>
    <cfRule type="expression" dxfId="4520" priority="277">
      <formula>U$9&lt;8/24</formula>
    </cfRule>
  </conditionalFormatting>
  <conditionalFormatting sqref="A98">
    <cfRule type="expression" dxfId="4519" priority="273">
      <formula>$AH98=0</formula>
    </cfRule>
  </conditionalFormatting>
  <conditionalFormatting sqref="Q63:T67">
    <cfRule type="expression" dxfId="4518" priority="269">
      <formula>Q$9&gt;=20/24</formula>
    </cfRule>
    <cfRule type="expression" dxfId="4517" priority="270">
      <formula>AND(Q$9&gt;=14/24,Q$9&lt;20/24)</formula>
    </cfRule>
    <cfRule type="expression" dxfId="4516" priority="271">
      <formula>AND(Q$9&gt;=8/24,Q$9&lt;14/24)</formula>
    </cfRule>
    <cfRule type="expression" dxfId="4515" priority="272">
      <formula>Q$9&lt;8/24</formula>
    </cfRule>
  </conditionalFormatting>
  <conditionalFormatting sqref="AL32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514" priority="267">
      <formula>$AH34=0</formula>
    </cfRule>
  </conditionalFormatting>
  <conditionalFormatting sqref="A83">
    <cfRule type="expression" dxfId="4513" priority="266">
      <formula>$AH83=0</formula>
    </cfRule>
  </conditionalFormatting>
  <conditionalFormatting sqref="G15:L15">
    <cfRule type="expression" dxfId="4512" priority="261">
      <formula>G15&gt;$AG15</formula>
    </cfRule>
  </conditionalFormatting>
  <conditionalFormatting sqref="A15">
    <cfRule type="expression" dxfId="4511" priority="260">
      <formula>$AH15=0</formula>
    </cfRule>
  </conditionalFormatting>
  <conditionalFormatting sqref="A164:A169">
    <cfRule type="expression" dxfId="4510" priority="259">
      <formula>$AH164=0</formula>
    </cfRule>
  </conditionalFormatting>
  <conditionalFormatting sqref="A158:A163">
    <cfRule type="expression" dxfId="4509" priority="258">
      <formula>$AH158=0</formula>
    </cfRule>
  </conditionalFormatting>
  <conditionalFormatting sqref="Z44:AF44">
    <cfRule type="expression" dxfId="4508" priority="254">
      <formula>Z$9&gt;=20/24</formula>
    </cfRule>
    <cfRule type="expression" dxfId="4507" priority="255">
      <formula>AND(Z$9&gt;=14/24,Z$9&lt;20/24)</formula>
    </cfRule>
    <cfRule type="expression" dxfId="4506" priority="256">
      <formula>AND(Z$9&gt;=8/24,Z$9&lt;14/24)</formula>
    </cfRule>
    <cfRule type="expression" dxfId="4505" priority="257">
      <formula>Z$9&lt;8/24</formula>
    </cfRule>
  </conditionalFormatting>
  <conditionalFormatting sqref="M44:Y44">
    <cfRule type="expression" dxfId="4504" priority="250">
      <formula>M$9&gt;=20/24</formula>
    </cfRule>
    <cfRule type="expression" dxfId="4503" priority="251">
      <formula>AND(M$9&gt;=14/24,M$9&lt;20/24)</formula>
    </cfRule>
    <cfRule type="expression" dxfId="4502" priority="252">
      <formula>AND(M$9&gt;=8/24,M$9&lt;14/24)</formula>
    </cfRule>
    <cfRule type="expression" dxfId="4501" priority="253">
      <formula>M$9&lt;8/24</formula>
    </cfRule>
  </conditionalFormatting>
  <conditionalFormatting sqref="S44:AF44">
    <cfRule type="expression" dxfId="4500" priority="246">
      <formula>S$9&gt;=20/24</formula>
    </cfRule>
    <cfRule type="expression" dxfId="4499" priority="247">
      <formula>AND(S$9&gt;=14/24,S$9&lt;20/24)</formula>
    </cfRule>
    <cfRule type="expression" dxfId="4498" priority="248">
      <formula>AND(S$9&gt;=8/24,S$9&lt;14/24)</formula>
    </cfRule>
    <cfRule type="expression" dxfId="4497" priority="249">
      <formula>S$9&lt;8/24</formula>
    </cfRule>
  </conditionalFormatting>
  <conditionalFormatting sqref="A44">
    <cfRule type="expression" dxfId="4496" priority="245">
      <formula>$AH44=0</formula>
    </cfRule>
  </conditionalFormatting>
  <conditionalFormatting sqref="A79">
    <cfRule type="expression" dxfId="4495" priority="244">
      <formula>$AH79=0</formula>
    </cfRule>
  </conditionalFormatting>
  <conditionalFormatting sqref="A73">
    <cfRule type="expression" dxfId="4494" priority="243">
      <formula>$AH73=0</formula>
    </cfRule>
  </conditionalFormatting>
  <conditionalFormatting sqref="AL34:AL35 AL7:AL31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4493" priority="239">
      <formula>U$9&gt;=20/24</formula>
    </cfRule>
    <cfRule type="expression" dxfId="4492" priority="240">
      <formula>AND(U$9&gt;=14/24,U$9&lt;20/24)</formula>
    </cfRule>
    <cfRule type="expression" dxfId="4491" priority="241">
      <formula>AND(U$9&gt;=8/24,U$9&lt;14/24)</formula>
    </cfRule>
    <cfRule type="expression" dxfId="4490" priority="242">
      <formula>U$9&lt;8/24</formula>
    </cfRule>
  </conditionalFormatting>
  <conditionalFormatting sqref="U85:U91 W85:W91">
    <cfRule type="expression" dxfId="4489" priority="235">
      <formula>U$9&gt;=20/24</formula>
    </cfRule>
    <cfRule type="expression" dxfId="4488" priority="236">
      <formula>AND(U$9&gt;=14/24,U$9&lt;20/24)</formula>
    </cfRule>
    <cfRule type="expression" dxfId="4487" priority="237">
      <formula>AND(U$9&gt;=8/24,U$9&lt;14/24)</formula>
    </cfRule>
    <cfRule type="expression" dxfId="4486" priority="238">
      <formula>U$9&lt;8/24</formula>
    </cfRule>
  </conditionalFormatting>
  <conditionalFormatting sqref="S85:T91 C84:R91">
    <cfRule type="expression" dxfId="4485" priority="231">
      <formula>C$9&gt;=20/24</formula>
    </cfRule>
    <cfRule type="expression" dxfId="4484" priority="232">
      <formula>AND(C$9&gt;=14/24,C$9&lt;20/24)</formula>
    </cfRule>
    <cfRule type="expression" dxfId="4483" priority="233">
      <formula>AND(C$9&gt;=8/24,C$9&lt;14/24)</formula>
    </cfRule>
    <cfRule type="expression" dxfId="4482" priority="234">
      <formula>C$9&lt;8/24</formula>
    </cfRule>
  </conditionalFormatting>
  <conditionalFormatting sqref="S84:T84">
    <cfRule type="expression" dxfId="4481" priority="227">
      <formula>S$9&gt;=20/24</formula>
    </cfRule>
    <cfRule type="expression" dxfId="4480" priority="228">
      <formula>AND(S$9&gt;=14/24,S$9&lt;20/24)</formula>
    </cfRule>
    <cfRule type="expression" dxfId="4479" priority="229">
      <formula>AND(S$9&gt;=8/24,S$9&lt;14/24)</formula>
    </cfRule>
    <cfRule type="expression" dxfId="4478" priority="230">
      <formula>S$9&lt;8/24</formula>
    </cfRule>
  </conditionalFormatting>
  <conditionalFormatting sqref="C95:M97 C94:F94">
    <cfRule type="expression" dxfId="4477" priority="223">
      <formula>C$9&gt;=20/24</formula>
    </cfRule>
    <cfRule type="expression" dxfId="4476" priority="224">
      <formula>AND(C$9&gt;=14/24,C$9&lt;20/24)</formula>
    </cfRule>
    <cfRule type="expression" dxfId="4475" priority="225">
      <formula>AND(C$9&gt;=8/24,C$9&lt;14/24)</formula>
    </cfRule>
    <cfRule type="expression" dxfId="4474" priority="226">
      <formula>C$9&lt;8/24</formula>
    </cfRule>
  </conditionalFormatting>
  <conditionalFormatting sqref="N95:R97 O94:R94">
    <cfRule type="expression" dxfId="4473" priority="219">
      <formula>N$9&gt;=20/24</formula>
    </cfRule>
    <cfRule type="expression" dxfId="4472" priority="220">
      <formula>AND(N$9&gt;=14/24,N$9&lt;20/24)</formula>
    </cfRule>
    <cfRule type="expression" dxfId="4471" priority="221">
      <formula>AND(N$9&gt;=8/24,N$9&lt;14/24)</formula>
    </cfRule>
    <cfRule type="expression" dxfId="4470" priority="222">
      <formula>N$9&lt;8/24</formula>
    </cfRule>
  </conditionalFormatting>
  <conditionalFormatting sqref="S94:T97">
    <cfRule type="expression" dxfId="4469" priority="215">
      <formula>S$9&gt;=20/24</formula>
    </cfRule>
    <cfRule type="expression" dxfId="4468" priority="216">
      <formula>AND(S$9&gt;=14/24,S$9&lt;20/24)</formula>
    </cfRule>
    <cfRule type="expression" dxfId="4467" priority="217">
      <formula>AND(S$9&gt;=8/24,S$9&lt;14/24)</formula>
    </cfRule>
    <cfRule type="expression" dxfId="4466" priority="218">
      <formula>S$9&lt;8/24</formula>
    </cfRule>
  </conditionalFormatting>
  <conditionalFormatting sqref="C98:M98">
    <cfRule type="expression" dxfId="4465" priority="211">
      <formula>C$9&gt;=20/24</formula>
    </cfRule>
    <cfRule type="expression" dxfId="4464" priority="212">
      <formula>AND(C$9&gt;=14/24,C$9&lt;20/24)</formula>
    </cfRule>
    <cfRule type="expression" dxfId="4463" priority="213">
      <formula>AND(C$9&gt;=8/24,C$9&lt;14/24)</formula>
    </cfRule>
    <cfRule type="expression" dxfId="4462" priority="214">
      <formula>C$9&lt;8/24</formula>
    </cfRule>
  </conditionalFormatting>
  <conditionalFormatting sqref="N98:R98">
    <cfRule type="expression" dxfId="4461" priority="207">
      <formula>N$9&gt;=20/24</formula>
    </cfRule>
    <cfRule type="expression" dxfId="4460" priority="208">
      <formula>AND(N$9&gt;=14/24,N$9&lt;20/24)</formula>
    </cfRule>
    <cfRule type="expression" dxfId="4459" priority="209">
      <formula>AND(N$9&gt;=8/24,N$9&lt;14/24)</formula>
    </cfRule>
    <cfRule type="expression" dxfId="4458" priority="210">
      <formula>N$9&lt;8/24</formula>
    </cfRule>
  </conditionalFormatting>
  <conditionalFormatting sqref="S98:T98">
    <cfRule type="expression" dxfId="4457" priority="203">
      <formula>S$9&gt;=20/24</formula>
    </cfRule>
    <cfRule type="expression" dxfId="4456" priority="204">
      <formula>AND(S$9&gt;=14/24,S$9&lt;20/24)</formula>
    </cfRule>
    <cfRule type="expression" dxfId="4455" priority="205">
      <formula>AND(S$9&gt;=8/24,S$9&lt;14/24)</formula>
    </cfRule>
    <cfRule type="expression" dxfId="4454" priority="206">
      <formula>S$9&lt;8/24</formula>
    </cfRule>
  </conditionalFormatting>
  <conditionalFormatting sqref="M94:N94">
    <cfRule type="expression" dxfId="4453" priority="199">
      <formula>M$9&gt;=20/24</formula>
    </cfRule>
    <cfRule type="expression" dxfId="4452" priority="200">
      <formula>AND(M$9&gt;=14/24,M$9&lt;20/24)</formula>
    </cfRule>
    <cfRule type="expression" dxfId="4451" priority="201">
      <formula>AND(M$9&gt;=8/24,M$9&lt;14/24)</formula>
    </cfRule>
    <cfRule type="expression" dxfId="4450" priority="202">
      <formula>M$9&lt;8/24</formula>
    </cfRule>
  </conditionalFormatting>
  <conditionalFormatting sqref="G94:L94">
    <cfRule type="expression" dxfId="4449" priority="195">
      <formula>G$9&gt;=20/24</formula>
    </cfRule>
    <cfRule type="expression" dxfId="4448" priority="196">
      <formula>AND(G$9&gt;=14/24,G$9&lt;20/24)</formula>
    </cfRule>
    <cfRule type="expression" dxfId="4447" priority="197">
      <formula>AND(G$9&gt;=8/24,G$9&lt;14/24)</formula>
    </cfRule>
    <cfRule type="expression" dxfId="4446" priority="198">
      <formula>G$9&lt;8/24</formula>
    </cfRule>
  </conditionalFormatting>
  <conditionalFormatting sqref="U94 W94">
    <cfRule type="expression" dxfId="4445" priority="191">
      <formula>U$9&gt;=20/24</formula>
    </cfRule>
    <cfRule type="expression" dxfId="4444" priority="192">
      <formula>AND(U$9&gt;=14/24,U$9&lt;20/24)</formula>
    </cfRule>
    <cfRule type="expression" dxfId="4443" priority="193">
      <formula>AND(U$9&gt;=8/24,U$9&lt;14/24)</formula>
    </cfRule>
    <cfRule type="expression" dxfId="4442" priority="194">
      <formula>U$9&lt;8/24</formula>
    </cfRule>
  </conditionalFormatting>
  <conditionalFormatting sqref="N94:T94">
    <cfRule type="expression" dxfId="4441" priority="187">
      <formula>N$9&gt;=20/24</formula>
    </cfRule>
    <cfRule type="expression" dxfId="4440" priority="188">
      <formula>AND(N$9&gt;=14/24,N$9&lt;20/24)</formula>
    </cfRule>
    <cfRule type="expression" dxfId="4439" priority="189">
      <formula>AND(N$9&gt;=8/24,N$9&lt;14/24)</formula>
    </cfRule>
    <cfRule type="expression" dxfId="4438" priority="190">
      <formula>N$9&lt;8/24</formula>
    </cfRule>
  </conditionalFormatting>
  <conditionalFormatting sqref="U99:U100 W99:AA100">
    <cfRule type="expression" dxfId="4437" priority="183">
      <formula>U$9&gt;=20/24</formula>
    </cfRule>
    <cfRule type="expression" dxfId="4436" priority="184">
      <formula>AND(U$9&gt;=14/24,U$9&lt;20/24)</formula>
    </cfRule>
    <cfRule type="expression" dxfId="4435" priority="185">
      <formula>AND(U$9&gt;=8/24,U$9&lt;14/24)</formula>
    </cfRule>
    <cfRule type="expression" dxfId="4434" priority="186">
      <formula>U$9&lt;8/24</formula>
    </cfRule>
  </conditionalFormatting>
  <conditionalFormatting sqref="C99:M100">
    <cfRule type="expression" dxfId="4433" priority="179">
      <formula>C$9&gt;=20/24</formula>
    </cfRule>
    <cfRule type="expression" dxfId="4432" priority="180">
      <formula>AND(C$9&gt;=14/24,C$9&lt;20/24)</formula>
    </cfRule>
    <cfRule type="expression" dxfId="4431" priority="181">
      <formula>AND(C$9&gt;=8/24,C$9&lt;14/24)</formula>
    </cfRule>
    <cfRule type="expression" dxfId="4430" priority="182">
      <formula>C$9&lt;8/24</formula>
    </cfRule>
  </conditionalFormatting>
  <conditionalFormatting sqref="N99:R100">
    <cfRule type="expression" dxfId="4429" priority="175">
      <formula>N$9&gt;=20/24</formula>
    </cfRule>
    <cfRule type="expression" dxfId="4428" priority="176">
      <formula>AND(N$9&gt;=14/24,N$9&lt;20/24)</formula>
    </cfRule>
    <cfRule type="expression" dxfId="4427" priority="177">
      <formula>AND(N$9&gt;=8/24,N$9&lt;14/24)</formula>
    </cfRule>
    <cfRule type="expression" dxfId="4426" priority="178">
      <formula>N$9&lt;8/24</formula>
    </cfRule>
  </conditionalFormatting>
  <conditionalFormatting sqref="S99:T100">
    <cfRule type="expression" dxfId="4425" priority="171">
      <formula>S$9&gt;=20/24</formula>
    </cfRule>
    <cfRule type="expression" dxfId="4424" priority="172">
      <formula>AND(S$9&gt;=14/24,S$9&lt;20/24)</formula>
    </cfRule>
    <cfRule type="expression" dxfId="4423" priority="173">
      <formula>AND(S$9&gt;=8/24,S$9&lt;14/24)</formula>
    </cfRule>
    <cfRule type="expression" dxfId="4422" priority="174">
      <formula>S$9&lt;8/24</formula>
    </cfRule>
  </conditionalFormatting>
  <conditionalFormatting sqref="Z12:AF15">
    <cfRule type="expression" dxfId="4421" priority="167">
      <formula>Z$9&gt;=20/24</formula>
    </cfRule>
    <cfRule type="expression" dxfId="4420" priority="168">
      <formula>AND(Z$9&gt;=14/24,Z$9&lt;20/24)</formula>
    </cfRule>
    <cfRule type="expression" dxfId="4419" priority="169">
      <formula>AND(Z$9&gt;=8/24,Z$9&lt;14/24)</formula>
    </cfRule>
    <cfRule type="expression" dxfId="4418" priority="170">
      <formula>Z$9&lt;8/24</formula>
    </cfRule>
  </conditionalFormatting>
  <conditionalFormatting sqref="Z17:AF17">
    <cfRule type="expression" dxfId="4417" priority="163">
      <formula>Z$9&gt;=20/24</formula>
    </cfRule>
    <cfRule type="expression" dxfId="4416" priority="164">
      <formula>AND(Z$9&gt;=14/24,Z$9&lt;20/24)</formula>
    </cfRule>
    <cfRule type="expression" dxfId="4415" priority="165">
      <formula>AND(Z$9&gt;=8/24,Z$9&lt;14/24)</formula>
    </cfRule>
    <cfRule type="expression" dxfId="4414" priority="166">
      <formula>Z$9&lt;8/24</formula>
    </cfRule>
  </conditionalFormatting>
  <conditionalFormatting sqref="Z12:AF13">
    <cfRule type="expression" dxfId="4413" priority="159">
      <formula>Z$9&gt;=20/24</formula>
    </cfRule>
    <cfRule type="expression" dxfId="4412" priority="160">
      <formula>AND(Z$9&gt;=14/24,Z$9&lt;20/24)</formula>
    </cfRule>
    <cfRule type="expression" dxfId="4411" priority="161">
      <formula>AND(Z$9&gt;=8/24,Z$9&lt;14/24)</formula>
    </cfRule>
    <cfRule type="expression" dxfId="4410" priority="162">
      <formula>Z$9&lt;8/24</formula>
    </cfRule>
  </conditionalFormatting>
  <conditionalFormatting sqref="AB58:AE59">
    <cfRule type="expression" dxfId="4409" priority="155">
      <formula>AB$9&gt;=20/24</formula>
    </cfRule>
    <cfRule type="expression" dxfId="4408" priority="156">
      <formula>AND(AB$9&gt;=14/24,AB$9&lt;20/24)</formula>
    </cfRule>
    <cfRule type="expression" dxfId="4407" priority="157">
      <formula>AND(AB$9&gt;=8/24,AB$9&lt;14/24)</formula>
    </cfRule>
    <cfRule type="expression" dxfId="4406" priority="158">
      <formula>AB$9&lt;8/24</formula>
    </cfRule>
  </conditionalFormatting>
  <conditionalFormatting sqref="AL33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405" priority="352">
      <formula>C$9&gt;=20/24</formula>
    </cfRule>
    <cfRule type="expression" dxfId="4404" priority="353">
      <formula>AND(C$9&gt;=14/24,C$9&lt;20/24)</formula>
    </cfRule>
    <cfRule type="expression" dxfId="4403" priority="354">
      <formula>AND(C$9&gt;=8/24,C$9&lt;14/24)</formula>
    </cfRule>
    <cfRule type="expression" dxfId="4402" priority="355">
      <formula>C$9&lt;8/24</formula>
    </cfRule>
  </conditionalFormatting>
  <conditionalFormatting sqref="A201">
    <cfRule type="expression" dxfId="4401" priority="356">
      <formula>$AH201=0</formula>
    </cfRule>
  </conditionalFormatting>
  <conditionalFormatting sqref="AG213">
    <cfRule type="expression" dxfId="4400" priority="357">
      <formula>B$9&gt;=20/24</formula>
    </cfRule>
    <cfRule type="expression" dxfId="4399" priority="358">
      <formula>AND(B$9&gt;=14/24,B$9&lt;20/24)</formula>
    </cfRule>
    <cfRule type="expression" dxfId="4398" priority="359">
      <formula>AND(B$9&gt;=8/24,B$9&lt;14/24)</formula>
    </cfRule>
    <cfRule type="expression" dxfId="4397" priority="360">
      <formula>B$9&lt;8/24</formula>
    </cfRule>
  </conditionalFormatting>
  <conditionalFormatting sqref="S8">
    <cfRule type="expression" dxfId="4396" priority="149">
      <formula>U$9&gt;=20/24</formula>
    </cfRule>
    <cfRule type="expression" dxfId="4395" priority="150">
      <formula>AND(U$9&gt;=14/24,U$9&lt;20/24)</formula>
    </cfRule>
    <cfRule type="expression" dxfId="4394" priority="151">
      <formula>AND(U$9&gt;=8/24,U$9&lt;14/24)</formula>
    </cfRule>
    <cfRule type="expression" dxfId="4393" priority="152">
      <formula>U$9&lt;8/24</formula>
    </cfRule>
  </conditionalFormatting>
  <conditionalFormatting sqref="AB8">
    <cfRule type="expression" dxfId="4392" priority="145">
      <formula>AD$9&gt;=20/24</formula>
    </cfRule>
    <cfRule type="expression" dxfId="4391" priority="146">
      <formula>AND(AD$9&gt;=14/24,AD$9&lt;20/24)</formula>
    </cfRule>
    <cfRule type="expression" dxfId="4390" priority="147">
      <formula>AND(AD$9&gt;=8/24,AD$9&lt;14/24)</formula>
    </cfRule>
    <cfRule type="expression" dxfId="4389" priority="148">
      <formula>AD$9&lt;8/24</formula>
    </cfRule>
  </conditionalFormatting>
  <conditionalFormatting sqref="AH213:AX213">
    <cfRule type="expression" dxfId="4388" priority="361">
      <formula>AG$9&gt;=20/24</formula>
    </cfRule>
    <cfRule type="expression" dxfId="4387" priority="362">
      <formula>AND(AG$9&gt;=14/24,AG$9&lt;20/24)</formula>
    </cfRule>
    <cfRule type="expression" dxfId="4386" priority="363">
      <formula>AND(AG$9&gt;=8/24,AG$9&lt;14/24)</formula>
    </cfRule>
    <cfRule type="expression" dxfId="4385" priority="364">
      <formula>AG$9&lt;8/24</formula>
    </cfRule>
  </conditionalFormatting>
  <conditionalFormatting sqref="T213">
    <cfRule type="expression" dxfId="4384" priority="365">
      <formula>AX$9&gt;=20/24</formula>
    </cfRule>
    <cfRule type="expression" dxfId="4383" priority="366">
      <formula>AND(AX$9&gt;=14/24,AX$9&lt;20/24)</formula>
    </cfRule>
    <cfRule type="expression" dxfId="4382" priority="367">
      <formula>AND(AX$9&gt;=8/24,AX$9&lt;14/24)</formula>
    </cfRule>
    <cfRule type="expression" dxfId="4381" priority="368">
      <formula>AX$9&lt;8/24</formula>
    </cfRule>
  </conditionalFormatting>
  <conditionalFormatting sqref="A99:A100">
    <cfRule type="expression" dxfId="4380" priority="144">
      <formula>$AH99=0</formula>
    </cfRule>
  </conditionalFormatting>
  <conditionalFormatting sqref="M12:O14 P13:Y14 Z36:AF36 Z24:AF32">
    <cfRule type="expression" dxfId="4379" priority="139">
      <formula>M$9&gt;=20/24</formula>
    </cfRule>
    <cfRule type="expression" dxfId="4378" priority="140">
      <formula>AND(M$9&gt;=14/24,M$9&lt;20/24)</formula>
    </cfRule>
    <cfRule type="expression" dxfId="4377" priority="141">
      <formula>AND(M$9&gt;=8/24,M$9&lt;14/24)</formula>
    </cfRule>
    <cfRule type="expression" dxfId="4376" priority="142">
      <formula>M$9&lt;8/24</formula>
    </cfRule>
  </conditionalFormatting>
  <conditionalFormatting sqref="Z35:AF35">
    <cfRule type="expression" dxfId="4375" priority="135">
      <formula>Z$9&gt;=20/24</formula>
    </cfRule>
    <cfRule type="expression" dxfId="4374" priority="136">
      <formula>AND(Z$9&gt;=14/24,Z$9&lt;20/24)</formula>
    </cfRule>
    <cfRule type="expression" dxfId="4373" priority="137">
      <formula>AND(Z$9&gt;=8/24,Z$9&lt;14/24)</formula>
    </cfRule>
    <cfRule type="expression" dxfId="4372" priority="138">
      <formula>Z$9&lt;8/24</formula>
    </cfRule>
  </conditionalFormatting>
  <conditionalFormatting sqref="M12:O14 P13:Y14 Z24:AF32 Z34:AF36">
    <cfRule type="expression" dxfId="4371" priority="134">
      <formula>M12&gt;$AG12</formula>
    </cfRule>
  </conditionalFormatting>
  <conditionalFormatting sqref="Z34:AF34">
    <cfRule type="expression" dxfId="4370" priority="130">
      <formula>Z$9&gt;=20/24</formula>
    </cfRule>
    <cfRule type="expression" dxfId="4369" priority="131">
      <formula>AND(Z$9&gt;=14/24,Z$9&lt;20/24)</formula>
    </cfRule>
    <cfRule type="expression" dxfId="4368" priority="132">
      <formula>AND(Z$9&gt;=8/24,Z$9&lt;14/24)</formula>
    </cfRule>
    <cfRule type="expression" dxfId="4367" priority="133">
      <formula>Z$9&lt;8/24</formula>
    </cfRule>
  </conditionalFormatting>
  <conditionalFormatting sqref="Z33:AF33">
    <cfRule type="expression" dxfId="4366" priority="121">
      <formula>Z$9&gt;=20/24</formula>
    </cfRule>
    <cfRule type="expression" dxfId="4365" priority="122">
      <formula>AND(Z$9&gt;=14/24,Z$9&lt;20/24)</formula>
    </cfRule>
    <cfRule type="expression" dxfId="4364" priority="123">
      <formula>AND(Z$9&gt;=8/24,Z$9&lt;14/24)</formula>
    </cfRule>
    <cfRule type="expression" dxfId="4363" priority="124">
      <formula>Z$9&lt;8/24</formula>
    </cfRule>
  </conditionalFormatting>
  <conditionalFormatting sqref="Z33:AF33">
    <cfRule type="expression" dxfId="4362" priority="120">
      <formula>Z33&gt;$AG33</formula>
    </cfRule>
  </conditionalFormatting>
  <conditionalFormatting sqref="D16:I16">
    <cfRule type="expression" dxfId="4361" priority="119">
      <formula>D16&gt;$AG16</formula>
    </cfRule>
  </conditionalFormatting>
  <conditionalFormatting sqref="J16:L16">
    <cfRule type="expression" dxfId="4360" priority="118">
      <formula>J16&gt;$AG16</formula>
    </cfRule>
  </conditionalFormatting>
  <conditionalFormatting sqref="Z16:AF16">
    <cfRule type="expression" dxfId="4359" priority="114">
      <formula>Z$9&gt;=20/24</formula>
    </cfRule>
    <cfRule type="expression" dxfId="4358" priority="115">
      <formula>AND(Z$9&gt;=14/24,Z$9&lt;20/24)</formula>
    </cfRule>
    <cfRule type="expression" dxfId="4357" priority="116">
      <formula>AND(Z$9&gt;=8/24,Z$9&lt;14/24)</formula>
    </cfRule>
    <cfRule type="expression" dxfId="4356" priority="117">
      <formula>Z$9&lt;8/24</formula>
    </cfRule>
  </conditionalFormatting>
  <conditionalFormatting sqref="B94:B100 B36 B53:B91 B18:C23 C69:AF71 C76:AF80 C62:P67">
    <cfRule type="expression" dxfId="4355" priority="105">
      <formula>B$9&gt;=20/24</formula>
    </cfRule>
    <cfRule type="expression" dxfId="4354" priority="106">
      <formula>AND(B$9&gt;=14/24,B$9&lt;20/24)</formula>
    </cfRule>
    <cfRule type="expression" dxfId="4353" priority="107">
      <formula>AND(B$9&gt;=8/24,B$9&lt;14/24)</formula>
    </cfRule>
    <cfRule type="expression" dxfId="4352" priority="108">
      <formula>B$9&lt;8/24</formula>
    </cfRule>
  </conditionalFormatting>
  <conditionalFormatting sqref="B49:M49">
    <cfRule type="expression" dxfId="4351" priority="101">
      <formula>B$9&gt;=20/24</formula>
    </cfRule>
    <cfRule type="expression" dxfId="4350" priority="102">
      <formula>AND(B$9&gt;=14/24,B$9&lt;20/24)</formula>
    </cfRule>
    <cfRule type="expression" dxfId="4349" priority="103">
      <formula>AND(B$9&gt;=8/24,B$9&lt;14/24)</formula>
    </cfRule>
    <cfRule type="expression" dxfId="4348" priority="104">
      <formula>B$9&lt;8/24</formula>
    </cfRule>
  </conditionalFormatting>
  <conditionalFormatting sqref="B46:M48">
    <cfRule type="expression" dxfId="4347" priority="97">
      <formula>B$9&gt;=20/24</formula>
    </cfRule>
    <cfRule type="expression" dxfId="4346" priority="98">
      <formula>AND(B$9&gt;=14/24,B$9&lt;20/24)</formula>
    </cfRule>
    <cfRule type="expression" dxfId="4345" priority="99">
      <formula>AND(B$9&gt;=8/24,B$9&lt;14/24)</formula>
    </cfRule>
    <cfRule type="expression" dxfId="4344" priority="100">
      <formula>B$9&lt;8/24</formula>
    </cfRule>
  </conditionalFormatting>
  <conditionalFormatting sqref="B49:M49">
    <cfRule type="expression" dxfId="4343" priority="93">
      <formula>B$9&gt;=20/24</formula>
    </cfRule>
    <cfRule type="expression" dxfId="4342" priority="94">
      <formula>AND(B$9&gt;=14/24,B$9&lt;20/24)</formula>
    </cfRule>
    <cfRule type="expression" dxfId="4341" priority="95">
      <formula>AND(B$9&gt;=8/24,B$9&lt;14/24)</formula>
    </cfRule>
    <cfRule type="expression" dxfId="4340" priority="96">
      <formula>B$9&lt;8/24</formula>
    </cfRule>
  </conditionalFormatting>
  <conditionalFormatting sqref="B50:M50">
    <cfRule type="expression" dxfId="4339" priority="89">
      <formula>B$9&gt;=20/24</formula>
    </cfRule>
    <cfRule type="expression" dxfId="4338" priority="90">
      <formula>AND(B$9&gt;=14/24,B$9&lt;20/24)</formula>
    </cfRule>
    <cfRule type="expression" dxfId="4337" priority="91">
      <formula>AND(B$9&gt;=8/24,B$9&lt;14/24)</formula>
    </cfRule>
    <cfRule type="expression" dxfId="4336" priority="92">
      <formula>B$9&lt;8/24</formula>
    </cfRule>
  </conditionalFormatting>
  <conditionalFormatting sqref="B11:B15 B36:B56 C12:C15 B18:C23 C44:L50 M46:M50">
    <cfRule type="expression" dxfId="4335" priority="88">
      <formula>B11&gt;$AG11</formula>
    </cfRule>
  </conditionalFormatting>
  <conditionalFormatting sqref="B17:C17">
    <cfRule type="expression" dxfId="4334" priority="84">
      <formula>B$9&gt;=20/24</formula>
    </cfRule>
    <cfRule type="expression" dxfId="4333" priority="85">
      <formula>AND(B$9&gt;=14/24,B$9&lt;20/24)</formula>
    </cfRule>
    <cfRule type="expression" dxfId="4332" priority="86">
      <formula>AND(B$9&gt;=8/24,B$9&lt;14/24)</formula>
    </cfRule>
    <cfRule type="expression" dxfId="4331" priority="87">
      <formula>B$9&lt;8/24</formula>
    </cfRule>
  </conditionalFormatting>
  <conditionalFormatting sqref="B24:C32 D32:L32">
    <cfRule type="expression" dxfId="4330" priority="80">
      <formula>B$9&gt;=20/24</formula>
    </cfRule>
    <cfRule type="expression" dxfId="4329" priority="81">
      <formula>AND(B$9&gt;=14/24,B$9&lt;20/24)</formula>
    </cfRule>
    <cfRule type="expression" dxfId="4328" priority="82">
      <formula>AND(B$9&gt;=8/24,B$9&lt;14/24)</formula>
    </cfRule>
    <cfRule type="expression" dxfId="4327" priority="83">
      <formula>B$9&lt;8/24</formula>
    </cfRule>
  </conditionalFormatting>
  <conditionalFormatting sqref="B35:L35">
    <cfRule type="expression" dxfId="4326" priority="76">
      <formula>B$9&gt;=20/24</formula>
    </cfRule>
    <cfRule type="expression" dxfId="4325" priority="77">
      <formula>AND(B$9&gt;=14/24,B$9&lt;20/24)</formula>
    </cfRule>
    <cfRule type="expression" dxfId="4324" priority="78">
      <formula>AND(B$9&gt;=8/24,B$9&lt;14/24)</formula>
    </cfRule>
    <cfRule type="expression" dxfId="4323" priority="79">
      <formula>B$9&lt;8/24</formula>
    </cfRule>
  </conditionalFormatting>
  <conditionalFormatting sqref="B24:C32 B34:L35 D32:L32">
    <cfRule type="expression" dxfId="4322" priority="75">
      <formula>B24&gt;$AG24</formula>
    </cfRule>
  </conditionalFormatting>
  <conditionalFormatting sqref="B34:L34">
    <cfRule type="expression" dxfId="4321" priority="71">
      <formula>B$9&gt;=20/24</formula>
    </cfRule>
    <cfRule type="expression" dxfId="4320" priority="72">
      <formula>AND(B$9&gt;=14/24,B$9&lt;20/24)</formula>
    </cfRule>
    <cfRule type="expression" dxfId="4319" priority="73">
      <formula>AND(B$9&gt;=8/24,B$9&lt;14/24)</formula>
    </cfRule>
    <cfRule type="expression" dxfId="4318" priority="74">
      <formula>B$9&lt;8/24</formula>
    </cfRule>
  </conditionalFormatting>
  <conditionalFormatting sqref="B33:L33">
    <cfRule type="expression" dxfId="4317" priority="67">
      <formula>B$9&gt;=20/24</formula>
    </cfRule>
    <cfRule type="expression" dxfId="4316" priority="68">
      <formula>AND(B$9&gt;=14/24,B$9&lt;20/24)</formula>
    </cfRule>
    <cfRule type="expression" dxfId="4315" priority="69">
      <formula>AND(B$9&gt;=8/24,B$9&lt;14/24)</formula>
    </cfRule>
    <cfRule type="expression" dxfId="4314" priority="70">
      <formula>B$9&lt;8/24</formula>
    </cfRule>
  </conditionalFormatting>
  <conditionalFormatting sqref="B33:L33">
    <cfRule type="expression" dxfId="4313" priority="66">
      <formula>B33&gt;$AG33</formula>
    </cfRule>
  </conditionalFormatting>
  <conditionalFormatting sqref="B16:C16">
    <cfRule type="expression" dxfId="4312" priority="62">
      <formula>B$9&gt;=20/24</formula>
    </cfRule>
    <cfRule type="expression" dxfId="4311" priority="63">
      <formula>AND(B$9&gt;=14/24,B$9&lt;20/24)</formula>
    </cfRule>
    <cfRule type="expression" dxfId="4310" priority="64">
      <formula>AND(B$9&gt;=8/24,B$9&lt;14/24)</formula>
    </cfRule>
    <cfRule type="expression" dxfId="4309" priority="65">
      <formula>B$9&lt;8/24</formula>
    </cfRule>
  </conditionalFormatting>
  <conditionalFormatting sqref="M17:Y32">
    <cfRule type="expression" dxfId="4308" priority="58">
      <formula>M$9&gt;=20/24</formula>
    </cfRule>
    <cfRule type="expression" dxfId="4307" priority="59">
      <formula>AND(M$9&gt;=14/24,M$9&lt;20/24)</formula>
    </cfRule>
    <cfRule type="expression" dxfId="4306" priority="60">
      <formula>AND(M$9&gt;=8/24,M$9&lt;14/24)</formula>
    </cfRule>
    <cfRule type="expression" dxfId="4305" priority="61">
      <formula>M$9&lt;8/24</formula>
    </cfRule>
  </conditionalFormatting>
  <conditionalFormatting sqref="M35:Y35">
    <cfRule type="expression" dxfId="4304" priority="54">
      <formula>M$9&gt;=20/24</formula>
    </cfRule>
    <cfRule type="expression" dxfId="4303" priority="55">
      <formula>AND(M$9&gt;=14/24,M$9&lt;20/24)</formula>
    </cfRule>
    <cfRule type="expression" dxfId="4302" priority="56">
      <formula>AND(M$9&gt;=8/24,M$9&lt;14/24)</formula>
    </cfRule>
    <cfRule type="expression" dxfId="4301" priority="57">
      <formula>M$9&lt;8/24</formula>
    </cfRule>
  </conditionalFormatting>
  <conditionalFormatting sqref="M17:Y32 M34:Y35">
    <cfRule type="expression" dxfId="4300" priority="53">
      <formula>M17&gt;$AG17</formula>
    </cfRule>
  </conditionalFormatting>
  <conditionalFormatting sqref="M34:Y34">
    <cfRule type="expression" dxfId="4299" priority="49">
      <formula>M$9&gt;=20/24</formula>
    </cfRule>
    <cfRule type="expression" dxfId="4298" priority="50">
      <formula>AND(M$9&gt;=14/24,M$9&lt;20/24)</formula>
    </cfRule>
    <cfRule type="expression" dxfId="4297" priority="51">
      <formula>AND(M$9&gt;=8/24,M$9&lt;14/24)</formula>
    </cfRule>
    <cfRule type="expression" dxfId="4296" priority="52">
      <formula>M$9&lt;8/24</formula>
    </cfRule>
  </conditionalFormatting>
  <conditionalFormatting sqref="M15:Y15">
    <cfRule type="expression" dxfId="4295" priority="45">
      <formula>M$9&gt;=20/24</formula>
    </cfRule>
    <cfRule type="expression" dxfId="4294" priority="46">
      <formula>AND(M$9&gt;=14/24,M$9&lt;20/24)</formula>
    </cfRule>
    <cfRule type="expression" dxfId="4293" priority="47">
      <formula>AND(M$9&gt;=8/24,M$9&lt;14/24)</formula>
    </cfRule>
    <cfRule type="expression" dxfId="4292" priority="48">
      <formula>M$9&lt;8/24</formula>
    </cfRule>
  </conditionalFormatting>
  <conditionalFormatting sqref="M15:Y15">
    <cfRule type="expression" dxfId="4291" priority="44">
      <formula>M15&gt;$AG15</formula>
    </cfRule>
  </conditionalFormatting>
  <conditionalFormatting sqref="M33:Y33">
    <cfRule type="expression" dxfId="4290" priority="40">
      <formula>M$9&gt;=20/24</formula>
    </cfRule>
    <cfRule type="expression" dxfId="4289" priority="41">
      <formula>AND(M$9&gt;=14/24,M$9&lt;20/24)</formula>
    </cfRule>
    <cfRule type="expression" dxfId="4288" priority="42">
      <formula>AND(M$9&gt;=8/24,M$9&lt;14/24)</formula>
    </cfRule>
    <cfRule type="expression" dxfId="4287" priority="43">
      <formula>M$9&lt;8/24</formula>
    </cfRule>
  </conditionalFormatting>
  <conditionalFormatting sqref="M33:Y33">
    <cfRule type="expression" dxfId="4286" priority="39">
      <formula>M33&gt;$AG33</formula>
    </cfRule>
  </conditionalFormatting>
  <conditionalFormatting sqref="M16:Y16">
    <cfRule type="expression" dxfId="4285" priority="35">
      <formula>M$9&gt;=20/24</formula>
    </cfRule>
    <cfRule type="expression" dxfId="4284" priority="36">
      <formula>AND(M$9&gt;=14/24,M$9&lt;20/24)</formula>
    </cfRule>
    <cfRule type="expression" dxfId="4283" priority="37">
      <formula>AND(M$9&gt;=8/24,M$9&lt;14/24)</formula>
    </cfRule>
    <cfRule type="expression" dxfId="4282" priority="38">
      <formula>M$9&lt;8/24</formula>
    </cfRule>
  </conditionalFormatting>
  <conditionalFormatting sqref="M16:Y16">
    <cfRule type="expression" dxfId="4281" priority="34">
      <formula>M16&gt;$AG16</formula>
    </cfRule>
  </conditionalFormatting>
  <conditionalFormatting sqref="M45">
    <cfRule type="expression" dxfId="4280" priority="30">
      <formula>M$9&gt;=20/24</formula>
    </cfRule>
    <cfRule type="expression" dxfId="4279" priority="31">
      <formula>AND(M$9&gt;=14/24,M$9&lt;20/24)</formula>
    </cfRule>
    <cfRule type="expression" dxfId="4278" priority="32">
      <formula>AND(M$9&gt;=8/24,M$9&lt;14/24)</formula>
    </cfRule>
    <cfRule type="expression" dxfId="4277" priority="33">
      <formula>M$9&lt;8/24</formula>
    </cfRule>
  </conditionalFormatting>
  <conditionalFormatting sqref="M45">
    <cfRule type="expression" dxfId="4276" priority="26">
      <formula>M$9&gt;=20/24</formula>
    </cfRule>
    <cfRule type="expression" dxfId="4275" priority="27">
      <formula>AND(M$9&gt;=14/24,M$9&lt;20/24)</formula>
    </cfRule>
    <cfRule type="expression" dxfId="4274" priority="28">
      <formula>AND(M$9&gt;=8/24,M$9&lt;14/24)</formula>
    </cfRule>
    <cfRule type="expression" dxfId="4273" priority="29">
      <formula>M$9&lt;8/24</formula>
    </cfRule>
  </conditionalFormatting>
  <conditionalFormatting sqref="M45">
    <cfRule type="expression" dxfId="4272" priority="25">
      <formula>M45&gt;$AG45</formula>
    </cfRule>
  </conditionalFormatting>
  <conditionalFormatting sqref="V84">
    <cfRule type="expression" dxfId="4271" priority="21">
      <formula>V$9&gt;=20/24</formula>
    </cfRule>
    <cfRule type="expression" dxfId="4270" priority="22">
      <formula>AND(V$9&gt;=14/24,V$9&lt;20/24)</formula>
    </cfRule>
    <cfRule type="expression" dxfId="4269" priority="23">
      <formula>AND(V$9&gt;=8/24,V$9&lt;14/24)</formula>
    </cfRule>
    <cfRule type="expression" dxfId="4268" priority="24">
      <formula>V$9&lt;8/24</formula>
    </cfRule>
  </conditionalFormatting>
  <conditionalFormatting sqref="V85:V91">
    <cfRule type="expression" dxfId="4267" priority="17">
      <formula>V$9&gt;=20/24</formula>
    </cfRule>
    <cfRule type="expression" dxfId="4266" priority="18">
      <formula>AND(V$9&gt;=14/24,V$9&lt;20/24)</formula>
    </cfRule>
    <cfRule type="expression" dxfId="4265" priority="19">
      <formula>AND(V$9&gt;=8/24,V$9&lt;14/24)</formula>
    </cfRule>
    <cfRule type="expression" dxfId="4264" priority="20">
      <formula>V$9&lt;8/24</formula>
    </cfRule>
  </conditionalFormatting>
  <conditionalFormatting sqref="V94:V97">
    <cfRule type="expression" dxfId="4263" priority="13">
      <formula>V$9&gt;=20/24</formula>
    </cfRule>
    <cfRule type="expression" dxfId="4262" priority="14">
      <formula>AND(V$9&gt;=14/24,V$9&lt;20/24)</formula>
    </cfRule>
    <cfRule type="expression" dxfId="4261" priority="15">
      <formula>AND(V$9&gt;=8/24,V$9&lt;14/24)</formula>
    </cfRule>
    <cfRule type="expression" dxfId="4260" priority="16">
      <formula>V$9&lt;8/24</formula>
    </cfRule>
  </conditionalFormatting>
  <conditionalFormatting sqref="V98">
    <cfRule type="expression" dxfId="4259" priority="9">
      <formula>V$9&gt;=20/24</formula>
    </cfRule>
    <cfRule type="expression" dxfId="4258" priority="10">
      <formula>AND(V$9&gt;=14/24,V$9&lt;20/24)</formula>
    </cfRule>
    <cfRule type="expression" dxfId="4257" priority="11">
      <formula>AND(V$9&gt;=8/24,V$9&lt;14/24)</formula>
    </cfRule>
    <cfRule type="expression" dxfId="4256" priority="12">
      <formula>V$9&lt;8/24</formula>
    </cfRule>
  </conditionalFormatting>
  <conditionalFormatting sqref="V94">
    <cfRule type="expression" dxfId="4255" priority="5">
      <formula>V$9&gt;=20/24</formula>
    </cfRule>
    <cfRule type="expression" dxfId="4254" priority="6">
      <formula>AND(V$9&gt;=14/24,V$9&lt;20/24)</formula>
    </cfRule>
    <cfRule type="expression" dxfId="4253" priority="7">
      <formula>AND(V$9&gt;=8/24,V$9&lt;14/24)</formula>
    </cfRule>
    <cfRule type="expression" dxfId="4252" priority="8">
      <formula>V$9&lt;8/24</formula>
    </cfRule>
  </conditionalFormatting>
  <conditionalFormatting sqref="V99:V100">
    <cfRule type="expression" dxfId="4251" priority="1">
      <formula>V$9&gt;=20/24</formula>
    </cfRule>
    <cfRule type="expression" dxfId="4250" priority="2">
      <formula>AND(V$9&gt;=14/24,V$9&lt;20/24)</formula>
    </cfRule>
    <cfRule type="expression" dxfId="4249" priority="3">
      <formula>AND(V$9&gt;=8/24,V$9&lt;14/24)</formula>
    </cfRule>
    <cfRule type="expression" dxfId="4248" priority="4">
      <formula>V$9&lt;8/24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4" id="{C20885A4-8BCB-47DF-BB46-9A270008CC8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CJ472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G53" sqref="G5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2078/12/17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177</v>
      </c>
      <c r="C5" s="157">
        <f t="shared" si="0"/>
        <v>170</v>
      </c>
      <c r="D5" s="157">
        <f t="shared" si="0"/>
        <v>370.7</v>
      </c>
      <c r="E5" s="157">
        <f t="shared" si="0"/>
        <v>388</v>
      </c>
      <c r="F5" s="157">
        <f t="shared" si="0"/>
        <v>391.40000000000003</v>
      </c>
      <c r="G5" s="157">
        <f t="shared" si="0"/>
        <v>197.2</v>
      </c>
      <c r="H5" s="157">
        <f t="shared" si="0"/>
        <v>189.29999999999998</v>
      </c>
      <c r="I5" s="157">
        <f t="shared" si="0"/>
        <v>212.4</v>
      </c>
      <c r="J5" s="157">
        <f t="shared" si="0"/>
        <v>187.2</v>
      </c>
      <c r="K5" s="157">
        <f t="shared" si="0"/>
        <v>232.60000000000002</v>
      </c>
      <c r="L5" s="157">
        <f t="shared" si="0"/>
        <v>373.93</v>
      </c>
      <c r="M5" s="157">
        <f t="shared" si="0"/>
        <v>440.4</v>
      </c>
      <c r="N5" s="157">
        <f t="shared" si="0"/>
        <v>438.2</v>
      </c>
      <c r="O5" s="157">
        <f t="shared" si="0"/>
        <v>455.3</v>
      </c>
      <c r="P5" s="157">
        <f t="shared" si="0"/>
        <v>508.40000000000003</v>
      </c>
      <c r="Q5" s="157">
        <f t="shared" si="0"/>
        <v>676.90000000000009</v>
      </c>
      <c r="R5" s="157">
        <f t="shared" si="0"/>
        <v>562.80000000000007</v>
      </c>
      <c r="S5" s="157">
        <f t="shared" si="0"/>
        <v>543.4</v>
      </c>
      <c r="T5" s="157">
        <f t="shared" si="0"/>
        <v>451.59999999999997</v>
      </c>
      <c r="U5" s="157">
        <f t="shared" si="0"/>
        <v>423.49999999999994</v>
      </c>
      <c r="V5" s="157">
        <f t="shared" si="0"/>
        <v>417.90000000000003</v>
      </c>
      <c r="W5" s="157">
        <f t="shared" si="0"/>
        <v>426</v>
      </c>
      <c r="X5" s="157">
        <f t="shared" si="0"/>
        <v>203.73</v>
      </c>
      <c r="Y5" s="157">
        <f t="shared" si="0"/>
        <v>187.6</v>
      </c>
      <c r="Z5" s="157">
        <f t="shared" si="0"/>
        <v>124.5</v>
      </c>
      <c r="AA5" s="157">
        <f t="shared" si="0"/>
        <v>125.65</v>
      </c>
      <c r="AB5" s="157">
        <f t="shared" si="0"/>
        <v>113.30000000000001</v>
      </c>
      <c r="AC5" s="157">
        <f t="shared" si="0"/>
        <v>117.89999999999999</v>
      </c>
      <c r="AD5" s="157">
        <f t="shared" si="0"/>
        <v>127.6</v>
      </c>
      <c r="AE5" s="157">
        <f t="shared" si="0"/>
        <v>131.5</v>
      </c>
      <c r="AF5" s="157">
        <f>B68</f>
        <v>169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1462MW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Load=1132</v>
      </c>
      <c r="B7" s="146">
        <f>B75</f>
        <v>1218.44</v>
      </c>
      <c r="C7" s="146">
        <f t="shared" ref="C7:AF7" si="1">C75</f>
        <v>1191.44</v>
      </c>
      <c r="D7" s="146">
        <f t="shared" si="1"/>
        <v>1174.44</v>
      </c>
      <c r="E7" s="146">
        <f t="shared" si="1"/>
        <v>1171.04</v>
      </c>
      <c r="F7" s="146">
        <f t="shared" si="1"/>
        <v>1132.3400000000001</v>
      </c>
      <c r="G7" s="146">
        <f t="shared" si="1"/>
        <v>1171.1399999999999</v>
      </c>
      <c r="H7" s="146">
        <f t="shared" si="1"/>
        <v>1230.04</v>
      </c>
      <c r="I7" s="146">
        <f t="shared" si="1"/>
        <v>1255.94</v>
      </c>
      <c r="J7" s="146">
        <f t="shared" si="1"/>
        <v>1361.94</v>
      </c>
      <c r="K7" s="146">
        <f t="shared" si="1"/>
        <v>1347.04</v>
      </c>
      <c r="L7" s="146">
        <f t="shared" si="1"/>
        <v>1455.94</v>
      </c>
      <c r="M7" s="146">
        <f t="shared" si="1"/>
        <v>1462.0700000000002</v>
      </c>
      <c r="N7" s="146">
        <f t="shared" si="1"/>
        <v>1398.8400000000001</v>
      </c>
      <c r="O7" s="146">
        <f t="shared" si="1"/>
        <v>1429.64</v>
      </c>
      <c r="P7" s="146">
        <f t="shared" si="1"/>
        <v>1421.74</v>
      </c>
      <c r="Q7" s="146">
        <f t="shared" si="1"/>
        <v>1404.94</v>
      </c>
      <c r="R7" s="146">
        <f t="shared" si="1"/>
        <v>1434.0400000000002</v>
      </c>
      <c r="S7" s="146">
        <f t="shared" si="1"/>
        <v>1461.5400000000002</v>
      </c>
      <c r="T7" s="146">
        <f t="shared" si="1"/>
        <v>1463.8400000000001</v>
      </c>
      <c r="U7" s="146">
        <f t="shared" si="1"/>
        <v>1407.8400000000001</v>
      </c>
      <c r="V7" s="146">
        <f t="shared" si="1"/>
        <v>1408.94</v>
      </c>
      <c r="W7" s="146">
        <f t="shared" si="1"/>
        <v>1404.3400000000001</v>
      </c>
      <c r="X7" s="146">
        <f t="shared" si="1"/>
        <v>1345.74</v>
      </c>
      <c r="Y7" s="146">
        <f t="shared" si="1"/>
        <v>1512.5700000000002</v>
      </c>
      <c r="Z7" s="146">
        <f t="shared" si="1"/>
        <v>1616.8400000000001</v>
      </c>
      <c r="AA7" s="146">
        <f t="shared" si="1"/>
        <v>1546.1400000000003</v>
      </c>
      <c r="AB7" s="146">
        <f t="shared" si="1"/>
        <v>1498.49</v>
      </c>
      <c r="AC7" s="146">
        <f t="shared" si="1"/>
        <v>1483.84</v>
      </c>
      <c r="AD7" s="146">
        <f t="shared" si="1"/>
        <v>1461.54</v>
      </c>
      <c r="AE7" s="146">
        <f t="shared" si="1"/>
        <v>1357.04</v>
      </c>
      <c r="AF7" s="146">
        <f t="shared" si="1"/>
        <v>1298.94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100</v>
      </c>
      <c r="C11" s="127">
        <v>75</v>
      </c>
      <c r="D11" s="127">
        <v>75</v>
      </c>
      <c r="E11" s="127">
        <v>12</v>
      </c>
      <c r="F11" s="127">
        <v>12</v>
      </c>
      <c r="G11" s="127">
        <v>12</v>
      </c>
      <c r="H11" s="127">
        <v>150</v>
      </c>
      <c r="I11" s="127">
        <v>170</v>
      </c>
      <c r="J11" s="127">
        <v>200</v>
      </c>
      <c r="K11" s="127">
        <v>230</v>
      </c>
      <c r="L11" s="127">
        <v>250</v>
      </c>
      <c r="M11" s="103">
        <v>250</v>
      </c>
      <c r="N11" s="103">
        <v>160</v>
      </c>
      <c r="O11" s="103">
        <v>165</v>
      </c>
      <c r="P11" s="103">
        <v>142</v>
      </c>
      <c r="Q11" s="103">
        <v>120</v>
      </c>
      <c r="R11" s="135">
        <v>40</v>
      </c>
      <c r="S11" s="103">
        <v>140</v>
      </c>
      <c r="T11" s="103">
        <v>150</v>
      </c>
      <c r="U11" s="103">
        <v>200</v>
      </c>
      <c r="V11" s="103">
        <v>180</v>
      </c>
      <c r="W11" s="103">
        <v>170</v>
      </c>
      <c r="X11" s="103">
        <v>140</v>
      </c>
      <c r="Y11" s="103">
        <v>250</v>
      </c>
      <c r="Z11" s="179">
        <v>360</v>
      </c>
      <c r="AA11" s="103">
        <v>350</v>
      </c>
      <c r="AB11" s="103">
        <v>300</v>
      </c>
      <c r="AC11" s="103">
        <v>300</v>
      </c>
      <c r="AD11" s="103">
        <v>260</v>
      </c>
      <c r="AE11" s="103">
        <v>200</v>
      </c>
      <c r="AF11" s="103">
        <v>190</v>
      </c>
      <c r="AG11" s="54">
        <v>456</v>
      </c>
      <c r="AH11" s="21">
        <f>MAX(B11:AF11)</f>
        <v>360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17.8</v>
      </c>
      <c r="C13" s="127">
        <v>17.8</v>
      </c>
      <c r="D13" s="127">
        <v>17.8</v>
      </c>
      <c r="E13" s="127">
        <v>17.8</v>
      </c>
      <c r="F13" s="127">
        <v>17.8</v>
      </c>
      <c r="G13" s="127">
        <v>17.8</v>
      </c>
      <c r="H13" s="127">
        <v>17.8</v>
      </c>
      <c r="I13" s="127">
        <v>17.8</v>
      </c>
      <c r="J13" s="127">
        <v>17.8</v>
      </c>
      <c r="K13" s="127">
        <v>17.8</v>
      </c>
      <c r="L13" s="127">
        <v>17.8</v>
      </c>
      <c r="M13" s="127">
        <v>17.8</v>
      </c>
      <c r="N13" s="127">
        <v>17.8</v>
      </c>
      <c r="O13" s="127">
        <v>17.8</v>
      </c>
      <c r="P13" s="127">
        <v>17.8</v>
      </c>
      <c r="Q13" s="127">
        <v>17.8</v>
      </c>
      <c r="R13" s="127">
        <v>17.8</v>
      </c>
      <c r="S13" s="127">
        <v>17.8</v>
      </c>
      <c r="T13" s="127">
        <v>17.8</v>
      </c>
      <c r="U13" s="127">
        <v>17.8</v>
      </c>
      <c r="V13" s="127">
        <v>17.8</v>
      </c>
      <c r="W13" s="127">
        <v>17.8</v>
      </c>
      <c r="X13" s="127">
        <v>17.8</v>
      </c>
      <c r="Y13" s="127">
        <v>17.8</v>
      </c>
      <c r="Z13" s="103">
        <v>0</v>
      </c>
      <c r="AA13" s="103">
        <v>0</v>
      </c>
      <c r="AB13" s="103">
        <v>0</v>
      </c>
      <c r="AC13" s="103">
        <v>0</v>
      </c>
      <c r="AD13" s="103">
        <v>20.100000000000001</v>
      </c>
      <c r="AE13" s="103">
        <v>16.7</v>
      </c>
      <c r="AF13" s="103">
        <v>17.5</v>
      </c>
      <c r="AG13" s="134">
        <v>52.4</v>
      </c>
      <c r="AH13" s="21">
        <f t="shared" si="2"/>
        <v>20.100000000000001</v>
      </c>
      <c r="AI13" s="20">
        <f t="shared" si="3"/>
        <v>0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25.3</v>
      </c>
      <c r="C14" s="127">
        <v>25.3</v>
      </c>
      <c r="D14" s="127">
        <v>25.3</v>
      </c>
      <c r="E14" s="127">
        <v>25.3</v>
      </c>
      <c r="F14" s="127">
        <v>25.3</v>
      </c>
      <c r="G14" s="127">
        <v>25.3</v>
      </c>
      <c r="H14" s="127">
        <v>25.3</v>
      </c>
      <c r="I14" s="127">
        <v>25.3</v>
      </c>
      <c r="J14" s="127">
        <v>25.3</v>
      </c>
      <c r="K14" s="127">
        <v>25.3</v>
      </c>
      <c r="L14" s="127">
        <v>25.3</v>
      </c>
      <c r="M14" s="103">
        <v>25.3</v>
      </c>
      <c r="N14" s="103">
        <v>25.3</v>
      </c>
      <c r="O14" s="103">
        <v>25.3</v>
      </c>
      <c r="P14" s="103">
        <v>25.3</v>
      </c>
      <c r="Q14" s="103">
        <v>25.3</v>
      </c>
      <c r="R14" s="103">
        <v>25.3</v>
      </c>
      <c r="S14" s="103">
        <v>25.3</v>
      </c>
      <c r="T14" s="103">
        <v>25.3</v>
      </c>
      <c r="U14" s="103">
        <v>25.3</v>
      </c>
      <c r="V14" s="103">
        <v>25.3</v>
      </c>
      <c r="W14" s="103">
        <v>25.3</v>
      </c>
      <c r="X14" s="103">
        <v>25.3</v>
      </c>
      <c r="Y14" s="103">
        <v>25.3</v>
      </c>
      <c r="Z14" s="103">
        <v>25.3</v>
      </c>
      <c r="AA14" s="103">
        <v>25.3</v>
      </c>
      <c r="AB14" s="103">
        <v>25.3</v>
      </c>
      <c r="AC14" s="103">
        <v>25.3</v>
      </c>
      <c r="AD14" s="103">
        <v>25.5</v>
      </c>
      <c r="AE14" s="103">
        <v>25.7</v>
      </c>
      <c r="AF14" s="103">
        <v>25.4</v>
      </c>
      <c r="AG14" s="134">
        <v>50</v>
      </c>
      <c r="AH14" s="21">
        <f t="shared" si="2"/>
        <v>25.7</v>
      </c>
      <c r="AI14" s="20">
        <f t="shared" si="3"/>
        <v>25.3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22.7</v>
      </c>
      <c r="C15" s="123">
        <v>22.7</v>
      </c>
      <c r="D15" s="123">
        <v>22.7</v>
      </c>
      <c r="E15" s="123">
        <v>22.7</v>
      </c>
      <c r="F15" s="123">
        <v>22.7</v>
      </c>
      <c r="G15" s="123">
        <v>22.7</v>
      </c>
      <c r="H15" s="123">
        <v>22.7</v>
      </c>
      <c r="I15" s="123">
        <v>22.7</v>
      </c>
      <c r="J15" s="123">
        <v>22.7</v>
      </c>
      <c r="K15" s="123">
        <v>22.7</v>
      </c>
      <c r="L15" s="123">
        <v>22.7</v>
      </c>
      <c r="M15" s="103">
        <v>22.7</v>
      </c>
      <c r="N15" s="103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103">
        <v>22.7</v>
      </c>
      <c r="V15" s="103">
        <v>22.7</v>
      </c>
      <c r="W15" s="103">
        <v>22.7</v>
      </c>
      <c r="X15" s="103">
        <v>22.7</v>
      </c>
      <c r="Y15" s="103">
        <v>22.7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22.7</v>
      </c>
      <c r="AE15" s="103">
        <v>22.8</v>
      </c>
      <c r="AF15" s="103">
        <v>22.8</v>
      </c>
      <c r="AG15" s="108">
        <v>45</v>
      </c>
      <c r="AH15" s="21">
        <f t="shared" si="2"/>
        <v>22.8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12.6</v>
      </c>
      <c r="C19" s="127">
        <v>12.6</v>
      </c>
      <c r="D19" s="127">
        <v>12.6</v>
      </c>
      <c r="E19" s="127">
        <v>12.6</v>
      </c>
      <c r="F19" s="127">
        <v>12.6</v>
      </c>
      <c r="G19" s="127">
        <v>12.6</v>
      </c>
      <c r="H19" s="127">
        <v>13.2</v>
      </c>
      <c r="I19" s="127">
        <v>13.2</v>
      </c>
      <c r="J19" s="127">
        <v>13.2</v>
      </c>
      <c r="K19" s="127">
        <v>13.2</v>
      </c>
      <c r="L19" s="127">
        <v>13.2</v>
      </c>
      <c r="M19" s="103">
        <v>13.2</v>
      </c>
      <c r="N19" s="103">
        <v>13.2</v>
      </c>
      <c r="O19" s="103">
        <v>13.2</v>
      </c>
      <c r="P19" s="103">
        <v>13.2</v>
      </c>
      <c r="Q19" s="103">
        <v>13.2</v>
      </c>
      <c r="R19" s="103">
        <v>13.2</v>
      </c>
      <c r="S19" s="103">
        <v>13.2</v>
      </c>
      <c r="T19" s="103">
        <v>13.2</v>
      </c>
      <c r="U19" s="103">
        <v>13.2</v>
      </c>
      <c r="V19" s="103">
        <v>13.2</v>
      </c>
      <c r="W19" s="103">
        <v>13.2</v>
      </c>
      <c r="X19" s="103">
        <v>13.2</v>
      </c>
      <c r="Y19" s="103">
        <v>13.2</v>
      </c>
      <c r="Z19" s="103">
        <v>13.2</v>
      </c>
      <c r="AA19" s="103">
        <v>13.2</v>
      </c>
      <c r="AB19" s="103">
        <v>13.2</v>
      </c>
      <c r="AC19" s="103">
        <v>13.2</v>
      </c>
      <c r="AD19" s="103">
        <v>13.2</v>
      </c>
      <c r="AE19" s="103">
        <v>13.3</v>
      </c>
      <c r="AF19" s="103">
        <v>13.2</v>
      </c>
      <c r="AG19" s="134">
        <v>30</v>
      </c>
      <c r="AH19" s="21">
        <f t="shared" si="2"/>
        <v>13.3</v>
      </c>
      <c r="AI19" s="20">
        <f t="shared" si="3"/>
        <v>12.6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22.3</v>
      </c>
      <c r="C22" s="127">
        <v>22.3</v>
      </c>
      <c r="D22" s="127">
        <v>22.3</v>
      </c>
      <c r="E22" s="127">
        <v>22.3</v>
      </c>
      <c r="F22" s="127">
        <v>22.3</v>
      </c>
      <c r="G22" s="127">
        <v>22.3</v>
      </c>
      <c r="H22" s="127">
        <v>22.3</v>
      </c>
      <c r="I22" s="127">
        <v>22.3</v>
      </c>
      <c r="J22" s="127">
        <v>22.3</v>
      </c>
      <c r="K22" s="127">
        <v>22.3</v>
      </c>
      <c r="L22" s="127">
        <v>22.3</v>
      </c>
      <c r="M22" s="103">
        <v>22.3</v>
      </c>
      <c r="N22" s="103">
        <v>22.3</v>
      </c>
      <c r="O22" s="103">
        <v>22.3</v>
      </c>
      <c r="P22" s="103">
        <v>22.3</v>
      </c>
      <c r="Q22" s="103">
        <v>22.3</v>
      </c>
      <c r="R22" s="103">
        <v>22.3</v>
      </c>
      <c r="S22" s="103">
        <v>22.3</v>
      </c>
      <c r="T22" s="103">
        <v>22.3</v>
      </c>
      <c r="U22" s="103">
        <v>22.3</v>
      </c>
      <c r="V22" s="103">
        <v>22.3</v>
      </c>
      <c r="W22" s="103">
        <v>22.3</v>
      </c>
      <c r="X22" s="103">
        <v>23.8</v>
      </c>
      <c r="Y22" s="103">
        <v>23.8</v>
      </c>
      <c r="Z22" s="103">
        <v>22.7</v>
      </c>
      <c r="AA22" s="103">
        <v>22.7</v>
      </c>
      <c r="AB22" s="103">
        <v>22.7</v>
      </c>
      <c r="AC22" s="103">
        <v>22.7</v>
      </c>
      <c r="AD22" s="103">
        <v>22.9</v>
      </c>
      <c r="AE22" s="103">
        <v>22.8</v>
      </c>
      <c r="AF22" s="103">
        <v>23.1</v>
      </c>
      <c r="AG22" s="134">
        <v>25</v>
      </c>
      <c r="AH22" s="21">
        <f t="shared" si="2"/>
        <v>23.8</v>
      </c>
      <c r="AI22" s="20">
        <f t="shared" si="3"/>
        <v>22.3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4.9000000000000004</v>
      </c>
      <c r="C23" s="127">
        <v>4.9000000000000004</v>
      </c>
      <c r="D23" s="127">
        <v>4.9000000000000004</v>
      </c>
      <c r="E23" s="127">
        <v>4.9000000000000004</v>
      </c>
      <c r="F23" s="127">
        <v>4.9000000000000004</v>
      </c>
      <c r="G23" s="127">
        <v>4.9000000000000004</v>
      </c>
      <c r="H23" s="127">
        <v>4.9000000000000004</v>
      </c>
      <c r="I23" s="127">
        <v>4.9000000000000004</v>
      </c>
      <c r="J23" s="127">
        <v>4.9000000000000004</v>
      </c>
      <c r="K23" s="127">
        <v>4.9000000000000004</v>
      </c>
      <c r="L23" s="127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7.1</v>
      </c>
      <c r="C24" s="127">
        <v>7.1</v>
      </c>
      <c r="D24" s="127">
        <v>7.1</v>
      </c>
      <c r="E24" s="127">
        <v>8.5</v>
      </c>
      <c r="F24" s="127">
        <v>8.5</v>
      </c>
      <c r="G24" s="127">
        <v>8.5</v>
      </c>
      <c r="H24" s="127">
        <v>8.5</v>
      </c>
      <c r="I24" s="127">
        <v>8.5</v>
      </c>
      <c r="J24" s="127">
        <v>8.5</v>
      </c>
      <c r="K24" s="127">
        <v>8.5</v>
      </c>
      <c r="L24" s="127">
        <v>8.5</v>
      </c>
      <c r="M24" s="103">
        <v>8.5</v>
      </c>
      <c r="N24" s="103">
        <v>8.5</v>
      </c>
      <c r="O24" s="103">
        <v>8.5</v>
      </c>
      <c r="P24" s="103">
        <v>8.5</v>
      </c>
      <c r="Q24" s="103">
        <v>8.5</v>
      </c>
      <c r="R24" s="103">
        <v>8.5</v>
      </c>
      <c r="S24" s="103">
        <v>8.5</v>
      </c>
      <c r="T24" s="103">
        <v>8.5</v>
      </c>
      <c r="U24" s="103">
        <v>8.5</v>
      </c>
      <c r="V24" s="103">
        <v>8.5</v>
      </c>
      <c r="W24" s="103">
        <v>8.5</v>
      </c>
      <c r="X24" s="103">
        <v>8.5</v>
      </c>
      <c r="Y24" s="103">
        <v>8.5</v>
      </c>
      <c r="Z24" s="103">
        <v>8.5</v>
      </c>
      <c r="AA24" s="103">
        <v>8.5</v>
      </c>
      <c r="AB24" s="103">
        <v>8.5</v>
      </c>
      <c r="AC24" s="103">
        <v>8.5</v>
      </c>
      <c r="AD24" s="103">
        <v>6.9</v>
      </c>
      <c r="AE24" s="103">
        <v>9.5</v>
      </c>
      <c r="AF24" s="103">
        <v>9.5</v>
      </c>
      <c r="AG24" s="134">
        <v>25</v>
      </c>
      <c r="AH24" s="21">
        <f t="shared" si="2"/>
        <v>9.5</v>
      </c>
      <c r="AI24" s="20">
        <f t="shared" si="3"/>
        <v>6.9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40</v>
      </c>
      <c r="C37" s="123">
        <v>40</v>
      </c>
      <c r="D37" s="123">
        <v>40</v>
      </c>
      <c r="E37" s="123">
        <f>22.6+18.9</f>
        <v>41.5</v>
      </c>
      <c r="F37" s="123">
        <f>21.8+18.7</f>
        <v>40.5</v>
      </c>
      <c r="G37" s="123">
        <f>21.9+19.2</f>
        <v>41.099999999999994</v>
      </c>
      <c r="H37" s="123">
        <f>23+19.5</f>
        <v>42.5</v>
      </c>
      <c r="I37" s="123">
        <f>19.3+22.7</f>
        <v>42</v>
      </c>
      <c r="J37" s="123">
        <f>22+19.1</f>
        <v>41.1</v>
      </c>
      <c r="K37" s="123">
        <f>19.5+22.2</f>
        <v>41.7</v>
      </c>
      <c r="L37" s="123">
        <f>21.9+20</f>
        <v>41.9</v>
      </c>
      <c r="M37" s="128">
        <f>21.3+21.8</f>
        <v>43.1</v>
      </c>
      <c r="N37" s="128">
        <f>23+21.4</f>
        <v>44.4</v>
      </c>
      <c r="O37" s="128">
        <f>23+21.9</f>
        <v>44.9</v>
      </c>
      <c r="P37" s="128">
        <f>21.1+22.5</f>
        <v>43.6</v>
      </c>
      <c r="Q37" s="128">
        <f>20.4+22.7</f>
        <v>43.099999999999994</v>
      </c>
      <c r="R37" s="128">
        <f>20.1+21.2</f>
        <v>41.3</v>
      </c>
      <c r="S37" s="128">
        <v>42.4</v>
      </c>
      <c r="T37" s="128">
        <v>43.3</v>
      </c>
      <c r="U37" s="128">
        <v>35.5</v>
      </c>
      <c r="V37" s="128">
        <v>37.1</v>
      </c>
      <c r="W37" s="128">
        <v>37</v>
      </c>
      <c r="X37" s="128">
        <v>37.5</v>
      </c>
      <c r="Y37" s="128">
        <v>36.200000000000003</v>
      </c>
      <c r="Z37" s="128">
        <v>36.200000000000003</v>
      </c>
      <c r="AA37" s="128">
        <v>35</v>
      </c>
      <c r="AB37" s="128">
        <f>19.4+15.7</f>
        <v>35.099999999999994</v>
      </c>
      <c r="AC37" s="128">
        <f>19.7+19.1</f>
        <v>38.799999999999997</v>
      </c>
      <c r="AD37" s="128">
        <f>20.7+20.1</f>
        <v>40.799999999999997</v>
      </c>
      <c r="AE37" s="128">
        <f>21.9+21.5</f>
        <v>43.4</v>
      </c>
      <c r="AF37" s="128">
        <f>23.1+20.3</f>
        <v>43.400000000000006</v>
      </c>
      <c r="AG37" s="106">
        <v>240</v>
      </c>
      <c r="AH37" s="21">
        <f t="shared" si="2"/>
        <v>44.9</v>
      </c>
      <c r="AI37" s="20">
        <f t="shared" si="3"/>
        <v>35</v>
      </c>
      <c r="AK37" s="42"/>
    </row>
    <row r="38" spans="1:88" ht="15.75" thickBot="1" x14ac:dyDescent="0.3">
      <c r="A38" s="100" t="s">
        <v>173</v>
      </c>
      <c r="B38" s="99">
        <f>SUM(B11:B36)</f>
        <v>489.5</v>
      </c>
      <c r="C38" s="99">
        <f t="shared" ref="C38:AF38" si="4">SUM(C11:C36)</f>
        <v>464.5</v>
      </c>
      <c r="D38" s="99">
        <f t="shared" si="4"/>
        <v>464.5</v>
      </c>
      <c r="E38" s="99">
        <f t="shared" si="4"/>
        <v>402.9</v>
      </c>
      <c r="F38" s="99">
        <f t="shared" si="4"/>
        <v>402.9</v>
      </c>
      <c r="G38" s="99">
        <f t="shared" si="4"/>
        <v>402.9</v>
      </c>
      <c r="H38" s="99">
        <f t="shared" si="4"/>
        <v>541.5</v>
      </c>
      <c r="I38" s="99">
        <f t="shared" si="4"/>
        <v>561.5</v>
      </c>
      <c r="J38" s="99">
        <f t="shared" si="4"/>
        <v>591.5</v>
      </c>
      <c r="K38" s="99">
        <f t="shared" si="4"/>
        <v>621.5</v>
      </c>
      <c r="L38" s="99">
        <f t="shared" si="4"/>
        <v>641.5</v>
      </c>
      <c r="M38" s="99">
        <f t="shared" si="4"/>
        <v>641.5</v>
      </c>
      <c r="N38" s="99">
        <f t="shared" si="4"/>
        <v>551.5</v>
      </c>
      <c r="O38" s="99">
        <f t="shared" si="4"/>
        <v>556.5</v>
      </c>
      <c r="P38" s="99">
        <f t="shared" si="4"/>
        <v>533.5</v>
      </c>
      <c r="Q38" s="99">
        <f t="shared" si="4"/>
        <v>511.5</v>
      </c>
      <c r="R38" s="99">
        <f t="shared" si="4"/>
        <v>431.49999999999994</v>
      </c>
      <c r="S38" s="99">
        <f t="shared" si="4"/>
        <v>531.5</v>
      </c>
      <c r="T38" s="99">
        <f t="shared" si="4"/>
        <v>541.5</v>
      </c>
      <c r="U38" s="99">
        <f t="shared" si="4"/>
        <v>591.5</v>
      </c>
      <c r="V38" s="99">
        <f t="shared" si="4"/>
        <v>571.5</v>
      </c>
      <c r="W38" s="99">
        <f t="shared" si="4"/>
        <v>561.5</v>
      </c>
      <c r="X38" s="99">
        <f t="shared" si="4"/>
        <v>533</v>
      </c>
      <c r="Y38" s="99">
        <f t="shared" si="4"/>
        <v>643</v>
      </c>
      <c r="Z38" s="99">
        <f t="shared" si="4"/>
        <v>734.10000000000014</v>
      </c>
      <c r="AA38" s="99">
        <f t="shared" si="4"/>
        <v>724.10000000000014</v>
      </c>
      <c r="AB38" s="99">
        <f t="shared" si="4"/>
        <v>674.09999999999991</v>
      </c>
      <c r="AC38" s="99">
        <f t="shared" si="4"/>
        <v>674.09999999999991</v>
      </c>
      <c r="AD38" s="99">
        <f t="shared" si="4"/>
        <v>653</v>
      </c>
      <c r="AE38" s="99">
        <f t="shared" si="4"/>
        <v>592.5</v>
      </c>
      <c r="AF38" s="99">
        <f t="shared" si="4"/>
        <v>583.20000000000005</v>
      </c>
      <c r="AG38" s="106">
        <f>SUM(AG11:AG37)</f>
        <v>1492.8299999999997</v>
      </c>
      <c r="AH38" s="21">
        <f t="shared" si="2"/>
        <v>734.10000000000014</v>
      </c>
      <c r="AI38" s="20">
        <f t="shared" si="3"/>
        <v>402.9</v>
      </c>
      <c r="AK38" s="42"/>
    </row>
    <row r="39" spans="1:88" x14ac:dyDescent="0.25">
      <c r="A39" s="109" t="s">
        <v>172</v>
      </c>
      <c r="B39" s="127">
        <v>145.30000000000001</v>
      </c>
      <c r="C39" s="127">
        <v>145.30000000000001</v>
      </c>
      <c r="D39" s="127">
        <v>145.30000000000001</v>
      </c>
      <c r="E39" s="123">
        <v>70.400000000000006</v>
      </c>
      <c r="F39" s="123">
        <v>32.6</v>
      </c>
      <c r="G39" s="123">
        <v>32.4</v>
      </c>
      <c r="H39" s="123">
        <v>80</v>
      </c>
      <c r="I39" s="123">
        <v>80.900000000000006</v>
      </c>
      <c r="J39" s="123">
        <v>96.9</v>
      </c>
      <c r="K39" s="123">
        <v>96.9</v>
      </c>
      <c r="L39" s="123">
        <v>121.6</v>
      </c>
      <c r="M39" s="103">
        <v>111.3</v>
      </c>
      <c r="N39" s="103">
        <v>111.3</v>
      </c>
      <c r="O39" s="103">
        <v>111</v>
      </c>
      <c r="P39" s="103">
        <v>121.4</v>
      </c>
      <c r="Q39" s="103">
        <v>111.1</v>
      </c>
      <c r="R39" s="103">
        <v>85.6</v>
      </c>
      <c r="S39" s="103">
        <v>96.7</v>
      </c>
      <c r="T39" s="103">
        <v>97.4</v>
      </c>
      <c r="U39" s="103">
        <v>120.3</v>
      </c>
      <c r="V39" s="103">
        <v>120.3</v>
      </c>
      <c r="W39" s="103">
        <v>131.30000000000001</v>
      </c>
      <c r="X39" s="103">
        <v>112.8</v>
      </c>
      <c r="Y39" s="103">
        <v>142.30000000000001</v>
      </c>
      <c r="Z39" s="103">
        <v>145.5</v>
      </c>
      <c r="AA39" s="103">
        <v>145.5</v>
      </c>
      <c r="AB39" s="103">
        <v>145.5</v>
      </c>
      <c r="AC39" s="103">
        <v>145.30000000000001</v>
      </c>
      <c r="AD39" s="103">
        <v>145.30000000000001</v>
      </c>
      <c r="AE39" s="103">
        <v>95.5</v>
      </c>
      <c r="AF39" s="127">
        <v>73</v>
      </c>
      <c r="AG39" s="108">
        <v>144</v>
      </c>
      <c r="AH39" s="21">
        <f t="shared" si="2"/>
        <v>145.5</v>
      </c>
      <c r="AI39" s="20">
        <f t="shared" si="3"/>
        <v>32.4</v>
      </c>
      <c r="AK39" s="42"/>
    </row>
    <row r="40" spans="1:88" x14ac:dyDescent="0.25">
      <c r="A40" s="107" t="s">
        <v>171</v>
      </c>
      <c r="B40" s="123">
        <v>70.8</v>
      </c>
      <c r="C40" s="123">
        <v>70.8</v>
      </c>
      <c r="D40" s="123">
        <v>70.8</v>
      </c>
      <c r="E40" s="123">
        <v>0</v>
      </c>
      <c r="F40" s="123">
        <v>0</v>
      </c>
      <c r="G40" s="123">
        <v>21.3</v>
      </c>
      <c r="H40" s="123">
        <v>69.099999999999994</v>
      </c>
      <c r="I40" s="123">
        <v>70.8</v>
      </c>
      <c r="J40" s="123">
        <v>71.099999999999994</v>
      </c>
      <c r="K40" s="123">
        <v>71.900000000000006</v>
      </c>
      <c r="L40" s="123">
        <v>71.8</v>
      </c>
      <c r="M40" s="73">
        <v>70.7</v>
      </c>
      <c r="N40" s="73">
        <v>50</v>
      </c>
      <c r="O40" s="73">
        <v>69.900000000000006</v>
      </c>
      <c r="P40" s="73">
        <v>69.900000000000006</v>
      </c>
      <c r="Q40" s="73">
        <v>55.5</v>
      </c>
      <c r="R40" s="73">
        <v>36.1</v>
      </c>
      <c r="S40" s="73">
        <v>51.5</v>
      </c>
      <c r="T40" s="73">
        <v>60.3</v>
      </c>
      <c r="U40" s="73">
        <v>71.8</v>
      </c>
      <c r="V40" s="73">
        <v>71.8</v>
      </c>
      <c r="W40" s="73">
        <v>71.8</v>
      </c>
      <c r="X40" s="73">
        <v>71.900000000000006</v>
      </c>
      <c r="Y40" s="73">
        <v>70.2</v>
      </c>
      <c r="Z40" s="73">
        <v>72.599999999999994</v>
      </c>
      <c r="AA40" s="73">
        <v>72.599999999999994</v>
      </c>
      <c r="AB40" s="73">
        <v>72.3</v>
      </c>
      <c r="AC40" s="73">
        <v>71.7</v>
      </c>
      <c r="AD40" s="73">
        <v>72.2</v>
      </c>
      <c r="AE40" s="73">
        <v>71.2</v>
      </c>
      <c r="AF40" s="123">
        <v>50.1</v>
      </c>
      <c r="AG40" s="106">
        <v>70</v>
      </c>
      <c r="AH40" s="21">
        <f t="shared" si="2"/>
        <v>72.599999999999994</v>
      </c>
      <c r="AI40" s="20">
        <f t="shared" si="3"/>
        <v>0</v>
      </c>
      <c r="AK40" s="42"/>
    </row>
    <row r="41" spans="1:88" x14ac:dyDescent="0.25">
      <c r="A41" s="107" t="s">
        <v>170</v>
      </c>
      <c r="B41" s="123">
        <v>69</v>
      </c>
      <c r="C41" s="123">
        <v>69</v>
      </c>
      <c r="D41" s="123">
        <v>69</v>
      </c>
      <c r="E41" s="123">
        <v>68.5</v>
      </c>
      <c r="F41" s="123">
        <v>56.7</v>
      </c>
      <c r="G41" s="123">
        <v>67</v>
      </c>
      <c r="H41" s="123">
        <v>68</v>
      </c>
      <c r="I41" s="123">
        <v>67.900000000000006</v>
      </c>
      <c r="J41" s="123">
        <v>67.599999999999994</v>
      </c>
      <c r="K41" s="123">
        <v>67.8</v>
      </c>
      <c r="L41" s="123">
        <v>67.900000000000006</v>
      </c>
      <c r="M41" s="73">
        <v>67.3</v>
      </c>
      <c r="N41" s="73">
        <v>60</v>
      </c>
      <c r="O41" s="73">
        <v>51.6</v>
      </c>
      <c r="P41" s="73">
        <v>40.4</v>
      </c>
      <c r="Q41" s="73">
        <v>40.6</v>
      </c>
      <c r="R41" s="73">
        <v>35.299999999999997</v>
      </c>
      <c r="S41" s="73">
        <v>47.2</v>
      </c>
      <c r="T41" s="73">
        <v>46.4</v>
      </c>
      <c r="U41" s="73">
        <v>30.9</v>
      </c>
      <c r="V41" s="73">
        <v>46.5</v>
      </c>
      <c r="W41" s="73">
        <v>46.5</v>
      </c>
      <c r="X41" s="73">
        <v>45.7</v>
      </c>
      <c r="Y41" s="73">
        <v>67.5</v>
      </c>
      <c r="Z41" s="73">
        <v>67.5</v>
      </c>
      <c r="AA41" s="73">
        <v>67.5</v>
      </c>
      <c r="AB41" s="73">
        <v>67.5</v>
      </c>
      <c r="AC41" s="73">
        <v>67.8</v>
      </c>
      <c r="AD41" s="73">
        <v>67.5</v>
      </c>
      <c r="AE41" s="73">
        <v>67.099999999999994</v>
      </c>
      <c r="AF41" s="123">
        <v>68.2</v>
      </c>
      <c r="AG41" s="106">
        <v>69</v>
      </c>
      <c r="AH41" s="21">
        <f t="shared" si="2"/>
        <v>69</v>
      </c>
      <c r="AI41" s="20">
        <f t="shared" si="3"/>
        <v>30.9</v>
      </c>
      <c r="AK41" s="42"/>
    </row>
    <row r="42" spans="1:88" x14ac:dyDescent="0.25">
      <c r="A42" s="107" t="s">
        <v>169</v>
      </c>
      <c r="B42" s="123">
        <v>60.9</v>
      </c>
      <c r="C42" s="12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73">
        <v>60.9</v>
      </c>
      <c r="N42" s="73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123">
        <v>60.7</v>
      </c>
      <c r="AG42" s="106">
        <v>60</v>
      </c>
      <c r="AH42" s="21">
        <f t="shared" si="2"/>
        <v>60.9</v>
      </c>
      <c r="AI42" s="20">
        <f t="shared" si="3"/>
        <v>60.7</v>
      </c>
      <c r="AK42" s="42"/>
    </row>
    <row r="43" spans="1:88" x14ac:dyDescent="0.25">
      <c r="A43" s="107" t="s">
        <v>168</v>
      </c>
      <c r="B43" s="123">
        <v>15</v>
      </c>
      <c r="C43" s="123">
        <v>15</v>
      </c>
      <c r="D43" s="123">
        <v>15</v>
      </c>
      <c r="E43" s="123">
        <v>20</v>
      </c>
      <c r="F43" s="123">
        <v>20</v>
      </c>
      <c r="G43" s="123">
        <v>20</v>
      </c>
      <c r="H43" s="123">
        <v>25</v>
      </c>
      <c r="I43" s="123">
        <v>25</v>
      </c>
      <c r="J43" s="123">
        <v>25</v>
      </c>
      <c r="K43" s="123">
        <v>25</v>
      </c>
      <c r="L43" s="123">
        <v>22</v>
      </c>
      <c r="M43" s="103">
        <v>18.399999999999999</v>
      </c>
      <c r="N43" s="103">
        <v>18.399999999999999</v>
      </c>
      <c r="O43" s="103">
        <v>18.399999999999999</v>
      </c>
      <c r="P43" s="103">
        <v>18.399999999999999</v>
      </c>
      <c r="Q43" s="103">
        <v>18.399999999999999</v>
      </c>
      <c r="R43" s="103">
        <v>10</v>
      </c>
      <c r="S43" s="103">
        <v>12</v>
      </c>
      <c r="T43" s="103">
        <v>15</v>
      </c>
      <c r="U43" s="103">
        <v>15</v>
      </c>
      <c r="V43" s="103">
        <v>15</v>
      </c>
      <c r="W43" s="103">
        <v>15</v>
      </c>
      <c r="X43" s="103">
        <v>15</v>
      </c>
      <c r="Y43" s="103">
        <v>15</v>
      </c>
      <c r="Z43" s="73">
        <v>20</v>
      </c>
      <c r="AA43" s="73">
        <v>20</v>
      </c>
      <c r="AB43" s="73">
        <v>20</v>
      </c>
      <c r="AC43" s="73">
        <v>20</v>
      </c>
      <c r="AD43" s="73">
        <v>12.5</v>
      </c>
      <c r="AE43" s="73">
        <v>10</v>
      </c>
      <c r="AF43" s="123">
        <v>0</v>
      </c>
      <c r="AG43" s="106">
        <v>30</v>
      </c>
      <c r="AH43" s="21">
        <f t="shared" si="2"/>
        <v>25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0</v>
      </c>
      <c r="O44" s="123">
        <v>0</v>
      </c>
      <c r="P44" s="123">
        <v>0</v>
      </c>
      <c r="Q44" s="123">
        <v>0</v>
      </c>
      <c r="R44" s="123">
        <v>0</v>
      </c>
      <c r="S44" s="123">
        <v>0</v>
      </c>
      <c r="T44" s="123">
        <v>0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17.5</v>
      </c>
      <c r="C45" s="123">
        <v>17.5</v>
      </c>
      <c r="D45" s="123">
        <v>17.5</v>
      </c>
      <c r="E45" s="123">
        <v>17.5</v>
      </c>
      <c r="F45" s="123">
        <v>17.5</v>
      </c>
      <c r="G45" s="123">
        <v>17.5</v>
      </c>
      <c r="H45" s="123">
        <v>17.5</v>
      </c>
      <c r="I45" s="123">
        <v>17.5</v>
      </c>
      <c r="J45" s="123">
        <v>17.5</v>
      </c>
      <c r="K45" s="123">
        <v>17.5</v>
      </c>
      <c r="L45" s="123">
        <v>17.5</v>
      </c>
      <c r="M45" s="123">
        <v>17.5</v>
      </c>
      <c r="N45" s="123">
        <v>17.5</v>
      </c>
      <c r="O45" s="123">
        <v>17.5</v>
      </c>
      <c r="P45" s="123">
        <v>17.5</v>
      </c>
      <c r="Q45" s="123">
        <v>17.5</v>
      </c>
      <c r="R45" s="123">
        <v>17.5</v>
      </c>
      <c r="S45" s="123">
        <v>17.5</v>
      </c>
      <c r="T45" s="123">
        <v>17.5</v>
      </c>
      <c r="U45" s="123">
        <v>17.5</v>
      </c>
      <c r="V45" s="123">
        <v>17.5</v>
      </c>
      <c r="W45" s="123">
        <v>17.5</v>
      </c>
      <c r="X45" s="123">
        <v>17.5</v>
      </c>
      <c r="Y45" s="123">
        <v>17.5</v>
      </c>
      <c r="Z45" s="103">
        <v>17.5</v>
      </c>
      <c r="AA45" s="103">
        <v>17.5</v>
      </c>
      <c r="AB45" s="103">
        <v>17.5</v>
      </c>
      <c r="AC45" s="103">
        <v>17.5</v>
      </c>
      <c r="AD45" s="103">
        <v>17.5</v>
      </c>
      <c r="AE45" s="103">
        <v>17.5</v>
      </c>
      <c r="AF45" s="103">
        <v>17.5</v>
      </c>
      <c r="AG45" s="106">
        <v>24</v>
      </c>
      <c r="AH45" s="21">
        <f t="shared" si="2"/>
        <v>17.5</v>
      </c>
      <c r="AI45" s="20">
        <f t="shared" si="3"/>
        <v>17.5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7.1</v>
      </c>
      <c r="C48" s="123">
        <v>7.1</v>
      </c>
      <c r="D48" s="123">
        <v>7.1</v>
      </c>
      <c r="E48" s="123">
        <v>7.1</v>
      </c>
      <c r="F48" s="123">
        <v>7.1</v>
      </c>
      <c r="G48" s="123">
        <v>7.1</v>
      </c>
      <c r="H48" s="123">
        <v>7.1</v>
      </c>
      <c r="I48" s="123">
        <v>7.1</v>
      </c>
      <c r="J48" s="123">
        <v>7.1</v>
      </c>
      <c r="K48" s="123">
        <v>7.1</v>
      </c>
      <c r="L48" s="123">
        <v>7.1</v>
      </c>
      <c r="M48" s="123">
        <v>7.1</v>
      </c>
      <c r="N48" s="123">
        <v>7.1</v>
      </c>
      <c r="O48" s="123">
        <v>7.1</v>
      </c>
      <c r="P48" s="123">
        <v>7.1</v>
      </c>
      <c r="Q48" s="123">
        <v>7.1</v>
      </c>
      <c r="R48" s="123">
        <v>7.1</v>
      </c>
      <c r="S48" s="123">
        <v>7.1</v>
      </c>
      <c r="T48" s="123">
        <v>7.1</v>
      </c>
      <c r="U48" s="123">
        <v>7.1</v>
      </c>
      <c r="V48" s="123">
        <v>7.1</v>
      </c>
      <c r="W48" s="123">
        <v>7.1</v>
      </c>
      <c r="X48" s="123">
        <v>7.1</v>
      </c>
      <c r="Y48" s="123">
        <v>7.1</v>
      </c>
      <c r="Z48" s="103">
        <v>7.1</v>
      </c>
      <c r="AA48" s="103">
        <v>7.1</v>
      </c>
      <c r="AB48" s="103">
        <v>7.1</v>
      </c>
      <c r="AC48" s="103">
        <v>7.1</v>
      </c>
      <c r="AD48" s="103">
        <v>7.1</v>
      </c>
      <c r="AE48" s="103">
        <v>7.1</v>
      </c>
      <c r="AF48" s="103">
        <v>7.1</v>
      </c>
      <c r="AG48" s="106">
        <v>14</v>
      </c>
      <c r="AH48" s="21">
        <f t="shared" si="2"/>
        <v>7.1</v>
      </c>
      <c r="AI48" s="20">
        <f t="shared" si="3"/>
        <v>7.1</v>
      </c>
      <c r="AK48" s="42"/>
    </row>
    <row r="49" spans="1:37" x14ac:dyDescent="0.25">
      <c r="A49" s="107" t="s">
        <v>162</v>
      </c>
      <c r="B49" s="123">
        <v>6.6</v>
      </c>
      <c r="C49" s="123">
        <v>6.6</v>
      </c>
      <c r="D49" s="123">
        <v>6.6</v>
      </c>
      <c r="E49" s="123">
        <v>6.6</v>
      </c>
      <c r="F49" s="123">
        <v>6.6</v>
      </c>
      <c r="G49" s="123">
        <v>6.6</v>
      </c>
      <c r="H49" s="123">
        <v>6.6</v>
      </c>
      <c r="I49" s="123">
        <v>6.6</v>
      </c>
      <c r="J49" s="123">
        <v>6.6</v>
      </c>
      <c r="K49" s="123">
        <v>6.6</v>
      </c>
      <c r="L49" s="123">
        <v>6.6</v>
      </c>
      <c r="M49" s="123">
        <v>6.6</v>
      </c>
      <c r="N49" s="123">
        <v>6.6</v>
      </c>
      <c r="O49" s="123">
        <v>6.6</v>
      </c>
      <c r="P49" s="123">
        <v>6.6</v>
      </c>
      <c r="Q49" s="123">
        <v>6.6</v>
      </c>
      <c r="R49" s="123">
        <v>6.6</v>
      </c>
      <c r="S49" s="123">
        <v>6.6</v>
      </c>
      <c r="T49" s="123">
        <v>6.6</v>
      </c>
      <c r="U49" s="123">
        <v>6.6</v>
      </c>
      <c r="V49" s="123">
        <v>6.6</v>
      </c>
      <c r="W49" s="123">
        <v>6.6</v>
      </c>
      <c r="X49" s="123">
        <v>6.6</v>
      </c>
      <c r="Y49" s="123">
        <v>6.6</v>
      </c>
      <c r="Z49" s="103">
        <v>6.6</v>
      </c>
      <c r="AA49" s="103">
        <v>6.6</v>
      </c>
      <c r="AB49" s="103">
        <v>6.6</v>
      </c>
      <c r="AC49" s="103">
        <v>6.6</v>
      </c>
      <c r="AD49" s="103">
        <v>6.6</v>
      </c>
      <c r="AE49" s="103">
        <v>6.6</v>
      </c>
      <c r="AF49" s="103">
        <v>6.6</v>
      </c>
      <c r="AG49" s="106">
        <v>10.050000000000001</v>
      </c>
      <c r="AH49" s="21">
        <f t="shared" si="2"/>
        <v>6.6</v>
      </c>
      <c r="AI49" s="20">
        <f t="shared" si="3"/>
        <v>6.6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410.24000000000007</v>
      </c>
      <c r="C52" s="99">
        <f t="shared" ref="C52:AF52" si="6">SUM(C39:C51)</f>
        <v>410.24000000000007</v>
      </c>
      <c r="D52" s="99">
        <f t="shared" si="6"/>
        <v>410.24000000000007</v>
      </c>
      <c r="E52" s="99">
        <f t="shared" si="6"/>
        <v>269.04000000000008</v>
      </c>
      <c r="F52" s="99">
        <f t="shared" si="6"/>
        <v>219.44</v>
      </c>
      <c r="G52" s="99">
        <f t="shared" si="6"/>
        <v>250.83999999999997</v>
      </c>
      <c r="H52" s="99">
        <f t="shared" si="6"/>
        <v>352.24000000000007</v>
      </c>
      <c r="I52" s="99">
        <f t="shared" si="6"/>
        <v>354.74000000000007</v>
      </c>
      <c r="J52" s="99">
        <f t="shared" si="6"/>
        <v>370.74000000000007</v>
      </c>
      <c r="K52" s="99">
        <f t="shared" si="6"/>
        <v>371.74000000000007</v>
      </c>
      <c r="L52" s="99">
        <f t="shared" si="6"/>
        <v>393.44</v>
      </c>
      <c r="M52" s="99">
        <f t="shared" si="6"/>
        <v>377.84000000000003</v>
      </c>
      <c r="N52" s="99">
        <f t="shared" si="6"/>
        <v>349.84000000000003</v>
      </c>
      <c r="O52" s="99">
        <f t="shared" si="6"/>
        <v>361.04</v>
      </c>
      <c r="P52" s="99">
        <f t="shared" si="6"/>
        <v>360.24000000000007</v>
      </c>
      <c r="Q52" s="99">
        <f t="shared" si="6"/>
        <v>335.74</v>
      </c>
      <c r="R52" s="99">
        <f t="shared" si="6"/>
        <v>277.14000000000004</v>
      </c>
      <c r="S52" s="99">
        <f t="shared" si="6"/>
        <v>317.54000000000002</v>
      </c>
      <c r="T52" s="99">
        <f t="shared" si="6"/>
        <v>329.24000000000007</v>
      </c>
      <c r="U52" s="99">
        <f t="shared" si="6"/>
        <v>348.14000000000004</v>
      </c>
      <c r="V52" s="99">
        <f t="shared" si="6"/>
        <v>363.74000000000007</v>
      </c>
      <c r="W52" s="99">
        <f t="shared" si="6"/>
        <v>374.74000000000007</v>
      </c>
      <c r="X52" s="99">
        <f t="shared" si="6"/>
        <v>355.34000000000003</v>
      </c>
      <c r="Y52" s="99">
        <f t="shared" si="6"/>
        <v>404.94000000000005</v>
      </c>
      <c r="Z52" s="99">
        <f t="shared" si="6"/>
        <v>415.54000000000008</v>
      </c>
      <c r="AA52" s="99">
        <f t="shared" si="6"/>
        <v>415.54000000000008</v>
      </c>
      <c r="AB52" s="99">
        <f t="shared" si="6"/>
        <v>415.24000000000007</v>
      </c>
      <c r="AC52" s="99">
        <f t="shared" si="6"/>
        <v>414.74000000000007</v>
      </c>
      <c r="AD52" s="99">
        <f t="shared" si="6"/>
        <v>407.44000000000005</v>
      </c>
      <c r="AE52" s="99">
        <f t="shared" si="6"/>
        <v>353.74000000000007</v>
      </c>
      <c r="AF52" s="99">
        <f t="shared" si="6"/>
        <v>301.24000000000007</v>
      </c>
      <c r="AG52" s="98">
        <f>SUM(AG39:AG51)</f>
        <v>489.91</v>
      </c>
      <c r="AH52" s="21">
        <f t="shared" si="2"/>
        <v>415.54000000000008</v>
      </c>
      <c r="AI52" s="20">
        <f t="shared" si="3"/>
        <v>219.44</v>
      </c>
      <c r="AK52" s="42"/>
    </row>
    <row r="53" spans="1:37" x14ac:dyDescent="0.25">
      <c r="A53" s="109" t="s">
        <v>159</v>
      </c>
      <c r="B53" s="103">
        <v>30</v>
      </c>
      <c r="C53" s="103">
        <v>30</v>
      </c>
      <c r="D53" s="103">
        <v>30</v>
      </c>
      <c r="E53" s="123">
        <v>30.2</v>
      </c>
      <c r="F53" s="123">
        <v>16</v>
      </c>
      <c r="G53" s="123">
        <v>16</v>
      </c>
      <c r="H53" s="123">
        <v>30.4</v>
      </c>
      <c r="I53" s="123">
        <v>30.2</v>
      </c>
      <c r="J53" s="123">
        <v>53.7</v>
      </c>
      <c r="K53" s="123">
        <v>53.4</v>
      </c>
      <c r="L53" s="123">
        <v>53.9</v>
      </c>
      <c r="M53" s="122">
        <v>43.1</v>
      </c>
      <c r="N53" s="122">
        <v>35.799999999999997</v>
      </c>
      <c r="O53" s="122">
        <v>45.1</v>
      </c>
      <c r="P53" s="122">
        <v>45.1</v>
      </c>
      <c r="Q53" s="103">
        <v>29.1</v>
      </c>
      <c r="R53" s="103">
        <v>29.3</v>
      </c>
      <c r="S53" s="103">
        <v>29.4</v>
      </c>
      <c r="T53" s="103">
        <v>29.4</v>
      </c>
      <c r="U53" s="103">
        <v>10.199999999999999</v>
      </c>
      <c r="V53" s="103">
        <v>29.7</v>
      </c>
      <c r="W53" s="103">
        <v>29.7</v>
      </c>
      <c r="X53" s="103">
        <v>19.5</v>
      </c>
      <c r="Y53" s="103">
        <v>38.9</v>
      </c>
      <c r="Z53" s="103">
        <v>48.9</v>
      </c>
      <c r="AA53" s="103">
        <v>50.3</v>
      </c>
      <c r="AB53" s="103">
        <v>50.3</v>
      </c>
      <c r="AC53" s="103">
        <v>50.3</v>
      </c>
      <c r="AD53" s="103">
        <v>50.3</v>
      </c>
      <c r="AE53" s="103">
        <v>50.3</v>
      </c>
      <c r="AF53" s="103">
        <v>50.6</v>
      </c>
      <c r="AG53" s="108">
        <v>60</v>
      </c>
      <c r="AH53" s="21">
        <f t="shared" si="2"/>
        <v>53.9</v>
      </c>
      <c r="AI53" s="20">
        <f t="shared" si="3"/>
        <v>10.199999999999999</v>
      </c>
      <c r="AK53" s="42"/>
    </row>
    <row r="54" spans="1:37" x14ac:dyDescent="0.25">
      <c r="A54" s="107" t="s">
        <v>158</v>
      </c>
      <c r="B54" s="73">
        <v>14.4</v>
      </c>
      <c r="C54" s="73">
        <v>14.4</v>
      </c>
      <c r="D54" s="73">
        <v>14.4</v>
      </c>
      <c r="E54" s="123">
        <v>13.3</v>
      </c>
      <c r="F54" s="123">
        <v>4.4000000000000004</v>
      </c>
      <c r="G54" s="123">
        <v>7.3</v>
      </c>
      <c r="H54" s="123">
        <v>6.4</v>
      </c>
      <c r="I54" s="123">
        <v>14.8</v>
      </c>
      <c r="J54" s="123">
        <v>24.6</v>
      </c>
      <c r="K54" s="123">
        <v>24.3</v>
      </c>
      <c r="L54" s="123">
        <v>25.3</v>
      </c>
      <c r="M54" s="122">
        <v>18.8</v>
      </c>
      <c r="N54" s="122">
        <v>15.6</v>
      </c>
      <c r="O54" s="122">
        <v>21.1</v>
      </c>
      <c r="P54" s="122">
        <v>20.2</v>
      </c>
      <c r="Q54" s="73">
        <v>14.8</v>
      </c>
      <c r="R54" s="73">
        <v>14.1</v>
      </c>
      <c r="S54" s="103">
        <v>14.9</v>
      </c>
      <c r="T54" s="103">
        <v>14.9</v>
      </c>
      <c r="U54" s="103">
        <v>4.7</v>
      </c>
      <c r="V54" s="73">
        <v>15</v>
      </c>
      <c r="W54" s="73">
        <v>15</v>
      </c>
      <c r="X54" s="73">
        <v>8.6999999999999993</v>
      </c>
      <c r="Y54" s="73">
        <v>16.100000000000001</v>
      </c>
      <c r="Z54" s="73">
        <v>22.5</v>
      </c>
      <c r="AA54" s="73">
        <v>23.2</v>
      </c>
      <c r="AB54" s="73">
        <v>24.3</v>
      </c>
      <c r="AC54" s="73">
        <v>23</v>
      </c>
      <c r="AD54" s="73">
        <v>24.1</v>
      </c>
      <c r="AE54" s="73">
        <v>24.1</v>
      </c>
      <c r="AF54" s="73">
        <v>23.7</v>
      </c>
      <c r="AG54" s="106">
        <v>32</v>
      </c>
      <c r="AH54" s="21">
        <f t="shared" si="2"/>
        <v>25.3</v>
      </c>
      <c r="AI54" s="20">
        <f t="shared" si="3"/>
        <v>4.4000000000000004</v>
      </c>
      <c r="AK54" s="42"/>
    </row>
    <row r="55" spans="1:37" ht="15.75" thickBot="1" x14ac:dyDescent="0.3">
      <c r="A55" s="121" t="s">
        <v>157</v>
      </c>
      <c r="B55" s="118">
        <v>5.3</v>
      </c>
      <c r="C55" s="118">
        <v>5.3</v>
      </c>
      <c r="D55" s="118">
        <v>5.3</v>
      </c>
      <c r="E55" s="120">
        <v>4.9000000000000004</v>
      </c>
      <c r="F55" s="120">
        <v>1.6</v>
      </c>
      <c r="G55" s="120">
        <v>2.7</v>
      </c>
      <c r="H55" s="120">
        <v>2.2999999999999998</v>
      </c>
      <c r="I55" s="120">
        <v>5.4</v>
      </c>
      <c r="J55" s="120">
        <v>9</v>
      </c>
      <c r="K55" s="120">
        <v>8.9</v>
      </c>
      <c r="L55" s="120">
        <v>9.1999999999999993</v>
      </c>
      <c r="M55" s="119">
        <v>6.9</v>
      </c>
      <c r="N55" s="119">
        <v>5.7</v>
      </c>
      <c r="O55" s="119">
        <v>7.7</v>
      </c>
      <c r="P55" s="119">
        <v>7.4</v>
      </c>
      <c r="Q55" s="118">
        <v>5.4</v>
      </c>
      <c r="R55" s="118">
        <v>5.0999999999999996</v>
      </c>
      <c r="S55" s="103">
        <v>5.4</v>
      </c>
      <c r="T55" s="103">
        <v>5.4</v>
      </c>
      <c r="U55" s="103">
        <v>1.7</v>
      </c>
      <c r="V55" s="118">
        <v>5.5</v>
      </c>
      <c r="W55" s="118">
        <v>5.5</v>
      </c>
      <c r="X55" s="118">
        <v>3.2</v>
      </c>
      <c r="Y55" s="118">
        <v>5.9</v>
      </c>
      <c r="Z55" s="118">
        <v>8.1999999999999993</v>
      </c>
      <c r="AA55" s="118">
        <v>8.5</v>
      </c>
      <c r="AB55" s="118">
        <v>8.9</v>
      </c>
      <c r="AC55" s="118">
        <v>8.4</v>
      </c>
      <c r="AD55" s="118">
        <v>8.8000000000000007</v>
      </c>
      <c r="AE55" s="118">
        <v>8.8000000000000007</v>
      </c>
      <c r="AF55" s="118">
        <v>8.6999999999999993</v>
      </c>
      <c r="AG55" s="117">
        <v>14</v>
      </c>
      <c r="AH55" s="21">
        <f t="shared" si="2"/>
        <v>9.1999999999999993</v>
      </c>
      <c r="AI55" s="20">
        <f t="shared" si="3"/>
        <v>1.6</v>
      </c>
      <c r="AK55" s="42"/>
    </row>
    <row r="56" spans="1:37" ht="15.75" thickBot="1" x14ac:dyDescent="0.3">
      <c r="A56" s="100" t="s">
        <v>156</v>
      </c>
      <c r="B56" s="99">
        <f>SUM(B53:B55)</f>
        <v>49.699999999999996</v>
      </c>
      <c r="C56" s="99">
        <f>SUM(C53:C55)</f>
        <v>49.699999999999996</v>
      </c>
      <c r="D56" s="99">
        <f t="shared" ref="D56:AF56" si="7">SUM(D53:D55)</f>
        <v>49.699999999999996</v>
      </c>
      <c r="E56" s="99">
        <f t="shared" si="7"/>
        <v>48.4</v>
      </c>
      <c r="F56" s="99">
        <f t="shared" si="7"/>
        <v>22</v>
      </c>
      <c r="G56" s="99">
        <f t="shared" si="7"/>
        <v>26</v>
      </c>
      <c r="H56" s="99">
        <f t="shared" si="7"/>
        <v>39.099999999999994</v>
      </c>
      <c r="I56" s="99">
        <f t="shared" si="7"/>
        <v>50.4</v>
      </c>
      <c r="J56" s="99">
        <f t="shared" si="7"/>
        <v>87.300000000000011</v>
      </c>
      <c r="K56" s="99">
        <f t="shared" si="7"/>
        <v>86.600000000000009</v>
      </c>
      <c r="L56" s="99">
        <f t="shared" si="7"/>
        <v>88.4</v>
      </c>
      <c r="M56" s="99">
        <f t="shared" si="7"/>
        <v>68.800000000000011</v>
      </c>
      <c r="N56" s="99">
        <f t="shared" si="7"/>
        <v>57.1</v>
      </c>
      <c r="O56" s="99">
        <f t="shared" si="7"/>
        <v>73.900000000000006</v>
      </c>
      <c r="P56" s="99">
        <f t="shared" si="7"/>
        <v>72.7</v>
      </c>
      <c r="Q56" s="99">
        <f t="shared" si="7"/>
        <v>49.300000000000004</v>
      </c>
      <c r="R56" s="99">
        <f t="shared" si="7"/>
        <v>48.5</v>
      </c>
      <c r="S56" s="99">
        <f t="shared" si="7"/>
        <v>49.699999999999996</v>
      </c>
      <c r="T56" s="99">
        <f t="shared" si="7"/>
        <v>49.699999999999996</v>
      </c>
      <c r="U56" s="99">
        <f t="shared" si="7"/>
        <v>16.599999999999998</v>
      </c>
      <c r="V56" s="99">
        <f t="shared" si="7"/>
        <v>50.2</v>
      </c>
      <c r="W56" s="99">
        <f t="shared" si="7"/>
        <v>50.2</v>
      </c>
      <c r="X56" s="99">
        <f t="shared" si="7"/>
        <v>31.4</v>
      </c>
      <c r="Y56" s="99">
        <f t="shared" si="7"/>
        <v>60.9</v>
      </c>
      <c r="Z56" s="99">
        <f t="shared" si="7"/>
        <v>79.600000000000009</v>
      </c>
      <c r="AA56" s="99">
        <f t="shared" si="7"/>
        <v>82</v>
      </c>
      <c r="AB56" s="99">
        <f t="shared" si="7"/>
        <v>83.5</v>
      </c>
      <c r="AC56" s="99">
        <f t="shared" si="7"/>
        <v>81.7</v>
      </c>
      <c r="AD56" s="99">
        <f t="shared" si="7"/>
        <v>83.2</v>
      </c>
      <c r="AE56" s="99">
        <f t="shared" si="7"/>
        <v>83.2</v>
      </c>
      <c r="AF56" s="99">
        <f t="shared" si="7"/>
        <v>83</v>
      </c>
      <c r="AG56" s="98">
        <f>SUM(AG53:AG55)</f>
        <v>106</v>
      </c>
      <c r="AH56" s="21">
        <f t="shared" si="2"/>
        <v>88.4</v>
      </c>
      <c r="AI56" s="20">
        <f t="shared" si="3"/>
        <v>16.599999999999998</v>
      </c>
      <c r="AK56" s="42"/>
    </row>
    <row r="57" spans="1:37" x14ac:dyDescent="0.25">
      <c r="A57" s="109" t="s">
        <v>135</v>
      </c>
      <c r="B57" s="103">
        <v>66</v>
      </c>
      <c r="C57" s="103">
        <v>63</v>
      </c>
      <c r="D57" s="103">
        <v>67</v>
      </c>
      <c r="E57" s="103">
        <v>68.8</v>
      </c>
      <c r="F57" s="103">
        <v>72.7</v>
      </c>
      <c r="G57" s="103">
        <v>73.8</v>
      </c>
      <c r="H57" s="103">
        <v>74</v>
      </c>
      <c r="I57" s="103">
        <v>73.099999999999994</v>
      </c>
      <c r="J57" s="103">
        <v>68</v>
      </c>
      <c r="K57" s="103">
        <v>69.900000000000006</v>
      </c>
      <c r="L57" s="103">
        <v>71.900000000000006</v>
      </c>
      <c r="M57" s="103">
        <v>65.13</v>
      </c>
      <c r="N57" s="103">
        <v>62.7</v>
      </c>
      <c r="O57" s="103">
        <v>64.2</v>
      </c>
      <c r="P57" s="103">
        <v>70.3</v>
      </c>
      <c r="Q57" s="103">
        <v>65.099999999999994</v>
      </c>
      <c r="R57" s="103">
        <v>65</v>
      </c>
      <c r="S57" s="103">
        <v>77.2</v>
      </c>
      <c r="T57" s="103">
        <v>75.3</v>
      </c>
      <c r="U57" s="103">
        <v>75.599999999999994</v>
      </c>
      <c r="V57" s="103">
        <v>76</v>
      </c>
      <c r="W57" s="103">
        <v>58.2</v>
      </c>
      <c r="X57" s="103">
        <v>60.5</v>
      </c>
      <c r="Y57" s="103">
        <v>61.73</v>
      </c>
      <c r="Z57" s="103">
        <v>64</v>
      </c>
      <c r="AA57" s="103">
        <v>71.7</v>
      </c>
      <c r="AB57" s="103">
        <v>70.25</v>
      </c>
      <c r="AC57" s="103">
        <v>69.400000000000006</v>
      </c>
      <c r="AD57" s="103">
        <v>72.599999999999994</v>
      </c>
      <c r="AE57" s="103">
        <v>69.8</v>
      </c>
      <c r="AF57" s="103">
        <v>69.5</v>
      </c>
      <c r="AG57" s="108"/>
      <c r="AH57" s="21">
        <f t="shared" si="2"/>
        <v>77.2</v>
      </c>
      <c r="AI57" s="20">
        <f t="shared" si="3"/>
        <v>58.2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103">
        <f>70+49</f>
        <v>119</v>
      </c>
      <c r="N58" s="103">
        <v>111.5</v>
      </c>
      <c r="O58" s="103">
        <v>185</v>
      </c>
      <c r="P58" s="103">
        <v>185</v>
      </c>
      <c r="Q58" s="103">
        <v>175</v>
      </c>
      <c r="R58" s="103">
        <f>115+73</f>
        <v>188</v>
      </c>
      <c r="S58" s="103">
        <f>74+108.9</f>
        <v>182.9</v>
      </c>
      <c r="T58" s="103">
        <f>74+116</f>
        <v>190</v>
      </c>
      <c r="U58" s="103">
        <f>99.7+85</f>
        <v>184.7</v>
      </c>
      <c r="V58" s="103">
        <f>94+74</f>
        <v>168</v>
      </c>
      <c r="W58" s="103">
        <f>91.4+77</f>
        <v>168.4</v>
      </c>
      <c r="X58" s="116">
        <f>75.3+68</f>
        <v>143.30000000000001</v>
      </c>
      <c r="Y58" s="116">
        <f>0</f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190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40</v>
      </c>
      <c r="C59" s="73">
        <v>50</v>
      </c>
      <c r="D59" s="73">
        <v>40</v>
      </c>
      <c r="E59" s="73">
        <v>240</v>
      </c>
      <c r="F59" s="73">
        <v>253</v>
      </c>
      <c r="G59" s="73">
        <v>255</v>
      </c>
      <c r="H59" s="103">
        <v>60</v>
      </c>
      <c r="I59" s="103">
        <v>53.8</v>
      </c>
      <c r="J59" s="103">
        <v>80</v>
      </c>
      <c r="K59" s="103">
        <v>53.5</v>
      </c>
      <c r="L59" s="103">
        <v>40.6</v>
      </c>
      <c r="M59" s="73">
        <v>33</v>
      </c>
      <c r="N59" s="73">
        <v>109</v>
      </c>
      <c r="O59" s="73">
        <v>24</v>
      </c>
      <c r="P59" s="73">
        <v>35</v>
      </c>
      <c r="Q59" s="73">
        <v>120</v>
      </c>
      <c r="R59" s="73">
        <v>254</v>
      </c>
      <c r="S59" s="73">
        <v>132.30000000000001</v>
      </c>
      <c r="T59" s="73">
        <v>113.1</v>
      </c>
      <c r="U59" s="73">
        <v>23.8</v>
      </c>
      <c r="V59" s="73">
        <v>24.4</v>
      </c>
      <c r="W59" s="73">
        <v>46.5</v>
      </c>
      <c r="X59" s="115">
        <v>84.8</v>
      </c>
      <c r="Y59" s="115">
        <v>111</v>
      </c>
      <c r="Z59" s="115">
        <v>92.6</v>
      </c>
      <c r="AA59" s="115">
        <v>21.8</v>
      </c>
      <c r="AB59" s="73">
        <v>24.4</v>
      </c>
      <c r="AC59" s="73">
        <v>12.9</v>
      </c>
      <c r="AD59" s="73">
        <v>14.3</v>
      </c>
      <c r="AE59" s="73">
        <v>26.8</v>
      </c>
      <c r="AF59" s="73">
        <v>31</v>
      </c>
      <c r="AG59" s="113"/>
      <c r="AH59" s="21">
        <f t="shared" si="2"/>
        <v>255</v>
      </c>
      <c r="AI59" s="20">
        <f t="shared" si="3"/>
        <v>12.9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53.4</v>
      </c>
      <c r="M60" s="73">
        <v>53</v>
      </c>
      <c r="N60" s="73">
        <v>50.4</v>
      </c>
      <c r="O60" s="73">
        <v>52</v>
      </c>
      <c r="P60" s="73">
        <v>52</v>
      </c>
      <c r="Q60" s="73">
        <v>52</v>
      </c>
      <c r="R60" s="73">
        <v>55.7</v>
      </c>
      <c r="S60" s="73">
        <v>55.7</v>
      </c>
      <c r="T60" s="73">
        <v>54.5</v>
      </c>
      <c r="U60" s="73">
        <v>54.5</v>
      </c>
      <c r="V60" s="73">
        <v>54.4</v>
      </c>
      <c r="W60" s="73">
        <v>53.1</v>
      </c>
      <c r="X60" s="73">
        <v>55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7">
        <v>0</v>
      </c>
      <c r="AG60" s="113"/>
      <c r="AH60" s="21">
        <f t="shared" si="2"/>
        <v>55.7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32</v>
      </c>
      <c r="C61" s="103">
        <v>33</v>
      </c>
      <c r="D61" s="77">
        <v>32</v>
      </c>
      <c r="E61" s="77">
        <v>30.9</v>
      </c>
      <c r="F61" s="77">
        <v>31.3</v>
      </c>
      <c r="G61" s="77">
        <v>31.6</v>
      </c>
      <c r="H61" s="77">
        <v>32.200000000000003</v>
      </c>
      <c r="I61" s="77">
        <v>31.4</v>
      </c>
      <c r="J61" s="77">
        <v>33.4</v>
      </c>
      <c r="K61" s="77">
        <v>32.799999999999997</v>
      </c>
      <c r="L61" s="77">
        <v>35.700000000000003</v>
      </c>
      <c r="M61" s="103">
        <v>72.8</v>
      </c>
      <c r="N61" s="103">
        <v>75.8</v>
      </c>
      <c r="O61" s="103">
        <v>82</v>
      </c>
      <c r="P61" s="103">
        <v>82</v>
      </c>
      <c r="Q61" s="103">
        <v>65.3</v>
      </c>
      <c r="R61" s="103">
        <v>83.2</v>
      </c>
      <c r="S61" s="103">
        <v>83.7</v>
      </c>
      <c r="T61" s="103">
        <v>79.5</v>
      </c>
      <c r="U61" s="103">
        <v>82</v>
      </c>
      <c r="V61" s="103">
        <v>69.7</v>
      </c>
      <c r="W61" s="103">
        <v>60.7</v>
      </c>
      <c r="X61" s="103">
        <v>51.4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83.7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67">
        <v>8</v>
      </c>
      <c r="N62" s="67">
        <v>8</v>
      </c>
      <c r="O62" s="67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12</v>
      </c>
      <c r="C66" s="70">
        <v>12</v>
      </c>
      <c r="D66" s="70">
        <v>12</v>
      </c>
      <c r="E66" s="70">
        <v>12</v>
      </c>
      <c r="F66" s="70">
        <v>12</v>
      </c>
      <c r="G66" s="70">
        <v>12</v>
      </c>
      <c r="H66" s="70">
        <v>12</v>
      </c>
      <c r="I66" s="70">
        <v>12</v>
      </c>
      <c r="J66" s="70">
        <v>12</v>
      </c>
      <c r="K66" s="70">
        <v>12</v>
      </c>
      <c r="L66" s="70">
        <v>12</v>
      </c>
      <c r="M66" s="70">
        <v>12</v>
      </c>
      <c r="N66" s="70">
        <v>12</v>
      </c>
      <c r="O66" s="70">
        <v>12</v>
      </c>
      <c r="P66" s="70">
        <v>12</v>
      </c>
      <c r="Q66" s="70">
        <v>12</v>
      </c>
      <c r="R66" s="70">
        <v>12</v>
      </c>
      <c r="S66" s="70">
        <v>12</v>
      </c>
      <c r="T66" s="70">
        <v>12</v>
      </c>
      <c r="U66" s="70">
        <v>12</v>
      </c>
      <c r="V66" s="70">
        <v>12</v>
      </c>
      <c r="W66" s="70">
        <v>12</v>
      </c>
      <c r="X66" s="70">
        <v>12</v>
      </c>
      <c r="Y66" s="70">
        <v>12</v>
      </c>
      <c r="Z66" s="70">
        <v>12</v>
      </c>
      <c r="AA66" s="70">
        <v>12</v>
      </c>
      <c r="AB66" s="70">
        <v>12</v>
      </c>
      <c r="AC66" s="70">
        <v>12</v>
      </c>
      <c r="AD66" s="70">
        <v>12</v>
      </c>
      <c r="AE66" s="70">
        <v>12</v>
      </c>
      <c r="AF66" s="70">
        <v>12</v>
      </c>
      <c r="AG66" s="102"/>
      <c r="AH66" s="21">
        <f t="shared" si="2"/>
        <v>12</v>
      </c>
      <c r="AI66" s="20">
        <f t="shared" si="3"/>
        <v>12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169</v>
      </c>
      <c r="C68" s="99">
        <f>SUM(C57:C67)</f>
        <v>177</v>
      </c>
      <c r="D68" s="99">
        <f t="shared" ref="D68:AF68" si="8">SUM(D57:D67)</f>
        <v>170</v>
      </c>
      <c r="E68" s="99">
        <f t="shared" si="8"/>
        <v>370.7</v>
      </c>
      <c r="F68" s="99">
        <f t="shared" si="8"/>
        <v>388</v>
      </c>
      <c r="G68" s="99">
        <f t="shared" si="8"/>
        <v>391.40000000000003</v>
      </c>
      <c r="H68" s="99">
        <f t="shared" si="8"/>
        <v>197.2</v>
      </c>
      <c r="I68" s="99">
        <f t="shared" si="8"/>
        <v>189.29999999999998</v>
      </c>
      <c r="J68" s="99">
        <f t="shared" si="8"/>
        <v>212.4</v>
      </c>
      <c r="K68" s="99">
        <f t="shared" si="8"/>
        <v>187.2</v>
      </c>
      <c r="L68" s="99">
        <f t="shared" si="8"/>
        <v>232.60000000000002</v>
      </c>
      <c r="M68" s="99">
        <f t="shared" si="8"/>
        <v>373.93</v>
      </c>
      <c r="N68" s="99">
        <f t="shared" si="8"/>
        <v>440.4</v>
      </c>
      <c r="O68" s="99">
        <f t="shared" si="8"/>
        <v>438.2</v>
      </c>
      <c r="P68" s="99">
        <f t="shared" si="8"/>
        <v>455.3</v>
      </c>
      <c r="Q68" s="99">
        <f t="shared" si="8"/>
        <v>508.40000000000003</v>
      </c>
      <c r="R68" s="99">
        <f t="shared" si="8"/>
        <v>676.90000000000009</v>
      </c>
      <c r="S68" s="99">
        <f t="shared" si="8"/>
        <v>562.80000000000007</v>
      </c>
      <c r="T68" s="99">
        <f t="shared" si="8"/>
        <v>543.4</v>
      </c>
      <c r="U68" s="99">
        <f t="shared" si="8"/>
        <v>451.59999999999997</v>
      </c>
      <c r="V68" s="99">
        <f t="shared" si="8"/>
        <v>423.49999999999994</v>
      </c>
      <c r="W68" s="99">
        <f t="shared" si="8"/>
        <v>417.90000000000003</v>
      </c>
      <c r="X68" s="99">
        <f t="shared" si="8"/>
        <v>426</v>
      </c>
      <c r="Y68" s="99">
        <f t="shared" si="8"/>
        <v>203.73</v>
      </c>
      <c r="Z68" s="99">
        <f t="shared" si="8"/>
        <v>187.6</v>
      </c>
      <c r="AA68" s="99">
        <f t="shared" si="8"/>
        <v>124.5</v>
      </c>
      <c r="AB68" s="99">
        <f t="shared" si="8"/>
        <v>125.65</v>
      </c>
      <c r="AC68" s="99">
        <f t="shared" si="8"/>
        <v>113.30000000000001</v>
      </c>
      <c r="AD68" s="99">
        <f t="shared" si="8"/>
        <v>117.89999999999999</v>
      </c>
      <c r="AE68" s="99">
        <f t="shared" si="8"/>
        <v>127.6</v>
      </c>
      <c r="AF68" s="99">
        <f t="shared" si="8"/>
        <v>131.5</v>
      </c>
      <c r="AG68" s="98">
        <f>SUM(AG57:AG67)</f>
        <v>0</v>
      </c>
      <c r="AH68" s="21">
        <f t="shared" si="2"/>
        <v>676.90000000000009</v>
      </c>
      <c r="AI68" s="20">
        <f t="shared" si="3"/>
        <v>113.30000000000001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1118.44</v>
      </c>
      <c r="C73" s="110">
        <f>C68+C56+C52+C38+C72</f>
        <v>1101.44</v>
      </c>
      <c r="D73" s="110">
        <f t="shared" ref="D73:AG73" si="10">D68+D56+D52+D38+D72</f>
        <v>1094.44</v>
      </c>
      <c r="E73" s="110">
        <f t="shared" si="10"/>
        <v>1091.04</v>
      </c>
      <c r="F73" s="110">
        <f t="shared" si="10"/>
        <v>1032.3400000000001</v>
      </c>
      <c r="G73" s="110">
        <f t="shared" si="10"/>
        <v>1071.1399999999999</v>
      </c>
      <c r="H73" s="110">
        <f t="shared" si="10"/>
        <v>1130.04</v>
      </c>
      <c r="I73" s="110">
        <f t="shared" si="10"/>
        <v>1155.94</v>
      </c>
      <c r="J73" s="110">
        <f t="shared" si="10"/>
        <v>1261.94</v>
      </c>
      <c r="K73" s="110">
        <f t="shared" si="10"/>
        <v>1267.04</v>
      </c>
      <c r="L73" s="110">
        <f t="shared" si="10"/>
        <v>1355.94</v>
      </c>
      <c r="M73" s="110">
        <f t="shared" si="10"/>
        <v>1462.0700000000002</v>
      </c>
      <c r="N73" s="110">
        <f t="shared" si="10"/>
        <v>1398.8400000000001</v>
      </c>
      <c r="O73" s="110">
        <f t="shared" si="10"/>
        <v>1429.64</v>
      </c>
      <c r="P73" s="110">
        <f t="shared" si="10"/>
        <v>1421.74</v>
      </c>
      <c r="Q73" s="110">
        <f t="shared" si="10"/>
        <v>1404.94</v>
      </c>
      <c r="R73" s="110">
        <f t="shared" si="10"/>
        <v>1434.0400000000002</v>
      </c>
      <c r="S73" s="110">
        <f t="shared" si="10"/>
        <v>1461.5400000000002</v>
      </c>
      <c r="T73" s="110">
        <f t="shared" si="10"/>
        <v>1463.8400000000001</v>
      </c>
      <c r="U73" s="110">
        <f t="shared" si="10"/>
        <v>1407.8400000000001</v>
      </c>
      <c r="V73" s="110">
        <f t="shared" si="10"/>
        <v>1408.94</v>
      </c>
      <c r="W73" s="110">
        <f t="shared" si="10"/>
        <v>1404.3400000000001</v>
      </c>
      <c r="X73" s="110">
        <f t="shared" si="10"/>
        <v>1345.74</v>
      </c>
      <c r="Y73" s="110">
        <f t="shared" si="10"/>
        <v>1312.5700000000002</v>
      </c>
      <c r="Z73" s="110">
        <f t="shared" si="10"/>
        <v>1416.8400000000001</v>
      </c>
      <c r="AA73" s="110">
        <f t="shared" si="10"/>
        <v>1346.1400000000003</v>
      </c>
      <c r="AB73" s="110">
        <f t="shared" si="10"/>
        <v>1298.49</v>
      </c>
      <c r="AC73" s="110">
        <f t="shared" si="10"/>
        <v>1283.8399999999999</v>
      </c>
      <c r="AD73" s="110">
        <f t="shared" si="10"/>
        <v>1261.54</v>
      </c>
      <c r="AE73" s="110">
        <f t="shared" si="10"/>
        <v>1157.04</v>
      </c>
      <c r="AF73" s="110">
        <f t="shared" si="10"/>
        <v>1098.94</v>
      </c>
      <c r="AG73" s="110">
        <f t="shared" si="10"/>
        <v>2144.14</v>
      </c>
      <c r="AH73" s="21">
        <f t="shared" si="2"/>
        <v>1463.8400000000001</v>
      </c>
      <c r="AI73" s="20">
        <f t="shared" si="3"/>
        <v>1032.3400000000001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100</v>
      </c>
      <c r="C74" s="111">
        <v>90</v>
      </c>
      <c r="D74" s="111">
        <v>80</v>
      </c>
      <c r="E74" s="111">
        <v>80</v>
      </c>
      <c r="F74" s="111">
        <v>100</v>
      </c>
      <c r="G74" s="111">
        <v>100</v>
      </c>
      <c r="H74" s="111">
        <v>100</v>
      </c>
      <c r="I74" s="111">
        <v>100</v>
      </c>
      <c r="J74" s="111">
        <v>100</v>
      </c>
      <c r="K74" s="111">
        <v>80</v>
      </c>
      <c r="L74" s="111">
        <v>100</v>
      </c>
      <c r="M74" s="111">
        <v>0</v>
      </c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>
        <v>200</v>
      </c>
      <c r="Z74" s="111">
        <v>200</v>
      </c>
      <c r="AA74" s="111">
        <v>200</v>
      </c>
      <c r="AB74" s="111">
        <v>200</v>
      </c>
      <c r="AC74" s="111">
        <v>200</v>
      </c>
      <c r="AD74" s="111">
        <v>200</v>
      </c>
      <c r="AE74" s="111">
        <v>200</v>
      </c>
      <c r="AF74" s="111">
        <v>200</v>
      </c>
      <c r="AG74" s="98"/>
      <c r="AH74" s="21">
        <f t="shared" si="2"/>
        <v>200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1218.44</v>
      </c>
      <c r="C75" s="110">
        <f>C73+C74</f>
        <v>1191.44</v>
      </c>
      <c r="D75" s="110">
        <f t="shared" ref="D75:AF75" si="11">D72+D68+D56+D52+D38+D74</f>
        <v>1174.44</v>
      </c>
      <c r="E75" s="110">
        <f t="shared" si="11"/>
        <v>1171.04</v>
      </c>
      <c r="F75" s="110">
        <f t="shared" si="11"/>
        <v>1132.3400000000001</v>
      </c>
      <c r="G75" s="110">
        <f t="shared" si="11"/>
        <v>1171.1399999999999</v>
      </c>
      <c r="H75" s="110">
        <f t="shared" si="11"/>
        <v>1230.04</v>
      </c>
      <c r="I75" s="110">
        <f t="shared" si="11"/>
        <v>1255.94</v>
      </c>
      <c r="J75" s="110">
        <f t="shared" si="11"/>
        <v>1361.94</v>
      </c>
      <c r="K75" s="110">
        <f t="shared" si="11"/>
        <v>1347.04</v>
      </c>
      <c r="L75" s="110">
        <f t="shared" si="11"/>
        <v>1455.94</v>
      </c>
      <c r="M75" s="110">
        <f t="shared" si="11"/>
        <v>1462.0700000000002</v>
      </c>
      <c r="N75" s="110">
        <f t="shared" si="11"/>
        <v>1398.8400000000001</v>
      </c>
      <c r="O75" s="110">
        <f t="shared" si="11"/>
        <v>1429.64</v>
      </c>
      <c r="P75" s="110">
        <f t="shared" si="11"/>
        <v>1421.74</v>
      </c>
      <c r="Q75" s="110">
        <f t="shared" si="11"/>
        <v>1404.94</v>
      </c>
      <c r="R75" s="110">
        <f t="shared" si="11"/>
        <v>1434.0400000000002</v>
      </c>
      <c r="S75" s="110">
        <f t="shared" si="11"/>
        <v>1461.5400000000002</v>
      </c>
      <c r="T75" s="110">
        <f t="shared" si="11"/>
        <v>1463.8400000000001</v>
      </c>
      <c r="U75" s="110">
        <f t="shared" si="11"/>
        <v>1407.8400000000001</v>
      </c>
      <c r="V75" s="110">
        <f t="shared" si="11"/>
        <v>1408.94</v>
      </c>
      <c r="W75" s="110">
        <f t="shared" si="11"/>
        <v>1404.3400000000001</v>
      </c>
      <c r="X75" s="110">
        <f t="shared" si="11"/>
        <v>1345.74</v>
      </c>
      <c r="Y75" s="110">
        <f t="shared" si="11"/>
        <v>1512.5700000000002</v>
      </c>
      <c r="Z75" s="110">
        <f t="shared" si="11"/>
        <v>1616.8400000000001</v>
      </c>
      <c r="AA75" s="110">
        <f t="shared" si="11"/>
        <v>1546.1400000000003</v>
      </c>
      <c r="AB75" s="110">
        <f t="shared" si="11"/>
        <v>1498.49</v>
      </c>
      <c r="AC75" s="110">
        <f t="shared" si="11"/>
        <v>1483.84</v>
      </c>
      <c r="AD75" s="110">
        <f t="shared" si="11"/>
        <v>1461.54</v>
      </c>
      <c r="AE75" s="110">
        <f t="shared" si="11"/>
        <v>1357.04</v>
      </c>
      <c r="AF75" s="110">
        <f t="shared" si="11"/>
        <v>1298.94</v>
      </c>
      <c r="AG75" s="98">
        <f>AG72+AG68+AG56+AG52+AG38+AG74</f>
        <v>2144.14</v>
      </c>
      <c r="AH75" s="21">
        <f t="shared" si="2"/>
        <v>1616.8400000000001</v>
      </c>
      <c r="AI75" s="20">
        <f t="shared" si="3"/>
        <v>1132.3400000000001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2436.88</v>
      </c>
      <c r="C83" s="99">
        <f t="shared" ref="C83:AG83" si="20">SUM(C70:C82)</f>
        <v>2382.88</v>
      </c>
      <c r="D83" s="99">
        <f t="shared" si="20"/>
        <v>2348.88</v>
      </c>
      <c r="E83" s="99">
        <f t="shared" si="20"/>
        <v>2342.08</v>
      </c>
      <c r="F83" s="99">
        <f t="shared" si="20"/>
        <v>2264.6800000000003</v>
      </c>
      <c r="G83" s="99">
        <f t="shared" si="20"/>
        <v>2342.2799999999997</v>
      </c>
      <c r="H83" s="99">
        <f t="shared" si="20"/>
        <v>2460.08</v>
      </c>
      <c r="I83" s="99">
        <f t="shared" si="20"/>
        <v>2511.88</v>
      </c>
      <c r="J83" s="99">
        <f t="shared" si="20"/>
        <v>2723.88</v>
      </c>
      <c r="K83" s="99">
        <f t="shared" si="20"/>
        <v>2694.08</v>
      </c>
      <c r="L83" s="99">
        <f t="shared" si="20"/>
        <v>2911.88</v>
      </c>
      <c r="M83" s="99">
        <f t="shared" si="20"/>
        <v>2924.1400000000003</v>
      </c>
      <c r="N83" s="99">
        <f t="shared" si="20"/>
        <v>2797.6800000000003</v>
      </c>
      <c r="O83" s="99">
        <f t="shared" si="20"/>
        <v>2859.28</v>
      </c>
      <c r="P83" s="99">
        <f t="shared" si="20"/>
        <v>2843.48</v>
      </c>
      <c r="Q83" s="99">
        <f t="shared" si="20"/>
        <v>2809.88</v>
      </c>
      <c r="R83" s="99">
        <f t="shared" si="20"/>
        <v>2868.0800000000004</v>
      </c>
      <c r="S83" s="99">
        <f t="shared" si="20"/>
        <v>2923.0800000000004</v>
      </c>
      <c r="T83" s="99">
        <f t="shared" si="20"/>
        <v>2927.6800000000003</v>
      </c>
      <c r="U83" s="99">
        <f t="shared" si="20"/>
        <v>2815.6800000000003</v>
      </c>
      <c r="V83" s="99">
        <f t="shared" si="20"/>
        <v>2817.88</v>
      </c>
      <c r="W83" s="99">
        <f t="shared" si="20"/>
        <v>2808.6800000000003</v>
      </c>
      <c r="X83" s="99">
        <f t="shared" si="20"/>
        <v>2691.48</v>
      </c>
      <c r="Y83" s="99">
        <f t="shared" si="20"/>
        <v>3025.1400000000003</v>
      </c>
      <c r="Z83" s="99">
        <f t="shared" si="20"/>
        <v>3233.6800000000003</v>
      </c>
      <c r="AA83" s="99">
        <f t="shared" si="20"/>
        <v>3092.2800000000007</v>
      </c>
      <c r="AB83" s="99">
        <f t="shared" si="20"/>
        <v>2996.98</v>
      </c>
      <c r="AC83" s="99">
        <f t="shared" si="20"/>
        <v>2967.68</v>
      </c>
      <c r="AD83" s="99">
        <f t="shared" si="20"/>
        <v>2923.08</v>
      </c>
      <c r="AE83" s="99">
        <f t="shared" si="20"/>
        <v>2714.08</v>
      </c>
      <c r="AF83" s="99">
        <f t="shared" si="20"/>
        <v>2597.88</v>
      </c>
      <c r="AG83" s="98">
        <f t="shared" si="20"/>
        <v>4360.08</v>
      </c>
      <c r="AH83" s="21">
        <f t="shared" si="13"/>
        <v>3233.6800000000003</v>
      </c>
      <c r="AI83" s="20">
        <f t="shared" si="14"/>
        <v>2264.6800000000003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49.85</v>
      </c>
      <c r="C84" s="96">
        <v>50</v>
      </c>
      <c r="D84" s="96">
        <v>50.03</v>
      </c>
      <c r="E84" s="96">
        <v>49.960999999999999</v>
      </c>
      <c r="F84" s="96">
        <v>50.015000000000001</v>
      </c>
      <c r="G84" s="96">
        <v>49.884</v>
      </c>
      <c r="H84" s="96">
        <v>49.814999999999998</v>
      </c>
      <c r="I84" s="96">
        <v>49.792000000000002</v>
      </c>
      <c r="J84" s="96">
        <v>49.939</v>
      </c>
      <c r="K84" s="96">
        <v>49.89</v>
      </c>
      <c r="L84" s="96">
        <v>49.951000000000001</v>
      </c>
      <c r="M84" s="96">
        <v>50.055999999999997</v>
      </c>
      <c r="N84" s="96">
        <v>50</v>
      </c>
      <c r="O84" s="96">
        <v>50.05</v>
      </c>
      <c r="P84" s="96">
        <v>49.98</v>
      </c>
      <c r="Q84" s="96">
        <v>50.01</v>
      </c>
      <c r="R84" s="96">
        <v>49.948999999999998</v>
      </c>
      <c r="S84" s="96">
        <v>49.887</v>
      </c>
      <c r="T84" s="96">
        <v>49.954000000000001</v>
      </c>
      <c r="U84" s="96">
        <v>50.009</v>
      </c>
      <c r="V84" s="96">
        <v>49.844999999999999</v>
      </c>
      <c r="W84" s="96">
        <v>49.976999999999997</v>
      </c>
      <c r="X84" s="96">
        <v>50.064999999999998</v>
      </c>
      <c r="Y84" s="96">
        <v>50.012</v>
      </c>
      <c r="Z84" s="96">
        <v>49.94</v>
      </c>
      <c r="AA84" s="96">
        <v>49.982999999999997</v>
      </c>
      <c r="AB84" s="96">
        <v>49.945</v>
      </c>
      <c r="AC84" s="96">
        <v>49.972000000000001</v>
      </c>
      <c r="AD84" s="96">
        <v>49.87</v>
      </c>
      <c r="AE84" s="96">
        <v>49.98</v>
      </c>
      <c r="AF84" s="96">
        <v>49.97</v>
      </c>
      <c r="AG84" s="95"/>
      <c r="AH84" s="21">
        <f t="shared" si="13"/>
        <v>50.064999999999998</v>
      </c>
      <c r="AI84" s="20">
        <f t="shared" si="14"/>
        <v>49.792000000000002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127.8</v>
      </c>
      <c r="C85" s="73">
        <v>128</v>
      </c>
      <c r="D85" s="73">
        <v>128</v>
      </c>
      <c r="E85" s="73">
        <v>127.8</v>
      </c>
      <c r="F85" s="73">
        <v>128.69999999999999</v>
      </c>
      <c r="G85" s="73">
        <v>128.80000000000001</v>
      </c>
      <c r="H85" s="73">
        <v>128.30000000000001</v>
      </c>
      <c r="I85" s="73">
        <v>127</v>
      </c>
      <c r="J85" s="73">
        <v>126.6</v>
      </c>
      <c r="K85" s="73">
        <v>126.3</v>
      </c>
      <c r="L85" s="73">
        <v>126</v>
      </c>
      <c r="M85" s="73">
        <v>125.7</v>
      </c>
      <c r="N85" s="73">
        <v>124.4</v>
      </c>
      <c r="O85" s="73">
        <v>125.3</v>
      </c>
      <c r="P85" s="73">
        <v>124.8</v>
      </c>
      <c r="Q85" s="73">
        <v>122.8</v>
      </c>
      <c r="R85" s="73">
        <v>122.9</v>
      </c>
      <c r="S85" s="73">
        <v>122.7</v>
      </c>
      <c r="T85" s="73">
        <v>122.2</v>
      </c>
      <c r="U85" s="94">
        <v>123</v>
      </c>
      <c r="V85" s="94">
        <v>126</v>
      </c>
      <c r="W85" s="94">
        <v>126.4</v>
      </c>
      <c r="X85" s="94">
        <v>127.8</v>
      </c>
      <c r="Y85" s="94">
        <v>127</v>
      </c>
      <c r="Z85" s="94">
        <v>126.3</v>
      </c>
      <c r="AA85" s="94">
        <v>128</v>
      </c>
      <c r="AB85" s="73">
        <v>128.6</v>
      </c>
      <c r="AC85" s="73">
        <v>128.30000000000001</v>
      </c>
      <c r="AD85" s="73">
        <v>128.1</v>
      </c>
      <c r="AE85" s="73">
        <v>129</v>
      </c>
      <c r="AF85" s="73">
        <v>129.5</v>
      </c>
      <c r="AG85" s="89"/>
      <c r="AH85" s="21">
        <f t="shared" si="13"/>
        <v>129.5</v>
      </c>
      <c r="AI85" s="20">
        <f t="shared" si="14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131</v>
      </c>
      <c r="C86" s="73">
        <v>131.4</v>
      </c>
      <c r="D86" s="73">
        <v>132</v>
      </c>
      <c r="E86" s="73">
        <v>131.19999999999999</v>
      </c>
      <c r="F86" s="73">
        <v>131.5</v>
      </c>
      <c r="G86" s="73">
        <v>132</v>
      </c>
      <c r="H86" s="73">
        <v>131.30000000000001</v>
      </c>
      <c r="I86" s="73">
        <v>129.9</v>
      </c>
      <c r="J86" s="73">
        <v>129.5</v>
      </c>
      <c r="K86" s="73">
        <v>129</v>
      </c>
      <c r="L86" s="73">
        <v>128.80000000000001</v>
      </c>
      <c r="M86" s="73">
        <v>128.30000000000001</v>
      </c>
      <c r="N86" s="73">
        <v>127.5</v>
      </c>
      <c r="O86" s="73">
        <v>128.30000000000001</v>
      </c>
      <c r="P86" s="73">
        <v>128.19999999999999</v>
      </c>
      <c r="Q86" s="73">
        <v>126.1</v>
      </c>
      <c r="R86" s="73">
        <v>126.3</v>
      </c>
      <c r="S86" s="73">
        <v>126.3</v>
      </c>
      <c r="T86" s="73">
        <v>125.3</v>
      </c>
      <c r="U86" s="94">
        <v>126.1</v>
      </c>
      <c r="V86" s="94">
        <v>129.30000000000001</v>
      </c>
      <c r="W86" s="94">
        <v>129.30000000000001</v>
      </c>
      <c r="X86" s="94">
        <v>130.4</v>
      </c>
      <c r="Y86" s="94">
        <v>129.6</v>
      </c>
      <c r="Z86" s="94">
        <v>129.30000000000001</v>
      </c>
      <c r="AA86" s="94">
        <v>130.9</v>
      </c>
      <c r="AB86" s="73">
        <v>131.30000000000001</v>
      </c>
      <c r="AC86" s="73">
        <v>131</v>
      </c>
      <c r="AD86" s="73">
        <v>131.1</v>
      </c>
      <c r="AE86" s="73">
        <v>131.9</v>
      </c>
      <c r="AF86" s="73">
        <v>132.5</v>
      </c>
      <c r="AG86" s="89"/>
      <c r="AH86" s="21">
        <f t="shared" si="13"/>
        <v>132.5</v>
      </c>
      <c r="AI86" s="20">
        <f t="shared" si="14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130</v>
      </c>
      <c r="C87" s="73">
        <v>131</v>
      </c>
      <c r="D87" s="73">
        <v>132</v>
      </c>
      <c r="E87" s="73">
        <v>130.69999999999999</v>
      </c>
      <c r="F87" s="73">
        <v>131.5</v>
      </c>
      <c r="G87" s="73">
        <v>127.9</v>
      </c>
      <c r="H87" s="73">
        <v>128.5</v>
      </c>
      <c r="I87" s="73">
        <v>128.30000000000001</v>
      </c>
      <c r="J87" s="73">
        <v>125.9</v>
      </c>
      <c r="K87" s="73">
        <v>125.9</v>
      </c>
      <c r="L87" s="73">
        <v>126.1</v>
      </c>
      <c r="M87" s="73">
        <v>128.80000000000001</v>
      </c>
      <c r="N87" s="73">
        <v>129.19999999999999</v>
      </c>
      <c r="O87" s="73">
        <v>125.6</v>
      </c>
      <c r="P87" s="73">
        <v>125</v>
      </c>
      <c r="Q87" s="73">
        <v>126.2</v>
      </c>
      <c r="R87" s="73">
        <v>125.2</v>
      </c>
      <c r="S87" s="73">
        <v>126.3</v>
      </c>
      <c r="T87" s="73">
        <v>123.1</v>
      </c>
      <c r="U87" s="73">
        <v>127</v>
      </c>
      <c r="V87" s="73">
        <v>129.19999999999999</v>
      </c>
      <c r="W87" s="73">
        <v>128.1</v>
      </c>
      <c r="X87" s="94">
        <v>130.30000000000001</v>
      </c>
      <c r="Y87" s="94">
        <v>125.4</v>
      </c>
      <c r="Z87" s="94">
        <v>126.9</v>
      </c>
      <c r="AA87" s="94">
        <v>129.6</v>
      </c>
      <c r="AB87" s="73">
        <v>130.6</v>
      </c>
      <c r="AC87" s="73">
        <v>131.6</v>
      </c>
      <c r="AD87" s="73">
        <v>131.30000000000001</v>
      </c>
      <c r="AE87" s="73">
        <v>132.69999999999999</v>
      </c>
      <c r="AF87" s="73">
        <v>129.80000000000001</v>
      </c>
      <c r="AG87" s="89"/>
      <c r="AH87" s="21">
        <f t="shared" si="13"/>
        <v>132.69999999999999</v>
      </c>
      <c r="AI87" s="20">
        <f t="shared" si="14"/>
        <v>123.1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130.69999999999999</v>
      </c>
      <c r="C88" s="73">
        <v>131.69999999999999</v>
      </c>
      <c r="D88" s="73">
        <v>132</v>
      </c>
      <c r="E88" s="73">
        <v>132</v>
      </c>
      <c r="F88" s="73">
        <v>132.9</v>
      </c>
      <c r="G88" s="73">
        <v>129.6</v>
      </c>
      <c r="H88" s="73">
        <v>130.19999999999999</v>
      </c>
      <c r="I88" s="73">
        <v>128.9</v>
      </c>
      <c r="J88" s="73">
        <v>128.9</v>
      </c>
      <c r="K88" s="73">
        <v>128.6</v>
      </c>
      <c r="L88" s="73">
        <v>128.19999999999999</v>
      </c>
      <c r="M88" s="73">
        <v>130.19999999999999</v>
      </c>
      <c r="N88" s="73">
        <v>130</v>
      </c>
      <c r="O88" s="73">
        <v>125.8</v>
      </c>
      <c r="P88" s="73">
        <v>124.8</v>
      </c>
      <c r="Q88" s="73">
        <v>124.8</v>
      </c>
      <c r="R88" s="73">
        <v>127.7</v>
      </c>
      <c r="S88" s="73">
        <v>129</v>
      </c>
      <c r="T88" s="73">
        <v>123</v>
      </c>
      <c r="U88" s="73">
        <v>123.1</v>
      </c>
      <c r="V88" s="73">
        <v>129</v>
      </c>
      <c r="W88" s="73">
        <v>128</v>
      </c>
      <c r="X88" s="94">
        <v>131.6</v>
      </c>
      <c r="Y88" s="94">
        <v>124.5</v>
      </c>
      <c r="Z88" s="94">
        <v>126.5</v>
      </c>
      <c r="AA88" s="94">
        <v>127</v>
      </c>
      <c r="AB88" s="73">
        <v>132.30000000000001</v>
      </c>
      <c r="AC88" s="73">
        <v>133.30000000000001</v>
      </c>
      <c r="AD88" s="73">
        <v>132.69999999999999</v>
      </c>
      <c r="AE88" s="73">
        <v>132.4</v>
      </c>
      <c r="AF88" s="73">
        <v>130</v>
      </c>
      <c r="AG88" s="89"/>
      <c r="AH88" s="21">
        <f t="shared" si="13"/>
        <v>133.30000000000001</v>
      </c>
      <c r="AI88" s="20">
        <f t="shared" si="14"/>
        <v>123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132.6</v>
      </c>
      <c r="C89" s="66">
        <v>133.80000000000001</v>
      </c>
      <c r="D89" s="66">
        <v>134</v>
      </c>
      <c r="E89" s="66">
        <v>130.6</v>
      </c>
      <c r="F89" s="66">
        <v>129</v>
      </c>
      <c r="G89" s="66">
        <v>134.30000000000001</v>
      </c>
      <c r="H89" s="66">
        <v>135.9</v>
      </c>
      <c r="I89" s="66">
        <v>132.9</v>
      </c>
      <c r="J89" s="66">
        <v>130.6</v>
      </c>
      <c r="K89" s="66">
        <v>133.80000000000001</v>
      </c>
      <c r="L89" s="66">
        <v>135.30000000000001</v>
      </c>
      <c r="M89" s="66">
        <v>134.19999999999999</v>
      </c>
      <c r="N89" s="66">
        <v>135.80000000000001</v>
      </c>
      <c r="O89" s="66">
        <v>134.30000000000001</v>
      </c>
      <c r="P89" s="66">
        <v>133.5</v>
      </c>
      <c r="Q89" s="66">
        <v>131.6</v>
      </c>
      <c r="R89" s="66">
        <v>132</v>
      </c>
      <c r="S89" s="66">
        <v>131.4</v>
      </c>
      <c r="T89" s="66">
        <v>130.80000000000001</v>
      </c>
      <c r="U89" s="66">
        <v>133.6</v>
      </c>
      <c r="V89" s="66">
        <v>136.9</v>
      </c>
      <c r="W89" s="66">
        <v>135.6</v>
      </c>
      <c r="X89" s="94">
        <v>133.19999999999999</v>
      </c>
      <c r="Y89" s="94">
        <v>133.80000000000001</v>
      </c>
      <c r="Z89" s="94">
        <v>133.9</v>
      </c>
      <c r="AA89" s="94">
        <v>133.30000000000001</v>
      </c>
      <c r="AB89" s="66">
        <v>134.69999999999999</v>
      </c>
      <c r="AC89" s="66">
        <v>134.6</v>
      </c>
      <c r="AD89" s="66">
        <v>134.30000000000001</v>
      </c>
      <c r="AE89" s="66">
        <v>133.69999999999999</v>
      </c>
      <c r="AF89" s="66">
        <v>133.6</v>
      </c>
      <c r="AG89" s="91"/>
      <c r="AH89" s="21">
        <f t="shared" si="13"/>
        <v>136.9</v>
      </c>
      <c r="AI89" s="20">
        <f t="shared" si="14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130</v>
      </c>
      <c r="C90" s="73">
        <v>131</v>
      </c>
      <c r="D90" s="73">
        <v>133</v>
      </c>
      <c r="E90" s="73">
        <v>134.1</v>
      </c>
      <c r="F90" s="73">
        <v>134.6</v>
      </c>
      <c r="G90" s="73">
        <v>133.9</v>
      </c>
      <c r="H90" s="73">
        <v>132.30000000000001</v>
      </c>
      <c r="I90" s="73">
        <v>131.19999999999999</v>
      </c>
      <c r="J90" s="73">
        <v>131.4</v>
      </c>
      <c r="K90" s="73">
        <v>129.80000000000001</v>
      </c>
      <c r="L90" s="73">
        <v>131.4</v>
      </c>
      <c r="M90" s="73">
        <v>132.80000000000001</v>
      </c>
      <c r="N90" s="73">
        <v>132.19999999999999</v>
      </c>
      <c r="O90" s="73">
        <v>129.19999999999999</v>
      </c>
      <c r="P90" s="73">
        <v>133.30000000000001</v>
      </c>
      <c r="Q90" s="73">
        <v>133.4</v>
      </c>
      <c r="R90" s="73">
        <v>132.1</v>
      </c>
      <c r="S90" s="73">
        <v>132.1</v>
      </c>
      <c r="T90" s="73">
        <v>132.4</v>
      </c>
      <c r="U90" s="73">
        <v>131.4</v>
      </c>
      <c r="V90" s="73">
        <v>132.6</v>
      </c>
      <c r="W90" s="73">
        <v>133.69999999999999</v>
      </c>
      <c r="X90" s="94">
        <v>134</v>
      </c>
      <c r="Y90" s="94">
        <v>134.30000000000001</v>
      </c>
      <c r="Z90" s="94">
        <v>132.6</v>
      </c>
      <c r="AA90" s="94">
        <v>134</v>
      </c>
      <c r="AB90" s="73">
        <v>130.4</v>
      </c>
      <c r="AC90" s="73">
        <v>130.80000000000001</v>
      </c>
      <c r="AD90" s="73">
        <v>130.69999999999999</v>
      </c>
      <c r="AE90" s="73">
        <v>132</v>
      </c>
      <c r="AF90" s="73">
        <v>131.9</v>
      </c>
      <c r="AG90" s="89"/>
      <c r="AH90" s="21">
        <f t="shared" si="13"/>
        <v>134.6</v>
      </c>
      <c r="AI90" s="20">
        <f t="shared" si="14"/>
        <v>129.19999999999999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66.2</v>
      </c>
      <c r="C91" s="87">
        <v>66.3</v>
      </c>
      <c r="D91" s="87">
        <v>66.5</v>
      </c>
      <c r="E91" s="87">
        <v>66.2</v>
      </c>
      <c r="F91" s="87">
        <v>66.599999999999994</v>
      </c>
      <c r="G91" s="87">
        <v>66.5</v>
      </c>
      <c r="H91" s="87">
        <v>66.2</v>
      </c>
      <c r="I91" s="87">
        <v>65.3</v>
      </c>
      <c r="J91" s="87">
        <v>65.3</v>
      </c>
      <c r="K91" s="87">
        <v>65</v>
      </c>
      <c r="L91" s="87">
        <v>65.099999999999994</v>
      </c>
      <c r="M91" s="87">
        <v>64.7</v>
      </c>
      <c r="N91" s="87">
        <v>64.3</v>
      </c>
      <c r="O91" s="87">
        <v>64.5</v>
      </c>
      <c r="P91" s="87">
        <v>64.8</v>
      </c>
      <c r="Q91" s="87">
        <v>63.8</v>
      </c>
      <c r="R91" s="87">
        <v>63.9</v>
      </c>
      <c r="S91" s="87">
        <v>63.8</v>
      </c>
      <c r="T91" s="87">
        <v>63.3</v>
      </c>
      <c r="U91" s="87">
        <v>63.9</v>
      </c>
      <c r="V91" s="87">
        <v>65.5</v>
      </c>
      <c r="W91" s="87">
        <v>65.2</v>
      </c>
      <c r="X91" s="87">
        <v>65.7</v>
      </c>
      <c r="Y91" s="87">
        <v>65.2</v>
      </c>
      <c r="Z91" s="87">
        <v>65.099999999999994</v>
      </c>
      <c r="AA91" s="87">
        <v>66</v>
      </c>
      <c r="AB91" s="87">
        <v>66.099999999999994</v>
      </c>
      <c r="AC91" s="87">
        <v>66</v>
      </c>
      <c r="AD91" s="87">
        <v>66.099999999999994</v>
      </c>
      <c r="AE91" s="87">
        <v>66.3</v>
      </c>
      <c r="AF91" s="87">
        <v>66.7</v>
      </c>
      <c r="AG91" s="86"/>
      <c r="AH91" s="21">
        <f t="shared" si="13"/>
        <v>66.7</v>
      </c>
      <c r="AI91" s="20">
        <f t="shared" si="14"/>
        <v>63.3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173.83999999999997</v>
      </c>
      <c r="C93" s="82">
        <f t="shared" si="21"/>
        <v>166.33999999999997</v>
      </c>
      <c r="D93" s="82">
        <f t="shared" si="21"/>
        <v>234.93999999999997</v>
      </c>
      <c r="E93" s="82">
        <f t="shared" si="21"/>
        <v>155.83999999999997</v>
      </c>
      <c r="F93" s="82">
        <f t="shared" si="21"/>
        <v>158.13999999999999</v>
      </c>
      <c r="G93" s="80">
        <f t="shared" si="21"/>
        <v>177.33999999999997</v>
      </c>
      <c r="H93" s="80">
        <f t="shared" si="21"/>
        <v>207.73999999999998</v>
      </c>
      <c r="I93" s="80">
        <f t="shared" si="21"/>
        <v>234.73999999999995</v>
      </c>
      <c r="J93" s="80">
        <f t="shared" si="21"/>
        <v>276.14</v>
      </c>
      <c r="K93" s="80">
        <f t="shared" si="21"/>
        <v>304.34000000000003</v>
      </c>
      <c r="L93" s="80">
        <f t="shared" si="21"/>
        <v>328.44000000000005</v>
      </c>
      <c r="M93" s="80">
        <f t="shared" si="21"/>
        <v>322.14000000000004</v>
      </c>
      <c r="N93" s="80">
        <f t="shared" si="21"/>
        <v>318.74</v>
      </c>
      <c r="O93" s="80">
        <f t="shared" si="21"/>
        <v>317.84000000000003</v>
      </c>
      <c r="P93" s="80">
        <f t="shared" si="21"/>
        <v>311.04000000000008</v>
      </c>
      <c r="Q93" s="80">
        <f t="shared" si="21"/>
        <v>304.84000000000003</v>
      </c>
      <c r="R93" s="80">
        <f t="shared" si="21"/>
        <v>304.74</v>
      </c>
      <c r="S93" s="80">
        <f t="shared" si="21"/>
        <v>296.24</v>
      </c>
      <c r="T93" s="80">
        <f t="shared" si="21"/>
        <v>304.44000000000005</v>
      </c>
      <c r="U93" s="80">
        <f t="shared" si="21"/>
        <v>306.14000000000004</v>
      </c>
      <c r="V93" s="80">
        <f t="shared" si="21"/>
        <v>312.84000000000003</v>
      </c>
      <c r="W93" s="80">
        <f t="shared" si="21"/>
        <v>324.14000000000004</v>
      </c>
      <c r="X93" s="80">
        <f t="shared" si="21"/>
        <v>328.94000000000005</v>
      </c>
      <c r="Y93" s="80">
        <f t="shared" si="21"/>
        <v>361.84000000000003</v>
      </c>
      <c r="Z93" s="80">
        <f t="shared" si="21"/>
        <v>375.04000000000008</v>
      </c>
      <c r="AA93" s="80">
        <f t="shared" si="21"/>
        <v>347.54</v>
      </c>
      <c r="AB93" s="80">
        <f t="shared" si="21"/>
        <v>320.84000000000003</v>
      </c>
      <c r="AC93" s="80">
        <f t="shared" si="21"/>
        <v>307.94000000000005</v>
      </c>
      <c r="AD93" s="80">
        <f t="shared" si="21"/>
        <v>279.14</v>
      </c>
      <c r="AE93" s="80">
        <f t="shared" si="21"/>
        <v>224.24</v>
      </c>
      <c r="AF93" s="80">
        <f t="shared" si="21"/>
        <v>187.33999999999997</v>
      </c>
      <c r="AG93" s="79"/>
      <c r="AH93" s="21">
        <f>MAX(C93:AF93)</f>
        <v>375.04000000000008</v>
      </c>
      <c r="AI93" s="20">
        <f>MIN(C93:AF93)</f>
        <v>155.83999999999997</v>
      </c>
    </row>
    <row r="94" spans="1:88" x14ac:dyDescent="0.25">
      <c r="A94" s="48" t="s">
        <v>122</v>
      </c>
      <c r="B94" s="78">
        <v>50</v>
      </c>
      <c r="C94" s="77">
        <v>51</v>
      </c>
      <c r="D94" s="77">
        <v>49</v>
      </c>
      <c r="E94" s="77">
        <v>-8.6</v>
      </c>
      <c r="F94" s="77">
        <v>-12.9</v>
      </c>
      <c r="G94" s="76">
        <v>0</v>
      </c>
      <c r="H94" s="76">
        <v>41.7</v>
      </c>
      <c r="I94" s="76">
        <v>45.7</v>
      </c>
      <c r="J94" s="76">
        <v>38.700000000000003</v>
      </c>
      <c r="K94" s="76">
        <v>52.8</v>
      </c>
      <c r="L94" s="76">
        <v>58.2</v>
      </c>
      <c r="M94" s="75">
        <v>49</v>
      </c>
      <c r="N94" s="76">
        <v>40.799999999999997</v>
      </c>
      <c r="O94" s="76">
        <v>32.1</v>
      </c>
      <c r="P94" s="76">
        <v>35.9</v>
      </c>
      <c r="Q94" s="76">
        <v>23.1</v>
      </c>
      <c r="R94" s="76">
        <v>2.6</v>
      </c>
      <c r="S94" s="76">
        <v>9.6999999999999993</v>
      </c>
      <c r="T94" s="76">
        <v>15.9</v>
      </c>
      <c r="U94" s="75">
        <v>40.799999999999997</v>
      </c>
      <c r="V94" s="75">
        <v>38.6</v>
      </c>
      <c r="W94" s="75">
        <v>29.1</v>
      </c>
      <c r="X94" s="76">
        <v>26.9</v>
      </c>
      <c r="Y94" s="76">
        <v>45</v>
      </c>
      <c r="Z94" s="76">
        <v>27.9</v>
      </c>
      <c r="AA94" s="76">
        <v>38.1</v>
      </c>
      <c r="AB94" s="75">
        <v>37.799999999999997</v>
      </c>
      <c r="AC94" s="75">
        <v>39.1</v>
      </c>
      <c r="AD94" s="75">
        <v>38</v>
      </c>
      <c r="AE94" s="75">
        <v>27.4</v>
      </c>
      <c r="AF94" s="75">
        <v>6.8</v>
      </c>
      <c r="AG94" s="3">
        <v>75</v>
      </c>
      <c r="AH94" s="21">
        <f t="shared" ref="AH94:AH100" si="22">IF(ABS(MAX(C94:AF94))&gt;ABS(MIN(C94:AF94)),MAX(C94:AF94),MIN(C94:AF94))</f>
        <v>58.2</v>
      </c>
      <c r="AI94" s="64">
        <f t="shared" ref="AI94:AI100" si="23">INDEX($C$9:$AF$9,1,MATCH(AH94,C94:AF94,0))</f>
        <v>0.3125</v>
      </c>
    </row>
    <row r="95" spans="1:88" x14ac:dyDescent="0.25">
      <c r="A95" s="45" t="s">
        <v>121</v>
      </c>
      <c r="B95" s="74">
        <v>-76</v>
      </c>
      <c r="C95" s="67">
        <v>-80</v>
      </c>
      <c r="D95" s="67">
        <v>-5</v>
      </c>
      <c r="E95" s="67">
        <v>-32</v>
      </c>
      <c r="F95" s="67">
        <v>-24</v>
      </c>
      <c r="G95" s="67">
        <v>-26</v>
      </c>
      <c r="H95" s="67">
        <v>-56</v>
      </c>
      <c r="I95" s="67">
        <v>-48</v>
      </c>
      <c r="J95" s="67">
        <v>-40</v>
      </c>
      <c r="K95" s="67">
        <v>-40</v>
      </c>
      <c r="L95" s="67">
        <v>-34</v>
      </c>
      <c r="M95" s="67">
        <v>-21.1</v>
      </c>
      <c r="N95" s="67">
        <f>-2.1-5.8</f>
        <v>-7.9</v>
      </c>
      <c r="O95" s="67">
        <f>-0.7-7.3</f>
        <v>-8</v>
      </c>
      <c r="P95" s="67">
        <f>-2.1-8.6</f>
        <v>-10.7</v>
      </c>
      <c r="Q95" s="67">
        <f>4.8+1.5</f>
        <v>6.3</v>
      </c>
      <c r="R95" s="67">
        <v>2</v>
      </c>
      <c r="S95" s="67">
        <v>-4.7</v>
      </c>
      <c r="T95" s="67">
        <v>-3</v>
      </c>
      <c r="U95" s="67">
        <v>-10</v>
      </c>
      <c r="V95" s="67">
        <v>-10</v>
      </c>
      <c r="W95" s="67">
        <v>-5.3</v>
      </c>
      <c r="X95" s="67">
        <v>-2.6</v>
      </c>
      <c r="Y95" s="67">
        <v>-1</v>
      </c>
      <c r="Z95" s="67">
        <v>16</v>
      </c>
      <c r="AA95" s="67">
        <v>-6.9</v>
      </c>
      <c r="AB95" s="73">
        <v>-16.8</v>
      </c>
      <c r="AC95" s="73">
        <v>-21.4</v>
      </c>
      <c r="AD95" s="73">
        <f>-11.2-19.8</f>
        <v>-31</v>
      </c>
      <c r="AE95" s="73">
        <f>-17.4-26.7</f>
        <v>-44.099999999999994</v>
      </c>
      <c r="AF95" s="73">
        <f>-15.5-24.7</f>
        <v>-40.200000000000003</v>
      </c>
      <c r="AG95" s="3">
        <v>240</v>
      </c>
      <c r="AH95" s="21">
        <f t="shared" si="22"/>
        <v>-80</v>
      </c>
      <c r="AI95" s="64">
        <f t="shared" si="23"/>
        <v>4.1666666666666664E-2</v>
      </c>
    </row>
    <row r="96" spans="1:88" x14ac:dyDescent="0.25">
      <c r="A96" s="45" t="s">
        <v>120</v>
      </c>
      <c r="B96" s="74">
        <v>2</v>
      </c>
      <c r="C96" s="67">
        <v>0</v>
      </c>
      <c r="D96" s="67">
        <v>2.6</v>
      </c>
      <c r="E96" s="67">
        <v>8.1</v>
      </c>
      <c r="F96" s="67">
        <v>6.7</v>
      </c>
      <c r="G96" s="67">
        <v>4.0999999999999996</v>
      </c>
      <c r="H96" s="67">
        <v>7.3</v>
      </c>
      <c r="I96" s="67">
        <v>6.4</v>
      </c>
      <c r="J96" s="67">
        <v>21.1</v>
      </c>
      <c r="K96" s="67">
        <v>20.8</v>
      </c>
      <c r="L96" s="67">
        <v>21.4</v>
      </c>
      <c r="M96" s="67">
        <v>16.7</v>
      </c>
      <c r="N96" s="67">
        <v>11.9</v>
      </c>
      <c r="O96" s="67">
        <v>23.8</v>
      </c>
      <c r="P96" s="67">
        <v>24.5</v>
      </c>
      <c r="Q96" s="67">
        <v>14.8</v>
      </c>
      <c r="R96" s="67">
        <v>15.5</v>
      </c>
      <c r="S96" s="67">
        <v>7.9</v>
      </c>
      <c r="T96" s="67">
        <v>7.7</v>
      </c>
      <c r="U96" s="67">
        <v>5</v>
      </c>
      <c r="V96" s="67">
        <v>12.9</v>
      </c>
      <c r="W96" s="67">
        <v>19.8</v>
      </c>
      <c r="X96" s="67">
        <v>17.600000000000001</v>
      </c>
      <c r="Y96" s="67">
        <v>37</v>
      </c>
      <c r="Z96" s="67">
        <v>46.1</v>
      </c>
      <c r="AA96" s="67">
        <v>41.6</v>
      </c>
      <c r="AB96" s="73">
        <v>39</v>
      </c>
      <c r="AC96" s="73">
        <v>37.200000000000003</v>
      </c>
      <c r="AD96" s="73">
        <v>34.1</v>
      </c>
      <c r="AE96" s="73">
        <v>30.8</v>
      </c>
      <c r="AF96" s="73">
        <v>28.6</v>
      </c>
      <c r="AG96" s="3">
        <v>60</v>
      </c>
      <c r="AH96" s="21">
        <f t="shared" si="22"/>
        <v>46.1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9.5</v>
      </c>
      <c r="C97" s="70">
        <v>7</v>
      </c>
      <c r="D97" s="70">
        <v>0</v>
      </c>
      <c r="E97" s="70">
        <v>0</v>
      </c>
      <c r="F97" s="70">
        <v>0</v>
      </c>
      <c r="G97" s="70">
        <v>10.9</v>
      </c>
      <c r="H97" s="70">
        <v>26.4</v>
      </c>
      <c r="I97" s="70">
        <v>42.3</v>
      </c>
      <c r="J97" s="70">
        <v>68</v>
      </c>
      <c r="K97" s="70">
        <v>82.4</v>
      </c>
      <c r="L97" s="70">
        <v>94.5</v>
      </c>
      <c r="M97" s="70">
        <v>89.2</v>
      </c>
      <c r="N97" s="70">
        <v>85.6</v>
      </c>
      <c r="O97" s="70">
        <v>81.599999999999994</v>
      </c>
      <c r="P97" s="70">
        <v>73</v>
      </c>
      <c r="Q97" s="70">
        <v>72.3</v>
      </c>
      <c r="R97" s="70">
        <v>96.3</v>
      </c>
      <c r="S97" s="70">
        <v>95</v>
      </c>
      <c r="T97" s="70">
        <v>95.5</v>
      </c>
      <c r="U97" s="70">
        <v>82</v>
      </c>
      <c r="V97" s="70">
        <v>83</v>
      </c>
      <c r="W97" s="70">
        <v>92.2</v>
      </c>
      <c r="X97" s="70">
        <v>97.4</v>
      </c>
      <c r="Y97" s="70">
        <v>91.2</v>
      </c>
      <c r="Z97" s="70">
        <v>96.5</v>
      </c>
      <c r="AA97" s="70">
        <v>86.2</v>
      </c>
      <c r="AB97" s="69">
        <v>72.3</v>
      </c>
      <c r="AC97" s="69">
        <v>64.5</v>
      </c>
      <c r="AD97" s="69">
        <v>49.3</v>
      </c>
      <c r="AE97" s="69">
        <v>21.4</v>
      </c>
      <c r="AF97" s="69">
        <v>3.1</v>
      </c>
      <c r="AG97" s="72">
        <v>120</v>
      </c>
      <c r="AH97" s="21">
        <f t="shared" si="22"/>
        <v>97.4</v>
      </c>
      <c r="AI97" s="64">
        <f t="shared" si="23"/>
        <v>0.75</v>
      </c>
    </row>
    <row r="98" spans="1:37" x14ac:dyDescent="0.25">
      <c r="A98" s="41" t="s">
        <v>118</v>
      </c>
      <c r="B98" s="71">
        <v>0</v>
      </c>
      <c r="C98" s="70">
        <v>1</v>
      </c>
      <c r="D98" s="70">
        <v>5</v>
      </c>
      <c r="E98" s="70">
        <v>67.599999999999994</v>
      </c>
      <c r="F98" s="70">
        <v>72.2</v>
      </c>
      <c r="G98" s="70">
        <v>66.7</v>
      </c>
      <c r="H98" s="70">
        <v>21.7</v>
      </c>
      <c r="I98" s="70">
        <v>23.2</v>
      </c>
      <c r="J98" s="70">
        <v>20.9</v>
      </c>
      <c r="K98" s="70">
        <v>15.2</v>
      </c>
      <c r="L98" s="70">
        <v>7.5</v>
      </c>
      <c r="M98" s="70">
        <v>35.5</v>
      </c>
      <c r="N98" s="70">
        <v>44.2</v>
      </c>
      <c r="O98" s="70">
        <v>55.6</v>
      </c>
      <c r="P98" s="70">
        <v>52</v>
      </c>
      <c r="Q98" s="70">
        <v>89.6</v>
      </c>
      <c r="R98" s="70">
        <v>93</v>
      </c>
      <c r="S98" s="70">
        <v>85.4</v>
      </c>
      <c r="T98" s="70">
        <v>83.4</v>
      </c>
      <c r="U98" s="70">
        <v>70.599999999999994</v>
      </c>
      <c r="V98" s="70">
        <v>53.3</v>
      </c>
      <c r="W98" s="70">
        <v>50.3</v>
      </c>
      <c r="X98" s="70">
        <v>54.9</v>
      </c>
      <c r="Y98" s="70">
        <v>53.7</v>
      </c>
      <c r="Z98" s="70">
        <v>74.5</v>
      </c>
      <c r="AA98" s="70">
        <v>70.7</v>
      </c>
      <c r="AB98" s="69">
        <v>41.7</v>
      </c>
      <c r="AC98" s="69">
        <v>40</v>
      </c>
      <c r="AD98" s="69">
        <v>35.200000000000003</v>
      </c>
      <c r="AE98" s="69">
        <v>26.1</v>
      </c>
      <c r="AF98" s="69">
        <v>35.799999999999997</v>
      </c>
      <c r="AG98" s="72"/>
      <c r="AH98" s="21">
        <f t="shared" si="22"/>
        <v>93</v>
      </c>
      <c r="AI98" s="64">
        <f t="shared" si="23"/>
        <v>0.54166666666666696</v>
      </c>
    </row>
    <row r="99" spans="1:37" x14ac:dyDescent="0.25">
      <c r="A99" s="41" t="s">
        <v>117</v>
      </c>
      <c r="B99" s="71">
        <v>45</v>
      </c>
      <c r="C99" s="70">
        <v>45</v>
      </c>
      <c r="D99" s="70">
        <v>45</v>
      </c>
      <c r="E99" s="70">
        <v>81.2</v>
      </c>
      <c r="F99" s="70">
        <v>75.2</v>
      </c>
      <c r="G99" s="70">
        <v>69</v>
      </c>
      <c r="H99" s="70">
        <v>45.1</v>
      </c>
      <c r="I99" s="70">
        <v>41.2</v>
      </c>
      <c r="J99" s="70">
        <v>43.9</v>
      </c>
      <c r="K99" s="70">
        <v>21.3</v>
      </c>
      <c r="L99" s="70">
        <v>11.6</v>
      </c>
      <c r="M99" s="70">
        <v>26.8</v>
      </c>
      <c r="N99" s="70">
        <v>28.9</v>
      </c>
      <c r="O99" s="70">
        <v>39.200000000000003</v>
      </c>
      <c r="P99" s="70">
        <v>34.5</v>
      </c>
      <c r="Q99" s="70">
        <v>45.3</v>
      </c>
      <c r="R99" s="70">
        <v>52</v>
      </c>
      <c r="S99" s="70">
        <v>60.1</v>
      </c>
      <c r="T99" s="70">
        <v>55.1</v>
      </c>
      <c r="U99" s="70">
        <v>24.3</v>
      </c>
      <c r="V99" s="70">
        <v>35.5</v>
      </c>
      <c r="W99" s="70">
        <v>46.8</v>
      </c>
      <c r="X99" s="70">
        <v>47.2</v>
      </c>
      <c r="Y99" s="70">
        <v>36.6</v>
      </c>
      <c r="Z99" s="70">
        <v>60.4</v>
      </c>
      <c r="AA99" s="70">
        <v>59.2</v>
      </c>
      <c r="AB99" s="69">
        <v>59.8</v>
      </c>
      <c r="AC99" s="69">
        <v>60.7</v>
      </c>
      <c r="AD99" s="69">
        <v>54.6</v>
      </c>
      <c r="AE99" s="69">
        <v>59.2</v>
      </c>
      <c r="AF99" s="69">
        <v>81.7</v>
      </c>
      <c r="AG99" s="65"/>
      <c r="AH99" s="21">
        <f t="shared" si="22"/>
        <v>81.7</v>
      </c>
      <c r="AI99" s="64">
        <f t="shared" si="23"/>
        <v>0.95833333333333304</v>
      </c>
    </row>
    <row r="100" spans="1:37" ht="15.75" thickBot="1" x14ac:dyDescent="0.3">
      <c r="A100" s="68" t="s">
        <v>116</v>
      </c>
      <c r="B100" s="66">
        <v>71</v>
      </c>
      <c r="C100" s="67">
        <v>70</v>
      </c>
      <c r="D100" s="67">
        <v>57</v>
      </c>
      <c r="E100" s="67">
        <v>63.4</v>
      </c>
      <c r="F100" s="67">
        <v>60.2</v>
      </c>
      <c r="G100" s="67">
        <v>65</v>
      </c>
      <c r="H100" s="67">
        <v>68.599999999999994</v>
      </c>
      <c r="I100" s="67">
        <v>71.7</v>
      </c>
      <c r="J100" s="67">
        <v>90.7</v>
      </c>
      <c r="K100" s="67">
        <v>95</v>
      </c>
      <c r="L100" s="67">
        <v>99.2</v>
      </c>
      <c r="M100" s="67">
        <v>46.2</v>
      </c>
      <c r="N100" s="67">
        <v>45</v>
      </c>
      <c r="O100" s="67">
        <v>14.2</v>
      </c>
      <c r="P100" s="67">
        <v>15.9</v>
      </c>
      <c r="Q100" s="67">
        <v>18.3</v>
      </c>
      <c r="R100" s="67">
        <v>18.2</v>
      </c>
      <c r="S100" s="67">
        <v>17.8</v>
      </c>
      <c r="T100" s="67">
        <v>20.2</v>
      </c>
      <c r="U100" s="67">
        <v>19</v>
      </c>
      <c r="V100" s="67">
        <v>18.2</v>
      </c>
      <c r="W100" s="67">
        <v>18.5</v>
      </c>
      <c r="X100" s="67">
        <v>12.2</v>
      </c>
      <c r="Y100" s="67">
        <v>89.5</v>
      </c>
      <c r="Z100" s="67">
        <v>92</v>
      </c>
      <c r="AA100" s="67">
        <v>69.5</v>
      </c>
      <c r="AB100" s="66">
        <v>82.2</v>
      </c>
      <c r="AC100" s="66">
        <v>79</v>
      </c>
      <c r="AD100" s="66">
        <v>77</v>
      </c>
      <c r="AE100" s="66">
        <v>66.7</v>
      </c>
      <c r="AF100" s="66">
        <v>63.8</v>
      </c>
      <c r="AG100" s="65"/>
      <c r="AH100" s="21">
        <f t="shared" si="22"/>
        <v>99.2</v>
      </c>
      <c r="AI100" s="64">
        <f t="shared" si="23"/>
        <v>0.3125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1462.0700000000002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17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2078/12/17)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2078/12/17)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1218.44</v>
      </c>
      <c r="U214" s="9">
        <f t="shared" si="60"/>
        <v>1191.44</v>
      </c>
      <c r="V214" s="9">
        <f t="shared" si="60"/>
        <v>1174.44</v>
      </c>
      <c r="W214" s="9">
        <f t="shared" si="60"/>
        <v>1171.04</v>
      </c>
      <c r="X214" s="9">
        <f t="shared" si="60"/>
        <v>1132.3400000000001</v>
      </c>
      <c r="Y214" s="9">
        <f t="shared" si="60"/>
        <v>1171.1399999999999</v>
      </c>
      <c r="Z214" s="9">
        <f t="shared" si="60"/>
        <v>1230.04</v>
      </c>
      <c r="AA214" s="9">
        <f t="shared" si="60"/>
        <v>1255.94</v>
      </c>
      <c r="AB214" s="9">
        <f t="shared" si="60"/>
        <v>1361.94</v>
      </c>
      <c r="AC214" s="9">
        <f t="shared" si="60"/>
        <v>1347.04</v>
      </c>
      <c r="AD214" s="9">
        <f t="shared" si="60"/>
        <v>1455.94</v>
      </c>
      <c r="AE214" s="9">
        <f t="shared" si="60"/>
        <v>1462.0700000000002</v>
      </c>
      <c r="AF214" s="9">
        <f t="shared" si="60"/>
        <v>1398.8400000000001</v>
      </c>
      <c r="AG214" s="9">
        <f t="shared" si="60"/>
        <v>1429.64</v>
      </c>
      <c r="AH214" s="9">
        <f t="shared" si="60"/>
        <v>1421.74</v>
      </c>
      <c r="AI214" s="9">
        <f t="shared" si="60"/>
        <v>1404.94</v>
      </c>
      <c r="AJ214" s="9">
        <f t="shared" si="60"/>
        <v>1434.0400000000002</v>
      </c>
      <c r="AK214" s="9">
        <f t="shared" si="60"/>
        <v>1461.5400000000002</v>
      </c>
      <c r="AL214" s="9">
        <f t="shared" si="60"/>
        <v>1463.8400000000001</v>
      </c>
      <c r="AM214" s="9">
        <f t="shared" si="60"/>
        <v>1407.8400000000001</v>
      </c>
      <c r="AN214" s="9">
        <f t="shared" si="60"/>
        <v>1408.94</v>
      </c>
      <c r="AO214" s="9">
        <f t="shared" si="60"/>
        <v>1404.3400000000001</v>
      </c>
      <c r="AP214" s="9">
        <f t="shared" si="60"/>
        <v>1345.74</v>
      </c>
      <c r="AQ214" s="9">
        <f t="shared" si="60"/>
        <v>1512.5700000000002</v>
      </c>
      <c r="AR214" s="9">
        <f t="shared" si="60"/>
        <v>1616.8400000000001</v>
      </c>
      <c r="AS214" s="9">
        <f t="shared" si="60"/>
        <v>1546.1400000000003</v>
      </c>
      <c r="AT214" s="9">
        <f t="shared" si="60"/>
        <v>1498.49</v>
      </c>
      <c r="AU214" s="9">
        <f t="shared" si="60"/>
        <v>1483.84</v>
      </c>
      <c r="AV214" s="9">
        <f t="shared" si="60"/>
        <v>1461.54</v>
      </c>
      <c r="AW214" s="9">
        <f t="shared" si="60"/>
        <v>1357.04</v>
      </c>
      <c r="AX214" s="9">
        <f t="shared" si="60"/>
        <v>1298.94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R37 C57:L59 P39:R39 R42 R40:T41 M58:M59 U40:Y42 X85:AA91 AB81:AF81 B81:R81 C56:AF56 B82:AF83 D194:AF200 B194:B200 C68:AF72 AB84:AF91 B84:B91 B73:AF80 B9:AF10 B192:AF192 AF57:AF60 B53:B72 AG73 AB94:AF100 B94:B100 U213:AF213 C53:D55 B36:L36 C60:M67 R58:W59 M39:Q42 N58:Q67 R60:R67 R11:AC11 S39:W42 M53:AF55 X22:Y22 N45:Y48 S62:Y67 Z12:AC14 Z40:AE43 AD11:AF14 Z16:AF31 Z36:AF36">
    <cfRule type="expression" dxfId="4246" priority="274">
      <formula>B$9&gt;=20/24</formula>
    </cfRule>
    <cfRule type="expression" dxfId="4245" priority="275">
      <formula>AND(B$9&gt;=14/24,B$9&lt;20/24)</formula>
    </cfRule>
    <cfRule type="expression" dxfId="4244" priority="276">
      <formula>AND(B$9&gt;=8/24,B$9&lt;14/24)</formula>
    </cfRule>
    <cfRule type="expression" dxfId="4243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242" priority="269">
      <formula>M$9&gt;=20/24</formula>
    </cfRule>
    <cfRule type="expression" dxfId="4241" priority="270">
      <formula>AND(M$9&gt;=14/24,M$9&lt;20/24)</formula>
    </cfRule>
    <cfRule type="expression" dxfId="4240" priority="271">
      <formula>AND(M$9&gt;=8/24,M$9&lt;14/24)</formula>
    </cfRule>
    <cfRule type="expression" dxfId="4239" priority="272">
      <formula>M$9&lt;8/24</formula>
    </cfRule>
  </conditionalFormatting>
  <conditionalFormatting sqref="M43:W43">
    <cfRule type="expression" dxfId="4238" priority="265">
      <formula>M$9&gt;=20/24</formula>
    </cfRule>
    <cfRule type="expression" dxfId="4237" priority="266">
      <formula>AND(M$9&gt;=14/24,M$9&lt;20/24)</formula>
    </cfRule>
    <cfRule type="expression" dxfId="4236" priority="267">
      <formula>AND(M$9&gt;=8/24,M$9&lt;14/24)</formula>
    </cfRule>
    <cfRule type="expression" dxfId="4235" priority="268">
      <formula>M$9&lt;8/24</formula>
    </cfRule>
  </conditionalFormatting>
  <conditionalFormatting sqref="Z32:AF32">
    <cfRule type="expression" dxfId="4234" priority="261">
      <formula>Z$9&gt;=20/24</formula>
    </cfRule>
    <cfRule type="expression" dxfId="4233" priority="262">
      <formula>AND(Z$9&gt;=14/24,Z$9&lt;20/24)</formula>
    </cfRule>
    <cfRule type="expression" dxfId="4232" priority="263">
      <formula>AND(Z$9&gt;=8/24,Z$9&lt;14/24)</formula>
    </cfRule>
    <cfRule type="expression" dxfId="4231" priority="264">
      <formula>Z$9&lt;8/24</formula>
    </cfRule>
  </conditionalFormatting>
  <conditionalFormatting sqref="S39:AE39">
    <cfRule type="expression" dxfId="4230" priority="257">
      <formula>S$9&gt;=20/24</formula>
    </cfRule>
    <cfRule type="expression" dxfId="4229" priority="258">
      <formula>AND(S$9&gt;=14/24,S$9&lt;20/24)</formula>
    </cfRule>
    <cfRule type="expression" dxfId="4228" priority="259">
      <formula>AND(S$9&gt;=8/24,S$9&lt;14/24)</formula>
    </cfRule>
    <cfRule type="expression" dxfId="4227" priority="260">
      <formula>S$9&lt;8/24</formula>
    </cfRule>
  </conditionalFormatting>
  <conditionalFormatting sqref="S57:AE57">
    <cfRule type="expression" dxfId="4226" priority="253">
      <formula>S$9&gt;=20/24</formula>
    </cfRule>
    <cfRule type="expression" dxfId="4225" priority="254">
      <formula>AND(S$9&gt;=14/24,S$9&lt;20/24)</formula>
    </cfRule>
    <cfRule type="expression" dxfId="4224" priority="255">
      <formula>AND(S$9&gt;=8/24,S$9&lt;14/24)</formula>
    </cfRule>
    <cfRule type="expression" dxfId="4223" priority="256">
      <formula>S$9&lt;8/24</formula>
    </cfRule>
  </conditionalFormatting>
  <conditionalFormatting sqref="S81:AA81">
    <cfRule type="expression" dxfId="4222" priority="249">
      <formula>S$9&gt;=20/24</formula>
    </cfRule>
    <cfRule type="expression" dxfId="4221" priority="250">
      <formula>AND(S$9&gt;=14/24,S$9&lt;20/24)</formula>
    </cfRule>
    <cfRule type="expression" dxfId="4220" priority="251">
      <formula>AND(S$9&gt;=8/24,S$9&lt;14/24)</formula>
    </cfRule>
    <cfRule type="expression" dxfId="4219" priority="252">
      <formula>S$9&lt;8/24</formula>
    </cfRule>
  </conditionalFormatting>
  <conditionalFormatting sqref="U84:AA84">
    <cfRule type="expression" dxfId="4218" priority="245">
      <formula>U$9&gt;=20/24</formula>
    </cfRule>
    <cfRule type="expression" dxfId="4217" priority="246">
      <formula>AND(U$9&gt;=14/24,U$9&lt;20/24)</formula>
    </cfRule>
    <cfRule type="expression" dxfId="4216" priority="247">
      <formula>AND(U$9&gt;=8/24,U$9&lt;14/24)</formula>
    </cfRule>
    <cfRule type="expression" dxfId="4215" priority="248">
      <formula>U$9&lt;8/24</formula>
    </cfRule>
  </conditionalFormatting>
  <conditionalFormatting sqref="M49:Y49">
    <cfRule type="expression" dxfId="4214" priority="237">
      <formula>M$9&gt;=20/24</formula>
    </cfRule>
    <cfRule type="expression" dxfId="4213" priority="238">
      <formula>AND(M$9&gt;=14/24,M$9&lt;20/24)</formula>
    </cfRule>
    <cfRule type="expression" dxfId="4212" priority="239">
      <formula>AND(M$9&gt;=8/24,M$9&lt;14/24)</formula>
    </cfRule>
    <cfRule type="expression" dxfId="4211" priority="240">
      <formula>M$9&lt;8/24</formula>
    </cfRule>
  </conditionalFormatting>
  <conditionalFormatting sqref="M50:Y50">
    <cfRule type="expression" dxfId="4210" priority="233">
      <formula>M$9&gt;=20/24</formula>
    </cfRule>
    <cfRule type="expression" dxfId="4209" priority="234">
      <formula>AND(M$9&gt;=14/24,M$9&lt;20/24)</formula>
    </cfRule>
    <cfRule type="expression" dxfId="4208" priority="235">
      <formula>AND(M$9&gt;=8/24,M$9&lt;14/24)</formula>
    </cfRule>
    <cfRule type="expression" dxfId="4207" priority="236">
      <formula>M$9&lt;8/24</formula>
    </cfRule>
  </conditionalFormatting>
  <conditionalFormatting sqref="M45:Y48">
    <cfRule type="expression" dxfId="4206" priority="229">
      <formula>M$9&gt;=20/24</formula>
    </cfRule>
    <cfRule type="expression" dxfId="4205" priority="230">
      <formula>AND(M$9&gt;=14/24,M$9&lt;20/24)</formula>
    </cfRule>
    <cfRule type="expression" dxfId="4204" priority="231">
      <formula>AND(M$9&gt;=8/24,M$9&lt;14/24)</formula>
    </cfRule>
    <cfRule type="expression" dxfId="4203" priority="232">
      <formula>M$9&lt;8/24</formula>
    </cfRule>
  </conditionalFormatting>
  <conditionalFormatting sqref="S37:AF37">
    <cfRule type="expression" dxfId="4202" priority="225">
      <formula>S$9&gt;=20/24</formula>
    </cfRule>
    <cfRule type="expression" dxfId="4201" priority="226">
      <formula>AND(S$9&gt;=14/24,S$9&lt;20/24)</formula>
    </cfRule>
    <cfRule type="expression" dxfId="4200" priority="227">
      <formula>AND(S$9&gt;=8/24,S$9&lt;14/24)</formula>
    </cfRule>
    <cfRule type="expression" dxfId="4199" priority="228">
      <formula>S$9&lt;8/24</formula>
    </cfRule>
  </conditionalFormatting>
  <conditionalFormatting sqref="Z35:AF35">
    <cfRule type="expression" dxfId="4198" priority="221">
      <formula>Z$9&gt;=20/24</formula>
    </cfRule>
    <cfRule type="expression" dxfId="4197" priority="222">
      <formula>AND(Z$9&gt;=14/24,Z$9&lt;20/24)</formula>
    </cfRule>
    <cfRule type="expression" dxfId="4196" priority="223">
      <formula>AND(Z$9&gt;=8/24,Z$9&lt;14/24)</formula>
    </cfRule>
    <cfRule type="expression" dxfId="4195" priority="224">
      <formula>Z$9&lt;8/24</formula>
    </cfRule>
  </conditionalFormatting>
  <conditionalFormatting sqref="U43:Y43 S42:W43 S45:AF48">
    <cfRule type="expression" dxfId="4194" priority="217">
      <formula>S$9&gt;=20/24</formula>
    </cfRule>
    <cfRule type="expression" dxfId="4193" priority="218">
      <formula>AND(S$9&gt;=14/24,S$9&lt;20/24)</formula>
    </cfRule>
    <cfRule type="expression" dxfId="4192" priority="219">
      <formula>AND(S$9&gt;=8/24,S$9&lt;14/24)</formula>
    </cfRule>
    <cfRule type="expression" dxfId="4191" priority="220">
      <formula>S$9&lt;8/24</formula>
    </cfRule>
  </conditionalFormatting>
  <conditionalFormatting sqref="S49:AF49">
    <cfRule type="expression" dxfId="4190" priority="213">
      <formula>S$9&gt;=20/24</formula>
    </cfRule>
    <cfRule type="expression" dxfId="4189" priority="214">
      <formula>AND(S$9&gt;=14/24,S$9&lt;20/24)</formula>
    </cfRule>
    <cfRule type="expression" dxfId="4188" priority="215">
      <formula>AND(S$9&gt;=8/24,S$9&lt;14/24)</formula>
    </cfRule>
    <cfRule type="expression" dxfId="4187" priority="216">
      <formula>S$9&lt;8/24</formula>
    </cfRule>
  </conditionalFormatting>
  <conditionalFormatting sqref="S50:AF50">
    <cfRule type="expression" dxfId="4186" priority="209">
      <formula>S$9&gt;=20/24</formula>
    </cfRule>
    <cfRule type="expression" dxfId="4185" priority="210">
      <formula>AND(S$9&gt;=14/24,S$9&lt;20/24)</formula>
    </cfRule>
    <cfRule type="expression" dxfId="4184" priority="211">
      <formula>AND(S$9&gt;=8/24,S$9&lt;14/24)</formula>
    </cfRule>
    <cfRule type="expression" dxfId="4183" priority="212">
      <formula>S$9&lt;8/24</formula>
    </cfRule>
  </conditionalFormatting>
  <conditionalFormatting sqref="S60:T61 X60:Z61 Z62:Z67 AA60:AE67 AF61:AF67">
    <cfRule type="expression" dxfId="4182" priority="205">
      <formula>S$9&gt;=20/24</formula>
    </cfRule>
    <cfRule type="expression" dxfId="4181" priority="206">
      <formula>AND(S$9&gt;=14/24,S$9&lt;20/24)</formula>
    </cfRule>
    <cfRule type="expression" dxfId="4180" priority="207">
      <formula>AND(S$9&gt;=8/24,S$9&lt;14/24)</formula>
    </cfRule>
    <cfRule type="expression" dxfId="4179" priority="208">
      <formula>S$9&lt;8/24</formula>
    </cfRule>
  </conditionalFormatting>
  <conditionalFormatting sqref="U94:AA97">
    <cfRule type="expression" dxfId="4178" priority="197">
      <formula>U$9&gt;=20/24</formula>
    </cfRule>
    <cfRule type="expression" dxfId="4177" priority="198">
      <formula>AND(U$9&gt;=14/24,U$9&lt;20/24)</formula>
    </cfRule>
    <cfRule type="expression" dxfId="4176" priority="199">
      <formula>AND(U$9&gt;=8/24,U$9&lt;14/24)</formula>
    </cfRule>
    <cfRule type="expression" dxfId="4175" priority="200">
      <formula>U$9&lt;8/24</formula>
    </cfRule>
  </conditionalFormatting>
  <conditionalFormatting sqref="AG51 B11:L32 B34:L37 R37:AC37 R11:AC11 X22:Y22 Z34:AC36 Z12:AC32 AD34:AF37 AD11:AF32 B38:AF56">
    <cfRule type="expression" dxfId="4174" priority="196">
      <formula>B11&gt;$AG11</formula>
    </cfRule>
  </conditionalFormatting>
  <conditionalFormatting sqref="A101:A157 A84:A97 A11:A14 A16:A32 A45:A72 A80:A82 A74:A78 A35:A43 A170:A200">
    <cfRule type="expression" dxfId="4173" priority="195">
      <formula>$AH11=0</formula>
    </cfRule>
  </conditionalFormatting>
  <conditionalFormatting sqref="U98:AA98">
    <cfRule type="expression" dxfId="4172" priority="191">
      <formula>U$9&gt;=20/24</formula>
    </cfRule>
    <cfRule type="expression" dxfId="4171" priority="192">
      <formula>AND(U$9&gt;=14/24,U$9&lt;20/24)</formula>
    </cfRule>
    <cfRule type="expression" dxfId="4170" priority="193">
      <formula>AND(U$9&gt;=8/24,U$9&lt;14/24)</formula>
    </cfRule>
    <cfRule type="expression" dxfId="4169" priority="194">
      <formula>U$9&lt;8/24</formula>
    </cfRule>
  </conditionalFormatting>
  <conditionalFormatting sqref="A98">
    <cfRule type="expression" dxfId="4168" priority="190">
      <formula>$AH98=0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4167" priority="173">
      <formula>Z$9&gt;=20/24</formula>
    </cfRule>
    <cfRule type="expression" dxfId="4166" priority="174">
      <formula>AND(Z$9&gt;=14/24,Z$9&lt;20/24)</formula>
    </cfRule>
    <cfRule type="expression" dxfId="4165" priority="175">
      <formula>AND(Z$9&gt;=8/24,Z$9&lt;14/24)</formula>
    </cfRule>
    <cfRule type="expression" dxfId="4164" priority="176">
      <formula>Z$9&lt;8/24</formula>
    </cfRule>
  </conditionalFormatting>
  <conditionalFormatting sqref="A34">
    <cfRule type="expression" dxfId="4163" priority="164">
      <formula>$AH34=0</formula>
    </cfRule>
  </conditionalFormatting>
  <conditionalFormatting sqref="A83">
    <cfRule type="expression" dxfId="4162" priority="163">
      <formula>$AH83=0</formula>
    </cfRule>
  </conditionalFormatting>
  <conditionalFormatting sqref="Z15:AF15">
    <cfRule type="expression" dxfId="4161" priority="159">
      <formula>Z$9&gt;=20/24</formula>
    </cfRule>
    <cfRule type="expression" dxfId="4160" priority="160">
      <formula>AND(Z$9&gt;=14/24,Z$9&lt;20/24)</formula>
    </cfRule>
    <cfRule type="expression" dxfId="4159" priority="161">
      <formula>AND(Z$9&gt;=8/24,Z$9&lt;14/24)</formula>
    </cfRule>
    <cfRule type="expression" dxfId="4158" priority="162">
      <formula>Z$9&lt;8/24</formula>
    </cfRule>
  </conditionalFormatting>
  <conditionalFormatting sqref="A15">
    <cfRule type="expression" dxfId="4157" priority="153">
      <formula>$AH15=0</formula>
    </cfRule>
  </conditionalFormatting>
  <conditionalFormatting sqref="A164:A169">
    <cfRule type="expression" dxfId="4156" priority="152">
      <formula>$AH164=0</formula>
    </cfRule>
  </conditionalFormatting>
  <conditionalFormatting sqref="A158:A163">
    <cfRule type="expression" dxfId="4155" priority="151">
      <formula>$AH158=0</formula>
    </cfRule>
  </conditionalFormatting>
  <conditionalFormatting sqref="Z44:AF44">
    <cfRule type="expression" dxfId="4154" priority="147">
      <formula>Z$9&gt;=20/24</formula>
    </cfRule>
    <cfRule type="expression" dxfId="4153" priority="148">
      <formula>AND(Z$9&gt;=14/24,Z$9&lt;20/24)</formula>
    </cfRule>
    <cfRule type="expression" dxfId="4152" priority="149">
      <formula>AND(Z$9&gt;=8/24,Z$9&lt;14/24)</formula>
    </cfRule>
    <cfRule type="expression" dxfId="4151" priority="150">
      <formula>Z$9&lt;8/24</formula>
    </cfRule>
  </conditionalFormatting>
  <conditionalFormatting sqref="M44:Y44">
    <cfRule type="expression" dxfId="4150" priority="143">
      <formula>M$9&gt;=20/24</formula>
    </cfRule>
    <cfRule type="expression" dxfId="4149" priority="144">
      <formula>AND(M$9&gt;=14/24,M$9&lt;20/24)</formula>
    </cfRule>
    <cfRule type="expression" dxfId="4148" priority="145">
      <formula>AND(M$9&gt;=8/24,M$9&lt;14/24)</formula>
    </cfRule>
    <cfRule type="expression" dxfId="4147" priority="146">
      <formula>M$9&lt;8/24</formula>
    </cfRule>
  </conditionalFormatting>
  <conditionalFormatting sqref="S44:Y44">
    <cfRule type="expression" dxfId="4146" priority="139">
      <formula>S$9&gt;=20/24</formula>
    </cfRule>
    <cfRule type="expression" dxfId="4145" priority="140">
      <formula>AND(S$9&gt;=14/24,S$9&lt;20/24)</formula>
    </cfRule>
    <cfRule type="expression" dxfId="4144" priority="141">
      <formula>AND(S$9&gt;=8/24,S$9&lt;14/24)</formula>
    </cfRule>
    <cfRule type="expression" dxfId="4143" priority="142">
      <formula>S$9&lt;8/24</formula>
    </cfRule>
  </conditionalFormatting>
  <conditionalFormatting sqref="A44">
    <cfRule type="expression" dxfId="4142" priority="138">
      <formula>$AH44=0</formula>
    </cfRule>
  </conditionalFormatting>
  <conditionalFormatting sqref="A79">
    <cfRule type="expression" dxfId="4141" priority="137">
      <formula>$AH79=0</formula>
    </cfRule>
  </conditionalFormatting>
  <conditionalFormatting sqref="A73">
    <cfRule type="expression" dxfId="4140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4139" priority="132">
      <formula>U$9&gt;=20/24</formula>
    </cfRule>
    <cfRule type="expression" dxfId="4138" priority="133">
      <formula>AND(U$9&gt;=14/24,U$9&lt;20/24)</formula>
    </cfRule>
    <cfRule type="expression" dxfId="4137" priority="134">
      <formula>AND(U$9&gt;=8/24,U$9&lt;14/24)</formula>
    </cfRule>
    <cfRule type="expression" dxfId="4136" priority="135">
      <formula>U$9&lt;8/24</formula>
    </cfRule>
  </conditionalFormatting>
  <conditionalFormatting sqref="U85:W91">
    <cfRule type="expression" dxfId="4135" priority="128">
      <formula>U$9&gt;=20/24</formula>
    </cfRule>
    <cfRule type="expression" dxfId="4134" priority="129">
      <formula>AND(U$9&gt;=14/24,U$9&lt;20/24)</formula>
    </cfRule>
    <cfRule type="expression" dxfId="4133" priority="130">
      <formula>AND(U$9&gt;=8/24,U$9&lt;14/24)</formula>
    </cfRule>
    <cfRule type="expression" dxfId="4132" priority="131">
      <formula>U$9&lt;8/24</formula>
    </cfRule>
  </conditionalFormatting>
  <conditionalFormatting sqref="S85:T91 C84:R91">
    <cfRule type="expression" dxfId="4131" priority="124">
      <formula>C$9&gt;=20/24</formula>
    </cfRule>
    <cfRule type="expression" dxfId="4130" priority="125">
      <formula>AND(C$9&gt;=14/24,C$9&lt;20/24)</formula>
    </cfRule>
    <cfRule type="expression" dxfId="4129" priority="126">
      <formula>AND(C$9&gt;=8/24,C$9&lt;14/24)</formula>
    </cfRule>
    <cfRule type="expression" dxfId="4128" priority="127">
      <formula>C$9&lt;8/24</formula>
    </cfRule>
  </conditionalFormatting>
  <conditionalFormatting sqref="S84:T84">
    <cfRule type="expression" dxfId="4127" priority="120">
      <formula>S$9&gt;=20/24</formula>
    </cfRule>
    <cfRule type="expression" dxfId="4126" priority="121">
      <formula>AND(S$9&gt;=14/24,S$9&lt;20/24)</formula>
    </cfRule>
    <cfRule type="expression" dxfId="4125" priority="122">
      <formula>AND(S$9&gt;=8/24,S$9&lt;14/24)</formula>
    </cfRule>
    <cfRule type="expression" dxfId="4124" priority="123">
      <formula>S$9&lt;8/24</formula>
    </cfRule>
  </conditionalFormatting>
  <conditionalFormatting sqref="C95:M97 C94:F94">
    <cfRule type="expression" dxfId="4123" priority="116">
      <formula>C$9&gt;=20/24</formula>
    </cfRule>
    <cfRule type="expression" dxfId="4122" priority="117">
      <formula>AND(C$9&gt;=14/24,C$9&lt;20/24)</formula>
    </cfRule>
    <cfRule type="expression" dxfId="4121" priority="118">
      <formula>AND(C$9&gt;=8/24,C$9&lt;14/24)</formula>
    </cfRule>
    <cfRule type="expression" dxfId="4120" priority="119">
      <formula>C$9&lt;8/24</formula>
    </cfRule>
  </conditionalFormatting>
  <conditionalFormatting sqref="N95:R97 O94:R94">
    <cfRule type="expression" dxfId="4119" priority="112">
      <formula>N$9&gt;=20/24</formula>
    </cfRule>
    <cfRule type="expression" dxfId="4118" priority="113">
      <formula>AND(N$9&gt;=14/24,N$9&lt;20/24)</formula>
    </cfRule>
    <cfRule type="expression" dxfId="4117" priority="114">
      <formula>AND(N$9&gt;=8/24,N$9&lt;14/24)</formula>
    </cfRule>
    <cfRule type="expression" dxfId="4116" priority="115">
      <formula>N$9&lt;8/24</formula>
    </cfRule>
  </conditionalFormatting>
  <conditionalFormatting sqref="S94:T97">
    <cfRule type="expression" dxfId="4115" priority="108">
      <formula>S$9&gt;=20/24</formula>
    </cfRule>
    <cfRule type="expression" dxfId="4114" priority="109">
      <formula>AND(S$9&gt;=14/24,S$9&lt;20/24)</formula>
    </cfRule>
    <cfRule type="expression" dxfId="4113" priority="110">
      <formula>AND(S$9&gt;=8/24,S$9&lt;14/24)</formula>
    </cfRule>
    <cfRule type="expression" dxfId="4112" priority="111">
      <formula>S$9&lt;8/24</formula>
    </cfRule>
  </conditionalFormatting>
  <conditionalFormatting sqref="C98:M98">
    <cfRule type="expression" dxfId="4111" priority="104">
      <formula>C$9&gt;=20/24</formula>
    </cfRule>
    <cfRule type="expression" dxfId="4110" priority="105">
      <formula>AND(C$9&gt;=14/24,C$9&lt;20/24)</formula>
    </cfRule>
    <cfRule type="expression" dxfId="4109" priority="106">
      <formula>AND(C$9&gt;=8/24,C$9&lt;14/24)</formula>
    </cfRule>
    <cfRule type="expression" dxfId="4108" priority="107">
      <formula>C$9&lt;8/24</formula>
    </cfRule>
  </conditionalFormatting>
  <conditionalFormatting sqref="N98:R98">
    <cfRule type="expression" dxfId="4107" priority="100">
      <formula>N$9&gt;=20/24</formula>
    </cfRule>
    <cfRule type="expression" dxfId="4106" priority="101">
      <formula>AND(N$9&gt;=14/24,N$9&lt;20/24)</formula>
    </cfRule>
    <cfRule type="expression" dxfId="4105" priority="102">
      <formula>AND(N$9&gt;=8/24,N$9&lt;14/24)</formula>
    </cfRule>
    <cfRule type="expression" dxfId="4104" priority="103">
      <formula>N$9&lt;8/24</formula>
    </cfRule>
  </conditionalFormatting>
  <conditionalFormatting sqref="S98:T98">
    <cfRule type="expression" dxfId="4103" priority="96">
      <formula>S$9&gt;=20/24</formula>
    </cfRule>
    <cfRule type="expression" dxfId="4102" priority="97">
      <formula>AND(S$9&gt;=14/24,S$9&lt;20/24)</formula>
    </cfRule>
    <cfRule type="expression" dxfId="4101" priority="98">
      <formula>AND(S$9&gt;=8/24,S$9&lt;14/24)</formula>
    </cfRule>
    <cfRule type="expression" dxfId="4100" priority="99">
      <formula>S$9&lt;8/24</formula>
    </cfRule>
  </conditionalFormatting>
  <conditionalFormatting sqref="M94:N94">
    <cfRule type="expression" dxfId="4099" priority="92">
      <formula>M$9&gt;=20/24</formula>
    </cfRule>
    <cfRule type="expression" dxfId="4098" priority="93">
      <formula>AND(M$9&gt;=14/24,M$9&lt;20/24)</formula>
    </cfRule>
    <cfRule type="expression" dxfId="4097" priority="94">
      <formula>AND(M$9&gt;=8/24,M$9&lt;14/24)</formula>
    </cfRule>
    <cfRule type="expression" dxfId="4096" priority="95">
      <formula>M$9&lt;8/24</formula>
    </cfRule>
  </conditionalFormatting>
  <conditionalFormatting sqref="G94:L94">
    <cfRule type="expression" dxfId="4095" priority="88">
      <formula>G$9&gt;=20/24</formula>
    </cfRule>
    <cfRule type="expression" dxfId="4094" priority="89">
      <formula>AND(G$9&gt;=14/24,G$9&lt;20/24)</formula>
    </cfRule>
    <cfRule type="expression" dxfId="4093" priority="90">
      <formula>AND(G$9&gt;=8/24,G$9&lt;14/24)</formula>
    </cfRule>
    <cfRule type="expression" dxfId="4092" priority="91">
      <formula>G$9&lt;8/24</formula>
    </cfRule>
  </conditionalFormatting>
  <conditionalFormatting sqref="U94:W94">
    <cfRule type="expression" dxfId="4091" priority="84">
      <formula>U$9&gt;=20/24</formula>
    </cfRule>
    <cfRule type="expression" dxfId="4090" priority="85">
      <formula>AND(U$9&gt;=14/24,U$9&lt;20/24)</formula>
    </cfRule>
    <cfRule type="expression" dxfId="4089" priority="86">
      <formula>AND(U$9&gt;=8/24,U$9&lt;14/24)</formula>
    </cfRule>
    <cfRule type="expression" dxfId="4088" priority="87">
      <formula>U$9&lt;8/24</formula>
    </cfRule>
  </conditionalFormatting>
  <conditionalFormatting sqref="N94:T94">
    <cfRule type="expression" dxfId="4087" priority="80">
      <formula>N$9&gt;=20/24</formula>
    </cfRule>
    <cfRule type="expression" dxfId="4086" priority="81">
      <formula>AND(N$9&gt;=14/24,N$9&lt;20/24)</formula>
    </cfRule>
    <cfRule type="expression" dxfId="4085" priority="82">
      <formula>AND(N$9&gt;=8/24,N$9&lt;14/24)</formula>
    </cfRule>
    <cfRule type="expression" dxfId="4084" priority="83">
      <formula>N$9&lt;8/24</formula>
    </cfRule>
  </conditionalFormatting>
  <conditionalFormatting sqref="U99:AA100">
    <cfRule type="expression" dxfId="4083" priority="76">
      <formula>U$9&gt;=20/24</formula>
    </cfRule>
    <cfRule type="expression" dxfId="4082" priority="77">
      <formula>AND(U$9&gt;=14/24,U$9&lt;20/24)</formula>
    </cfRule>
    <cfRule type="expression" dxfId="4081" priority="78">
      <formula>AND(U$9&gt;=8/24,U$9&lt;14/24)</formula>
    </cfRule>
    <cfRule type="expression" dxfId="4080" priority="79">
      <formula>U$9&lt;8/24</formula>
    </cfRule>
  </conditionalFormatting>
  <conditionalFormatting sqref="C99:M100">
    <cfRule type="expression" dxfId="4079" priority="72">
      <formula>C$9&gt;=20/24</formula>
    </cfRule>
    <cfRule type="expression" dxfId="4078" priority="73">
      <formula>AND(C$9&gt;=14/24,C$9&lt;20/24)</formula>
    </cfRule>
    <cfRule type="expression" dxfId="4077" priority="74">
      <formula>AND(C$9&gt;=8/24,C$9&lt;14/24)</formula>
    </cfRule>
    <cfRule type="expression" dxfId="4076" priority="75">
      <formula>C$9&lt;8/24</formula>
    </cfRule>
  </conditionalFormatting>
  <conditionalFormatting sqref="N99:R100">
    <cfRule type="expression" dxfId="4075" priority="68">
      <formula>N$9&gt;=20/24</formula>
    </cfRule>
    <cfRule type="expression" dxfId="4074" priority="69">
      <formula>AND(N$9&gt;=14/24,N$9&lt;20/24)</formula>
    </cfRule>
    <cfRule type="expression" dxfId="4073" priority="70">
      <formula>AND(N$9&gt;=8/24,N$9&lt;14/24)</formula>
    </cfRule>
    <cfRule type="expression" dxfId="4072" priority="71">
      <formula>N$9&lt;8/24</formula>
    </cfRule>
  </conditionalFormatting>
  <conditionalFormatting sqref="S99:T100">
    <cfRule type="expression" dxfId="4071" priority="64">
      <formula>S$9&gt;=20/24</formula>
    </cfRule>
    <cfRule type="expression" dxfId="4070" priority="65">
      <formula>AND(S$9&gt;=14/24,S$9&lt;20/24)</formula>
    </cfRule>
    <cfRule type="expression" dxfId="4069" priority="66">
      <formula>AND(S$9&gt;=8/24,S$9&lt;14/24)</formula>
    </cfRule>
    <cfRule type="expression" dxfId="4068" priority="67">
      <formula>S$9&lt;8/24</formula>
    </cfRule>
  </conditionalFormatting>
  <conditionalFormatting sqref="AB58:AE59">
    <cfRule type="expression" dxfId="4067" priority="48">
      <formula>AB$9&gt;=20/24</formula>
    </cfRule>
    <cfRule type="expression" dxfId="4066" priority="49">
      <formula>AND(AB$9&gt;=14/24,AB$9&lt;20/24)</formula>
    </cfRule>
    <cfRule type="expression" dxfId="4065" priority="50">
      <formula>AND(AB$9&gt;=8/24,AB$9&lt;14/24)</formula>
    </cfRule>
    <cfRule type="expression" dxfId="4064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063" priority="281">
      <formula>C$9&gt;=20/24</formula>
    </cfRule>
    <cfRule type="expression" dxfId="4062" priority="282">
      <formula>AND(C$9&gt;=14/24,C$9&lt;20/24)</formula>
    </cfRule>
    <cfRule type="expression" dxfId="4061" priority="283">
      <formula>AND(C$9&gt;=8/24,C$9&lt;14/24)</formula>
    </cfRule>
    <cfRule type="expression" dxfId="4060" priority="284">
      <formula>C$9&lt;8/24</formula>
    </cfRule>
  </conditionalFormatting>
  <conditionalFormatting sqref="A201">
    <cfRule type="expression" dxfId="4059" priority="285">
      <formula>$AH201=0</formula>
    </cfRule>
  </conditionalFormatting>
  <conditionalFormatting sqref="AG213">
    <cfRule type="expression" dxfId="4058" priority="286">
      <formula>B$9&gt;=20/24</formula>
    </cfRule>
    <cfRule type="expression" dxfId="4057" priority="287">
      <formula>AND(B$9&gt;=14/24,B$9&lt;20/24)</formula>
    </cfRule>
    <cfRule type="expression" dxfId="4056" priority="288">
      <formula>AND(B$9&gt;=8/24,B$9&lt;14/24)</formula>
    </cfRule>
    <cfRule type="expression" dxfId="4055" priority="289">
      <formula>B$9&lt;8/24</formula>
    </cfRule>
  </conditionalFormatting>
  <conditionalFormatting sqref="S8">
    <cfRule type="expression" dxfId="4054" priority="42">
      <formula>U$9&gt;=20/24</formula>
    </cfRule>
    <cfRule type="expression" dxfId="4053" priority="43">
      <formula>AND(U$9&gt;=14/24,U$9&lt;20/24)</formula>
    </cfRule>
    <cfRule type="expression" dxfId="4052" priority="44">
      <formula>AND(U$9&gt;=8/24,U$9&lt;14/24)</formula>
    </cfRule>
    <cfRule type="expression" dxfId="4051" priority="45">
      <formula>U$9&lt;8/24</formula>
    </cfRule>
  </conditionalFormatting>
  <conditionalFormatting sqref="AB8">
    <cfRule type="expression" dxfId="4050" priority="38">
      <formula>AD$9&gt;=20/24</formula>
    </cfRule>
    <cfRule type="expression" dxfId="4049" priority="39">
      <formula>AND(AD$9&gt;=14/24,AD$9&lt;20/24)</formula>
    </cfRule>
    <cfRule type="expression" dxfId="4048" priority="40">
      <formula>AND(AD$9&gt;=8/24,AD$9&lt;14/24)</formula>
    </cfRule>
    <cfRule type="expression" dxfId="4047" priority="41">
      <formula>AD$9&lt;8/24</formula>
    </cfRule>
  </conditionalFormatting>
  <conditionalFormatting sqref="AH213:AX213">
    <cfRule type="expression" dxfId="4046" priority="290">
      <formula>AG$9&gt;=20/24</formula>
    </cfRule>
    <cfRule type="expression" dxfId="4045" priority="291">
      <formula>AND(AG$9&gt;=14/24,AG$9&lt;20/24)</formula>
    </cfRule>
    <cfRule type="expression" dxfId="4044" priority="292">
      <formula>AND(AG$9&gt;=8/24,AG$9&lt;14/24)</formula>
    </cfRule>
    <cfRule type="expression" dxfId="4043" priority="293">
      <formula>AG$9&lt;8/24</formula>
    </cfRule>
  </conditionalFormatting>
  <conditionalFormatting sqref="T213">
    <cfRule type="expression" dxfId="4042" priority="294">
      <formula>AX$9&gt;=20/24</formula>
    </cfRule>
    <cfRule type="expression" dxfId="4041" priority="295">
      <formula>AND(AX$9&gt;=14/24,AX$9&lt;20/24)</formula>
    </cfRule>
    <cfRule type="expression" dxfId="4040" priority="296">
      <formula>AND(AX$9&gt;=8/24,AX$9&lt;14/24)</formula>
    </cfRule>
    <cfRule type="expression" dxfId="4039" priority="297">
      <formula>AX$9&lt;8/24</formula>
    </cfRule>
  </conditionalFormatting>
  <conditionalFormatting sqref="A99:A100">
    <cfRule type="expression" dxfId="4038" priority="37">
      <formula>$AH99=0</formula>
    </cfRule>
  </conditionalFormatting>
  <conditionalFormatting sqref="Z33:AF33">
    <cfRule type="expression" dxfId="4037" priority="29">
      <formula>Z$9&gt;=20/24</formula>
    </cfRule>
    <cfRule type="expression" dxfId="4036" priority="30">
      <formula>AND(Z$9&gt;=14/24,Z$9&lt;20/24)</formula>
    </cfRule>
    <cfRule type="expression" dxfId="4035" priority="31">
      <formula>AND(Z$9&gt;=8/24,Z$9&lt;14/24)</formula>
    </cfRule>
    <cfRule type="expression" dxfId="4034" priority="32">
      <formula>Z$9&lt;8/24</formula>
    </cfRule>
  </conditionalFormatting>
  <conditionalFormatting sqref="B33:L33 Z33:AF33">
    <cfRule type="expression" dxfId="4033" priority="24">
      <formula>B33&gt;$AG33</formula>
    </cfRule>
  </conditionalFormatting>
  <conditionalFormatting sqref="M11:Q14 M36:Q37 M16:W32 R12:Y14 X16:Y21 X23:Y32 R36:Y36">
    <cfRule type="expression" dxfId="4032" priority="20">
      <formula>M$9&gt;=20/24</formula>
    </cfRule>
    <cfRule type="expression" dxfId="4031" priority="21">
      <formula>AND(M$9&gt;=14/24,M$9&lt;20/24)</formula>
    </cfRule>
    <cfRule type="expression" dxfId="4030" priority="22">
      <formula>AND(M$9&gt;=8/24,M$9&lt;14/24)</formula>
    </cfRule>
    <cfRule type="expression" dxfId="4029" priority="23">
      <formula>M$9&lt;8/24</formula>
    </cfRule>
  </conditionalFormatting>
  <conditionalFormatting sqref="M35:Y35">
    <cfRule type="expression" dxfId="4028" priority="16">
      <formula>M$9&gt;=20/24</formula>
    </cfRule>
    <cfRule type="expression" dxfId="4027" priority="17">
      <formula>AND(M$9&gt;=14/24,M$9&lt;20/24)</formula>
    </cfRule>
    <cfRule type="expression" dxfId="4026" priority="18">
      <formula>AND(M$9&gt;=8/24,M$9&lt;14/24)</formula>
    </cfRule>
    <cfRule type="expression" dxfId="4025" priority="19">
      <formula>M$9&lt;8/24</formula>
    </cfRule>
  </conditionalFormatting>
  <conditionalFormatting sqref="M11:Q14 M34:Q37 M16:W32 X16:Y21 R12:Y14 X23:Y32 R34:Y36">
    <cfRule type="expression" dxfId="4024" priority="15">
      <formula>M11&gt;$AG11</formula>
    </cfRule>
  </conditionalFormatting>
  <conditionalFormatting sqref="M34:Y34">
    <cfRule type="expression" dxfId="4023" priority="11">
      <formula>M$9&gt;=20/24</formula>
    </cfRule>
    <cfRule type="expression" dxfId="4022" priority="12">
      <formula>AND(M$9&gt;=14/24,M$9&lt;20/24)</formula>
    </cfRule>
    <cfRule type="expression" dxfId="4021" priority="13">
      <formula>AND(M$9&gt;=8/24,M$9&lt;14/24)</formula>
    </cfRule>
    <cfRule type="expression" dxfId="4020" priority="14">
      <formula>M$9&lt;8/24</formula>
    </cfRule>
  </conditionalFormatting>
  <conditionalFormatting sqref="M15:Y15">
    <cfRule type="expression" dxfId="4019" priority="7">
      <formula>M$9&gt;=20/24</formula>
    </cfRule>
    <cfRule type="expression" dxfId="4018" priority="8">
      <formula>AND(M$9&gt;=14/24,M$9&lt;20/24)</formula>
    </cfRule>
    <cfRule type="expression" dxfId="4017" priority="9">
      <formula>AND(M$9&gt;=8/24,M$9&lt;14/24)</formula>
    </cfRule>
    <cfRule type="expression" dxfId="4016" priority="10">
      <formula>M$9&lt;8/24</formula>
    </cfRule>
  </conditionalFormatting>
  <conditionalFormatting sqref="M15:Y15">
    <cfRule type="expression" dxfId="4015" priority="6">
      <formula>M15&gt;$AG15</formula>
    </cfRule>
  </conditionalFormatting>
  <conditionalFormatting sqref="M33:Y33">
    <cfRule type="expression" dxfId="4014" priority="2">
      <formula>M$9&gt;=20/24</formula>
    </cfRule>
    <cfRule type="expression" dxfId="4013" priority="3">
      <formula>AND(M$9&gt;=14/24,M$9&lt;20/24)</formula>
    </cfRule>
    <cfRule type="expression" dxfId="4012" priority="4">
      <formula>AND(M$9&gt;=8/24,M$9&lt;14/24)</formula>
    </cfRule>
    <cfRule type="expression" dxfId="4011" priority="5">
      <formula>M$9&lt;8/24</formula>
    </cfRule>
  </conditionalFormatting>
  <conditionalFormatting sqref="M33:Y33">
    <cfRule type="expression" dxfId="4010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A22F33FE-3318-41D5-BC60-5D5B083159C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CJ472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H53" sqref="H5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2078/12/18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96.8</v>
      </c>
      <c r="C5" s="157">
        <f t="shared" si="0"/>
        <v>85.9</v>
      </c>
      <c r="D5" s="157">
        <f t="shared" si="0"/>
        <v>276.89999999999998</v>
      </c>
      <c r="E5" s="157">
        <f t="shared" si="0"/>
        <v>274.3</v>
      </c>
      <c r="F5" s="157">
        <f t="shared" si="0"/>
        <v>304</v>
      </c>
      <c r="G5" s="157">
        <f t="shared" si="0"/>
        <v>282</v>
      </c>
      <c r="H5" s="157">
        <f t="shared" si="0"/>
        <v>103</v>
      </c>
      <c r="I5" s="157">
        <f t="shared" si="0"/>
        <v>253.6</v>
      </c>
      <c r="J5" s="157">
        <f t="shared" si="0"/>
        <v>254.50000000000003</v>
      </c>
      <c r="K5" s="157">
        <f t="shared" si="0"/>
        <v>305.89999999999998</v>
      </c>
      <c r="L5" s="157">
        <f t="shared" si="0"/>
        <v>316.89999999999998</v>
      </c>
      <c r="M5" s="157">
        <f t="shared" si="0"/>
        <v>383.5</v>
      </c>
      <c r="N5" s="157">
        <f t="shared" si="0"/>
        <v>352.1</v>
      </c>
      <c r="O5" s="157">
        <f t="shared" si="0"/>
        <v>331</v>
      </c>
      <c r="P5" s="157">
        <f t="shared" si="0"/>
        <v>443.6</v>
      </c>
      <c r="Q5" s="157">
        <f t="shared" si="0"/>
        <v>610</v>
      </c>
      <c r="R5" s="157">
        <f t="shared" si="0"/>
        <v>521.59999999999991</v>
      </c>
      <c r="S5" s="157">
        <f t="shared" si="0"/>
        <v>465.70000000000005</v>
      </c>
      <c r="T5" s="157">
        <f t="shared" si="0"/>
        <v>399.90000000000003</v>
      </c>
      <c r="U5" s="157">
        <f t="shared" si="0"/>
        <v>339.3</v>
      </c>
      <c r="V5" s="157">
        <f t="shared" si="0"/>
        <v>326.3</v>
      </c>
      <c r="W5" s="157">
        <f t="shared" si="0"/>
        <v>345.90000000000003</v>
      </c>
      <c r="X5" s="157">
        <f t="shared" si="0"/>
        <v>226.82</v>
      </c>
      <c r="Y5" s="157">
        <f t="shared" si="0"/>
        <v>164.3</v>
      </c>
      <c r="Z5" s="157">
        <f t="shared" si="0"/>
        <v>109.7</v>
      </c>
      <c r="AA5" s="157">
        <f t="shared" si="0"/>
        <v>103.67999999999999</v>
      </c>
      <c r="AB5" s="157">
        <f t="shared" si="0"/>
        <v>105.6</v>
      </c>
      <c r="AC5" s="157">
        <f t="shared" si="0"/>
        <v>120.5</v>
      </c>
      <c r="AD5" s="157">
        <f t="shared" si="0"/>
        <v>97.399999999999991</v>
      </c>
      <c r="AE5" s="157">
        <f t="shared" si="0"/>
        <v>115.5</v>
      </c>
      <c r="AF5" s="157">
        <f>B68</f>
        <v>126.5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1461MW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Load=1196</v>
      </c>
      <c r="B7" s="146">
        <f>B75</f>
        <v>1284.8400000000001</v>
      </c>
      <c r="C7" s="146">
        <f t="shared" ref="C7:AF7" si="1">C75</f>
        <v>1277.2400000000002</v>
      </c>
      <c r="D7" s="146">
        <f t="shared" si="1"/>
        <v>1226.04</v>
      </c>
      <c r="E7" s="146">
        <f t="shared" si="1"/>
        <v>1205.8399999999999</v>
      </c>
      <c r="F7" s="146">
        <f t="shared" si="1"/>
        <v>1195.6399999999999</v>
      </c>
      <c r="G7" s="146">
        <f t="shared" si="1"/>
        <v>1237.2399999999998</v>
      </c>
      <c r="H7" s="146">
        <f t="shared" si="1"/>
        <v>1239.44</v>
      </c>
      <c r="I7" s="146">
        <f t="shared" si="1"/>
        <v>1283.24</v>
      </c>
      <c r="J7" s="146">
        <f t="shared" si="1"/>
        <v>1333.64</v>
      </c>
      <c r="K7" s="146">
        <f t="shared" si="1"/>
        <v>1379.3400000000001</v>
      </c>
      <c r="L7" s="146">
        <f t="shared" si="1"/>
        <v>1440.7399999999998</v>
      </c>
      <c r="M7" s="146">
        <f t="shared" si="1"/>
        <v>1460.64</v>
      </c>
      <c r="N7" s="146">
        <f t="shared" si="1"/>
        <v>1439.14</v>
      </c>
      <c r="O7" s="146">
        <f t="shared" si="1"/>
        <v>1447.94</v>
      </c>
      <c r="P7" s="146">
        <f t="shared" si="1"/>
        <v>1453.04</v>
      </c>
      <c r="Q7" s="146">
        <f t="shared" si="1"/>
        <v>1452.74</v>
      </c>
      <c r="R7" s="146">
        <f t="shared" si="1"/>
        <v>1479.8400000000001</v>
      </c>
      <c r="S7" s="146">
        <f t="shared" si="1"/>
        <v>1491.34</v>
      </c>
      <c r="T7" s="146">
        <f t="shared" si="1"/>
        <v>1479.14</v>
      </c>
      <c r="U7" s="146">
        <f t="shared" si="1"/>
        <v>1451.94</v>
      </c>
      <c r="V7" s="146">
        <f t="shared" si="1"/>
        <v>1443.34</v>
      </c>
      <c r="W7" s="146">
        <f t="shared" si="1"/>
        <v>1373.1399999999999</v>
      </c>
      <c r="X7" s="146">
        <f t="shared" si="1"/>
        <v>1274.3400000000001</v>
      </c>
      <c r="Y7" s="146">
        <f t="shared" si="1"/>
        <v>1392.76</v>
      </c>
      <c r="Z7" s="146">
        <f t="shared" si="1"/>
        <v>1680.2400000000002</v>
      </c>
      <c r="AA7" s="146">
        <f t="shared" si="1"/>
        <v>1655.6400000000003</v>
      </c>
      <c r="AB7" s="146">
        <f t="shared" si="1"/>
        <v>1520.42</v>
      </c>
      <c r="AC7" s="146">
        <f t="shared" si="1"/>
        <v>1484.24</v>
      </c>
      <c r="AD7" s="146">
        <f t="shared" si="1"/>
        <v>1311.1399999999999</v>
      </c>
      <c r="AE7" s="146">
        <f t="shared" si="1"/>
        <v>1244.8400000000001</v>
      </c>
      <c r="AF7" s="146">
        <f t="shared" si="1"/>
        <v>1202.94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03">
        <v>150</v>
      </c>
      <c r="C11" s="103">
        <v>140</v>
      </c>
      <c r="D11" s="103">
        <v>100</v>
      </c>
      <c r="E11" s="127">
        <v>10</v>
      </c>
      <c r="F11" s="127">
        <v>10</v>
      </c>
      <c r="G11" s="127">
        <v>12</v>
      </c>
      <c r="H11" s="127">
        <v>20</v>
      </c>
      <c r="I11" s="127">
        <v>200</v>
      </c>
      <c r="J11" s="127">
        <v>200</v>
      </c>
      <c r="K11" s="127">
        <v>270</v>
      </c>
      <c r="L11" s="127">
        <v>270</v>
      </c>
      <c r="M11" s="103">
        <v>270</v>
      </c>
      <c r="N11" s="103">
        <v>210</v>
      </c>
      <c r="O11" s="103">
        <v>240</v>
      </c>
      <c r="P11" s="103">
        <v>245</v>
      </c>
      <c r="Q11" s="103">
        <v>175</v>
      </c>
      <c r="R11" s="135">
        <v>80</v>
      </c>
      <c r="S11" s="103">
        <v>150</v>
      </c>
      <c r="T11" s="103">
        <v>150</v>
      </c>
      <c r="U11" s="103">
        <v>200</v>
      </c>
      <c r="V11" s="103">
        <v>250</v>
      </c>
      <c r="W11" s="103">
        <v>200</v>
      </c>
      <c r="X11" s="103">
        <v>118.4</v>
      </c>
      <c r="Y11" s="103">
        <v>270</v>
      </c>
      <c r="Z11" s="179">
        <v>350</v>
      </c>
      <c r="AA11" s="103">
        <v>400</v>
      </c>
      <c r="AB11" s="103">
        <v>340</v>
      </c>
      <c r="AC11" s="103">
        <v>300</v>
      </c>
      <c r="AD11" s="103">
        <v>280</v>
      </c>
      <c r="AE11" s="103">
        <v>240</v>
      </c>
      <c r="AF11" s="127">
        <v>180</v>
      </c>
      <c r="AG11" s="54">
        <v>456</v>
      </c>
      <c r="AH11" s="21">
        <f>MAX(B11:AF11)</f>
        <v>400</v>
      </c>
      <c r="AI11" s="20">
        <f>MIN(B11:AF11)</f>
        <v>10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27</v>
      </c>
      <c r="C12" s="103">
        <v>27</v>
      </c>
      <c r="D12" s="103">
        <v>27</v>
      </c>
      <c r="E12" s="103">
        <v>27</v>
      </c>
      <c r="F12" s="103">
        <v>27</v>
      </c>
      <c r="G12" s="103">
        <v>27</v>
      </c>
      <c r="H12" s="103">
        <v>27</v>
      </c>
      <c r="I12" s="103">
        <v>27</v>
      </c>
      <c r="J12" s="103">
        <v>27</v>
      </c>
      <c r="K12" s="103">
        <v>27</v>
      </c>
      <c r="L12" s="103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77">
        <v>27</v>
      </c>
      <c r="T12" s="77">
        <v>27</v>
      </c>
      <c r="U12" s="77">
        <v>27</v>
      </c>
      <c r="V12" s="77">
        <v>27</v>
      </c>
      <c r="W12" s="77">
        <v>27</v>
      </c>
      <c r="X12" s="77">
        <v>27</v>
      </c>
      <c r="Y12" s="77">
        <v>27</v>
      </c>
      <c r="Z12" s="103">
        <v>27</v>
      </c>
      <c r="AA12" s="77">
        <v>27</v>
      </c>
      <c r="AB12" s="77">
        <v>27</v>
      </c>
      <c r="AC12" s="77">
        <v>27</v>
      </c>
      <c r="AD12" s="77">
        <v>27</v>
      </c>
      <c r="AE12" s="77">
        <v>27</v>
      </c>
      <c r="AF12" s="77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21.6</v>
      </c>
      <c r="C13" s="103">
        <v>19.8</v>
      </c>
      <c r="D13" s="103">
        <v>17.7</v>
      </c>
      <c r="E13" s="103">
        <v>17.7</v>
      </c>
      <c r="F13" s="103">
        <v>17.7</v>
      </c>
      <c r="G13" s="103">
        <v>17.7</v>
      </c>
      <c r="H13" s="103">
        <v>17.7</v>
      </c>
      <c r="I13" s="103">
        <v>17.7</v>
      </c>
      <c r="J13" s="103">
        <v>20.399999999999999</v>
      </c>
      <c r="K13" s="103">
        <v>20.399999999999999</v>
      </c>
      <c r="L13" s="103">
        <v>20.399999999999999</v>
      </c>
      <c r="M13" s="127">
        <v>20.399999999999999</v>
      </c>
      <c r="N13" s="127">
        <v>19.600000000000001</v>
      </c>
      <c r="O13" s="127">
        <v>18.399999999999999</v>
      </c>
      <c r="P13" s="127">
        <v>18.399999999999999</v>
      </c>
      <c r="Q13" s="127">
        <v>18.600000000000001</v>
      </c>
      <c r="R13" s="127">
        <v>19.600000000000001</v>
      </c>
      <c r="S13" s="77">
        <v>19.600000000000001</v>
      </c>
      <c r="T13" s="77">
        <v>16.5</v>
      </c>
      <c r="U13" s="77">
        <v>16.399999999999999</v>
      </c>
      <c r="V13" s="77">
        <v>16.399999999999999</v>
      </c>
      <c r="W13" s="77">
        <v>16.399999999999999</v>
      </c>
      <c r="X13" s="77">
        <v>16.399999999999999</v>
      </c>
      <c r="Y13" s="77">
        <v>16.399999999999999</v>
      </c>
      <c r="Z13" s="103">
        <v>16.399999999999999</v>
      </c>
      <c r="AA13" s="77">
        <v>16.399999999999999</v>
      </c>
      <c r="AB13" s="77">
        <v>16.399999999999999</v>
      </c>
      <c r="AC13" s="77">
        <v>16.399999999999999</v>
      </c>
      <c r="AD13" s="77">
        <v>16.399999999999999</v>
      </c>
      <c r="AE13" s="77">
        <v>16.399999999999999</v>
      </c>
      <c r="AF13" s="77">
        <v>16.399999999999999</v>
      </c>
      <c r="AG13" s="134">
        <v>52.4</v>
      </c>
      <c r="AH13" s="21">
        <f t="shared" si="2"/>
        <v>21.6</v>
      </c>
      <c r="AI13" s="20">
        <f t="shared" si="3"/>
        <v>16.399999999999999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25.3</v>
      </c>
      <c r="C14" s="103">
        <v>25.5</v>
      </c>
      <c r="D14" s="103">
        <v>25.4</v>
      </c>
      <c r="E14" s="103">
        <v>25.4</v>
      </c>
      <c r="F14" s="103">
        <v>25.4</v>
      </c>
      <c r="G14" s="103">
        <v>25.4</v>
      </c>
      <c r="H14" s="103">
        <v>25.4</v>
      </c>
      <c r="I14" s="103">
        <v>25.4</v>
      </c>
      <c r="J14" s="103">
        <v>25.4</v>
      </c>
      <c r="K14" s="103">
        <v>25.4</v>
      </c>
      <c r="L14" s="103">
        <v>25.4</v>
      </c>
      <c r="M14" s="103">
        <v>25.4</v>
      </c>
      <c r="N14" s="103">
        <v>25.1</v>
      </c>
      <c r="O14" s="103">
        <v>25.1</v>
      </c>
      <c r="P14" s="103">
        <v>25.3</v>
      </c>
      <c r="Q14" s="103">
        <v>25.3</v>
      </c>
      <c r="R14" s="103">
        <v>25.1</v>
      </c>
      <c r="S14" s="67">
        <v>25.1</v>
      </c>
      <c r="T14" s="67">
        <v>25.1</v>
      </c>
      <c r="U14" s="67">
        <v>25.5</v>
      </c>
      <c r="V14" s="67">
        <v>25.5</v>
      </c>
      <c r="W14" s="67">
        <v>25.5</v>
      </c>
      <c r="X14" s="67">
        <v>25.5</v>
      </c>
      <c r="Y14" s="67">
        <v>25.5</v>
      </c>
      <c r="Z14" s="103">
        <v>25.5</v>
      </c>
      <c r="AA14" s="67">
        <v>25.5</v>
      </c>
      <c r="AB14" s="67">
        <v>25.5</v>
      </c>
      <c r="AC14" s="67">
        <v>25.5</v>
      </c>
      <c r="AD14" s="67">
        <v>25.5</v>
      </c>
      <c r="AE14" s="67">
        <v>25.5</v>
      </c>
      <c r="AF14" s="67">
        <v>25.5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22.7</v>
      </c>
      <c r="C15" s="103">
        <v>22.8</v>
      </c>
      <c r="D15" s="103">
        <v>22.8</v>
      </c>
      <c r="E15" s="103">
        <v>22.8</v>
      </c>
      <c r="F15" s="103">
        <v>22.8</v>
      </c>
      <c r="G15" s="103">
        <v>22.8</v>
      </c>
      <c r="H15" s="103">
        <v>22.8</v>
      </c>
      <c r="I15" s="103">
        <v>22.8</v>
      </c>
      <c r="J15" s="103">
        <v>22.8</v>
      </c>
      <c r="K15" s="103">
        <v>22.8</v>
      </c>
      <c r="L15" s="103">
        <v>22.8</v>
      </c>
      <c r="M15" s="103">
        <v>22.8</v>
      </c>
      <c r="N15" s="103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67">
        <v>22.7</v>
      </c>
      <c r="T15" s="67">
        <v>22.7</v>
      </c>
      <c r="U15" s="67">
        <v>22.7</v>
      </c>
      <c r="V15" s="67">
        <v>22.7</v>
      </c>
      <c r="W15" s="67">
        <v>22.7</v>
      </c>
      <c r="X15" s="67">
        <v>22.7</v>
      </c>
      <c r="Y15" s="67">
        <v>22.7</v>
      </c>
      <c r="Z15" s="103">
        <v>22.7</v>
      </c>
      <c r="AA15" s="67">
        <v>22.7</v>
      </c>
      <c r="AB15" s="67">
        <v>22.7</v>
      </c>
      <c r="AC15" s="67">
        <v>22.7</v>
      </c>
      <c r="AD15" s="67">
        <v>22.7</v>
      </c>
      <c r="AE15" s="67">
        <v>22.7</v>
      </c>
      <c r="AF15" s="67">
        <v>22.7</v>
      </c>
      <c r="AG15" s="108">
        <v>45</v>
      </c>
      <c r="AH15" s="21">
        <f t="shared" si="2"/>
        <v>22.8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14</v>
      </c>
      <c r="C16" s="103">
        <v>14</v>
      </c>
      <c r="D16" s="103">
        <v>14</v>
      </c>
      <c r="E16" s="103">
        <v>14</v>
      </c>
      <c r="F16" s="103">
        <v>14</v>
      </c>
      <c r="G16" s="103">
        <v>14</v>
      </c>
      <c r="H16" s="103">
        <v>14</v>
      </c>
      <c r="I16" s="103">
        <v>14</v>
      </c>
      <c r="J16" s="103">
        <v>14</v>
      </c>
      <c r="K16" s="103">
        <v>14</v>
      </c>
      <c r="L16" s="103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70">
        <v>14</v>
      </c>
      <c r="T16" s="70">
        <v>14</v>
      </c>
      <c r="U16" s="70">
        <v>14</v>
      </c>
      <c r="V16" s="70">
        <v>14</v>
      </c>
      <c r="W16" s="70">
        <v>14</v>
      </c>
      <c r="X16" s="70">
        <v>14</v>
      </c>
      <c r="Y16" s="70">
        <v>14</v>
      </c>
      <c r="Z16" s="103">
        <v>14</v>
      </c>
      <c r="AA16" s="70">
        <v>14</v>
      </c>
      <c r="AB16" s="70">
        <v>14</v>
      </c>
      <c r="AC16" s="70">
        <v>14</v>
      </c>
      <c r="AD16" s="70">
        <v>14</v>
      </c>
      <c r="AE16" s="70">
        <v>14</v>
      </c>
      <c r="AF16" s="70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6.5</v>
      </c>
      <c r="C17" s="103">
        <v>6.5</v>
      </c>
      <c r="D17" s="103">
        <v>6.5</v>
      </c>
      <c r="E17" s="103">
        <v>6.5</v>
      </c>
      <c r="F17" s="103">
        <v>6.5</v>
      </c>
      <c r="G17" s="103">
        <v>6.5</v>
      </c>
      <c r="H17" s="103">
        <v>6.5</v>
      </c>
      <c r="I17" s="103">
        <v>6.5</v>
      </c>
      <c r="J17" s="103">
        <v>6.5</v>
      </c>
      <c r="K17" s="103">
        <v>6.5</v>
      </c>
      <c r="L17" s="103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67">
        <v>6.5</v>
      </c>
      <c r="T17" s="67">
        <v>6.5</v>
      </c>
      <c r="U17" s="67">
        <v>6.5</v>
      </c>
      <c r="V17" s="67">
        <v>6.5</v>
      </c>
      <c r="W17" s="67">
        <v>6.5</v>
      </c>
      <c r="X17" s="67">
        <v>6.5</v>
      </c>
      <c r="Y17" s="67">
        <v>6.5</v>
      </c>
      <c r="Z17" s="103">
        <v>6.5</v>
      </c>
      <c r="AA17" s="67">
        <v>6.5</v>
      </c>
      <c r="AB17" s="67">
        <v>6.5</v>
      </c>
      <c r="AC17" s="67">
        <v>6.5</v>
      </c>
      <c r="AD17" s="67">
        <v>6.5</v>
      </c>
      <c r="AE17" s="67">
        <v>6.5</v>
      </c>
      <c r="AF17" s="67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03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13.2</v>
      </c>
      <c r="C19" s="103">
        <v>13.2</v>
      </c>
      <c r="D19" s="103">
        <v>13.2</v>
      </c>
      <c r="E19" s="103">
        <v>13.2</v>
      </c>
      <c r="F19" s="103">
        <v>13.2</v>
      </c>
      <c r="G19" s="103">
        <v>13.2</v>
      </c>
      <c r="H19" s="103">
        <v>13.2</v>
      </c>
      <c r="I19" s="103">
        <v>13.2</v>
      </c>
      <c r="J19" s="103">
        <v>13.2</v>
      </c>
      <c r="K19" s="103">
        <v>13.2</v>
      </c>
      <c r="L19" s="103">
        <v>13.2</v>
      </c>
      <c r="M19" s="103">
        <v>13.2</v>
      </c>
      <c r="N19" s="103">
        <v>13.2</v>
      </c>
      <c r="O19" s="103">
        <v>13.2</v>
      </c>
      <c r="P19" s="103">
        <v>12</v>
      </c>
      <c r="Q19" s="103">
        <v>12</v>
      </c>
      <c r="R19" s="103">
        <v>12</v>
      </c>
      <c r="S19" s="103">
        <v>11.8</v>
      </c>
      <c r="T19" s="103">
        <v>11.5</v>
      </c>
      <c r="U19" s="103">
        <v>12.2</v>
      </c>
      <c r="V19" s="103">
        <v>12.2</v>
      </c>
      <c r="W19" s="103">
        <v>12.2</v>
      </c>
      <c r="X19" s="103">
        <v>12.2</v>
      </c>
      <c r="Y19" s="103">
        <v>12.2</v>
      </c>
      <c r="Z19" s="103">
        <v>12.2</v>
      </c>
      <c r="AA19" s="103">
        <v>12.2</v>
      </c>
      <c r="AB19" s="103">
        <v>12.2</v>
      </c>
      <c r="AC19" s="103">
        <v>12.2</v>
      </c>
      <c r="AD19" s="103">
        <v>12.2</v>
      </c>
      <c r="AE19" s="103">
        <v>12.2</v>
      </c>
      <c r="AF19" s="103">
        <v>12.2</v>
      </c>
      <c r="AG19" s="134">
        <v>30</v>
      </c>
      <c r="AH19" s="21">
        <f t="shared" si="2"/>
        <v>13.2</v>
      </c>
      <c r="AI19" s="20">
        <f t="shared" si="3"/>
        <v>11.5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6.2</v>
      </c>
      <c r="C20" s="103">
        <v>6.2</v>
      </c>
      <c r="D20" s="103">
        <v>6.2</v>
      </c>
      <c r="E20" s="103">
        <v>6.2</v>
      </c>
      <c r="F20" s="103">
        <v>6.2</v>
      </c>
      <c r="G20" s="103">
        <v>6.2</v>
      </c>
      <c r="H20" s="103">
        <v>6.2</v>
      </c>
      <c r="I20" s="103">
        <v>6.2</v>
      </c>
      <c r="J20" s="103">
        <v>6.2</v>
      </c>
      <c r="K20" s="103">
        <v>6.2</v>
      </c>
      <c r="L20" s="103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03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23</v>
      </c>
      <c r="C22" s="103">
        <v>23.2</v>
      </c>
      <c r="D22" s="103">
        <v>23.2</v>
      </c>
      <c r="E22" s="103">
        <v>23.2</v>
      </c>
      <c r="F22" s="103">
        <v>23.2</v>
      </c>
      <c r="G22" s="103">
        <v>23.2</v>
      </c>
      <c r="H22" s="103">
        <v>23.2</v>
      </c>
      <c r="I22" s="103">
        <v>23.2</v>
      </c>
      <c r="J22" s="103">
        <v>23.2</v>
      </c>
      <c r="K22" s="103">
        <v>23.2</v>
      </c>
      <c r="L22" s="103">
        <v>23.2</v>
      </c>
      <c r="M22" s="103">
        <v>22</v>
      </c>
      <c r="N22" s="103">
        <v>22</v>
      </c>
      <c r="O22" s="103">
        <v>22</v>
      </c>
      <c r="P22" s="103">
        <v>22</v>
      </c>
      <c r="Q22" s="103">
        <v>22</v>
      </c>
      <c r="R22" s="103">
        <v>22</v>
      </c>
      <c r="S22" s="103">
        <v>22</v>
      </c>
      <c r="T22" s="103">
        <v>22.6</v>
      </c>
      <c r="U22" s="103">
        <v>21</v>
      </c>
      <c r="V22" s="103">
        <v>21</v>
      </c>
      <c r="W22" s="103">
        <v>21</v>
      </c>
      <c r="X22" s="103">
        <v>21</v>
      </c>
      <c r="Y22" s="103">
        <v>21</v>
      </c>
      <c r="Z22" s="103">
        <v>21</v>
      </c>
      <c r="AA22" s="103">
        <v>21</v>
      </c>
      <c r="AB22" s="103">
        <v>21</v>
      </c>
      <c r="AC22" s="103">
        <v>21</v>
      </c>
      <c r="AD22" s="103">
        <v>22.3</v>
      </c>
      <c r="AE22" s="103">
        <v>22.3</v>
      </c>
      <c r="AF22" s="103">
        <v>22.3</v>
      </c>
      <c r="AG22" s="134">
        <v>25</v>
      </c>
      <c r="AH22" s="21">
        <f t="shared" si="2"/>
        <v>23.2</v>
      </c>
      <c r="AI22" s="20">
        <f t="shared" si="3"/>
        <v>21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4.9000000000000004</v>
      </c>
      <c r="C23" s="103">
        <v>4.9000000000000004</v>
      </c>
      <c r="D23" s="103">
        <v>4.9000000000000004</v>
      </c>
      <c r="E23" s="103">
        <v>4.9000000000000004</v>
      </c>
      <c r="F23" s="103">
        <v>4.9000000000000004</v>
      </c>
      <c r="G23" s="103">
        <v>4.9000000000000004</v>
      </c>
      <c r="H23" s="103">
        <v>4.9000000000000004</v>
      </c>
      <c r="I23" s="103">
        <v>4.9000000000000004</v>
      </c>
      <c r="J23" s="103">
        <v>4.9000000000000004</v>
      </c>
      <c r="K23" s="103">
        <v>4.9000000000000004</v>
      </c>
      <c r="L23" s="103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8.6999999999999993</v>
      </c>
      <c r="C24" s="103">
        <v>9.5</v>
      </c>
      <c r="D24" s="103">
        <v>9.5</v>
      </c>
      <c r="E24" s="103">
        <v>9.5</v>
      </c>
      <c r="F24" s="103">
        <v>9.5</v>
      </c>
      <c r="G24" s="103">
        <v>9.5</v>
      </c>
      <c r="H24" s="103">
        <v>9.5</v>
      </c>
      <c r="I24" s="103">
        <v>9.5</v>
      </c>
      <c r="J24" s="103">
        <v>9.5</v>
      </c>
      <c r="K24" s="103">
        <v>9.5</v>
      </c>
      <c r="L24" s="103">
        <v>9.5</v>
      </c>
      <c r="M24" s="103">
        <v>9.5</v>
      </c>
      <c r="N24" s="103">
        <v>9.5</v>
      </c>
      <c r="O24" s="103">
        <v>9.5</v>
      </c>
      <c r="P24" s="103">
        <v>9.5</v>
      </c>
      <c r="Q24" s="103">
        <v>9.5</v>
      </c>
      <c r="R24" s="103">
        <v>9.5</v>
      </c>
      <c r="S24" s="103">
        <v>6.4</v>
      </c>
      <c r="T24" s="103">
        <v>6.4</v>
      </c>
      <c r="U24" s="103">
        <v>4.0999999999999996</v>
      </c>
      <c r="V24" s="103">
        <v>4.0999999999999996</v>
      </c>
      <c r="W24" s="103">
        <v>4.0999999999999996</v>
      </c>
      <c r="X24" s="103">
        <v>4.0999999999999996</v>
      </c>
      <c r="Y24" s="103">
        <v>4.0999999999999996</v>
      </c>
      <c r="Z24" s="103">
        <v>4.0999999999999996</v>
      </c>
      <c r="AA24" s="103">
        <v>4.0999999999999996</v>
      </c>
      <c r="AB24" s="103">
        <v>4.0999999999999996</v>
      </c>
      <c r="AC24" s="103">
        <v>4.0999999999999996</v>
      </c>
      <c r="AD24" s="103">
        <v>4.0999999999999996</v>
      </c>
      <c r="AE24" s="103">
        <v>4.0999999999999996</v>
      </c>
      <c r="AF24" s="103">
        <v>4.0999999999999996</v>
      </c>
      <c r="AG24" s="134">
        <v>25</v>
      </c>
      <c r="AH24" s="21">
        <f t="shared" si="2"/>
        <v>9.5</v>
      </c>
      <c r="AI24" s="20">
        <f t="shared" si="3"/>
        <v>4.0999999999999996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03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6.7</v>
      </c>
      <c r="C26" s="103">
        <v>6.7</v>
      </c>
      <c r="D26" s="103">
        <v>6.7</v>
      </c>
      <c r="E26" s="103">
        <v>6.7</v>
      </c>
      <c r="F26" s="103">
        <v>6.7</v>
      </c>
      <c r="G26" s="103">
        <v>6.7</v>
      </c>
      <c r="H26" s="103">
        <v>6.7</v>
      </c>
      <c r="I26" s="103">
        <v>6.7</v>
      </c>
      <c r="J26" s="103">
        <v>6.7</v>
      </c>
      <c r="K26" s="103">
        <v>6.7</v>
      </c>
      <c r="L26" s="103">
        <v>6.7</v>
      </c>
      <c r="M26" s="103">
        <v>6.7</v>
      </c>
      <c r="N26" s="103">
        <v>6.7</v>
      </c>
      <c r="O26" s="103">
        <v>6.7</v>
      </c>
      <c r="P26" s="103">
        <v>6.7</v>
      </c>
      <c r="Q26" s="103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03">
        <v>2.5</v>
      </c>
      <c r="C27" s="103">
        <v>2.5</v>
      </c>
      <c r="D27" s="103">
        <v>2.5</v>
      </c>
      <c r="E27" s="103">
        <v>2.5</v>
      </c>
      <c r="F27" s="103">
        <v>2.5</v>
      </c>
      <c r="G27" s="103">
        <v>2.5</v>
      </c>
      <c r="H27" s="103">
        <v>2.5</v>
      </c>
      <c r="I27" s="103">
        <v>2.5</v>
      </c>
      <c r="J27" s="103">
        <v>2.5</v>
      </c>
      <c r="K27" s="103">
        <v>2.5</v>
      </c>
      <c r="L27" s="103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5.6</v>
      </c>
      <c r="C28" s="103">
        <v>5.6</v>
      </c>
      <c r="D28" s="103">
        <v>5.6</v>
      </c>
      <c r="E28" s="103">
        <v>5.6</v>
      </c>
      <c r="F28" s="103">
        <v>5.6</v>
      </c>
      <c r="G28" s="103">
        <v>5.6</v>
      </c>
      <c r="H28" s="103">
        <v>5.6</v>
      </c>
      <c r="I28" s="103">
        <v>5.6</v>
      </c>
      <c r="J28" s="103">
        <v>5.6</v>
      </c>
      <c r="K28" s="103">
        <v>5.6</v>
      </c>
      <c r="L28" s="103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03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03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0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03">
        <v>2.5</v>
      </c>
      <c r="L33" s="10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5</v>
      </c>
      <c r="AA35" s="103">
        <v>5</v>
      </c>
      <c r="AB35" s="103">
        <v>5</v>
      </c>
      <c r="AC35" s="103">
        <v>5</v>
      </c>
      <c r="AD35" s="103">
        <v>5</v>
      </c>
      <c r="AE35" s="103">
        <v>5</v>
      </c>
      <c r="AF35" s="103">
        <v>5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f>21.9+20</f>
        <v>41.9</v>
      </c>
      <c r="C37" s="128">
        <f>20.7+19.7</f>
        <v>40.4</v>
      </c>
      <c r="D37" s="128">
        <f>20.1+19.9</f>
        <v>40</v>
      </c>
      <c r="E37" s="123">
        <f>20.1+21.1</f>
        <v>41.2</v>
      </c>
      <c r="F37" s="123">
        <f>20.3+21.4</f>
        <v>41.7</v>
      </c>
      <c r="G37" s="123">
        <f>20.6+21.3</f>
        <v>41.900000000000006</v>
      </c>
      <c r="H37" s="123">
        <f>21.1+20.9</f>
        <v>42</v>
      </c>
      <c r="I37" s="123">
        <f>22.1+20</f>
        <v>42.1</v>
      </c>
      <c r="J37" s="123">
        <f>21.7+19.8</f>
        <v>41.5</v>
      </c>
      <c r="K37" s="123">
        <f>21.9+20.2</f>
        <v>42.099999999999994</v>
      </c>
      <c r="L37" s="123">
        <f>21.9+19.6</f>
        <v>41.5</v>
      </c>
      <c r="M37" s="128">
        <f>22.5+19.5</f>
        <v>42</v>
      </c>
      <c r="N37" s="128">
        <v>43.2</v>
      </c>
      <c r="O37" s="128">
        <v>42.5</v>
      </c>
      <c r="P37" s="128">
        <v>43.5</v>
      </c>
      <c r="Q37" s="128">
        <v>42.9</v>
      </c>
      <c r="R37" s="128">
        <v>42.8</v>
      </c>
      <c r="S37" s="128">
        <v>41.4</v>
      </c>
      <c r="T37" s="128">
        <f>20.7+28.3</f>
        <v>49</v>
      </c>
      <c r="U37" s="128">
        <v>54.3</v>
      </c>
      <c r="V37" s="128">
        <f>19.3+31.9</f>
        <v>51.2</v>
      </c>
      <c r="W37" s="128">
        <f>19.2+29.8</f>
        <v>49</v>
      </c>
      <c r="X37" s="128">
        <f>19.2+29.8</f>
        <v>49</v>
      </c>
      <c r="Y37" s="128">
        <f>17.4+24.4</f>
        <v>41.8</v>
      </c>
      <c r="Z37" s="128">
        <v>48.8</v>
      </c>
      <c r="AA37" s="128">
        <f>17.4+24.4</f>
        <v>41.8</v>
      </c>
      <c r="AB37" s="128">
        <f>18.7+31.4</f>
        <v>50.099999999999994</v>
      </c>
      <c r="AC37" s="128">
        <f>19.3+31.4</f>
        <v>50.7</v>
      </c>
      <c r="AD37" s="128">
        <v>51</v>
      </c>
      <c r="AE37" s="128">
        <v>51.3</v>
      </c>
      <c r="AF37" s="123">
        <v>50</v>
      </c>
      <c r="AG37" s="106">
        <v>240</v>
      </c>
      <c r="AH37" s="21">
        <f t="shared" si="2"/>
        <v>54.3</v>
      </c>
      <c r="AI37" s="20">
        <f t="shared" si="3"/>
        <v>40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546.20000000000005</v>
      </c>
      <c r="C38" s="99">
        <f t="shared" ref="C38:AF38" si="5">SUM(C11:C36)</f>
        <v>535.70000000000005</v>
      </c>
      <c r="D38" s="99">
        <f t="shared" si="5"/>
        <v>493.5</v>
      </c>
      <c r="E38" s="99">
        <f t="shared" si="5"/>
        <v>403.49999999999989</v>
      </c>
      <c r="F38" s="99">
        <f t="shared" si="5"/>
        <v>403.49999999999989</v>
      </c>
      <c r="G38" s="99">
        <f t="shared" si="5"/>
        <v>405.49999999999989</v>
      </c>
      <c r="H38" s="99">
        <f t="shared" si="5"/>
        <v>413.49999999999989</v>
      </c>
      <c r="I38" s="99">
        <f t="shared" si="5"/>
        <v>593.5</v>
      </c>
      <c r="J38" s="99">
        <f t="shared" si="5"/>
        <v>596.20000000000005</v>
      </c>
      <c r="K38" s="99">
        <f t="shared" si="5"/>
        <v>666.19999999999993</v>
      </c>
      <c r="L38" s="99">
        <f t="shared" si="5"/>
        <v>666.19999999999993</v>
      </c>
      <c r="M38" s="99">
        <f t="shared" si="5"/>
        <v>665</v>
      </c>
      <c r="N38" s="99">
        <f t="shared" si="5"/>
        <v>603.79999999999995</v>
      </c>
      <c r="O38" s="99">
        <f t="shared" si="5"/>
        <v>632.59999999999991</v>
      </c>
      <c r="P38" s="99">
        <f t="shared" si="5"/>
        <v>636.59999999999991</v>
      </c>
      <c r="Q38" s="99">
        <f t="shared" si="5"/>
        <v>566.79999999999995</v>
      </c>
      <c r="R38" s="99">
        <f t="shared" si="5"/>
        <v>472.6</v>
      </c>
      <c r="S38" s="99">
        <f t="shared" si="5"/>
        <v>544.29999999999995</v>
      </c>
      <c r="T38" s="99">
        <f t="shared" si="5"/>
        <v>541.5</v>
      </c>
      <c r="U38" s="99">
        <f t="shared" si="5"/>
        <v>588.59999999999991</v>
      </c>
      <c r="V38" s="99">
        <f t="shared" si="5"/>
        <v>638.59999999999991</v>
      </c>
      <c r="W38" s="99">
        <f t="shared" si="5"/>
        <v>588.59999999999991</v>
      </c>
      <c r="X38" s="99">
        <f t="shared" si="5"/>
        <v>507</v>
      </c>
      <c r="Y38" s="99">
        <f t="shared" si="5"/>
        <v>658.59999999999991</v>
      </c>
      <c r="Z38" s="99">
        <f t="shared" si="5"/>
        <v>738.60000000000014</v>
      </c>
      <c r="AA38" s="99">
        <f t="shared" si="5"/>
        <v>788.60000000000014</v>
      </c>
      <c r="AB38" s="99">
        <f t="shared" si="5"/>
        <v>728.60000000000014</v>
      </c>
      <c r="AC38" s="99">
        <f t="shared" si="5"/>
        <v>688.6</v>
      </c>
      <c r="AD38" s="99">
        <f t="shared" si="5"/>
        <v>669.9</v>
      </c>
      <c r="AE38" s="99">
        <f t="shared" si="5"/>
        <v>629.9</v>
      </c>
      <c r="AF38" s="99">
        <f t="shared" si="5"/>
        <v>569.90000000000009</v>
      </c>
      <c r="AG38" s="106">
        <f>SUM(AG11:AG37)</f>
        <v>1492.8299999999997</v>
      </c>
      <c r="AH38" s="21">
        <f t="shared" si="2"/>
        <v>788.60000000000014</v>
      </c>
      <c r="AI38" s="20">
        <f t="shared" si="3"/>
        <v>403.49999999999989</v>
      </c>
      <c r="AK38" s="42"/>
    </row>
    <row r="39" spans="1:88" x14ac:dyDescent="0.25">
      <c r="A39" s="109" t="s">
        <v>172</v>
      </c>
      <c r="B39" s="127">
        <v>60.1</v>
      </c>
      <c r="C39" s="123">
        <v>61.1</v>
      </c>
      <c r="D39" s="123">
        <v>96.9</v>
      </c>
      <c r="E39" s="123">
        <v>80.900000000000006</v>
      </c>
      <c r="F39" s="123">
        <v>80.900000000000006</v>
      </c>
      <c r="G39" s="123">
        <v>90.9</v>
      </c>
      <c r="H39" s="123">
        <v>91.1</v>
      </c>
      <c r="I39" s="123">
        <v>96.9</v>
      </c>
      <c r="J39" s="123">
        <v>121</v>
      </c>
      <c r="K39" s="123">
        <v>145.6</v>
      </c>
      <c r="L39" s="123">
        <v>145.6</v>
      </c>
      <c r="M39" s="103">
        <v>145.19999999999999</v>
      </c>
      <c r="N39" s="103">
        <v>121</v>
      </c>
      <c r="O39" s="103">
        <v>131.30000000000001</v>
      </c>
      <c r="P39" s="103">
        <v>135.19999999999999</v>
      </c>
      <c r="Q39" s="103">
        <v>141.1</v>
      </c>
      <c r="R39" s="103">
        <v>131.5</v>
      </c>
      <c r="S39" s="103">
        <v>142.4</v>
      </c>
      <c r="T39" s="103">
        <v>145.4</v>
      </c>
      <c r="U39" s="103">
        <v>131.6</v>
      </c>
      <c r="V39" s="103">
        <v>131.5</v>
      </c>
      <c r="W39" s="103">
        <v>121.6</v>
      </c>
      <c r="X39" s="103">
        <v>100.5</v>
      </c>
      <c r="Y39" s="103">
        <v>145.4</v>
      </c>
      <c r="Z39" s="103">
        <v>145.19999999999999</v>
      </c>
      <c r="AA39" s="103">
        <v>145.4</v>
      </c>
      <c r="AB39" s="103">
        <v>145.30000000000001</v>
      </c>
      <c r="AC39" s="103">
        <v>145.30000000000001</v>
      </c>
      <c r="AD39" s="103">
        <v>145.30000000000001</v>
      </c>
      <c r="AE39" s="103">
        <v>144.80000000000001</v>
      </c>
      <c r="AF39" s="103">
        <v>144.80000000000001</v>
      </c>
      <c r="AG39" s="108">
        <v>144</v>
      </c>
      <c r="AH39" s="21">
        <f t="shared" si="2"/>
        <v>145.6</v>
      </c>
      <c r="AI39" s="20">
        <f t="shared" si="3"/>
        <v>60.1</v>
      </c>
      <c r="AK39" s="42"/>
    </row>
    <row r="40" spans="1:88" x14ac:dyDescent="0.25">
      <c r="A40" s="107" t="s">
        <v>171</v>
      </c>
      <c r="B40" s="123">
        <v>50.1</v>
      </c>
      <c r="C40" s="123">
        <v>50</v>
      </c>
      <c r="D40" s="123">
        <v>59.3</v>
      </c>
      <c r="E40" s="123">
        <v>23.6</v>
      </c>
      <c r="F40" s="123">
        <v>23.6</v>
      </c>
      <c r="G40" s="123">
        <v>23.7</v>
      </c>
      <c r="H40" s="123">
        <v>23.6</v>
      </c>
      <c r="I40" s="123">
        <v>60.1</v>
      </c>
      <c r="J40" s="123">
        <v>59.4</v>
      </c>
      <c r="K40" s="123">
        <v>59.4</v>
      </c>
      <c r="L40" s="123">
        <v>69.3</v>
      </c>
      <c r="M40" s="73">
        <v>68.900000000000006</v>
      </c>
      <c r="N40" s="73">
        <v>70.099999999999994</v>
      </c>
      <c r="O40" s="73">
        <v>69.8</v>
      </c>
      <c r="P40" s="73">
        <v>70.8</v>
      </c>
      <c r="Q40" s="73">
        <v>69.099999999999994</v>
      </c>
      <c r="R40" s="73">
        <v>59.2</v>
      </c>
      <c r="S40" s="73">
        <v>59.6</v>
      </c>
      <c r="T40" s="73">
        <v>71.2</v>
      </c>
      <c r="U40" s="73">
        <v>59.9</v>
      </c>
      <c r="V40" s="73">
        <v>61.8</v>
      </c>
      <c r="W40" s="73">
        <v>61.2</v>
      </c>
      <c r="X40" s="73">
        <v>49.2</v>
      </c>
      <c r="Y40" s="73">
        <v>71.400000000000006</v>
      </c>
      <c r="Z40" s="73">
        <v>69.8</v>
      </c>
      <c r="AA40" s="73">
        <v>71.400000000000006</v>
      </c>
      <c r="AB40" s="73">
        <v>71.3</v>
      </c>
      <c r="AC40" s="73">
        <v>71.2</v>
      </c>
      <c r="AD40" s="73">
        <v>71.2</v>
      </c>
      <c r="AE40" s="73">
        <v>70</v>
      </c>
      <c r="AF40" s="73">
        <v>70</v>
      </c>
      <c r="AG40" s="106">
        <v>70</v>
      </c>
      <c r="AH40" s="21">
        <f t="shared" si="2"/>
        <v>71.400000000000006</v>
      </c>
      <c r="AI40" s="20">
        <f t="shared" si="3"/>
        <v>23.6</v>
      </c>
      <c r="AK40" s="42"/>
    </row>
    <row r="41" spans="1:88" x14ac:dyDescent="0.25">
      <c r="A41" s="107" t="s">
        <v>170</v>
      </c>
      <c r="B41" s="123">
        <v>60.1</v>
      </c>
      <c r="C41" s="123">
        <v>60.2</v>
      </c>
      <c r="D41" s="123">
        <v>67.900000000000006</v>
      </c>
      <c r="E41" s="123">
        <v>33.9</v>
      </c>
      <c r="F41" s="123">
        <v>33.9</v>
      </c>
      <c r="G41" s="123">
        <v>34.1</v>
      </c>
      <c r="H41" s="123">
        <v>34.200000000000003</v>
      </c>
      <c r="I41" s="123">
        <v>60.5</v>
      </c>
      <c r="J41" s="123">
        <v>60.7</v>
      </c>
      <c r="K41" s="123">
        <v>60.8</v>
      </c>
      <c r="L41" s="123">
        <v>61.2</v>
      </c>
      <c r="M41" s="73">
        <v>67.599999999999994</v>
      </c>
      <c r="N41" s="73">
        <v>62.7</v>
      </c>
      <c r="O41" s="73">
        <v>67.8</v>
      </c>
      <c r="P41" s="73">
        <v>67.099999999999994</v>
      </c>
      <c r="Q41" s="73">
        <v>57.3</v>
      </c>
      <c r="R41" s="73">
        <v>47.4</v>
      </c>
      <c r="S41" s="73">
        <v>46.8</v>
      </c>
      <c r="T41" s="73">
        <v>44.9</v>
      </c>
      <c r="U41" s="73">
        <v>46.4</v>
      </c>
      <c r="V41" s="73">
        <v>46.1</v>
      </c>
      <c r="W41" s="73">
        <v>46.7</v>
      </c>
      <c r="X41" s="73">
        <v>46.5</v>
      </c>
      <c r="Y41" s="73">
        <v>68</v>
      </c>
      <c r="Z41" s="73">
        <v>68.900000000000006</v>
      </c>
      <c r="AA41" s="73">
        <v>68</v>
      </c>
      <c r="AB41" s="73">
        <v>68.3</v>
      </c>
      <c r="AC41" s="73">
        <v>67.8</v>
      </c>
      <c r="AD41" s="73">
        <v>68.5</v>
      </c>
      <c r="AE41" s="73">
        <v>68.5</v>
      </c>
      <c r="AF41" s="73">
        <v>68.5</v>
      </c>
      <c r="AG41" s="106">
        <v>69</v>
      </c>
      <c r="AH41" s="21">
        <f t="shared" si="2"/>
        <v>68.900000000000006</v>
      </c>
      <c r="AI41" s="20">
        <f t="shared" si="3"/>
        <v>33.9</v>
      </c>
      <c r="AK41" s="42"/>
    </row>
    <row r="42" spans="1:88" x14ac:dyDescent="0.25">
      <c r="A42" s="107" t="s">
        <v>169</v>
      </c>
      <c r="B42" s="123">
        <v>60.7</v>
      </c>
      <c r="C42" s="123">
        <v>60.7</v>
      </c>
      <c r="D42" s="123">
        <v>60.7</v>
      </c>
      <c r="E42" s="123">
        <v>60.7</v>
      </c>
      <c r="F42" s="123">
        <v>60.7</v>
      </c>
      <c r="G42" s="123">
        <v>60.7</v>
      </c>
      <c r="H42" s="123">
        <v>60.7</v>
      </c>
      <c r="I42" s="123">
        <v>60.7</v>
      </c>
      <c r="J42" s="123">
        <v>60.7</v>
      </c>
      <c r="K42" s="123">
        <v>60.7</v>
      </c>
      <c r="L42" s="123">
        <v>60.7</v>
      </c>
      <c r="M42" s="73">
        <v>60.7</v>
      </c>
      <c r="N42" s="73">
        <v>60.7</v>
      </c>
      <c r="O42" s="73">
        <v>60.7</v>
      </c>
      <c r="P42" s="73">
        <v>60.7</v>
      </c>
      <c r="Q42" s="73">
        <v>60.7</v>
      </c>
      <c r="R42" s="73">
        <v>60.4</v>
      </c>
      <c r="S42" s="73">
        <v>60.4</v>
      </c>
      <c r="T42" s="73">
        <v>60.7</v>
      </c>
      <c r="U42" s="73">
        <v>60.7</v>
      </c>
      <c r="V42" s="73">
        <v>60.7</v>
      </c>
      <c r="W42" s="73">
        <v>60.2</v>
      </c>
      <c r="X42" s="73">
        <v>60.2</v>
      </c>
      <c r="Y42" s="73">
        <v>60.2</v>
      </c>
      <c r="Z42" s="73">
        <v>60.2</v>
      </c>
      <c r="AA42" s="73">
        <v>60.2</v>
      </c>
      <c r="AB42" s="73">
        <v>60.9</v>
      </c>
      <c r="AC42" s="73">
        <v>60.9</v>
      </c>
      <c r="AD42" s="73">
        <v>60.9</v>
      </c>
      <c r="AE42" s="73">
        <v>60.9</v>
      </c>
      <c r="AF42" s="73">
        <v>60.9</v>
      </c>
      <c r="AG42" s="106">
        <v>60</v>
      </c>
      <c r="AH42" s="21">
        <f t="shared" si="2"/>
        <v>60.9</v>
      </c>
      <c r="AI42" s="20">
        <f t="shared" si="3"/>
        <v>60.2</v>
      </c>
      <c r="AK42" s="42"/>
    </row>
    <row r="43" spans="1:88" x14ac:dyDescent="0.25">
      <c r="A43" s="107" t="s">
        <v>168</v>
      </c>
      <c r="B43" s="123">
        <v>0</v>
      </c>
      <c r="C43" s="123">
        <v>30</v>
      </c>
      <c r="D43" s="123">
        <v>29.1</v>
      </c>
      <c r="E43" s="123">
        <v>27</v>
      </c>
      <c r="F43" s="123">
        <v>19.399999999999999</v>
      </c>
      <c r="G43" s="123">
        <v>19</v>
      </c>
      <c r="H43" s="123">
        <v>19</v>
      </c>
      <c r="I43" s="123">
        <v>19</v>
      </c>
      <c r="J43" s="123">
        <v>19</v>
      </c>
      <c r="K43" s="123">
        <v>19</v>
      </c>
      <c r="L43" s="123">
        <v>19</v>
      </c>
      <c r="M43" s="103">
        <v>19</v>
      </c>
      <c r="N43" s="103">
        <v>20.100000000000001</v>
      </c>
      <c r="O43" s="103">
        <v>16</v>
      </c>
      <c r="P43" s="103">
        <v>16</v>
      </c>
      <c r="Q43" s="103">
        <v>15</v>
      </c>
      <c r="R43" s="103">
        <v>15</v>
      </c>
      <c r="S43" s="103">
        <v>14.9</v>
      </c>
      <c r="T43" s="103">
        <v>14.9</v>
      </c>
      <c r="U43" s="103">
        <v>14.9</v>
      </c>
      <c r="V43" s="103">
        <v>14.9</v>
      </c>
      <c r="W43" s="103">
        <v>14.9</v>
      </c>
      <c r="X43" s="103">
        <v>14.9</v>
      </c>
      <c r="Y43" s="103">
        <v>29</v>
      </c>
      <c r="Z43" s="73">
        <v>29</v>
      </c>
      <c r="AA43" s="103">
        <v>29</v>
      </c>
      <c r="AB43" s="103">
        <v>29</v>
      </c>
      <c r="AC43" s="73">
        <v>25</v>
      </c>
      <c r="AD43" s="73">
        <v>25</v>
      </c>
      <c r="AE43" s="73">
        <v>20</v>
      </c>
      <c r="AF43" s="73">
        <v>20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03">
        <v>0</v>
      </c>
      <c r="C44" s="10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4</v>
      </c>
      <c r="N44" s="103">
        <v>4</v>
      </c>
      <c r="O44" s="103">
        <v>4</v>
      </c>
      <c r="P44" s="103">
        <v>4</v>
      </c>
      <c r="Q44" s="103">
        <v>4</v>
      </c>
      <c r="R44" s="103">
        <v>4</v>
      </c>
      <c r="S44" s="103">
        <v>4</v>
      </c>
      <c r="T44" s="103">
        <v>4</v>
      </c>
      <c r="U44" s="103">
        <v>4</v>
      </c>
      <c r="V44" s="103">
        <v>4</v>
      </c>
      <c r="W44" s="103">
        <v>4</v>
      </c>
      <c r="X44" s="103">
        <v>4</v>
      </c>
      <c r="Y44" s="103">
        <v>4</v>
      </c>
      <c r="Z44" s="103">
        <v>4</v>
      </c>
      <c r="AA44" s="103">
        <v>4</v>
      </c>
      <c r="AB44" s="103">
        <v>4</v>
      </c>
      <c r="AC44" s="103">
        <v>4</v>
      </c>
      <c r="AD44" s="103">
        <v>4</v>
      </c>
      <c r="AE44" s="103">
        <v>4</v>
      </c>
      <c r="AF44" s="103">
        <v>4</v>
      </c>
      <c r="AG44" s="106">
        <v>25</v>
      </c>
      <c r="AH44" s="21">
        <f t="shared" si="2"/>
        <v>4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17.5</v>
      </c>
      <c r="C45" s="103">
        <v>17.5</v>
      </c>
      <c r="D45" s="103">
        <v>17.5</v>
      </c>
      <c r="E45" s="120">
        <v>17.600000000000001</v>
      </c>
      <c r="F45" s="120">
        <v>17.600000000000001</v>
      </c>
      <c r="G45" s="120">
        <v>17.600000000000001</v>
      </c>
      <c r="H45" s="120">
        <v>17.600000000000001</v>
      </c>
      <c r="I45" s="120">
        <v>17.600000000000001</v>
      </c>
      <c r="J45" s="120">
        <v>17.600000000000001</v>
      </c>
      <c r="K45" s="120">
        <v>17.600000000000001</v>
      </c>
      <c r="L45" s="120">
        <v>17.600000000000001</v>
      </c>
      <c r="M45" s="103">
        <v>17.600000000000001</v>
      </c>
      <c r="N45" s="103">
        <v>17.600000000000001</v>
      </c>
      <c r="O45" s="103">
        <v>17.600000000000001</v>
      </c>
      <c r="P45" s="103">
        <v>17.5</v>
      </c>
      <c r="Q45" s="103">
        <v>13.5</v>
      </c>
      <c r="R45" s="103">
        <v>16.100000000000001</v>
      </c>
      <c r="S45" s="103">
        <v>16</v>
      </c>
      <c r="T45" s="103">
        <v>16</v>
      </c>
      <c r="U45" s="103">
        <v>16.5</v>
      </c>
      <c r="V45" s="103">
        <v>16.5</v>
      </c>
      <c r="W45" s="103">
        <v>17.399999999999999</v>
      </c>
      <c r="X45" s="103">
        <v>17.399999999999999</v>
      </c>
      <c r="Y45" s="103">
        <v>17.399999999999999</v>
      </c>
      <c r="Z45" s="103">
        <v>17.399999999999999</v>
      </c>
      <c r="AA45" s="103">
        <v>17.399999999999999</v>
      </c>
      <c r="AB45" s="103">
        <v>17.399999999999999</v>
      </c>
      <c r="AC45" s="103">
        <v>17.399999999999999</v>
      </c>
      <c r="AD45" s="103">
        <v>17.399999999999999</v>
      </c>
      <c r="AE45" s="103">
        <v>17.399999999999999</v>
      </c>
      <c r="AF45" s="103">
        <v>17.399999999999999</v>
      </c>
      <c r="AG45" s="106">
        <v>24</v>
      </c>
      <c r="AH45" s="21">
        <f t="shared" si="2"/>
        <v>17.600000000000001</v>
      </c>
      <c r="AI45" s="20">
        <f t="shared" si="3"/>
        <v>13.5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7.1</v>
      </c>
      <c r="C48" s="103">
        <v>7.1</v>
      </c>
      <c r="D48" s="103">
        <v>7.1</v>
      </c>
      <c r="E48" s="103">
        <v>7.1</v>
      </c>
      <c r="F48" s="103">
        <v>7.1</v>
      </c>
      <c r="G48" s="103">
        <v>7.1</v>
      </c>
      <c r="H48" s="103">
        <v>7.1</v>
      </c>
      <c r="I48" s="103">
        <v>7.1</v>
      </c>
      <c r="J48" s="103">
        <v>7.1</v>
      </c>
      <c r="K48" s="103">
        <v>7.1</v>
      </c>
      <c r="L48" s="103">
        <v>7.1</v>
      </c>
      <c r="M48" s="103">
        <v>7.1</v>
      </c>
      <c r="N48" s="103">
        <v>7.1</v>
      </c>
      <c r="O48" s="103">
        <v>7.1</v>
      </c>
      <c r="P48" s="103">
        <v>7.1</v>
      </c>
      <c r="Q48" s="103">
        <v>7.1</v>
      </c>
      <c r="R48" s="103">
        <v>7.1</v>
      </c>
      <c r="S48" s="103">
        <v>7.1</v>
      </c>
      <c r="T48" s="103">
        <v>7.1</v>
      </c>
      <c r="U48" s="103">
        <v>7.1</v>
      </c>
      <c r="V48" s="103">
        <v>7.1</v>
      </c>
      <c r="W48" s="103">
        <v>7.1</v>
      </c>
      <c r="X48" s="103">
        <v>7.1</v>
      </c>
      <c r="Y48" s="103">
        <v>7.1</v>
      </c>
      <c r="Z48" s="103">
        <v>7.1</v>
      </c>
      <c r="AA48" s="103">
        <v>7.1</v>
      </c>
      <c r="AB48" s="103">
        <v>7.1</v>
      </c>
      <c r="AC48" s="103">
        <v>7.1</v>
      </c>
      <c r="AD48" s="103">
        <v>7.1</v>
      </c>
      <c r="AE48" s="103">
        <v>7.1</v>
      </c>
      <c r="AF48" s="103">
        <v>7.1</v>
      </c>
      <c r="AG48" s="106">
        <v>14</v>
      </c>
      <c r="AH48" s="21">
        <f t="shared" si="2"/>
        <v>7.1</v>
      </c>
      <c r="AI48" s="20">
        <f t="shared" si="3"/>
        <v>7.1</v>
      </c>
      <c r="AK48" s="42"/>
    </row>
    <row r="49" spans="1:37" x14ac:dyDescent="0.25">
      <c r="A49" s="107" t="s">
        <v>162</v>
      </c>
      <c r="B49" s="103">
        <v>6.6</v>
      </c>
      <c r="C49" s="103">
        <v>6.6</v>
      </c>
      <c r="D49" s="103">
        <v>6.6</v>
      </c>
      <c r="E49" s="103">
        <v>6.6</v>
      </c>
      <c r="F49" s="103">
        <v>6.6</v>
      </c>
      <c r="G49" s="103">
        <v>6.6</v>
      </c>
      <c r="H49" s="103">
        <v>6.6</v>
      </c>
      <c r="I49" s="103">
        <v>6.6</v>
      </c>
      <c r="J49" s="103">
        <v>6.6</v>
      </c>
      <c r="K49" s="103">
        <v>6.6</v>
      </c>
      <c r="L49" s="103">
        <v>6.6</v>
      </c>
      <c r="M49" s="103">
        <v>6.6</v>
      </c>
      <c r="N49" s="103">
        <v>6.6</v>
      </c>
      <c r="O49" s="103">
        <v>6.6</v>
      </c>
      <c r="P49" s="103">
        <v>6.6</v>
      </c>
      <c r="Q49" s="103">
        <v>6.6</v>
      </c>
      <c r="R49" s="103">
        <v>6.6</v>
      </c>
      <c r="S49" s="103">
        <v>6.6</v>
      </c>
      <c r="T49" s="103">
        <v>6.6</v>
      </c>
      <c r="U49" s="103">
        <v>6.6</v>
      </c>
      <c r="V49" s="103">
        <v>6.6</v>
      </c>
      <c r="W49" s="103">
        <v>6.6</v>
      </c>
      <c r="X49" s="103">
        <v>6.6</v>
      </c>
      <c r="Y49" s="103">
        <v>6.6</v>
      </c>
      <c r="Z49" s="103">
        <v>6.6</v>
      </c>
      <c r="AA49" s="103">
        <v>6.6</v>
      </c>
      <c r="AB49" s="103">
        <v>6.6</v>
      </c>
      <c r="AC49" s="103">
        <v>6.6</v>
      </c>
      <c r="AD49" s="103">
        <v>6.6</v>
      </c>
      <c r="AE49" s="103">
        <v>6.6</v>
      </c>
      <c r="AF49" s="103">
        <v>6.6</v>
      </c>
      <c r="AG49" s="106">
        <v>10.050000000000001</v>
      </c>
      <c r="AH49" s="21">
        <f t="shared" si="2"/>
        <v>6.6</v>
      </c>
      <c r="AI49" s="20">
        <f t="shared" si="3"/>
        <v>6.6</v>
      </c>
      <c r="AK49" s="42"/>
    </row>
    <row r="50" spans="1:37" x14ac:dyDescent="0.25">
      <c r="A50" s="107" t="s">
        <v>161</v>
      </c>
      <c r="B50" s="103">
        <v>2.5</v>
      </c>
      <c r="C50" s="103">
        <v>2.5</v>
      </c>
      <c r="D50" s="103">
        <v>2.5</v>
      </c>
      <c r="E50" s="103">
        <v>2.5</v>
      </c>
      <c r="F50" s="103">
        <v>2.5</v>
      </c>
      <c r="G50" s="103">
        <v>2.5</v>
      </c>
      <c r="H50" s="103">
        <v>2.5</v>
      </c>
      <c r="I50" s="103">
        <v>2.5</v>
      </c>
      <c r="J50" s="103">
        <v>2.5</v>
      </c>
      <c r="K50" s="103">
        <v>2.5</v>
      </c>
      <c r="L50" s="10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280.24000000000007</v>
      </c>
      <c r="C52" s="99">
        <f t="shared" ref="C52:AF52" si="9">SUM(C39:C51)</f>
        <v>311.24000000000007</v>
      </c>
      <c r="D52" s="99">
        <f t="shared" si="9"/>
        <v>363.1400000000001</v>
      </c>
      <c r="E52" s="99">
        <f t="shared" si="9"/>
        <v>275.44000000000005</v>
      </c>
      <c r="F52" s="99">
        <f t="shared" si="9"/>
        <v>267.84000000000003</v>
      </c>
      <c r="G52" s="99">
        <f t="shared" si="9"/>
        <v>277.74000000000007</v>
      </c>
      <c r="H52" s="99">
        <f t="shared" si="9"/>
        <v>277.94</v>
      </c>
      <c r="I52" s="99">
        <f t="shared" si="9"/>
        <v>346.54000000000008</v>
      </c>
      <c r="J52" s="99">
        <f t="shared" si="9"/>
        <v>370.1400000000001</v>
      </c>
      <c r="K52" s="99">
        <f t="shared" si="9"/>
        <v>394.84000000000009</v>
      </c>
      <c r="L52" s="99">
        <f t="shared" si="9"/>
        <v>405.14000000000004</v>
      </c>
      <c r="M52" s="99">
        <f t="shared" si="9"/>
        <v>414.74000000000007</v>
      </c>
      <c r="N52" s="99">
        <f t="shared" si="9"/>
        <v>387.94000000000011</v>
      </c>
      <c r="O52" s="99">
        <f t="shared" si="9"/>
        <v>398.94000000000011</v>
      </c>
      <c r="P52" s="99">
        <f t="shared" si="9"/>
        <v>403.04000000000008</v>
      </c>
      <c r="Q52" s="99">
        <f t="shared" si="9"/>
        <v>392.44000000000005</v>
      </c>
      <c r="R52" s="99">
        <f t="shared" si="9"/>
        <v>365.34000000000009</v>
      </c>
      <c r="S52" s="99">
        <f t="shared" si="9"/>
        <v>375.84000000000003</v>
      </c>
      <c r="T52" s="99">
        <f t="shared" si="9"/>
        <v>388.84000000000003</v>
      </c>
      <c r="U52" s="99">
        <f t="shared" si="9"/>
        <v>365.74000000000007</v>
      </c>
      <c r="V52" s="99">
        <f t="shared" si="9"/>
        <v>367.24000000000007</v>
      </c>
      <c r="W52" s="99">
        <f t="shared" si="9"/>
        <v>357.74</v>
      </c>
      <c r="X52" s="99">
        <f t="shared" si="9"/>
        <v>324.44</v>
      </c>
      <c r="Y52" s="99">
        <f t="shared" si="9"/>
        <v>427.14000000000004</v>
      </c>
      <c r="Z52" s="99">
        <f t="shared" si="9"/>
        <v>426.24</v>
      </c>
      <c r="AA52" s="99">
        <f t="shared" si="9"/>
        <v>427.14000000000004</v>
      </c>
      <c r="AB52" s="99">
        <f t="shared" si="9"/>
        <v>427.94000000000005</v>
      </c>
      <c r="AC52" s="99">
        <f t="shared" si="9"/>
        <v>423.34000000000003</v>
      </c>
      <c r="AD52" s="99">
        <f t="shared" si="9"/>
        <v>424.04</v>
      </c>
      <c r="AE52" s="99">
        <f t="shared" si="9"/>
        <v>417.34000000000003</v>
      </c>
      <c r="AF52" s="99">
        <f t="shared" si="9"/>
        <v>417.34000000000003</v>
      </c>
      <c r="AG52" s="98">
        <f>SUM(AG39:AG51)</f>
        <v>489.91</v>
      </c>
      <c r="AH52" s="21">
        <f t="shared" si="2"/>
        <v>427.94000000000005</v>
      </c>
      <c r="AI52" s="20">
        <f t="shared" si="3"/>
        <v>267.84000000000003</v>
      </c>
      <c r="AK52" s="42"/>
    </row>
    <row r="53" spans="1:37" x14ac:dyDescent="0.25">
      <c r="A53" s="109" t="s">
        <v>159</v>
      </c>
      <c r="B53" s="103">
        <v>50.2</v>
      </c>
      <c r="C53" s="123">
        <v>50.6</v>
      </c>
      <c r="D53" s="123">
        <v>19.8</v>
      </c>
      <c r="E53" s="123">
        <v>0</v>
      </c>
      <c r="F53" s="123">
        <v>0</v>
      </c>
      <c r="G53" s="123">
        <v>0</v>
      </c>
      <c r="H53" s="123">
        <v>41.2</v>
      </c>
      <c r="I53" s="123">
        <v>40.200000000000003</v>
      </c>
      <c r="J53" s="123">
        <v>40.200000000000003</v>
      </c>
      <c r="K53" s="123">
        <v>40.200000000000003</v>
      </c>
      <c r="L53" s="123">
        <v>39.9</v>
      </c>
      <c r="M53" s="122">
        <v>39.9</v>
      </c>
      <c r="N53" s="122">
        <v>40.299999999999997</v>
      </c>
      <c r="O53" s="122">
        <v>40.299999999999997</v>
      </c>
      <c r="P53" s="122">
        <v>50.2</v>
      </c>
      <c r="Q53" s="103">
        <v>29.7</v>
      </c>
      <c r="R53" s="103">
        <v>24</v>
      </c>
      <c r="S53" s="103">
        <v>29.7</v>
      </c>
      <c r="T53" s="103">
        <v>59.3</v>
      </c>
      <c r="U53" s="103">
        <v>59.5</v>
      </c>
      <c r="V53" s="103">
        <v>59.2</v>
      </c>
      <c r="W53" s="103">
        <v>59.2</v>
      </c>
      <c r="X53" s="103">
        <v>59.6</v>
      </c>
      <c r="Y53" s="103">
        <v>58.1</v>
      </c>
      <c r="Z53" s="103">
        <v>60</v>
      </c>
      <c r="AA53" s="103">
        <v>58.1</v>
      </c>
      <c r="AB53" s="103">
        <v>58.1</v>
      </c>
      <c r="AC53" s="103">
        <v>58.9</v>
      </c>
      <c r="AD53" s="103">
        <v>58.9</v>
      </c>
      <c r="AE53" s="103">
        <v>59.3</v>
      </c>
      <c r="AF53" s="103">
        <v>59.3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23.2</v>
      </c>
      <c r="C54" s="123">
        <v>24.1</v>
      </c>
      <c r="D54" s="123">
        <v>10</v>
      </c>
      <c r="E54" s="123">
        <v>0</v>
      </c>
      <c r="F54" s="123">
        <v>0</v>
      </c>
      <c r="G54" s="123">
        <v>0</v>
      </c>
      <c r="H54" s="123">
        <v>18.2</v>
      </c>
      <c r="I54" s="123">
        <v>22</v>
      </c>
      <c r="J54" s="123">
        <v>17.2</v>
      </c>
      <c r="K54" s="123">
        <v>17.3</v>
      </c>
      <c r="L54" s="123">
        <v>17.3</v>
      </c>
      <c r="M54" s="122">
        <v>17.7</v>
      </c>
      <c r="N54" s="122">
        <v>17.3</v>
      </c>
      <c r="O54" s="122">
        <v>17.600000000000001</v>
      </c>
      <c r="P54" s="122">
        <v>23.6</v>
      </c>
      <c r="Q54" s="73">
        <v>14.8</v>
      </c>
      <c r="R54" s="73">
        <v>5.8</v>
      </c>
      <c r="S54" s="103">
        <v>14.6</v>
      </c>
      <c r="T54" s="103">
        <v>17.2</v>
      </c>
      <c r="U54" s="103">
        <v>28</v>
      </c>
      <c r="V54" s="73">
        <v>28.6</v>
      </c>
      <c r="W54" s="73">
        <v>30.3</v>
      </c>
      <c r="X54" s="73">
        <v>27.4</v>
      </c>
      <c r="Y54" s="73">
        <v>16.2</v>
      </c>
      <c r="Z54" s="73">
        <v>30.1</v>
      </c>
      <c r="AA54" s="73">
        <v>16.2</v>
      </c>
      <c r="AB54" s="73">
        <v>16.2</v>
      </c>
      <c r="AC54" s="73">
        <v>27.7</v>
      </c>
      <c r="AD54" s="73">
        <v>27.7</v>
      </c>
      <c r="AE54" s="73">
        <v>30</v>
      </c>
      <c r="AF54" s="73">
        <v>30</v>
      </c>
      <c r="AG54" s="106">
        <v>32</v>
      </c>
      <c r="AH54" s="21">
        <f t="shared" si="2"/>
        <v>30.3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8.5</v>
      </c>
      <c r="C55" s="120">
        <v>8.8000000000000007</v>
      </c>
      <c r="D55" s="120">
        <v>3.7</v>
      </c>
      <c r="E55" s="120">
        <v>0</v>
      </c>
      <c r="F55" s="120">
        <v>0</v>
      </c>
      <c r="G55" s="120">
        <v>0</v>
      </c>
      <c r="H55" s="120">
        <v>6.6</v>
      </c>
      <c r="I55" s="120">
        <v>8</v>
      </c>
      <c r="J55" s="120">
        <v>6.3</v>
      </c>
      <c r="K55" s="120">
        <v>6.3</v>
      </c>
      <c r="L55" s="120">
        <v>6.3</v>
      </c>
      <c r="M55" s="119">
        <v>6.4</v>
      </c>
      <c r="N55" s="119">
        <v>6.3</v>
      </c>
      <c r="O55" s="119">
        <v>6.4</v>
      </c>
      <c r="P55" s="119">
        <v>8.6</v>
      </c>
      <c r="Q55" s="118">
        <v>5.4</v>
      </c>
      <c r="R55" s="118">
        <v>2.1</v>
      </c>
      <c r="S55" s="103">
        <v>5.3</v>
      </c>
      <c r="T55" s="103">
        <v>6.6</v>
      </c>
      <c r="U55" s="103">
        <v>10.199999999999999</v>
      </c>
      <c r="V55" s="118">
        <v>10.4</v>
      </c>
      <c r="W55" s="118">
        <v>11</v>
      </c>
      <c r="X55" s="118">
        <v>10</v>
      </c>
      <c r="Y55" s="118">
        <v>5.9</v>
      </c>
      <c r="Z55" s="118">
        <v>11</v>
      </c>
      <c r="AA55" s="118">
        <v>5.9</v>
      </c>
      <c r="AB55" s="118">
        <v>5.9</v>
      </c>
      <c r="AC55" s="118">
        <v>10.1</v>
      </c>
      <c r="AD55" s="118">
        <v>10.1</v>
      </c>
      <c r="AE55" s="118">
        <v>10.9</v>
      </c>
      <c r="AF55" s="118">
        <v>10.9</v>
      </c>
      <c r="AG55" s="117">
        <v>14</v>
      </c>
      <c r="AH55" s="21">
        <f t="shared" si="2"/>
        <v>11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81.900000000000006</v>
      </c>
      <c r="C56" s="99">
        <f>SUM(C53:C55)</f>
        <v>83.5</v>
      </c>
      <c r="D56" s="99">
        <f t="shared" ref="D56:AF56" si="11">SUM(D53:D55)</f>
        <v>33.5</v>
      </c>
      <c r="E56" s="99">
        <f t="shared" si="11"/>
        <v>0</v>
      </c>
      <c r="F56" s="99">
        <f t="shared" si="11"/>
        <v>0</v>
      </c>
      <c r="G56" s="99">
        <f t="shared" si="11"/>
        <v>0</v>
      </c>
      <c r="H56" s="99">
        <f t="shared" si="11"/>
        <v>66</v>
      </c>
      <c r="I56" s="99">
        <f t="shared" si="11"/>
        <v>70.2</v>
      </c>
      <c r="J56" s="99">
        <f t="shared" si="11"/>
        <v>63.7</v>
      </c>
      <c r="K56" s="99">
        <f t="shared" si="11"/>
        <v>63.8</v>
      </c>
      <c r="L56" s="99">
        <f t="shared" si="11"/>
        <v>63.5</v>
      </c>
      <c r="M56" s="99">
        <f t="shared" si="11"/>
        <v>63.999999999999993</v>
      </c>
      <c r="N56" s="99">
        <f t="shared" si="11"/>
        <v>63.899999999999991</v>
      </c>
      <c r="O56" s="99">
        <f t="shared" si="11"/>
        <v>64.3</v>
      </c>
      <c r="P56" s="99">
        <f t="shared" si="11"/>
        <v>82.4</v>
      </c>
      <c r="Q56" s="99">
        <f t="shared" si="11"/>
        <v>49.9</v>
      </c>
      <c r="R56" s="99">
        <f t="shared" si="11"/>
        <v>31.900000000000002</v>
      </c>
      <c r="S56" s="99">
        <f t="shared" si="11"/>
        <v>49.599999999999994</v>
      </c>
      <c r="T56" s="99">
        <f t="shared" si="11"/>
        <v>83.1</v>
      </c>
      <c r="U56" s="99">
        <f t="shared" si="11"/>
        <v>97.7</v>
      </c>
      <c r="V56" s="99">
        <f t="shared" si="11"/>
        <v>98.200000000000017</v>
      </c>
      <c r="W56" s="99">
        <f t="shared" si="11"/>
        <v>100.5</v>
      </c>
      <c r="X56" s="99">
        <f t="shared" si="11"/>
        <v>97</v>
      </c>
      <c r="Y56" s="99">
        <f t="shared" si="11"/>
        <v>80.2</v>
      </c>
      <c r="Z56" s="99">
        <f t="shared" si="11"/>
        <v>101.1</v>
      </c>
      <c r="AA56" s="99">
        <f t="shared" si="11"/>
        <v>80.2</v>
      </c>
      <c r="AB56" s="99">
        <f t="shared" si="11"/>
        <v>80.2</v>
      </c>
      <c r="AC56" s="99">
        <f t="shared" si="11"/>
        <v>96.699999999999989</v>
      </c>
      <c r="AD56" s="99">
        <f t="shared" si="11"/>
        <v>96.699999999999989</v>
      </c>
      <c r="AE56" s="99">
        <f t="shared" si="11"/>
        <v>100.2</v>
      </c>
      <c r="AF56" s="99">
        <f t="shared" si="11"/>
        <v>100.2</v>
      </c>
      <c r="AG56" s="98">
        <f>SUM(AG53:AG55)</f>
        <v>106</v>
      </c>
      <c r="AH56" s="21">
        <f t="shared" si="2"/>
        <v>101.1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65.400000000000006</v>
      </c>
      <c r="C57" s="103">
        <v>36</v>
      </c>
      <c r="D57" s="103">
        <v>32.700000000000003</v>
      </c>
      <c r="E57" s="103">
        <v>29.6</v>
      </c>
      <c r="F57" s="103">
        <v>28</v>
      </c>
      <c r="G57" s="103">
        <v>35</v>
      </c>
      <c r="H57" s="103">
        <v>34</v>
      </c>
      <c r="I57" s="103">
        <v>36</v>
      </c>
      <c r="J57" s="103">
        <v>19</v>
      </c>
      <c r="K57" s="103">
        <v>18.899999999999999</v>
      </c>
      <c r="L57" s="103">
        <v>18.399999999999999</v>
      </c>
      <c r="M57" s="103">
        <v>18.100000000000001</v>
      </c>
      <c r="N57" s="103">
        <v>20</v>
      </c>
      <c r="O57" s="103">
        <v>26.1</v>
      </c>
      <c r="P57" s="103">
        <v>23.3</v>
      </c>
      <c r="Q57" s="103">
        <v>24.3</v>
      </c>
      <c r="R57" s="103">
        <v>27.7</v>
      </c>
      <c r="S57" s="103">
        <v>28.8</v>
      </c>
      <c r="T57" s="103">
        <v>27.8</v>
      </c>
      <c r="U57" s="103">
        <v>28</v>
      </c>
      <c r="V57" s="103">
        <v>27.9</v>
      </c>
      <c r="W57" s="103">
        <v>28</v>
      </c>
      <c r="X57" s="103">
        <v>17.5</v>
      </c>
      <c r="Y57" s="103">
        <v>16.32</v>
      </c>
      <c r="Z57" s="103">
        <v>23.7</v>
      </c>
      <c r="AA57" s="103">
        <v>23.8</v>
      </c>
      <c r="AB57" s="103">
        <v>23.48</v>
      </c>
      <c r="AC57" s="103">
        <v>30.7</v>
      </c>
      <c r="AD57" s="103">
        <v>28.2</v>
      </c>
      <c r="AE57" s="103">
        <v>30.1</v>
      </c>
      <c r="AF57" s="103">
        <v>23.7</v>
      </c>
      <c r="AG57" s="108"/>
      <c r="AH57" s="21">
        <f t="shared" si="2"/>
        <v>65.400000000000006</v>
      </c>
      <c r="AI57" s="20">
        <f t="shared" si="3"/>
        <v>16.32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97</v>
      </c>
      <c r="K58" s="73">
        <v>103</v>
      </c>
      <c r="L58" s="73">
        <v>102</v>
      </c>
      <c r="M58" s="103">
        <v>117</v>
      </c>
      <c r="N58" s="103">
        <v>114</v>
      </c>
      <c r="O58" s="103">
        <v>118</v>
      </c>
      <c r="P58" s="103">
        <v>115.5</v>
      </c>
      <c r="Q58" s="103">
        <v>145</v>
      </c>
      <c r="R58" s="103">
        <v>154.69999999999999</v>
      </c>
      <c r="S58" s="103">
        <f>56+105</f>
        <v>161</v>
      </c>
      <c r="T58" s="103">
        <f>56+110.7</f>
        <v>166.7</v>
      </c>
      <c r="U58" s="103">
        <f>52+109.9</f>
        <v>161.9</v>
      </c>
      <c r="V58" s="103">
        <f>102+50</f>
        <v>152</v>
      </c>
      <c r="W58" s="103">
        <f>87.6+30</f>
        <v>117.6</v>
      </c>
      <c r="X58" s="103">
        <f>77+30</f>
        <v>107</v>
      </c>
      <c r="Y58" s="116">
        <f>55</f>
        <v>55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166.7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30.1</v>
      </c>
      <c r="C59" s="73">
        <v>29.8</v>
      </c>
      <c r="D59" s="73">
        <v>22.2</v>
      </c>
      <c r="E59" s="73">
        <v>216.3</v>
      </c>
      <c r="F59" s="73">
        <v>215.3</v>
      </c>
      <c r="G59" s="73">
        <v>238</v>
      </c>
      <c r="H59" s="103">
        <v>217</v>
      </c>
      <c r="I59" s="103">
        <v>36</v>
      </c>
      <c r="J59" s="103">
        <v>53</v>
      </c>
      <c r="K59" s="103">
        <v>41.2</v>
      </c>
      <c r="L59" s="103">
        <v>41.9</v>
      </c>
      <c r="M59" s="73">
        <v>24.1</v>
      </c>
      <c r="N59" s="73">
        <v>97.1</v>
      </c>
      <c r="O59" s="73">
        <v>41.4</v>
      </c>
      <c r="P59" s="73">
        <v>30.2</v>
      </c>
      <c r="Q59" s="73">
        <v>106</v>
      </c>
      <c r="R59" s="73">
        <v>255.8</v>
      </c>
      <c r="S59" s="73">
        <v>157.1</v>
      </c>
      <c r="T59" s="73">
        <v>100</v>
      </c>
      <c r="U59" s="73">
        <v>55.1</v>
      </c>
      <c r="V59" s="73">
        <v>0.7</v>
      </c>
      <c r="W59" s="73">
        <v>37</v>
      </c>
      <c r="X59" s="73">
        <v>90.1</v>
      </c>
      <c r="Y59" s="115">
        <v>102.2</v>
      </c>
      <c r="Z59" s="115">
        <v>101.3</v>
      </c>
      <c r="AA59" s="115">
        <v>52.6</v>
      </c>
      <c r="AB59" s="73">
        <v>46.9</v>
      </c>
      <c r="AC59" s="73">
        <v>41.6</v>
      </c>
      <c r="AD59" s="73">
        <v>59</v>
      </c>
      <c r="AE59" s="73">
        <v>34</v>
      </c>
      <c r="AF59" s="73">
        <v>58.5</v>
      </c>
      <c r="AG59" s="113"/>
      <c r="AH59" s="21">
        <f t="shared" si="2"/>
        <v>255.8</v>
      </c>
      <c r="AI59" s="20">
        <f t="shared" si="3"/>
        <v>0.7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43</v>
      </c>
      <c r="M60" s="73">
        <v>47.2</v>
      </c>
      <c r="N60" s="73">
        <v>49.2</v>
      </c>
      <c r="O60" s="73">
        <v>51.4</v>
      </c>
      <c r="P60" s="73">
        <v>52.5</v>
      </c>
      <c r="Q60" s="73">
        <v>55.2</v>
      </c>
      <c r="R60" s="73">
        <v>56.8</v>
      </c>
      <c r="S60" s="73">
        <v>56.7</v>
      </c>
      <c r="T60" s="73">
        <v>54.3</v>
      </c>
      <c r="U60" s="73">
        <v>40.6</v>
      </c>
      <c r="V60" s="73">
        <v>54.4</v>
      </c>
      <c r="W60" s="73">
        <v>55.8</v>
      </c>
      <c r="X60" s="73">
        <v>52.9</v>
      </c>
      <c r="Y60" s="73">
        <v>20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113"/>
      <c r="AH60" s="21">
        <f t="shared" si="2"/>
        <v>56.8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53.6</v>
      </c>
      <c r="K61" s="77">
        <v>60.4</v>
      </c>
      <c r="L61" s="77">
        <v>69.599999999999994</v>
      </c>
      <c r="M61" s="103">
        <v>79.5</v>
      </c>
      <c r="N61" s="103">
        <v>72.2</v>
      </c>
      <c r="O61" s="103">
        <v>84.2</v>
      </c>
      <c r="P61" s="103">
        <v>78.5</v>
      </c>
      <c r="Q61" s="103">
        <v>82.1</v>
      </c>
      <c r="R61" s="103">
        <v>84</v>
      </c>
      <c r="S61" s="103">
        <v>83.5</v>
      </c>
      <c r="T61" s="103">
        <v>82.4</v>
      </c>
      <c r="U61" s="103">
        <v>81</v>
      </c>
      <c r="V61" s="103">
        <v>71</v>
      </c>
      <c r="W61" s="103">
        <v>54.6</v>
      </c>
      <c r="X61" s="103">
        <v>45.1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84.2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67">
        <v>8</v>
      </c>
      <c r="N62" s="67">
        <v>8</v>
      </c>
      <c r="O62" s="67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9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9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12</v>
      </c>
      <c r="C66" s="70">
        <v>12</v>
      </c>
      <c r="D66" s="70">
        <v>12</v>
      </c>
      <c r="E66" s="70">
        <v>12</v>
      </c>
      <c r="F66" s="70">
        <v>12</v>
      </c>
      <c r="G66" s="70">
        <v>12</v>
      </c>
      <c r="H66" s="70">
        <v>12</v>
      </c>
      <c r="I66" s="70">
        <v>12</v>
      </c>
      <c r="J66" s="70">
        <v>12</v>
      </c>
      <c r="K66" s="70">
        <v>12</v>
      </c>
      <c r="L66" s="70">
        <v>12</v>
      </c>
      <c r="M66" s="70">
        <v>12</v>
      </c>
      <c r="N66" s="70">
        <v>12</v>
      </c>
      <c r="O66" s="70">
        <v>12</v>
      </c>
      <c r="P66" s="70">
        <v>12</v>
      </c>
      <c r="Q66" s="70">
        <v>12</v>
      </c>
      <c r="R66" s="70">
        <v>12</v>
      </c>
      <c r="S66" s="70">
        <v>15.5</v>
      </c>
      <c r="T66" s="70">
        <v>15.5</v>
      </c>
      <c r="U66" s="70">
        <v>14.3</v>
      </c>
      <c r="V66" s="70">
        <v>14.3</v>
      </c>
      <c r="W66" s="70">
        <v>14.3</v>
      </c>
      <c r="X66" s="70">
        <v>14.3</v>
      </c>
      <c r="Y66" s="70">
        <v>14.3</v>
      </c>
      <c r="Z66" s="70">
        <v>14.3</v>
      </c>
      <c r="AA66" s="70">
        <v>14.3</v>
      </c>
      <c r="AB66" s="70">
        <v>14.3</v>
      </c>
      <c r="AC66" s="70">
        <v>14.3</v>
      </c>
      <c r="AD66" s="70">
        <v>14.3</v>
      </c>
      <c r="AE66" s="70">
        <v>14.3</v>
      </c>
      <c r="AF66" s="70">
        <v>14.3</v>
      </c>
      <c r="AG66" s="102"/>
      <c r="AH66" s="21">
        <f t="shared" si="2"/>
        <v>15.5</v>
      </c>
      <c r="AI66" s="20">
        <f t="shared" si="3"/>
        <v>12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126.5</v>
      </c>
      <c r="C68" s="99">
        <f>SUM(C57:C67)</f>
        <v>96.8</v>
      </c>
      <c r="D68" s="99">
        <f t="shared" ref="D68:AF68" si="13">SUM(D57:D67)</f>
        <v>85.9</v>
      </c>
      <c r="E68" s="99">
        <f t="shared" si="13"/>
        <v>276.89999999999998</v>
      </c>
      <c r="F68" s="99">
        <f t="shared" si="13"/>
        <v>274.3</v>
      </c>
      <c r="G68" s="99">
        <f t="shared" si="13"/>
        <v>304</v>
      </c>
      <c r="H68" s="99">
        <f t="shared" si="13"/>
        <v>282</v>
      </c>
      <c r="I68" s="99">
        <f t="shared" si="13"/>
        <v>103</v>
      </c>
      <c r="J68" s="99">
        <f t="shared" si="13"/>
        <v>253.6</v>
      </c>
      <c r="K68" s="99">
        <f t="shared" si="13"/>
        <v>254.50000000000003</v>
      </c>
      <c r="L68" s="99">
        <f t="shared" si="13"/>
        <v>305.89999999999998</v>
      </c>
      <c r="M68" s="99">
        <f t="shared" si="13"/>
        <v>316.89999999999998</v>
      </c>
      <c r="N68" s="99">
        <f t="shared" si="13"/>
        <v>383.5</v>
      </c>
      <c r="O68" s="99">
        <f t="shared" si="13"/>
        <v>352.1</v>
      </c>
      <c r="P68" s="99">
        <f t="shared" si="13"/>
        <v>331</v>
      </c>
      <c r="Q68" s="99">
        <f t="shared" si="13"/>
        <v>443.6</v>
      </c>
      <c r="R68" s="99">
        <f t="shared" si="13"/>
        <v>610</v>
      </c>
      <c r="S68" s="99">
        <f t="shared" si="13"/>
        <v>521.59999999999991</v>
      </c>
      <c r="T68" s="99">
        <f t="shared" si="13"/>
        <v>465.70000000000005</v>
      </c>
      <c r="U68" s="99">
        <f t="shared" si="13"/>
        <v>399.90000000000003</v>
      </c>
      <c r="V68" s="99">
        <f t="shared" si="13"/>
        <v>339.3</v>
      </c>
      <c r="W68" s="99">
        <f t="shared" si="13"/>
        <v>326.3</v>
      </c>
      <c r="X68" s="99">
        <f t="shared" si="13"/>
        <v>345.90000000000003</v>
      </c>
      <c r="Y68" s="99">
        <f t="shared" si="13"/>
        <v>226.82</v>
      </c>
      <c r="Z68" s="99">
        <f t="shared" si="13"/>
        <v>164.3</v>
      </c>
      <c r="AA68" s="99">
        <f t="shared" si="13"/>
        <v>109.7</v>
      </c>
      <c r="AB68" s="99">
        <f t="shared" si="13"/>
        <v>103.67999999999999</v>
      </c>
      <c r="AC68" s="99">
        <f t="shared" si="13"/>
        <v>105.6</v>
      </c>
      <c r="AD68" s="99">
        <f t="shared" si="13"/>
        <v>120.5</v>
      </c>
      <c r="AE68" s="99">
        <f t="shared" si="13"/>
        <v>97.399999999999991</v>
      </c>
      <c r="AF68" s="99">
        <f t="shared" si="13"/>
        <v>115.5</v>
      </c>
      <c r="AG68" s="98">
        <f>SUM(AG57:AG67)</f>
        <v>0</v>
      </c>
      <c r="AH68" s="21">
        <f t="shared" si="2"/>
        <v>610</v>
      </c>
      <c r="AI68" s="20">
        <f t="shared" si="3"/>
        <v>85.9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1034.8400000000001</v>
      </c>
      <c r="C73" s="110">
        <f>C68+C56+C52+C38+C72</f>
        <v>1027.2400000000002</v>
      </c>
      <c r="D73" s="110">
        <f t="shared" ref="D73:AG73" si="17">D68+D56+D52+D38+D72</f>
        <v>976.04000000000008</v>
      </c>
      <c r="E73" s="110">
        <f t="shared" si="17"/>
        <v>955.83999999999992</v>
      </c>
      <c r="F73" s="110">
        <f t="shared" si="17"/>
        <v>945.64</v>
      </c>
      <c r="G73" s="110">
        <f t="shared" si="17"/>
        <v>987.2399999999999</v>
      </c>
      <c r="H73" s="110">
        <f t="shared" si="17"/>
        <v>1039.44</v>
      </c>
      <c r="I73" s="110">
        <f t="shared" si="17"/>
        <v>1113.24</v>
      </c>
      <c r="J73" s="110">
        <f t="shared" si="17"/>
        <v>1283.6400000000001</v>
      </c>
      <c r="K73" s="110">
        <f t="shared" si="17"/>
        <v>1379.3400000000001</v>
      </c>
      <c r="L73" s="110">
        <f t="shared" si="17"/>
        <v>1440.7399999999998</v>
      </c>
      <c r="M73" s="110">
        <f t="shared" si="17"/>
        <v>1460.64</v>
      </c>
      <c r="N73" s="110">
        <f t="shared" si="17"/>
        <v>1439.14</v>
      </c>
      <c r="O73" s="110">
        <f t="shared" si="17"/>
        <v>1447.94</v>
      </c>
      <c r="P73" s="110">
        <f t="shared" si="17"/>
        <v>1453.04</v>
      </c>
      <c r="Q73" s="110">
        <f t="shared" si="17"/>
        <v>1452.74</v>
      </c>
      <c r="R73" s="110">
        <f t="shared" si="17"/>
        <v>1479.8400000000001</v>
      </c>
      <c r="S73" s="110">
        <f t="shared" si="17"/>
        <v>1491.34</v>
      </c>
      <c r="T73" s="110">
        <f t="shared" si="17"/>
        <v>1479.14</v>
      </c>
      <c r="U73" s="110">
        <f t="shared" si="17"/>
        <v>1451.94</v>
      </c>
      <c r="V73" s="110">
        <f t="shared" si="17"/>
        <v>1443.34</v>
      </c>
      <c r="W73" s="110">
        <f t="shared" si="17"/>
        <v>1373.1399999999999</v>
      </c>
      <c r="X73" s="110">
        <f t="shared" si="17"/>
        <v>1274.3400000000001</v>
      </c>
      <c r="Y73" s="110">
        <f t="shared" si="17"/>
        <v>1392.76</v>
      </c>
      <c r="Z73" s="110">
        <v>1430.24</v>
      </c>
      <c r="AA73" s="110">
        <f t="shared" si="17"/>
        <v>1405.6400000000003</v>
      </c>
      <c r="AB73" s="110">
        <f t="shared" si="17"/>
        <v>1340.42</v>
      </c>
      <c r="AC73" s="110">
        <f t="shared" si="17"/>
        <v>1314.24</v>
      </c>
      <c r="AD73" s="110">
        <f t="shared" si="17"/>
        <v>1311.1399999999999</v>
      </c>
      <c r="AE73" s="110">
        <f t="shared" si="17"/>
        <v>1244.8400000000001</v>
      </c>
      <c r="AF73" s="110">
        <f t="shared" si="17"/>
        <v>1202.94</v>
      </c>
      <c r="AG73" s="110">
        <f t="shared" si="17"/>
        <v>2144.14</v>
      </c>
      <c r="AH73" s="21">
        <f t="shared" si="2"/>
        <v>1491.34</v>
      </c>
      <c r="AI73" s="20">
        <f t="shared" si="3"/>
        <v>945.64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250</v>
      </c>
      <c r="C74" s="111">
        <v>250</v>
      </c>
      <c r="D74" s="111">
        <v>250</v>
      </c>
      <c r="E74" s="111">
        <v>250</v>
      </c>
      <c r="F74" s="111">
        <v>250</v>
      </c>
      <c r="G74" s="111">
        <v>250</v>
      </c>
      <c r="H74" s="111">
        <v>200</v>
      </c>
      <c r="I74" s="111">
        <v>170</v>
      </c>
      <c r="J74" s="111">
        <v>50</v>
      </c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>
        <v>250</v>
      </c>
      <c r="AA74" s="111">
        <v>250</v>
      </c>
      <c r="AB74" s="111">
        <v>180</v>
      </c>
      <c r="AC74" s="111">
        <v>170</v>
      </c>
      <c r="AD74" s="111"/>
      <c r="AE74" s="111"/>
      <c r="AF74" s="111"/>
      <c r="AG74" s="98"/>
      <c r="AH74" s="21">
        <f t="shared" si="2"/>
        <v>250</v>
      </c>
      <c r="AI74" s="20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1284.8400000000001</v>
      </c>
      <c r="C75" s="110">
        <f>C73+C74</f>
        <v>1277.2400000000002</v>
      </c>
      <c r="D75" s="110">
        <f t="shared" ref="D75:AF75" si="19">D72+D68+D56+D52+D38+D74</f>
        <v>1226.04</v>
      </c>
      <c r="E75" s="110">
        <f t="shared" si="19"/>
        <v>1205.8399999999999</v>
      </c>
      <c r="F75" s="110">
        <f t="shared" si="19"/>
        <v>1195.6399999999999</v>
      </c>
      <c r="G75" s="110">
        <f t="shared" si="19"/>
        <v>1237.2399999999998</v>
      </c>
      <c r="H75" s="110">
        <f t="shared" si="19"/>
        <v>1239.44</v>
      </c>
      <c r="I75" s="110">
        <f t="shared" si="19"/>
        <v>1283.24</v>
      </c>
      <c r="J75" s="110">
        <f t="shared" si="19"/>
        <v>1333.64</v>
      </c>
      <c r="K75" s="110">
        <f t="shared" si="19"/>
        <v>1379.3400000000001</v>
      </c>
      <c r="L75" s="110">
        <f t="shared" si="19"/>
        <v>1440.7399999999998</v>
      </c>
      <c r="M75" s="110">
        <f t="shared" si="19"/>
        <v>1460.64</v>
      </c>
      <c r="N75" s="110">
        <f t="shared" si="19"/>
        <v>1439.14</v>
      </c>
      <c r="O75" s="110">
        <f t="shared" si="19"/>
        <v>1447.94</v>
      </c>
      <c r="P75" s="110">
        <f t="shared" si="19"/>
        <v>1453.04</v>
      </c>
      <c r="Q75" s="110">
        <f t="shared" si="19"/>
        <v>1452.74</v>
      </c>
      <c r="R75" s="110">
        <f t="shared" si="19"/>
        <v>1479.8400000000001</v>
      </c>
      <c r="S75" s="110">
        <f t="shared" si="19"/>
        <v>1491.34</v>
      </c>
      <c r="T75" s="110">
        <f t="shared" si="19"/>
        <v>1479.14</v>
      </c>
      <c r="U75" s="110">
        <f t="shared" si="19"/>
        <v>1451.94</v>
      </c>
      <c r="V75" s="110">
        <f t="shared" si="19"/>
        <v>1443.34</v>
      </c>
      <c r="W75" s="110">
        <f t="shared" si="19"/>
        <v>1373.1399999999999</v>
      </c>
      <c r="X75" s="110">
        <f t="shared" si="19"/>
        <v>1274.3400000000001</v>
      </c>
      <c r="Y75" s="110">
        <f t="shared" si="19"/>
        <v>1392.76</v>
      </c>
      <c r="Z75" s="110">
        <f t="shared" si="19"/>
        <v>1680.2400000000002</v>
      </c>
      <c r="AA75" s="110">
        <f t="shared" si="19"/>
        <v>1655.6400000000003</v>
      </c>
      <c r="AB75" s="110">
        <f t="shared" si="19"/>
        <v>1520.42</v>
      </c>
      <c r="AC75" s="110">
        <f t="shared" si="19"/>
        <v>1484.24</v>
      </c>
      <c r="AD75" s="110">
        <f t="shared" si="19"/>
        <v>1311.1399999999999</v>
      </c>
      <c r="AE75" s="110">
        <f t="shared" si="19"/>
        <v>1244.8400000000001</v>
      </c>
      <c r="AF75" s="110">
        <f t="shared" si="19"/>
        <v>1202.94</v>
      </c>
      <c r="AG75" s="98">
        <f>AG72+AG68+AG56+AG52+AG38+AG74</f>
        <v>2144.14</v>
      </c>
      <c r="AH75" s="21">
        <f t="shared" si="2"/>
        <v>1680.2400000000002</v>
      </c>
      <c r="AI75" s="20">
        <f t="shared" si="3"/>
        <v>1195.6399999999999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/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>
        <v>0</v>
      </c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2569.6800000000003</v>
      </c>
      <c r="C83" s="99">
        <f t="shared" ref="C83:AG83" si="35">SUM(C70:C82)</f>
        <v>2554.4800000000005</v>
      </c>
      <c r="D83" s="99">
        <f t="shared" si="35"/>
        <v>2452.08</v>
      </c>
      <c r="E83" s="99">
        <f t="shared" si="35"/>
        <v>2411.6799999999998</v>
      </c>
      <c r="F83" s="99">
        <f t="shared" si="35"/>
        <v>2391.2799999999997</v>
      </c>
      <c r="G83" s="99">
        <f t="shared" si="35"/>
        <v>2474.4799999999996</v>
      </c>
      <c r="H83" s="99">
        <f t="shared" si="35"/>
        <v>2478.88</v>
      </c>
      <c r="I83" s="99">
        <f t="shared" si="35"/>
        <v>2566.48</v>
      </c>
      <c r="J83" s="99">
        <f t="shared" si="35"/>
        <v>2667.28</v>
      </c>
      <c r="K83" s="99">
        <f t="shared" si="35"/>
        <v>2758.6800000000003</v>
      </c>
      <c r="L83" s="99">
        <f t="shared" si="35"/>
        <v>2881.4799999999996</v>
      </c>
      <c r="M83" s="99">
        <f t="shared" si="35"/>
        <v>2921.28</v>
      </c>
      <c r="N83" s="99">
        <f t="shared" si="35"/>
        <v>2878.28</v>
      </c>
      <c r="O83" s="99">
        <f t="shared" si="35"/>
        <v>2895.88</v>
      </c>
      <c r="P83" s="99">
        <f t="shared" si="35"/>
        <v>2906.08</v>
      </c>
      <c r="Q83" s="99">
        <f t="shared" si="35"/>
        <v>2905.48</v>
      </c>
      <c r="R83" s="99">
        <f t="shared" si="35"/>
        <v>2959.6800000000003</v>
      </c>
      <c r="S83" s="99">
        <f t="shared" si="35"/>
        <v>2982.68</v>
      </c>
      <c r="T83" s="99">
        <f t="shared" si="35"/>
        <v>2958.28</v>
      </c>
      <c r="U83" s="99">
        <f t="shared" si="35"/>
        <v>2903.88</v>
      </c>
      <c r="V83" s="99">
        <f t="shared" si="35"/>
        <v>2886.68</v>
      </c>
      <c r="W83" s="99">
        <f t="shared" si="35"/>
        <v>2746.2799999999997</v>
      </c>
      <c r="X83" s="99">
        <f t="shared" si="35"/>
        <v>2548.6800000000003</v>
      </c>
      <c r="Y83" s="99">
        <f t="shared" si="35"/>
        <v>2785.52</v>
      </c>
      <c r="Z83" s="99">
        <v>164.3</v>
      </c>
      <c r="AA83" s="99">
        <f t="shared" si="35"/>
        <v>3311.2800000000007</v>
      </c>
      <c r="AB83" s="99">
        <f t="shared" si="35"/>
        <v>3040.84</v>
      </c>
      <c r="AC83" s="99">
        <f t="shared" si="35"/>
        <v>2968.48</v>
      </c>
      <c r="AD83" s="99">
        <f t="shared" si="35"/>
        <v>2622.2799999999997</v>
      </c>
      <c r="AE83" s="99">
        <f t="shared" si="35"/>
        <v>2489.6800000000003</v>
      </c>
      <c r="AF83" s="99">
        <f t="shared" si="35"/>
        <v>2405.88</v>
      </c>
      <c r="AG83" s="98">
        <f t="shared" si="35"/>
        <v>4360.08</v>
      </c>
      <c r="AH83" s="21">
        <f t="shared" si="22"/>
        <v>3311.2800000000007</v>
      </c>
      <c r="AI83" s="20">
        <f t="shared" si="23"/>
        <v>164.3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49.99</v>
      </c>
      <c r="C84" s="96">
        <v>50</v>
      </c>
      <c r="D84" s="96">
        <v>49.87</v>
      </c>
      <c r="E84" s="96">
        <v>50.045000000000002</v>
      </c>
      <c r="F84" s="96">
        <v>50.036999999999999</v>
      </c>
      <c r="G84" s="96">
        <v>49.984999999999999</v>
      </c>
      <c r="H84" s="96">
        <v>49.981999999999999</v>
      </c>
      <c r="I84" s="96">
        <v>49.957000000000001</v>
      </c>
      <c r="J84" s="96">
        <v>49.993000000000002</v>
      </c>
      <c r="K84" s="96">
        <v>50.036999999999999</v>
      </c>
      <c r="L84" s="96">
        <v>50.040999999999997</v>
      </c>
      <c r="M84" s="96">
        <v>50.082999999999998</v>
      </c>
      <c r="N84" s="96">
        <v>50.055999999999997</v>
      </c>
      <c r="O84" s="96">
        <v>50.043999999999997</v>
      </c>
      <c r="P84" s="96">
        <v>49.972999999999999</v>
      </c>
      <c r="Q84" s="96">
        <v>50.030999999999999</v>
      </c>
      <c r="R84" s="96">
        <v>50.033999999999999</v>
      </c>
      <c r="S84" s="96">
        <v>50.051000000000002</v>
      </c>
      <c r="T84" s="96">
        <v>49.93</v>
      </c>
      <c r="U84" s="96">
        <v>50.023000000000003</v>
      </c>
      <c r="V84" s="96">
        <v>49.93</v>
      </c>
      <c r="W84" s="96">
        <v>49.97</v>
      </c>
      <c r="X84" s="96">
        <v>50.04</v>
      </c>
      <c r="Y84" s="96">
        <v>50.06</v>
      </c>
      <c r="Z84" s="96">
        <v>49.99</v>
      </c>
      <c r="AA84" s="96">
        <v>49.99</v>
      </c>
      <c r="AB84" s="96">
        <v>50.057000000000002</v>
      </c>
      <c r="AC84" s="96">
        <v>50.037999999999997</v>
      </c>
      <c r="AD84" s="96">
        <v>50.01</v>
      </c>
      <c r="AE84" s="96">
        <v>50.03</v>
      </c>
      <c r="AF84" s="96">
        <v>50.037999999999997</v>
      </c>
      <c r="AG84" s="95"/>
      <c r="AH84" s="21">
        <f t="shared" si="22"/>
        <v>50.082999999999998</v>
      </c>
      <c r="AI84" s="20">
        <f t="shared" si="23"/>
        <v>49.87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129.80000000000001</v>
      </c>
      <c r="C85" s="73">
        <v>130.19999999999999</v>
      </c>
      <c r="D85" s="73">
        <v>129.4</v>
      </c>
      <c r="E85" s="73">
        <v>129.30000000000001</v>
      </c>
      <c r="F85" s="73">
        <v>129.6</v>
      </c>
      <c r="G85" s="73">
        <v>128.80000000000001</v>
      </c>
      <c r="H85" s="73">
        <v>129.9</v>
      </c>
      <c r="I85" s="73">
        <v>128.19999999999999</v>
      </c>
      <c r="J85" s="73">
        <v>127.8</v>
      </c>
      <c r="K85" s="73">
        <v>125.6</v>
      </c>
      <c r="L85" s="73">
        <v>125</v>
      </c>
      <c r="M85" s="73">
        <v>124.9</v>
      </c>
      <c r="N85" s="73">
        <v>124.2</v>
      </c>
      <c r="O85" s="73">
        <v>124.1</v>
      </c>
      <c r="P85" s="73">
        <v>124.4</v>
      </c>
      <c r="Q85" s="73">
        <v>122.7</v>
      </c>
      <c r="R85" s="73">
        <v>122.2</v>
      </c>
      <c r="S85" s="73">
        <v>123.4</v>
      </c>
      <c r="T85" s="73">
        <v>125.1</v>
      </c>
      <c r="U85" s="94">
        <v>125</v>
      </c>
      <c r="V85" s="94">
        <v>125.5</v>
      </c>
      <c r="W85" s="94">
        <v>127</v>
      </c>
      <c r="X85" s="94">
        <v>128.4</v>
      </c>
      <c r="Y85" s="94">
        <v>127.1</v>
      </c>
      <c r="Z85" s="94">
        <v>126.5</v>
      </c>
      <c r="AA85" s="94">
        <v>126.4</v>
      </c>
      <c r="AB85" s="73">
        <v>128.30000000000001</v>
      </c>
      <c r="AC85" s="73">
        <v>128.30000000000001</v>
      </c>
      <c r="AD85" s="73">
        <v>128</v>
      </c>
      <c r="AE85" s="73">
        <v>128.5</v>
      </c>
      <c r="AF85" s="73">
        <v>129</v>
      </c>
      <c r="AG85" s="89"/>
      <c r="AH85" s="21">
        <f t="shared" si="22"/>
        <v>130.19999999999999</v>
      </c>
      <c r="AI85" s="20">
        <f t="shared" si="23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132.80000000000001</v>
      </c>
      <c r="C86" s="73">
        <v>133.6</v>
      </c>
      <c r="D86" s="73">
        <v>133.1</v>
      </c>
      <c r="E86" s="73">
        <v>133</v>
      </c>
      <c r="F86" s="73">
        <v>133.30000000000001</v>
      </c>
      <c r="G86" s="73">
        <v>132.30000000000001</v>
      </c>
      <c r="H86" s="73">
        <v>133.1</v>
      </c>
      <c r="I86" s="73">
        <v>130.69999999999999</v>
      </c>
      <c r="J86" s="73">
        <v>130.30000000000001</v>
      </c>
      <c r="K86" s="73">
        <v>128.4</v>
      </c>
      <c r="L86" s="73">
        <v>128</v>
      </c>
      <c r="M86" s="73">
        <v>127.8</v>
      </c>
      <c r="N86" s="73">
        <v>127.5</v>
      </c>
      <c r="O86" s="73">
        <v>127.3</v>
      </c>
      <c r="P86" s="73">
        <v>127.9</v>
      </c>
      <c r="Q86" s="73">
        <v>126.8</v>
      </c>
      <c r="R86" s="73">
        <v>126.3</v>
      </c>
      <c r="S86" s="73">
        <v>127.4</v>
      </c>
      <c r="T86" s="73">
        <v>128.5</v>
      </c>
      <c r="U86" s="94">
        <v>128.4</v>
      </c>
      <c r="V86" s="94">
        <v>128.80000000000001</v>
      </c>
      <c r="W86" s="94">
        <v>129.80000000000001</v>
      </c>
      <c r="X86" s="94">
        <v>130.69999999999999</v>
      </c>
      <c r="Y86" s="94">
        <v>129.80000000000001</v>
      </c>
      <c r="Z86" s="94">
        <v>129</v>
      </c>
      <c r="AA86" s="94">
        <v>129.5</v>
      </c>
      <c r="AB86" s="73">
        <v>131.1</v>
      </c>
      <c r="AC86" s="73">
        <v>131.1</v>
      </c>
      <c r="AD86" s="73">
        <v>131.4</v>
      </c>
      <c r="AE86" s="73">
        <v>132.19999999999999</v>
      </c>
      <c r="AF86" s="73">
        <v>132.9</v>
      </c>
      <c r="AG86" s="89"/>
      <c r="AH86" s="21">
        <f t="shared" si="22"/>
        <v>133.6</v>
      </c>
      <c r="AI86" s="20">
        <f t="shared" si="23"/>
        <v>126.3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131.9</v>
      </c>
      <c r="C87" s="73">
        <v>132.1</v>
      </c>
      <c r="D87" s="73">
        <v>130.80000000000001</v>
      </c>
      <c r="E87" s="73">
        <v>130.80000000000001</v>
      </c>
      <c r="F87" s="73">
        <v>130.30000000000001</v>
      </c>
      <c r="G87" s="73">
        <v>129.4</v>
      </c>
      <c r="H87" s="73">
        <v>129</v>
      </c>
      <c r="I87" s="73">
        <v>129.69999999999999</v>
      </c>
      <c r="J87" s="73">
        <v>128.30000000000001</v>
      </c>
      <c r="K87" s="73">
        <v>127.2</v>
      </c>
      <c r="L87" s="73">
        <v>127.5</v>
      </c>
      <c r="M87" s="73">
        <v>126.8</v>
      </c>
      <c r="N87" s="73">
        <v>126.8</v>
      </c>
      <c r="O87" s="73">
        <v>129.69999999999999</v>
      </c>
      <c r="P87" s="73">
        <v>128.69999999999999</v>
      </c>
      <c r="Q87" s="73">
        <v>128.5</v>
      </c>
      <c r="R87" s="73">
        <v>129.80000000000001</v>
      </c>
      <c r="S87" s="73">
        <v>127.1</v>
      </c>
      <c r="T87" s="73">
        <v>129.69999999999999</v>
      </c>
      <c r="U87" s="73">
        <v>125.9</v>
      </c>
      <c r="V87" s="73">
        <v>127.9</v>
      </c>
      <c r="W87" s="73">
        <v>130.5</v>
      </c>
      <c r="X87" s="94">
        <v>133.30000000000001</v>
      </c>
      <c r="Y87" s="94">
        <v>126.4</v>
      </c>
      <c r="Z87" s="94">
        <v>129.9</v>
      </c>
      <c r="AA87" s="94">
        <v>129.69999999999999</v>
      </c>
      <c r="AB87" s="73">
        <v>131</v>
      </c>
      <c r="AC87" s="73">
        <v>131.19999999999999</v>
      </c>
      <c r="AD87" s="73">
        <v>128.30000000000001</v>
      </c>
      <c r="AE87" s="73">
        <v>129.5</v>
      </c>
      <c r="AF87" s="73">
        <v>131.69999999999999</v>
      </c>
      <c r="AG87" s="89"/>
      <c r="AH87" s="21">
        <f t="shared" si="22"/>
        <v>133.30000000000001</v>
      </c>
      <c r="AI87" s="20">
        <f t="shared" si="23"/>
        <v>125.9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131.69999999999999</v>
      </c>
      <c r="C88" s="73">
        <v>132</v>
      </c>
      <c r="D88" s="73">
        <v>131</v>
      </c>
      <c r="E88" s="73">
        <v>132</v>
      </c>
      <c r="F88" s="73">
        <v>131.69999999999999</v>
      </c>
      <c r="G88" s="73">
        <v>130.69999999999999</v>
      </c>
      <c r="H88" s="73">
        <v>130.1</v>
      </c>
      <c r="I88" s="73">
        <v>132.80000000000001</v>
      </c>
      <c r="J88" s="73">
        <v>131.1</v>
      </c>
      <c r="K88" s="73">
        <v>129.30000000000001</v>
      </c>
      <c r="L88" s="73">
        <v>129.1</v>
      </c>
      <c r="M88" s="73">
        <v>127.8</v>
      </c>
      <c r="N88" s="73">
        <v>127.3</v>
      </c>
      <c r="O88" s="73">
        <v>129.5</v>
      </c>
      <c r="P88" s="73">
        <v>128.5</v>
      </c>
      <c r="Q88" s="73">
        <v>127.8</v>
      </c>
      <c r="R88" s="73">
        <v>129.80000000000001</v>
      </c>
      <c r="S88" s="73">
        <v>128.5</v>
      </c>
      <c r="T88" s="73">
        <v>129.69999999999999</v>
      </c>
      <c r="U88" s="73">
        <v>129.69999999999999</v>
      </c>
      <c r="V88" s="73">
        <v>127.4</v>
      </c>
      <c r="W88" s="73">
        <v>129.69999999999999</v>
      </c>
      <c r="X88" s="94">
        <v>132.5</v>
      </c>
      <c r="Y88" s="94">
        <v>125.5</v>
      </c>
      <c r="Z88" s="94">
        <v>130.6</v>
      </c>
      <c r="AA88" s="94">
        <v>129.6</v>
      </c>
      <c r="AB88" s="94">
        <v>129.6</v>
      </c>
      <c r="AC88" s="73">
        <v>133.6</v>
      </c>
      <c r="AD88" s="73">
        <v>130.9</v>
      </c>
      <c r="AE88" s="73">
        <v>132.30000000000001</v>
      </c>
      <c r="AF88" s="73">
        <v>134.6</v>
      </c>
      <c r="AG88" s="89"/>
      <c r="AH88" s="21">
        <f t="shared" si="22"/>
        <v>134.6</v>
      </c>
      <c r="AI88" s="20">
        <f t="shared" si="23"/>
        <v>125.5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134.5</v>
      </c>
      <c r="C89" s="66">
        <v>134.1</v>
      </c>
      <c r="D89" s="66">
        <v>134.5</v>
      </c>
      <c r="E89" s="66">
        <v>133.4</v>
      </c>
      <c r="F89" s="66">
        <v>133.6</v>
      </c>
      <c r="G89" s="66">
        <v>133.69999999999999</v>
      </c>
      <c r="H89" s="66">
        <v>132.6</v>
      </c>
      <c r="I89" s="66">
        <v>130.69999999999999</v>
      </c>
      <c r="J89" s="66">
        <v>133.1</v>
      </c>
      <c r="K89" s="66">
        <v>128.6</v>
      </c>
      <c r="L89" s="66">
        <v>134.30000000000001</v>
      </c>
      <c r="M89" s="66">
        <v>132.9</v>
      </c>
      <c r="N89" s="66">
        <v>130.9</v>
      </c>
      <c r="O89" s="66">
        <v>131.80000000000001</v>
      </c>
      <c r="P89" s="66">
        <v>131.69999999999999</v>
      </c>
      <c r="Q89" s="66">
        <v>131.5</v>
      </c>
      <c r="R89" s="66">
        <v>128.19999999999999</v>
      </c>
      <c r="S89" s="66">
        <v>129.1</v>
      </c>
      <c r="T89" s="66">
        <v>134.30000000000001</v>
      </c>
      <c r="U89" s="66">
        <v>132.19999999999999</v>
      </c>
      <c r="V89" s="66">
        <v>134.30000000000001</v>
      </c>
      <c r="W89" s="66">
        <v>134.30000000000001</v>
      </c>
      <c r="X89" s="94">
        <v>130.9</v>
      </c>
      <c r="Y89" s="94">
        <v>135</v>
      </c>
      <c r="Z89" s="94">
        <v>134.1</v>
      </c>
      <c r="AA89" s="94">
        <v>133.5</v>
      </c>
      <c r="AB89" s="94">
        <v>133.5</v>
      </c>
      <c r="AC89" s="66">
        <v>134.4</v>
      </c>
      <c r="AD89" s="66">
        <v>133.69999999999999</v>
      </c>
      <c r="AE89" s="66">
        <v>133.4</v>
      </c>
      <c r="AF89" s="66">
        <v>134.80000000000001</v>
      </c>
      <c r="AG89" s="91"/>
      <c r="AH89" s="21">
        <f t="shared" si="22"/>
        <v>135</v>
      </c>
      <c r="AI89" s="20">
        <f t="shared" si="23"/>
        <v>128.19999999999999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134.30000000000001</v>
      </c>
      <c r="C90" s="73">
        <v>134.4</v>
      </c>
      <c r="D90" s="73">
        <v>135</v>
      </c>
      <c r="E90" s="73">
        <v>134.69999999999999</v>
      </c>
      <c r="F90" s="73">
        <v>134.6</v>
      </c>
      <c r="G90" s="73">
        <v>134.80000000000001</v>
      </c>
      <c r="H90" s="73">
        <v>133.30000000000001</v>
      </c>
      <c r="I90" s="73">
        <v>129.30000000000001</v>
      </c>
      <c r="J90" s="73">
        <v>133.4</v>
      </c>
      <c r="K90" s="73">
        <v>128.9</v>
      </c>
      <c r="L90" s="73">
        <v>135</v>
      </c>
      <c r="M90" s="73">
        <v>128.1</v>
      </c>
      <c r="N90" s="73">
        <v>131.80000000000001</v>
      </c>
      <c r="O90" s="73">
        <v>129.9</v>
      </c>
      <c r="P90" s="73">
        <v>128.5</v>
      </c>
      <c r="Q90" s="73">
        <v>127.2</v>
      </c>
      <c r="R90" s="73">
        <v>128</v>
      </c>
      <c r="S90" s="73">
        <v>123.1</v>
      </c>
      <c r="T90" s="73">
        <v>133.6</v>
      </c>
      <c r="U90" s="73">
        <v>131.5</v>
      </c>
      <c r="V90" s="73">
        <v>136.4</v>
      </c>
      <c r="W90" s="73">
        <v>135.19999999999999</v>
      </c>
      <c r="X90" s="94">
        <v>121.8</v>
      </c>
      <c r="Y90" s="94">
        <v>131.4</v>
      </c>
      <c r="Z90" s="94">
        <v>133.6</v>
      </c>
      <c r="AA90" s="94">
        <v>131.6</v>
      </c>
      <c r="AB90" s="94">
        <v>131.6</v>
      </c>
      <c r="AC90" s="73">
        <v>134.5</v>
      </c>
      <c r="AD90" s="73">
        <v>132.4</v>
      </c>
      <c r="AE90" s="73">
        <v>132.6</v>
      </c>
      <c r="AF90" s="73">
        <v>135</v>
      </c>
      <c r="AG90" s="89"/>
      <c r="AH90" s="21">
        <f t="shared" si="22"/>
        <v>136.4</v>
      </c>
      <c r="AI90" s="20">
        <f t="shared" si="23"/>
        <v>121.8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66.8</v>
      </c>
      <c r="C91" s="87">
        <v>67</v>
      </c>
      <c r="D91" s="87">
        <v>67</v>
      </c>
      <c r="E91" s="87">
        <v>67</v>
      </c>
      <c r="F91" s="87">
        <v>67.099999999999994</v>
      </c>
      <c r="G91" s="87">
        <v>66.599999999999994</v>
      </c>
      <c r="H91" s="87">
        <v>67</v>
      </c>
      <c r="I91" s="87">
        <v>65.8</v>
      </c>
      <c r="J91" s="87">
        <v>65.5</v>
      </c>
      <c r="K91" s="87">
        <v>65</v>
      </c>
      <c r="L91" s="87">
        <v>64.7</v>
      </c>
      <c r="M91" s="87">
        <v>64.599999999999994</v>
      </c>
      <c r="N91" s="87">
        <v>64.400000000000006</v>
      </c>
      <c r="O91" s="87">
        <v>64.3</v>
      </c>
      <c r="P91" s="87">
        <v>64.599999999999994</v>
      </c>
      <c r="Q91" s="87">
        <v>64</v>
      </c>
      <c r="R91" s="87">
        <v>64.099999999999994</v>
      </c>
      <c r="S91" s="87">
        <v>64.5</v>
      </c>
      <c r="T91" s="87">
        <v>64.900000000000006</v>
      </c>
      <c r="U91" s="87">
        <v>64.900000000000006</v>
      </c>
      <c r="V91" s="87">
        <v>65.2</v>
      </c>
      <c r="W91" s="87">
        <v>65.599999999999994</v>
      </c>
      <c r="X91" s="87">
        <v>65.599999999999994</v>
      </c>
      <c r="Y91" s="87">
        <v>65.5</v>
      </c>
      <c r="Z91" s="87">
        <v>65.2</v>
      </c>
      <c r="AA91" s="87">
        <v>65.3</v>
      </c>
      <c r="AB91" s="87">
        <v>65.3</v>
      </c>
      <c r="AC91" s="87">
        <v>66</v>
      </c>
      <c r="AD91" s="87">
        <v>66.2</v>
      </c>
      <c r="AE91" s="87">
        <v>66.599999999999994</v>
      </c>
      <c r="AF91" s="87">
        <v>66.8</v>
      </c>
      <c r="AG91" s="86"/>
      <c r="AH91" s="21">
        <f t="shared" si="22"/>
        <v>67.099999999999994</v>
      </c>
      <c r="AI91" s="20">
        <f t="shared" si="23"/>
        <v>64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6">SUM(B15,B18,B21:B22,B42,B44:B45,B47,B49,B94:B97,B103,B109,B115,B124,B126,B138,B145,B148:B149,B156,B158,B160,B164:B166,B168:B170,B175,B181:B182,B184:B186,B194,B199)</f>
        <v>171.03999999999996</v>
      </c>
      <c r="C93" s="82">
        <f t="shared" ref="C93:AF93" si="37">SUM(C15,C18,C21:C22,C42,C44:C45,C47,C49,C94:C97,C103,C109,C115,C124,C126,C138,C145,C148:C149,C156,C158,C160,C164:C166,C168:C170,C175,C181:C182,C184:C186,C194,C199)</f>
        <v>162.83999999999997</v>
      </c>
      <c r="D93" s="82">
        <f t="shared" si="37"/>
        <v>158.43999999999997</v>
      </c>
      <c r="E93" s="82">
        <f t="shared" si="37"/>
        <v>156.83999999999997</v>
      </c>
      <c r="F93" s="82">
        <f t="shared" si="37"/>
        <v>156.23999999999998</v>
      </c>
      <c r="G93" s="80">
        <f t="shared" si="37"/>
        <v>179.83999999999997</v>
      </c>
      <c r="H93" s="80">
        <f t="shared" si="37"/>
        <v>206.14</v>
      </c>
      <c r="I93" s="80">
        <f t="shared" si="37"/>
        <v>266.64000000000004</v>
      </c>
      <c r="J93" s="80">
        <f t="shared" si="37"/>
        <v>277.54000000000002</v>
      </c>
      <c r="K93" s="80">
        <f t="shared" si="37"/>
        <v>302.64000000000004</v>
      </c>
      <c r="L93" s="80">
        <f t="shared" si="37"/>
        <v>315.74</v>
      </c>
      <c r="M93" s="80">
        <f t="shared" si="37"/>
        <v>319.24</v>
      </c>
      <c r="N93" s="80">
        <f t="shared" si="37"/>
        <v>316.94000000000005</v>
      </c>
      <c r="O93" s="80">
        <f t="shared" si="37"/>
        <v>310.74</v>
      </c>
      <c r="P93" s="80">
        <f t="shared" si="37"/>
        <v>300.74</v>
      </c>
      <c r="Q93" s="80">
        <f t="shared" si="37"/>
        <v>299.64</v>
      </c>
      <c r="R93" s="80">
        <f t="shared" si="37"/>
        <v>289.94</v>
      </c>
      <c r="S93" s="80">
        <f t="shared" si="37"/>
        <v>290.84000000000003</v>
      </c>
      <c r="T93" s="80">
        <f t="shared" si="37"/>
        <v>291.34000000000003</v>
      </c>
      <c r="U93" s="80">
        <f t="shared" si="37"/>
        <v>295.04000000000002</v>
      </c>
      <c r="V93" s="80">
        <f t="shared" si="37"/>
        <v>299.94</v>
      </c>
      <c r="W93" s="80">
        <f t="shared" si="37"/>
        <v>308.64000000000004</v>
      </c>
      <c r="X93" s="80">
        <f t="shared" si="37"/>
        <v>315.14000000000004</v>
      </c>
      <c r="Y93" s="80">
        <f t="shared" si="37"/>
        <v>353.24</v>
      </c>
      <c r="Z93" s="80">
        <f t="shared" si="37"/>
        <v>378.04</v>
      </c>
      <c r="AA93" s="80">
        <f t="shared" si="37"/>
        <v>380.84000000000003</v>
      </c>
      <c r="AB93" s="80">
        <f t="shared" si="37"/>
        <v>388.24</v>
      </c>
      <c r="AC93" s="80">
        <f t="shared" si="37"/>
        <v>315.94</v>
      </c>
      <c r="AD93" s="80">
        <f t="shared" si="37"/>
        <v>290.14000000000004</v>
      </c>
      <c r="AE93" s="80">
        <f t="shared" si="37"/>
        <v>232.53999999999996</v>
      </c>
      <c r="AF93" s="80">
        <f t="shared" si="37"/>
        <v>194.64</v>
      </c>
      <c r="AG93" s="79"/>
      <c r="AH93" s="21">
        <f>MAX(C93:AF93)</f>
        <v>388.24</v>
      </c>
      <c r="AI93" s="20">
        <f>MIN(C93:AF93)</f>
        <v>156.23999999999998</v>
      </c>
    </row>
    <row r="94" spans="1:88" x14ac:dyDescent="0.25">
      <c r="A94" s="48" t="s">
        <v>122</v>
      </c>
      <c r="B94" s="75">
        <v>7.5</v>
      </c>
      <c r="C94" s="77">
        <v>10.8</v>
      </c>
      <c r="D94" s="77">
        <v>42</v>
      </c>
      <c r="E94" s="77">
        <v>1.2</v>
      </c>
      <c r="F94" s="77">
        <v>0</v>
      </c>
      <c r="G94" s="76">
        <v>0</v>
      </c>
      <c r="H94" s="76">
        <v>-4.5999999999999996</v>
      </c>
      <c r="I94" s="76">
        <v>23.6</v>
      </c>
      <c r="J94" s="76">
        <v>9.8000000000000007</v>
      </c>
      <c r="K94" s="76">
        <v>3.1</v>
      </c>
      <c r="L94" s="76">
        <v>20.6</v>
      </c>
      <c r="M94" s="75">
        <v>29.9</v>
      </c>
      <c r="N94" s="76">
        <v>24.5</v>
      </c>
      <c r="O94" s="76">
        <v>28.5</v>
      </c>
      <c r="P94" s="76">
        <v>24.1</v>
      </c>
      <c r="Q94" s="76">
        <v>24.7</v>
      </c>
      <c r="R94" s="76">
        <v>29.6</v>
      </c>
      <c r="S94" s="76">
        <v>12.2</v>
      </c>
      <c r="T94" s="76">
        <v>17.899999999999999</v>
      </c>
      <c r="U94" s="75">
        <v>3.1</v>
      </c>
      <c r="V94" s="75">
        <v>7.5</v>
      </c>
      <c r="W94" s="75">
        <v>5.9</v>
      </c>
      <c r="X94" s="76">
        <v>1.3</v>
      </c>
      <c r="Y94" s="76">
        <v>35.200000000000003</v>
      </c>
      <c r="Z94" s="76">
        <v>16.600000000000001</v>
      </c>
      <c r="AA94" s="76">
        <v>16.600000000000001</v>
      </c>
      <c r="AB94" s="75">
        <v>23.3</v>
      </c>
      <c r="AC94" s="75">
        <v>23.1</v>
      </c>
      <c r="AD94" s="75">
        <v>28.5</v>
      </c>
      <c r="AE94" s="75">
        <v>28.1</v>
      </c>
      <c r="AF94" s="75">
        <v>19</v>
      </c>
      <c r="AG94" s="3">
        <v>75</v>
      </c>
      <c r="AH94" s="21">
        <f t="shared" ref="AH94:AH100" si="38">IF(ABS(MAX(C94:AF94))&gt;ABS(MIN(C94:AF94)),MAX(C94:AF94),MIN(C94:AF94))</f>
        <v>42</v>
      </c>
      <c r="AI94" s="64">
        <f t="shared" ref="AI94:AI100" si="39">INDEX($C$9:$AF$9,1,MATCH(AH94,C94:AF94,0))</f>
        <v>8.3333333333333301E-2</v>
      </c>
    </row>
    <row r="95" spans="1:88" x14ac:dyDescent="0.25">
      <c r="A95" s="45" t="s">
        <v>121</v>
      </c>
      <c r="B95" s="73">
        <f>-18.1-27.8</f>
        <v>-45.900000000000006</v>
      </c>
      <c r="C95" s="67">
        <f>-25.2-35.6</f>
        <v>-60.8</v>
      </c>
      <c r="D95" s="67">
        <f>-31.7-38.3</f>
        <v>-70</v>
      </c>
      <c r="E95" s="67">
        <v>-59.6</v>
      </c>
      <c r="F95" s="67">
        <v>-59</v>
      </c>
      <c r="G95" s="67">
        <v>-50</v>
      </c>
      <c r="H95" s="67">
        <v>-40</v>
      </c>
      <c r="I95" s="67">
        <v>-18</v>
      </c>
      <c r="J95" s="67">
        <v>-13</v>
      </c>
      <c r="K95" s="67">
        <v>-4.5</v>
      </c>
      <c r="L95" s="67">
        <v>-4.2</v>
      </c>
      <c r="M95" s="67">
        <v>-5.3</v>
      </c>
      <c r="N95" s="67">
        <v>-5.2</v>
      </c>
      <c r="O95" s="67">
        <v>-10.1</v>
      </c>
      <c r="P95" s="67">
        <v>-11.4</v>
      </c>
      <c r="Q95" s="67">
        <v>3.1</v>
      </c>
      <c r="R95" s="67">
        <v>-14.2</v>
      </c>
      <c r="S95" s="67">
        <v>-12</v>
      </c>
      <c r="T95" s="67">
        <f>-1.9-10.2</f>
        <v>-12.1</v>
      </c>
      <c r="U95" s="67">
        <v>-4</v>
      </c>
      <c r="V95" s="67">
        <f>2.4-6.2</f>
        <v>-3.8000000000000003</v>
      </c>
      <c r="W95" s="67">
        <f>6.2-1.8</f>
        <v>4.4000000000000004</v>
      </c>
      <c r="X95" s="67">
        <f>10+2.6</f>
        <v>12.6</v>
      </c>
      <c r="Y95" s="67">
        <f>2.9-1.5</f>
        <v>1.4</v>
      </c>
      <c r="Z95" s="67">
        <v>16.7</v>
      </c>
      <c r="AA95" s="67">
        <f>6.7+16.9</f>
        <v>23.599999999999998</v>
      </c>
      <c r="AB95" s="67">
        <f>6.7+16.9</f>
        <v>23.599999999999998</v>
      </c>
      <c r="AC95" s="73">
        <v>-11.4</v>
      </c>
      <c r="AD95" s="73">
        <v>-25.2</v>
      </c>
      <c r="AE95" s="73">
        <v>-49</v>
      </c>
      <c r="AF95" s="73">
        <v>-62</v>
      </c>
      <c r="AG95" s="3">
        <v>240</v>
      </c>
      <c r="AH95" s="21">
        <f t="shared" si="38"/>
        <v>-70</v>
      </c>
      <c r="AI95" s="64">
        <f t="shared" si="39"/>
        <v>8.3333333333333301E-2</v>
      </c>
    </row>
    <row r="96" spans="1:88" x14ac:dyDescent="0.25">
      <c r="A96" s="45" t="s">
        <v>120</v>
      </c>
      <c r="B96" s="73">
        <v>26.2</v>
      </c>
      <c r="C96" s="67">
        <v>23.7</v>
      </c>
      <c r="D96" s="67">
        <v>7.6</v>
      </c>
      <c r="E96" s="67">
        <v>0</v>
      </c>
      <c r="F96" s="67">
        <v>0.7</v>
      </c>
      <c r="G96" s="67">
        <v>1.8</v>
      </c>
      <c r="H96" s="67">
        <v>24.2</v>
      </c>
      <c r="I96" s="67">
        <v>17.899999999999999</v>
      </c>
      <c r="J96" s="67">
        <v>21.7</v>
      </c>
      <c r="K96" s="67">
        <v>21.6</v>
      </c>
      <c r="L96" s="67">
        <v>22.7</v>
      </c>
      <c r="M96" s="67">
        <v>21.8</v>
      </c>
      <c r="N96" s="67">
        <v>23.4</v>
      </c>
      <c r="O96" s="67">
        <v>19</v>
      </c>
      <c r="P96" s="67">
        <v>21.6</v>
      </c>
      <c r="Q96" s="67">
        <v>14.5</v>
      </c>
      <c r="R96" s="67">
        <v>7.5</v>
      </c>
      <c r="S96" s="67">
        <v>9.8000000000000007</v>
      </c>
      <c r="T96" s="67">
        <v>24.6</v>
      </c>
      <c r="U96" s="67">
        <v>23.3</v>
      </c>
      <c r="V96" s="67">
        <v>27.1</v>
      </c>
      <c r="W96" s="67">
        <v>35.6</v>
      </c>
      <c r="X96" s="67">
        <v>42.1</v>
      </c>
      <c r="Y96" s="67">
        <v>43.8</v>
      </c>
      <c r="Z96" s="67">
        <v>49.9</v>
      </c>
      <c r="AA96" s="67">
        <v>47.5</v>
      </c>
      <c r="AB96" s="67">
        <v>47.5</v>
      </c>
      <c r="AC96" s="73">
        <v>43.3</v>
      </c>
      <c r="AD96" s="73">
        <v>39.1</v>
      </c>
      <c r="AE96" s="73">
        <v>33.1</v>
      </c>
      <c r="AF96" s="73">
        <v>27.6</v>
      </c>
      <c r="AG96" s="3">
        <v>60</v>
      </c>
      <c r="AH96" s="21">
        <f t="shared" si="38"/>
        <v>49.9</v>
      </c>
      <c r="AI96" s="64">
        <f t="shared" si="39"/>
        <v>0.79166666666666663</v>
      </c>
    </row>
    <row r="97" spans="1:37" x14ac:dyDescent="0.25">
      <c r="A97" s="41" t="s">
        <v>119</v>
      </c>
      <c r="B97" s="69">
        <v>-5.6</v>
      </c>
      <c r="C97" s="70">
        <v>0</v>
      </c>
      <c r="D97" s="70">
        <v>-10.3</v>
      </c>
      <c r="E97" s="70">
        <v>26</v>
      </c>
      <c r="F97" s="70">
        <v>25.3</v>
      </c>
      <c r="G97" s="70">
        <v>38.799999999999997</v>
      </c>
      <c r="H97" s="70">
        <v>37.299999999999997</v>
      </c>
      <c r="I97" s="70">
        <v>53.9</v>
      </c>
      <c r="J97" s="70">
        <v>69.8</v>
      </c>
      <c r="K97" s="70">
        <v>93.2</v>
      </c>
      <c r="L97" s="70">
        <v>87.4</v>
      </c>
      <c r="M97" s="70">
        <v>80.8</v>
      </c>
      <c r="N97" s="70">
        <v>82.3</v>
      </c>
      <c r="O97" s="70">
        <v>81.400000000000006</v>
      </c>
      <c r="P97" s="70">
        <v>74.599999999999994</v>
      </c>
      <c r="Q97" s="70">
        <v>69.5</v>
      </c>
      <c r="R97" s="70">
        <v>76.900000000000006</v>
      </c>
      <c r="S97" s="70">
        <v>90.8</v>
      </c>
      <c r="T97" s="70">
        <v>70</v>
      </c>
      <c r="U97" s="70">
        <v>82.8</v>
      </c>
      <c r="V97" s="70">
        <v>79.3</v>
      </c>
      <c r="W97" s="70">
        <v>72.5</v>
      </c>
      <c r="X97" s="70">
        <v>68.900000000000006</v>
      </c>
      <c r="Y97" s="70">
        <v>82.6</v>
      </c>
      <c r="Z97" s="70">
        <v>104.6</v>
      </c>
      <c r="AA97" s="70">
        <v>102.9</v>
      </c>
      <c r="AB97" s="70">
        <v>102.9</v>
      </c>
      <c r="AC97" s="69">
        <v>70</v>
      </c>
      <c r="AD97" s="69">
        <v>55.5</v>
      </c>
      <c r="AE97" s="69">
        <v>28.1</v>
      </c>
      <c r="AF97" s="69">
        <v>17.8</v>
      </c>
      <c r="AG97" s="72">
        <v>120</v>
      </c>
      <c r="AH97" s="21">
        <f t="shared" si="38"/>
        <v>104.6</v>
      </c>
      <c r="AI97" s="64">
        <f t="shared" si="39"/>
        <v>0.79166666666666663</v>
      </c>
    </row>
    <row r="98" spans="1:37" x14ac:dyDescent="0.25">
      <c r="A98" s="41" t="s">
        <v>118</v>
      </c>
      <c r="B98" s="69">
        <v>22.6</v>
      </c>
      <c r="C98" s="70">
        <v>8.6</v>
      </c>
      <c r="D98" s="70">
        <v>1.8</v>
      </c>
      <c r="E98" s="70">
        <v>41.8</v>
      </c>
      <c r="F98" s="70">
        <v>42.3</v>
      </c>
      <c r="G98" s="70">
        <v>51</v>
      </c>
      <c r="H98" s="70">
        <v>40.5</v>
      </c>
      <c r="I98" s="70">
        <v>43.6</v>
      </c>
      <c r="J98" s="70">
        <v>55.8</v>
      </c>
      <c r="K98" s="70">
        <v>71.900000000000006</v>
      </c>
      <c r="L98" s="70">
        <v>64.7</v>
      </c>
      <c r="M98" s="70">
        <v>58.3</v>
      </c>
      <c r="N98" s="70">
        <v>66.3</v>
      </c>
      <c r="O98" s="70">
        <v>66.099999999999994</v>
      </c>
      <c r="P98" s="70">
        <v>56.7</v>
      </c>
      <c r="Q98" s="70">
        <v>84</v>
      </c>
      <c r="R98" s="70">
        <v>76.5</v>
      </c>
      <c r="S98" s="70">
        <v>83.2</v>
      </c>
      <c r="T98" s="70">
        <v>59.9</v>
      </c>
      <c r="U98" s="70">
        <v>69.400000000000006</v>
      </c>
      <c r="V98" s="70">
        <v>62.8</v>
      </c>
      <c r="W98" s="70">
        <v>57.8</v>
      </c>
      <c r="X98" s="70">
        <v>56.4</v>
      </c>
      <c r="Y98" s="70">
        <v>56.3</v>
      </c>
      <c r="Z98" s="70">
        <v>74.7</v>
      </c>
      <c r="AA98" s="70">
        <v>73.599999999999994</v>
      </c>
      <c r="AB98" s="70">
        <v>73.599999999999994</v>
      </c>
      <c r="AC98" s="69">
        <v>53.9</v>
      </c>
      <c r="AD98" s="69">
        <v>46.6</v>
      </c>
      <c r="AE98" s="69">
        <v>31.8</v>
      </c>
      <c r="AF98" s="69">
        <v>29.1</v>
      </c>
      <c r="AG98" s="72"/>
      <c r="AH98" s="21">
        <f t="shared" si="38"/>
        <v>84</v>
      </c>
      <c r="AI98" s="64">
        <f t="shared" si="39"/>
        <v>0.5</v>
      </c>
    </row>
    <row r="99" spans="1:37" x14ac:dyDescent="0.25">
      <c r="A99" s="41" t="s">
        <v>117</v>
      </c>
      <c r="B99" s="69">
        <v>77.8</v>
      </c>
      <c r="C99" s="70">
        <v>68.8</v>
      </c>
      <c r="D99" s="70">
        <v>47.5</v>
      </c>
      <c r="E99" s="70">
        <v>56.8</v>
      </c>
      <c r="F99" s="70">
        <v>56.7</v>
      </c>
      <c r="G99" s="70">
        <v>55.3</v>
      </c>
      <c r="H99" s="70">
        <v>62.6</v>
      </c>
      <c r="I99" s="70">
        <v>61.5</v>
      </c>
      <c r="J99" s="70">
        <v>76.2</v>
      </c>
      <c r="K99" s="70">
        <v>85.5</v>
      </c>
      <c r="L99" s="70">
        <v>61.5</v>
      </c>
      <c r="M99" s="70">
        <v>54.8</v>
      </c>
      <c r="N99" s="70">
        <v>63.7</v>
      </c>
      <c r="O99" s="70">
        <v>63.4</v>
      </c>
      <c r="P99" s="70">
        <v>66.5</v>
      </c>
      <c r="Q99" s="70">
        <v>63.3</v>
      </c>
      <c r="R99" s="70">
        <v>41</v>
      </c>
      <c r="S99" s="70">
        <v>62.6</v>
      </c>
      <c r="T99" s="70">
        <v>61.7</v>
      </c>
      <c r="U99" s="70">
        <v>72.599999999999994</v>
      </c>
      <c r="V99" s="70">
        <v>67.5</v>
      </c>
      <c r="W99" s="70">
        <v>68.8</v>
      </c>
      <c r="X99" s="70">
        <v>61.1</v>
      </c>
      <c r="Y99" s="70">
        <v>46.3</v>
      </c>
      <c r="Z99" s="70">
        <v>75</v>
      </c>
      <c r="AA99" s="70">
        <v>73.5</v>
      </c>
      <c r="AB99" s="70">
        <v>73.5</v>
      </c>
      <c r="AC99" s="69">
        <v>72.2</v>
      </c>
      <c r="AD99" s="69">
        <v>64.599999999999994</v>
      </c>
      <c r="AE99" s="69">
        <v>67.599999999999994</v>
      </c>
      <c r="AF99" s="69">
        <v>75.400000000000006</v>
      </c>
      <c r="AG99" s="65"/>
      <c r="AH99" s="21">
        <f t="shared" si="38"/>
        <v>85.5</v>
      </c>
      <c r="AI99" s="64">
        <f t="shared" si="39"/>
        <v>0.29166666666666669</v>
      </c>
    </row>
    <row r="100" spans="1:37" ht="15.75" thickBot="1" x14ac:dyDescent="0.3">
      <c r="A100" s="68" t="s">
        <v>116</v>
      </c>
      <c r="B100" s="66">
        <v>67</v>
      </c>
      <c r="C100" s="67">
        <v>66</v>
      </c>
      <c r="D100" s="67">
        <v>62.9</v>
      </c>
      <c r="E100" s="67">
        <v>61.2</v>
      </c>
      <c r="F100" s="67">
        <v>60.4</v>
      </c>
      <c r="G100" s="67">
        <v>61.7</v>
      </c>
      <c r="H100" s="67">
        <v>63.5</v>
      </c>
      <c r="I100" s="67">
        <v>66</v>
      </c>
      <c r="J100" s="67">
        <v>45.4</v>
      </c>
      <c r="K100" s="67">
        <v>49.6</v>
      </c>
      <c r="L100" s="67">
        <v>54.6</v>
      </c>
      <c r="M100" s="67">
        <v>58.3</v>
      </c>
      <c r="N100" s="67">
        <v>54.5</v>
      </c>
      <c r="O100" s="67">
        <v>49.8</v>
      </c>
      <c r="P100" s="67">
        <v>51.7</v>
      </c>
      <c r="Q100" s="67">
        <v>63.8</v>
      </c>
      <c r="R100" s="67">
        <v>65.400000000000006</v>
      </c>
      <c r="S100" s="67">
        <v>33</v>
      </c>
      <c r="T100" s="67">
        <v>63.4</v>
      </c>
      <c r="U100" s="67">
        <v>44.3</v>
      </c>
      <c r="V100" s="67">
        <v>55.5</v>
      </c>
      <c r="W100" s="67">
        <v>52</v>
      </c>
      <c r="X100" s="67">
        <v>48.3</v>
      </c>
      <c r="Y100" s="67">
        <v>89.5</v>
      </c>
      <c r="Z100" s="67">
        <v>74.7</v>
      </c>
      <c r="AA100" s="67">
        <v>90.6</v>
      </c>
      <c r="AB100" s="67">
        <v>90.6</v>
      </c>
      <c r="AC100" s="66">
        <v>88.8</v>
      </c>
      <c r="AD100" s="66">
        <v>92.7</v>
      </c>
      <c r="AE100" s="66">
        <v>85</v>
      </c>
      <c r="AF100" s="66">
        <v>80.599999999999994</v>
      </c>
      <c r="AG100" s="65"/>
      <c r="AH100" s="21">
        <f t="shared" si="38"/>
        <v>92.7</v>
      </c>
      <c r="AI100" s="64">
        <f t="shared" si="39"/>
        <v>0.875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0">AF102</f>
        <v>9.9</v>
      </c>
      <c r="C102" s="54">
        <v>9.9</v>
      </c>
      <c r="D102" s="58">
        <f t="shared" ref="D102:S107" si="41">C102</f>
        <v>9.9</v>
      </c>
      <c r="E102" s="58">
        <f t="shared" si="41"/>
        <v>9.9</v>
      </c>
      <c r="F102" s="58">
        <f t="shared" si="41"/>
        <v>9.9</v>
      </c>
      <c r="G102" s="58">
        <f t="shared" si="41"/>
        <v>9.9</v>
      </c>
      <c r="H102" s="58">
        <f t="shared" si="41"/>
        <v>9.9</v>
      </c>
      <c r="I102" s="58">
        <f t="shared" si="41"/>
        <v>9.9</v>
      </c>
      <c r="J102" s="58">
        <f t="shared" si="41"/>
        <v>9.9</v>
      </c>
      <c r="K102" s="58">
        <f t="shared" si="41"/>
        <v>9.9</v>
      </c>
      <c r="L102" s="58">
        <f t="shared" si="41"/>
        <v>9.9</v>
      </c>
      <c r="M102" s="58">
        <f t="shared" si="41"/>
        <v>9.9</v>
      </c>
      <c r="N102" s="58">
        <f t="shared" si="41"/>
        <v>9.9</v>
      </c>
      <c r="O102" s="58">
        <f t="shared" si="41"/>
        <v>9.9</v>
      </c>
      <c r="P102" s="58">
        <f t="shared" si="41"/>
        <v>9.9</v>
      </c>
      <c r="Q102" s="58">
        <f t="shared" si="41"/>
        <v>9.9</v>
      </c>
      <c r="R102" s="58">
        <f t="shared" si="41"/>
        <v>9.9</v>
      </c>
      <c r="S102" s="58">
        <f t="shared" si="41"/>
        <v>9.9</v>
      </c>
      <c r="T102" s="58">
        <f t="shared" ref="T102:AF107" si="42">S102</f>
        <v>9.9</v>
      </c>
      <c r="U102" s="58">
        <f t="shared" si="42"/>
        <v>9.9</v>
      </c>
      <c r="V102" s="58">
        <f t="shared" si="42"/>
        <v>9.9</v>
      </c>
      <c r="W102" s="58">
        <f t="shared" si="42"/>
        <v>9.9</v>
      </c>
      <c r="X102" s="58">
        <f t="shared" si="42"/>
        <v>9.9</v>
      </c>
      <c r="Y102" s="58">
        <f t="shared" si="42"/>
        <v>9.9</v>
      </c>
      <c r="Z102" s="58">
        <f t="shared" si="42"/>
        <v>9.9</v>
      </c>
      <c r="AA102" s="58">
        <f t="shared" si="42"/>
        <v>9.9</v>
      </c>
      <c r="AB102" s="58">
        <f t="shared" si="42"/>
        <v>9.9</v>
      </c>
      <c r="AC102" s="58">
        <f t="shared" si="42"/>
        <v>9.9</v>
      </c>
      <c r="AD102" s="58">
        <f t="shared" si="42"/>
        <v>9.9</v>
      </c>
      <c r="AE102" s="58">
        <f t="shared" si="42"/>
        <v>9.9</v>
      </c>
      <c r="AF102" s="58">
        <f t="shared" si="42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0"/>
        <v>9.6</v>
      </c>
      <c r="C103" s="55">
        <v>9.6</v>
      </c>
      <c r="D103" s="44">
        <f t="shared" si="41"/>
        <v>9.6</v>
      </c>
      <c r="E103" s="44">
        <f t="shared" si="41"/>
        <v>9.6</v>
      </c>
      <c r="F103" s="44">
        <f t="shared" si="41"/>
        <v>9.6</v>
      </c>
      <c r="G103" s="44">
        <f t="shared" si="41"/>
        <v>9.6</v>
      </c>
      <c r="H103" s="44">
        <f t="shared" si="41"/>
        <v>9.6</v>
      </c>
      <c r="I103" s="44">
        <f t="shared" si="41"/>
        <v>9.6</v>
      </c>
      <c r="J103" s="44">
        <f t="shared" si="41"/>
        <v>9.6</v>
      </c>
      <c r="K103" s="44">
        <f t="shared" si="41"/>
        <v>9.6</v>
      </c>
      <c r="L103" s="44">
        <f t="shared" si="41"/>
        <v>9.6</v>
      </c>
      <c r="M103" s="44">
        <f t="shared" si="41"/>
        <v>9.6</v>
      </c>
      <c r="N103" s="44">
        <f t="shared" si="41"/>
        <v>9.6</v>
      </c>
      <c r="O103" s="44">
        <f t="shared" si="41"/>
        <v>9.6</v>
      </c>
      <c r="P103" s="44">
        <f t="shared" si="41"/>
        <v>9.6</v>
      </c>
      <c r="Q103" s="44">
        <f t="shared" si="41"/>
        <v>9.6</v>
      </c>
      <c r="R103" s="44">
        <f t="shared" si="41"/>
        <v>9.6</v>
      </c>
      <c r="S103" s="44">
        <f t="shared" si="41"/>
        <v>9.6</v>
      </c>
      <c r="T103" s="44">
        <f t="shared" si="42"/>
        <v>9.6</v>
      </c>
      <c r="U103" s="44">
        <f t="shared" si="42"/>
        <v>9.6</v>
      </c>
      <c r="V103" s="44">
        <f t="shared" si="42"/>
        <v>9.6</v>
      </c>
      <c r="W103" s="44">
        <f t="shared" si="42"/>
        <v>9.6</v>
      </c>
      <c r="X103" s="44">
        <f t="shared" si="42"/>
        <v>9.6</v>
      </c>
      <c r="Y103" s="44">
        <f t="shared" si="42"/>
        <v>9.6</v>
      </c>
      <c r="Z103" s="44">
        <f t="shared" si="42"/>
        <v>9.6</v>
      </c>
      <c r="AA103" s="44">
        <f t="shared" si="42"/>
        <v>9.6</v>
      </c>
      <c r="AB103" s="44">
        <f t="shared" si="42"/>
        <v>9.6</v>
      </c>
      <c r="AC103" s="44">
        <f t="shared" si="42"/>
        <v>9.6</v>
      </c>
      <c r="AD103" s="44">
        <f t="shared" si="42"/>
        <v>9.6</v>
      </c>
      <c r="AE103" s="44">
        <f t="shared" si="42"/>
        <v>9.6</v>
      </c>
      <c r="AF103" s="44">
        <f t="shared" si="42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0"/>
        <v>9.98</v>
      </c>
      <c r="C104" s="55">
        <v>9.98</v>
      </c>
      <c r="D104" s="44">
        <f t="shared" si="41"/>
        <v>9.98</v>
      </c>
      <c r="E104" s="44">
        <f t="shared" si="41"/>
        <v>9.98</v>
      </c>
      <c r="F104" s="44">
        <f t="shared" si="41"/>
        <v>9.98</v>
      </c>
      <c r="G104" s="44">
        <f t="shared" si="41"/>
        <v>9.98</v>
      </c>
      <c r="H104" s="44">
        <f t="shared" si="41"/>
        <v>9.98</v>
      </c>
      <c r="I104" s="44">
        <f t="shared" si="41"/>
        <v>9.98</v>
      </c>
      <c r="J104" s="44">
        <f t="shared" si="41"/>
        <v>9.98</v>
      </c>
      <c r="K104" s="44">
        <f t="shared" si="41"/>
        <v>9.98</v>
      </c>
      <c r="L104" s="44">
        <f t="shared" si="41"/>
        <v>9.98</v>
      </c>
      <c r="M104" s="44">
        <f t="shared" si="41"/>
        <v>9.98</v>
      </c>
      <c r="N104" s="44">
        <f t="shared" si="41"/>
        <v>9.98</v>
      </c>
      <c r="O104" s="44">
        <f t="shared" si="41"/>
        <v>9.98</v>
      </c>
      <c r="P104" s="44">
        <f t="shared" si="41"/>
        <v>9.98</v>
      </c>
      <c r="Q104" s="44">
        <f t="shared" si="41"/>
        <v>9.98</v>
      </c>
      <c r="R104" s="44">
        <f t="shared" si="41"/>
        <v>9.98</v>
      </c>
      <c r="S104" s="44">
        <f t="shared" si="41"/>
        <v>9.98</v>
      </c>
      <c r="T104" s="44">
        <f t="shared" si="42"/>
        <v>9.98</v>
      </c>
      <c r="U104" s="44">
        <f t="shared" si="42"/>
        <v>9.98</v>
      </c>
      <c r="V104" s="44">
        <f t="shared" si="42"/>
        <v>9.98</v>
      </c>
      <c r="W104" s="44">
        <f t="shared" si="42"/>
        <v>9.98</v>
      </c>
      <c r="X104" s="44">
        <f t="shared" si="42"/>
        <v>9.98</v>
      </c>
      <c r="Y104" s="44">
        <f t="shared" si="42"/>
        <v>9.98</v>
      </c>
      <c r="Z104" s="44">
        <f t="shared" si="42"/>
        <v>9.98</v>
      </c>
      <c r="AA104" s="44">
        <f t="shared" si="42"/>
        <v>9.98</v>
      </c>
      <c r="AB104" s="44">
        <f t="shared" si="42"/>
        <v>9.98</v>
      </c>
      <c r="AC104" s="44">
        <f t="shared" si="42"/>
        <v>9.98</v>
      </c>
      <c r="AD104" s="44">
        <f t="shared" si="42"/>
        <v>9.98</v>
      </c>
      <c r="AE104" s="44">
        <f t="shared" si="42"/>
        <v>9.98</v>
      </c>
      <c r="AF104" s="44">
        <f t="shared" si="42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0"/>
        <v>9.1</v>
      </c>
      <c r="C105" s="55">
        <v>9.1</v>
      </c>
      <c r="D105" s="44">
        <f t="shared" si="41"/>
        <v>9.1</v>
      </c>
      <c r="E105" s="44">
        <f t="shared" si="41"/>
        <v>9.1</v>
      </c>
      <c r="F105" s="44">
        <f t="shared" si="41"/>
        <v>9.1</v>
      </c>
      <c r="G105" s="44">
        <f t="shared" si="41"/>
        <v>9.1</v>
      </c>
      <c r="H105" s="44">
        <f t="shared" si="41"/>
        <v>9.1</v>
      </c>
      <c r="I105" s="44">
        <f t="shared" si="41"/>
        <v>9.1</v>
      </c>
      <c r="J105" s="44">
        <f t="shared" si="41"/>
        <v>9.1</v>
      </c>
      <c r="K105" s="44">
        <f t="shared" si="41"/>
        <v>9.1</v>
      </c>
      <c r="L105" s="44">
        <f t="shared" si="41"/>
        <v>9.1</v>
      </c>
      <c r="M105" s="44">
        <f t="shared" si="41"/>
        <v>9.1</v>
      </c>
      <c r="N105" s="44">
        <f t="shared" si="41"/>
        <v>9.1</v>
      </c>
      <c r="O105" s="44">
        <f t="shared" si="41"/>
        <v>9.1</v>
      </c>
      <c r="P105" s="44">
        <f t="shared" si="41"/>
        <v>9.1</v>
      </c>
      <c r="Q105" s="44">
        <f t="shared" si="41"/>
        <v>9.1</v>
      </c>
      <c r="R105" s="44">
        <f t="shared" si="41"/>
        <v>9.1</v>
      </c>
      <c r="S105" s="44">
        <f t="shared" si="41"/>
        <v>9.1</v>
      </c>
      <c r="T105" s="44">
        <f t="shared" si="42"/>
        <v>9.1</v>
      </c>
      <c r="U105" s="44">
        <f t="shared" si="42"/>
        <v>9.1</v>
      </c>
      <c r="V105" s="44">
        <f t="shared" si="42"/>
        <v>9.1</v>
      </c>
      <c r="W105" s="44">
        <f t="shared" si="42"/>
        <v>9.1</v>
      </c>
      <c r="X105" s="44">
        <f t="shared" si="42"/>
        <v>9.1</v>
      </c>
      <c r="Y105" s="44">
        <f t="shared" si="42"/>
        <v>9.1</v>
      </c>
      <c r="Z105" s="44">
        <f t="shared" si="42"/>
        <v>9.1</v>
      </c>
      <c r="AA105" s="44">
        <f t="shared" si="42"/>
        <v>9.1</v>
      </c>
      <c r="AB105" s="44">
        <f t="shared" si="42"/>
        <v>9.1</v>
      </c>
      <c r="AC105" s="44">
        <f t="shared" si="42"/>
        <v>9.1</v>
      </c>
      <c r="AD105" s="44">
        <f t="shared" si="42"/>
        <v>9.1</v>
      </c>
      <c r="AE105" s="44">
        <f t="shared" si="42"/>
        <v>9.1</v>
      </c>
      <c r="AF105" s="44">
        <f t="shared" si="42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0"/>
        <v>9.18</v>
      </c>
      <c r="C106" s="55">
        <v>9.18</v>
      </c>
      <c r="D106" s="44">
        <f t="shared" si="41"/>
        <v>9.18</v>
      </c>
      <c r="E106" s="44">
        <f t="shared" si="41"/>
        <v>9.18</v>
      </c>
      <c r="F106" s="44">
        <f t="shared" si="41"/>
        <v>9.18</v>
      </c>
      <c r="G106" s="44">
        <f t="shared" si="41"/>
        <v>9.18</v>
      </c>
      <c r="H106" s="44">
        <f t="shared" si="41"/>
        <v>9.18</v>
      </c>
      <c r="I106" s="44">
        <f t="shared" si="41"/>
        <v>9.18</v>
      </c>
      <c r="J106" s="44">
        <f t="shared" si="41"/>
        <v>9.18</v>
      </c>
      <c r="K106" s="44">
        <f t="shared" si="41"/>
        <v>9.18</v>
      </c>
      <c r="L106" s="44">
        <f t="shared" si="41"/>
        <v>9.18</v>
      </c>
      <c r="M106" s="44">
        <f t="shared" si="41"/>
        <v>9.18</v>
      </c>
      <c r="N106" s="44">
        <f t="shared" si="41"/>
        <v>9.18</v>
      </c>
      <c r="O106" s="44">
        <f t="shared" si="41"/>
        <v>9.18</v>
      </c>
      <c r="P106" s="44">
        <f t="shared" si="41"/>
        <v>9.18</v>
      </c>
      <c r="Q106" s="44">
        <f t="shared" si="41"/>
        <v>9.18</v>
      </c>
      <c r="R106" s="44">
        <f t="shared" si="41"/>
        <v>9.18</v>
      </c>
      <c r="S106" s="44">
        <f t="shared" si="41"/>
        <v>9.18</v>
      </c>
      <c r="T106" s="44">
        <f t="shared" si="42"/>
        <v>9.18</v>
      </c>
      <c r="U106" s="44">
        <f t="shared" si="42"/>
        <v>9.18</v>
      </c>
      <c r="V106" s="44">
        <f t="shared" si="42"/>
        <v>9.18</v>
      </c>
      <c r="W106" s="44">
        <f t="shared" si="42"/>
        <v>9.18</v>
      </c>
      <c r="X106" s="44">
        <f t="shared" si="42"/>
        <v>9.18</v>
      </c>
      <c r="Y106" s="44">
        <f t="shared" si="42"/>
        <v>9.18</v>
      </c>
      <c r="Z106" s="44">
        <f t="shared" si="42"/>
        <v>9.18</v>
      </c>
      <c r="AA106" s="44">
        <f t="shared" si="42"/>
        <v>9.18</v>
      </c>
      <c r="AB106" s="44">
        <f t="shared" si="42"/>
        <v>9.18</v>
      </c>
      <c r="AC106" s="44">
        <f t="shared" si="42"/>
        <v>9.18</v>
      </c>
      <c r="AD106" s="44">
        <f t="shared" si="42"/>
        <v>9.18</v>
      </c>
      <c r="AE106" s="44">
        <f t="shared" si="42"/>
        <v>9.18</v>
      </c>
      <c r="AF106" s="44">
        <f t="shared" si="42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0"/>
        <v>7</v>
      </c>
      <c r="C107" s="55">
        <v>7</v>
      </c>
      <c r="D107" s="44">
        <f t="shared" si="41"/>
        <v>7</v>
      </c>
      <c r="E107" s="44">
        <f t="shared" si="41"/>
        <v>7</v>
      </c>
      <c r="F107" s="44">
        <f t="shared" si="41"/>
        <v>7</v>
      </c>
      <c r="G107" s="44">
        <f t="shared" si="41"/>
        <v>7</v>
      </c>
      <c r="H107" s="44">
        <f t="shared" si="41"/>
        <v>7</v>
      </c>
      <c r="I107" s="44">
        <f t="shared" si="41"/>
        <v>7</v>
      </c>
      <c r="J107" s="44">
        <f t="shared" si="41"/>
        <v>7</v>
      </c>
      <c r="K107" s="44">
        <f t="shared" si="41"/>
        <v>7</v>
      </c>
      <c r="L107" s="44">
        <f t="shared" si="41"/>
        <v>7</v>
      </c>
      <c r="M107" s="44">
        <f t="shared" si="41"/>
        <v>7</v>
      </c>
      <c r="N107" s="44">
        <f t="shared" si="41"/>
        <v>7</v>
      </c>
      <c r="O107" s="44">
        <f t="shared" si="41"/>
        <v>7</v>
      </c>
      <c r="P107" s="44">
        <f t="shared" si="41"/>
        <v>7</v>
      </c>
      <c r="Q107" s="44">
        <f t="shared" si="41"/>
        <v>7</v>
      </c>
      <c r="R107" s="44">
        <f t="shared" si="41"/>
        <v>7</v>
      </c>
      <c r="S107" s="44">
        <f t="shared" si="41"/>
        <v>7</v>
      </c>
      <c r="T107" s="44">
        <f t="shared" si="42"/>
        <v>7</v>
      </c>
      <c r="U107" s="44">
        <f t="shared" si="42"/>
        <v>7</v>
      </c>
      <c r="V107" s="44">
        <f t="shared" si="42"/>
        <v>7</v>
      </c>
      <c r="W107" s="44">
        <f t="shared" si="42"/>
        <v>7</v>
      </c>
      <c r="X107" s="44">
        <f t="shared" si="42"/>
        <v>7</v>
      </c>
      <c r="Y107" s="44">
        <f t="shared" si="42"/>
        <v>7</v>
      </c>
      <c r="Z107" s="44">
        <f t="shared" si="42"/>
        <v>7</v>
      </c>
      <c r="AA107" s="44">
        <f t="shared" si="42"/>
        <v>7</v>
      </c>
      <c r="AB107" s="44">
        <f t="shared" si="42"/>
        <v>7</v>
      </c>
      <c r="AC107" s="44">
        <f t="shared" si="42"/>
        <v>7</v>
      </c>
      <c r="AD107" s="44">
        <f t="shared" si="42"/>
        <v>7</v>
      </c>
      <c r="AE107" s="44">
        <f t="shared" si="42"/>
        <v>7</v>
      </c>
      <c r="AF107" s="44">
        <f t="shared" si="42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3">C109</f>
        <v>2.25</v>
      </c>
      <c r="E109" s="44">
        <f t="shared" si="43"/>
        <v>2.25</v>
      </c>
      <c r="F109" s="44">
        <f t="shared" si="43"/>
        <v>2.25</v>
      </c>
      <c r="G109" s="44">
        <f t="shared" si="43"/>
        <v>2.25</v>
      </c>
      <c r="H109" s="44">
        <f t="shared" si="43"/>
        <v>2.25</v>
      </c>
      <c r="I109" s="44">
        <f t="shared" si="43"/>
        <v>2.25</v>
      </c>
      <c r="J109" s="44">
        <f t="shared" si="43"/>
        <v>2.25</v>
      </c>
      <c r="K109" s="44">
        <f t="shared" si="43"/>
        <v>2.25</v>
      </c>
      <c r="L109" s="44">
        <f t="shared" si="43"/>
        <v>2.25</v>
      </c>
      <c r="M109" s="44">
        <f t="shared" si="43"/>
        <v>2.25</v>
      </c>
      <c r="N109" s="44">
        <f t="shared" si="43"/>
        <v>2.25</v>
      </c>
      <c r="O109" s="44">
        <f t="shared" si="43"/>
        <v>2.25</v>
      </c>
      <c r="P109" s="44">
        <f t="shared" si="43"/>
        <v>2.25</v>
      </c>
      <c r="Q109" s="44">
        <f t="shared" si="43"/>
        <v>2.25</v>
      </c>
      <c r="R109" s="44">
        <f t="shared" si="43"/>
        <v>2.25</v>
      </c>
      <c r="S109" s="44">
        <f t="shared" si="43"/>
        <v>2.25</v>
      </c>
      <c r="T109" s="44">
        <f t="shared" ref="T109:AF110" si="44">S109</f>
        <v>2.25</v>
      </c>
      <c r="U109" s="44">
        <f t="shared" si="44"/>
        <v>2.25</v>
      </c>
      <c r="V109" s="44">
        <f t="shared" si="44"/>
        <v>2.25</v>
      </c>
      <c r="W109" s="44">
        <f t="shared" si="44"/>
        <v>2.25</v>
      </c>
      <c r="X109" s="44">
        <f t="shared" si="44"/>
        <v>2.25</v>
      </c>
      <c r="Y109" s="44">
        <f t="shared" si="44"/>
        <v>2.25</v>
      </c>
      <c r="Z109" s="44">
        <f t="shared" si="44"/>
        <v>2.25</v>
      </c>
      <c r="AA109" s="44">
        <f t="shared" si="44"/>
        <v>2.25</v>
      </c>
      <c r="AB109" s="44">
        <f t="shared" si="44"/>
        <v>2.25</v>
      </c>
      <c r="AC109" s="44">
        <f t="shared" si="44"/>
        <v>2.25</v>
      </c>
      <c r="AD109" s="44">
        <f t="shared" si="44"/>
        <v>2.25</v>
      </c>
      <c r="AE109" s="44">
        <f t="shared" si="44"/>
        <v>2.25</v>
      </c>
      <c r="AF109" s="44">
        <f t="shared" si="44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3"/>
        <v>1.64</v>
      </c>
      <c r="E110" s="44">
        <f t="shared" si="43"/>
        <v>1.64</v>
      </c>
      <c r="F110" s="44">
        <f t="shared" si="43"/>
        <v>1.64</v>
      </c>
      <c r="G110" s="44">
        <f t="shared" si="43"/>
        <v>1.64</v>
      </c>
      <c r="H110" s="44">
        <f t="shared" si="43"/>
        <v>1.64</v>
      </c>
      <c r="I110" s="44">
        <f t="shared" si="43"/>
        <v>1.64</v>
      </c>
      <c r="J110" s="44">
        <f t="shared" si="43"/>
        <v>1.64</v>
      </c>
      <c r="K110" s="44">
        <f t="shared" si="43"/>
        <v>1.64</v>
      </c>
      <c r="L110" s="44">
        <f t="shared" si="43"/>
        <v>1.64</v>
      </c>
      <c r="M110" s="44">
        <f t="shared" si="43"/>
        <v>1.64</v>
      </c>
      <c r="N110" s="44">
        <f t="shared" si="43"/>
        <v>1.64</v>
      </c>
      <c r="O110" s="44">
        <f t="shared" si="43"/>
        <v>1.64</v>
      </c>
      <c r="P110" s="44">
        <f t="shared" si="43"/>
        <v>1.64</v>
      </c>
      <c r="Q110" s="44">
        <f t="shared" si="43"/>
        <v>1.64</v>
      </c>
      <c r="R110" s="44">
        <f t="shared" si="43"/>
        <v>1.64</v>
      </c>
      <c r="S110" s="44">
        <f t="shared" si="43"/>
        <v>1.64</v>
      </c>
      <c r="T110" s="44">
        <f t="shared" si="44"/>
        <v>1.64</v>
      </c>
      <c r="U110" s="44">
        <f t="shared" si="44"/>
        <v>1.64</v>
      </c>
      <c r="V110" s="44">
        <f t="shared" si="44"/>
        <v>1.64</v>
      </c>
      <c r="W110" s="44">
        <f t="shared" si="44"/>
        <v>1.64</v>
      </c>
      <c r="X110" s="44">
        <f t="shared" si="44"/>
        <v>1.64</v>
      </c>
      <c r="Y110" s="44">
        <f t="shared" si="44"/>
        <v>1.64</v>
      </c>
      <c r="Z110" s="44">
        <f t="shared" si="44"/>
        <v>1.64</v>
      </c>
      <c r="AA110" s="44">
        <f t="shared" si="44"/>
        <v>1.64</v>
      </c>
      <c r="AB110" s="44">
        <f t="shared" si="44"/>
        <v>1.64</v>
      </c>
      <c r="AC110" s="44">
        <f t="shared" si="44"/>
        <v>1.64</v>
      </c>
      <c r="AD110" s="44">
        <f t="shared" si="44"/>
        <v>1.64</v>
      </c>
      <c r="AE110" s="44">
        <f t="shared" si="44"/>
        <v>1.64</v>
      </c>
      <c r="AF110" s="44">
        <f t="shared" si="44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5">AF112</f>
        <v>1.62</v>
      </c>
      <c r="C112" s="55">
        <v>1.62</v>
      </c>
      <c r="D112" s="44">
        <f t="shared" ref="D112:S119" si="46">C112</f>
        <v>1.62</v>
      </c>
      <c r="E112" s="44">
        <f t="shared" si="46"/>
        <v>1.62</v>
      </c>
      <c r="F112" s="44">
        <f t="shared" si="46"/>
        <v>1.62</v>
      </c>
      <c r="G112" s="44">
        <f t="shared" si="46"/>
        <v>1.62</v>
      </c>
      <c r="H112" s="44">
        <f t="shared" si="46"/>
        <v>1.62</v>
      </c>
      <c r="I112" s="44">
        <f t="shared" si="46"/>
        <v>1.62</v>
      </c>
      <c r="J112" s="44">
        <f t="shared" si="46"/>
        <v>1.62</v>
      </c>
      <c r="K112" s="44">
        <f t="shared" si="46"/>
        <v>1.62</v>
      </c>
      <c r="L112" s="44">
        <f t="shared" si="46"/>
        <v>1.62</v>
      </c>
      <c r="M112" s="44">
        <f t="shared" si="46"/>
        <v>1.62</v>
      </c>
      <c r="N112" s="44">
        <f t="shared" si="46"/>
        <v>1.62</v>
      </c>
      <c r="O112" s="44">
        <f t="shared" si="46"/>
        <v>1.62</v>
      </c>
      <c r="P112" s="44">
        <f t="shared" si="46"/>
        <v>1.62</v>
      </c>
      <c r="Q112" s="44">
        <f t="shared" si="46"/>
        <v>1.62</v>
      </c>
      <c r="R112" s="44">
        <f t="shared" si="46"/>
        <v>1.62</v>
      </c>
      <c r="S112" s="44">
        <f t="shared" si="46"/>
        <v>1.62</v>
      </c>
      <c r="T112" s="44">
        <f t="shared" ref="T112:AF127" si="47">S112</f>
        <v>1.62</v>
      </c>
      <c r="U112" s="44">
        <f t="shared" si="47"/>
        <v>1.62</v>
      </c>
      <c r="V112" s="44">
        <f t="shared" si="47"/>
        <v>1.62</v>
      </c>
      <c r="W112" s="44">
        <f t="shared" si="47"/>
        <v>1.62</v>
      </c>
      <c r="X112" s="44">
        <f t="shared" si="47"/>
        <v>1.62</v>
      </c>
      <c r="Y112" s="44">
        <f t="shared" si="47"/>
        <v>1.62</v>
      </c>
      <c r="Z112" s="44">
        <f t="shared" si="47"/>
        <v>1.62</v>
      </c>
      <c r="AA112" s="44">
        <f t="shared" si="47"/>
        <v>1.62</v>
      </c>
      <c r="AB112" s="44">
        <f t="shared" si="47"/>
        <v>1.62</v>
      </c>
      <c r="AC112" s="44">
        <f t="shared" si="47"/>
        <v>1.62</v>
      </c>
      <c r="AD112" s="44">
        <f t="shared" si="47"/>
        <v>1.62</v>
      </c>
      <c r="AE112" s="44">
        <f t="shared" si="47"/>
        <v>1.62</v>
      </c>
      <c r="AF112" s="44">
        <f t="shared" si="47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5"/>
        <v>8.36</v>
      </c>
      <c r="C113" s="55">
        <v>8.36</v>
      </c>
      <c r="D113" s="44">
        <f t="shared" si="46"/>
        <v>8.36</v>
      </c>
      <c r="E113" s="44">
        <f t="shared" si="46"/>
        <v>8.36</v>
      </c>
      <c r="F113" s="44">
        <f t="shared" si="46"/>
        <v>8.36</v>
      </c>
      <c r="G113" s="44">
        <f t="shared" si="46"/>
        <v>8.36</v>
      </c>
      <c r="H113" s="44">
        <f t="shared" si="46"/>
        <v>8.36</v>
      </c>
      <c r="I113" s="44">
        <f t="shared" si="46"/>
        <v>8.36</v>
      </c>
      <c r="J113" s="44">
        <f t="shared" si="46"/>
        <v>8.36</v>
      </c>
      <c r="K113" s="44">
        <f t="shared" si="46"/>
        <v>8.36</v>
      </c>
      <c r="L113" s="44">
        <f t="shared" si="46"/>
        <v>8.36</v>
      </c>
      <c r="M113" s="44">
        <f t="shared" si="46"/>
        <v>8.36</v>
      </c>
      <c r="N113" s="44">
        <f t="shared" si="46"/>
        <v>8.36</v>
      </c>
      <c r="O113" s="44">
        <f t="shared" si="46"/>
        <v>8.36</v>
      </c>
      <c r="P113" s="44">
        <f t="shared" si="46"/>
        <v>8.36</v>
      </c>
      <c r="Q113" s="44">
        <f t="shared" si="46"/>
        <v>8.36</v>
      </c>
      <c r="R113" s="44">
        <f t="shared" si="46"/>
        <v>8.36</v>
      </c>
      <c r="S113" s="44">
        <f t="shared" si="46"/>
        <v>8.36</v>
      </c>
      <c r="T113" s="44">
        <f t="shared" si="47"/>
        <v>8.36</v>
      </c>
      <c r="U113" s="44">
        <f t="shared" si="47"/>
        <v>8.36</v>
      </c>
      <c r="V113" s="44">
        <f t="shared" si="47"/>
        <v>8.36</v>
      </c>
      <c r="W113" s="44">
        <f t="shared" si="47"/>
        <v>8.36</v>
      </c>
      <c r="X113" s="44">
        <f t="shared" si="47"/>
        <v>8.36</v>
      </c>
      <c r="Y113" s="44">
        <f t="shared" si="47"/>
        <v>8.36</v>
      </c>
      <c r="Z113" s="44">
        <f t="shared" si="47"/>
        <v>8.36</v>
      </c>
      <c r="AA113" s="44">
        <f t="shared" si="47"/>
        <v>8.36</v>
      </c>
      <c r="AB113" s="44">
        <f t="shared" si="47"/>
        <v>8.36</v>
      </c>
      <c r="AC113" s="44">
        <f t="shared" si="47"/>
        <v>8.36</v>
      </c>
      <c r="AD113" s="44">
        <f t="shared" si="47"/>
        <v>8.36</v>
      </c>
      <c r="AE113" s="44">
        <f t="shared" si="47"/>
        <v>8.36</v>
      </c>
      <c r="AF113" s="44">
        <f t="shared" si="47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5"/>
        <v>5.4</v>
      </c>
      <c r="C114" s="55">
        <v>8</v>
      </c>
      <c r="D114" s="44">
        <f t="shared" si="46"/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si="46"/>
        <v>5.4</v>
      </c>
      <c r="L114" s="44">
        <f t="shared" si="46"/>
        <v>5.4</v>
      </c>
      <c r="M114" s="44">
        <f t="shared" si="46"/>
        <v>5.4</v>
      </c>
      <c r="N114" s="44">
        <f t="shared" si="46"/>
        <v>5.4</v>
      </c>
      <c r="O114" s="44">
        <f t="shared" si="46"/>
        <v>5.4</v>
      </c>
      <c r="P114" s="44">
        <f t="shared" si="46"/>
        <v>5.4</v>
      </c>
      <c r="Q114" s="44">
        <f t="shared" si="46"/>
        <v>5.4</v>
      </c>
      <c r="R114" s="44">
        <f t="shared" si="46"/>
        <v>5.4</v>
      </c>
      <c r="S114" s="44">
        <f t="shared" si="46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5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si="46"/>
        <v>6.57</v>
      </c>
      <c r="K115" s="44">
        <f t="shared" si="46"/>
        <v>6.57</v>
      </c>
      <c r="L115" s="44">
        <f t="shared" si="46"/>
        <v>6.57</v>
      </c>
      <c r="M115" s="44">
        <f t="shared" si="46"/>
        <v>6.57</v>
      </c>
      <c r="N115" s="44">
        <f t="shared" si="46"/>
        <v>6.57</v>
      </c>
      <c r="O115" s="44">
        <f t="shared" si="46"/>
        <v>6.57</v>
      </c>
      <c r="P115" s="44">
        <f t="shared" si="46"/>
        <v>6.57</v>
      </c>
      <c r="Q115" s="44">
        <f t="shared" si="46"/>
        <v>6.57</v>
      </c>
      <c r="R115" s="44">
        <f t="shared" si="46"/>
        <v>6.57</v>
      </c>
      <c r="S115" s="44">
        <f t="shared" si="46"/>
        <v>6.57</v>
      </c>
      <c r="T115" s="44">
        <f t="shared" si="47"/>
        <v>6.57</v>
      </c>
      <c r="U115" s="44">
        <f t="shared" si="47"/>
        <v>6.57</v>
      </c>
      <c r="V115" s="44">
        <f t="shared" si="47"/>
        <v>6.57</v>
      </c>
      <c r="W115" s="44">
        <f t="shared" si="47"/>
        <v>6.57</v>
      </c>
      <c r="X115" s="44">
        <f t="shared" si="47"/>
        <v>6.57</v>
      </c>
      <c r="Y115" s="44">
        <f t="shared" si="47"/>
        <v>6.57</v>
      </c>
      <c r="Z115" s="44">
        <f t="shared" si="47"/>
        <v>6.57</v>
      </c>
      <c r="AA115" s="44">
        <f t="shared" si="47"/>
        <v>6.57</v>
      </c>
      <c r="AB115" s="44">
        <f t="shared" si="47"/>
        <v>6.57</v>
      </c>
      <c r="AC115" s="44">
        <f t="shared" si="47"/>
        <v>6.57</v>
      </c>
      <c r="AD115" s="44">
        <f t="shared" si="47"/>
        <v>6.57</v>
      </c>
      <c r="AE115" s="44">
        <f t="shared" si="47"/>
        <v>6.57</v>
      </c>
      <c r="AF115" s="44">
        <f t="shared" si="47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5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6"/>
        <v>3.43</v>
      </c>
      <c r="K116" s="44">
        <f t="shared" si="46"/>
        <v>3.43</v>
      </c>
      <c r="L116" s="44">
        <f t="shared" si="46"/>
        <v>3.43</v>
      </c>
      <c r="M116" s="44">
        <f t="shared" si="46"/>
        <v>3.43</v>
      </c>
      <c r="N116" s="44">
        <f t="shared" si="46"/>
        <v>3.43</v>
      </c>
      <c r="O116" s="44">
        <f t="shared" si="46"/>
        <v>3.43</v>
      </c>
      <c r="P116" s="44">
        <f t="shared" si="46"/>
        <v>3.43</v>
      </c>
      <c r="Q116" s="44">
        <f t="shared" si="46"/>
        <v>3.43</v>
      </c>
      <c r="R116" s="44">
        <f t="shared" si="46"/>
        <v>3.43</v>
      </c>
      <c r="S116" s="44">
        <f t="shared" si="46"/>
        <v>3.43</v>
      </c>
      <c r="T116" s="44">
        <f t="shared" si="47"/>
        <v>3.43</v>
      </c>
      <c r="U116" s="44">
        <f t="shared" si="47"/>
        <v>3.43</v>
      </c>
      <c r="V116" s="44">
        <f t="shared" si="47"/>
        <v>3.43</v>
      </c>
      <c r="W116" s="44">
        <f t="shared" si="47"/>
        <v>3.43</v>
      </c>
      <c r="X116" s="44">
        <f t="shared" si="47"/>
        <v>3.43</v>
      </c>
      <c r="Y116" s="44">
        <f t="shared" si="47"/>
        <v>3.43</v>
      </c>
      <c r="Z116" s="44">
        <f t="shared" si="47"/>
        <v>3.43</v>
      </c>
      <c r="AA116" s="44">
        <f t="shared" si="47"/>
        <v>3.43</v>
      </c>
      <c r="AB116" s="44">
        <f t="shared" si="47"/>
        <v>3.43</v>
      </c>
      <c r="AC116" s="44">
        <f t="shared" si="47"/>
        <v>3.43</v>
      </c>
      <c r="AD116" s="44">
        <f t="shared" si="47"/>
        <v>3.43</v>
      </c>
      <c r="AE116" s="44">
        <f t="shared" si="47"/>
        <v>3.43</v>
      </c>
      <c r="AF116" s="44">
        <f t="shared" si="47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5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6"/>
        <v>2.96</v>
      </c>
      <c r="K117" s="44">
        <f t="shared" si="46"/>
        <v>2.96</v>
      </c>
      <c r="L117" s="44">
        <f t="shared" si="46"/>
        <v>2.96</v>
      </c>
      <c r="M117" s="44">
        <f t="shared" si="46"/>
        <v>2.96</v>
      </c>
      <c r="N117" s="44">
        <f t="shared" si="46"/>
        <v>2.96</v>
      </c>
      <c r="O117" s="44">
        <f t="shared" si="46"/>
        <v>2.96</v>
      </c>
      <c r="P117" s="44">
        <f t="shared" si="46"/>
        <v>2.96</v>
      </c>
      <c r="Q117" s="44">
        <f t="shared" si="46"/>
        <v>2.96</v>
      </c>
      <c r="R117" s="44">
        <f t="shared" si="46"/>
        <v>2.96</v>
      </c>
      <c r="S117" s="44">
        <f t="shared" si="46"/>
        <v>2.96</v>
      </c>
      <c r="T117" s="44">
        <f t="shared" si="47"/>
        <v>2.96</v>
      </c>
      <c r="U117" s="44">
        <f t="shared" si="47"/>
        <v>2.96</v>
      </c>
      <c r="V117" s="44">
        <f t="shared" si="47"/>
        <v>2.96</v>
      </c>
      <c r="W117" s="44">
        <f t="shared" si="47"/>
        <v>2.96</v>
      </c>
      <c r="X117" s="44">
        <f t="shared" si="47"/>
        <v>2.96</v>
      </c>
      <c r="Y117" s="44">
        <f t="shared" si="47"/>
        <v>2.96</v>
      </c>
      <c r="Z117" s="44">
        <f t="shared" si="47"/>
        <v>2.96</v>
      </c>
      <c r="AA117" s="44">
        <f t="shared" si="47"/>
        <v>2.96</v>
      </c>
      <c r="AB117" s="44">
        <f t="shared" si="47"/>
        <v>2.96</v>
      </c>
      <c r="AC117" s="44">
        <f t="shared" si="47"/>
        <v>2.96</v>
      </c>
      <c r="AD117" s="44">
        <f t="shared" si="47"/>
        <v>2.96</v>
      </c>
      <c r="AE117" s="44">
        <f t="shared" si="47"/>
        <v>2.96</v>
      </c>
      <c r="AF117" s="44">
        <f t="shared" si="47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5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6"/>
        <v>8</v>
      </c>
      <c r="K118" s="44">
        <f t="shared" si="46"/>
        <v>8</v>
      </c>
      <c r="L118" s="44">
        <f t="shared" si="46"/>
        <v>8</v>
      </c>
      <c r="M118" s="44">
        <f t="shared" si="46"/>
        <v>8</v>
      </c>
      <c r="N118" s="44">
        <f t="shared" si="46"/>
        <v>8</v>
      </c>
      <c r="O118" s="44">
        <f t="shared" si="46"/>
        <v>8</v>
      </c>
      <c r="P118" s="44">
        <f t="shared" si="46"/>
        <v>8</v>
      </c>
      <c r="Q118" s="44">
        <f t="shared" si="46"/>
        <v>8</v>
      </c>
      <c r="R118" s="44">
        <f t="shared" si="46"/>
        <v>8</v>
      </c>
      <c r="S118" s="44">
        <f t="shared" si="46"/>
        <v>8</v>
      </c>
      <c r="T118" s="44">
        <f t="shared" si="47"/>
        <v>8</v>
      </c>
      <c r="U118" s="44">
        <f t="shared" si="47"/>
        <v>8</v>
      </c>
      <c r="V118" s="44">
        <f t="shared" si="47"/>
        <v>8</v>
      </c>
      <c r="W118" s="44">
        <f t="shared" si="47"/>
        <v>8</v>
      </c>
      <c r="X118" s="44">
        <f t="shared" si="47"/>
        <v>8</v>
      </c>
      <c r="Y118" s="44">
        <f t="shared" si="47"/>
        <v>8</v>
      </c>
      <c r="Z118" s="44">
        <f t="shared" si="47"/>
        <v>8</v>
      </c>
      <c r="AA118" s="44">
        <f t="shared" si="47"/>
        <v>8</v>
      </c>
      <c r="AB118" s="44">
        <f t="shared" si="47"/>
        <v>8</v>
      </c>
      <c r="AC118" s="44">
        <f t="shared" si="47"/>
        <v>8</v>
      </c>
      <c r="AD118" s="44">
        <f t="shared" si="47"/>
        <v>8</v>
      </c>
      <c r="AE118" s="44">
        <f t="shared" si="47"/>
        <v>8</v>
      </c>
      <c r="AF118" s="44">
        <f t="shared" si="47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5"/>
        <v>7</v>
      </c>
      <c r="C119" s="55">
        <v>7</v>
      </c>
      <c r="D119" s="44">
        <f>C119</f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6"/>
        <v>7</v>
      </c>
      <c r="K119" s="44">
        <f t="shared" si="46"/>
        <v>7</v>
      </c>
      <c r="L119" s="44">
        <f t="shared" si="46"/>
        <v>7</v>
      </c>
      <c r="M119" s="44">
        <f t="shared" si="46"/>
        <v>7</v>
      </c>
      <c r="N119" s="44">
        <f t="shared" si="46"/>
        <v>7</v>
      </c>
      <c r="O119" s="44">
        <f t="shared" si="46"/>
        <v>7</v>
      </c>
      <c r="P119" s="44">
        <f t="shared" si="46"/>
        <v>7</v>
      </c>
      <c r="Q119" s="44">
        <f t="shared" si="46"/>
        <v>7</v>
      </c>
      <c r="R119" s="44">
        <f t="shared" si="46"/>
        <v>7</v>
      </c>
      <c r="S119" s="44">
        <f t="shared" si="46"/>
        <v>7</v>
      </c>
      <c r="T119" s="44">
        <f t="shared" si="47"/>
        <v>7</v>
      </c>
      <c r="U119" s="44">
        <f t="shared" si="47"/>
        <v>7</v>
      </c>
      <c r="V119" s="44">
        <f t="shared" si="47"/>
        <v>7</v>
      </c>
      <c r="W119" s="44">
        <f t="shared" si="47"/>
        <v>7</v>
      </c>
      <c r="X119" s="44">
        <f t="shared" si="47"/>
        <v>7</v>
      </c>
      <c r="Y119" s="44">
        <f t="shared" si="47"/>
        <v>7</v>
      </c>
      <c r="Z119" s="44">
        <f t="shared" si="47"/>
        <v>7</v>
      </c>
      <c r="AA119" s="44">
        <f t="shared" si="47"/>
        <v>7</v>
      </c>
      <c r="AB119" s="44">
        <f t="shared" si="47"/>
        <v>7</v>
      </c>
      <c r="AC119" s="44">
        <f t="shared" si="47"/>
        <v>7</v>
      </c>
      <c r="AD119" s="44">
        <f t="shared" si="47"/>
        <v>7</v>
      </c>
      <c r="AE119" s="44">
        <f t="shared" si="47"/>
        <v>7</v>
      </c>
      <c r="AF119" s="44">
        <f t="shared" si="47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5"/>
        <v>3.47</v>
      </c>
      <c r="C120" s="55">
        <v>3.47</v>
      </c>
      <c r="D120" s="44">
        <f t="shared" ref="D120:S129" si="48">C120</f>
        <v>3.47</v>
      </c>
      <c r="E120" s="44">
        <f t="shared" si="48"/>
        <v>3.47</v>
      </c>
      <c r="F120" s="44">
        <f t="shared" si="48"/>
        <v>3.47</v>
      </c>
      <c r="G120" s="44">
        <f t="shared" si="48"/>
        <v>3.47</v>
      </c>
      <c r="H120" s="44">
        <f t="shared" si="48"/>
        <v>3.47</v>
      </c>
      <c r="I120" s="44">
        <f t="shared" si="48"/>
        <v>3.47</v>
      </c>
      <c r="J120" s="44">
        <f t="shared" si="48"/>
        <v>3.47</v>
      </c>
      <c r="K120" s="44">
        <f t="shared" si="48"/>
        <v>3.47</v>
      </c>
      <c r="L120" s="44">
        <f t="shared" si="48"/>
        <v>3.47</v>
      </c>
      <c r="M120" s="44">
        <f t="shared" si="48"/>
        <v>3.47</v>
      </c>
      <c r="N120" s="44">
        <f t="shared" si="48"/>
        <v>3.47</v>
      </c>
      <c r="O120" s="44">
        <f t="shared" si="48"/>
        <v>3.47</v>
      </c>
      <c r="P120" s="44">
        <f t="shared" si="48"/>
        <v>3.47</v>
      </c>
      <c r="Q120" s="44">
        <f t="shared" si="48"/>
        <v>3.47</v>
      </c>
      <c r="R120" s="44">
        <f t="shared" si="48"/>
        <v>3.47</v>
      </c>
      <c r="S120" s="44">
        <f t="shared" si="48"/>
        <v>3.47</v>
      </c>
      <c r="T120" s="44">
        <f t="shared" si="47"/>
        <v>3.47</v>
      </c>
      <c r="U120" s="44">
        <f t="shared" si="47"/>
        <v>3.47</v>
      </c>
      <c r="V120" s="44">
        <f t="shared" si="47"/>
        <v>3.47</v>
      </c>
      <c r="W120" s="44">
        <f t="shared" si="47"/>
        <v>3.47</v>
      </c>
      <c r="X120" s="44">
        <f t="shared" si="47"/>
        <v>3.47</v>
      </c>
      <c r="Y120" s="44">
        <f t="shared" si="47"/>
        <v>3.47</v>
      </c>
      <c r="Z120" s="44">
        <f t="shared" si="47"/>
        <v>3.47</v>
      </c>
      <c r="AA120" s="44">
        <f t="shared" si="47"/>
        <v>3.47</v>
      </c>
      <c r="AB120" s="44">
        <f t="shared" si="47"/>
        <v>3.47</v>
      </c>
      <c r="AC120" s="44">
        <f t="shared" si="47"/>
        <v>3.47</v>
      </c>
      <c r="AD120" s="44">
        <f t="shared" si="47"/>
        <v>3.47</v>
      </c>
      <c r="AE120" s="44">
        <f t="shared" si="47"/>
        <v>3.47</v>
      </c>
      <c r="AF120" s="44">
        <f t="shared" si="47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5"/>
        <v>2.1</v>
      </c>
      <c r="C121" s="55">
        <v>2.1</v>
      </c>
      <c r="D121" s="44">
        <f t="shared" si="48"/>
        <v>2.1</v>
      </c>
      <c r="E121" s="44">
        <f t="shared" si="48"/>
        <v>2.1</v>
      </c>
      <c r="F121" s="44">
        <f t="shared" si="48"/>
        <v>2.1</v>
      </c>
      <c r="G121" s="44">
        <f t="shared" si="48"/>
        <v>2.1</v>
      </c>
      <c r="H121" s="44">
        <f t="shared" si="48"/>
        <v>2.1</v>
      </c>
      <c r="I121" s="44">
        <f t="shared" si="48"/>
        <v>2.1</v>
      </c>
      <c r="J121" s="44">
        <f t="shared" si="48"/>
        <v>2.1</v>
      </c>
      <c r="K121" s="44">
        <f t="shared" si="48"/>
        <v>2.1</v>
      </c>
      <c r="L121" s="44">
        <f t="shared" si="48"/>
        <v>2.1</v>
      </c>
      <c r="M121" s="44">
        <f t="shared" si="48"/>
        <v>2.1</v>
      </c>
      <c r="N121" s="44">
        <f t="shared" si="48"/>
        <v>2.1</v>
      </c>
      <c r="O121" s="44">
        <f t="shared" si="48"/>
        <v>2.1</v>
      </c>
      <c r="P121" s="44">
        <f t="shared" si="48"/>
        <v>2.1</v>
      </c>
      <c r="Q121" s="44">
        <f t="shared" si="48"/>
        <v>2.1</v>
      </c>
      <c r="R121" s="44">
        <f t="shared" si="48"/>
        <v>2.1</v>
      </c>
      <c r="S121" s="44">
        <f t="shared" si="48"/>
        <v>2.1</v>
      </c>
      <c r="T121" s="44">
        <f t="shared" si="47"/>
        <v>2.1</v>
      </c>
      <c r="U121" s="44">
        <f t="shared" si="47"/>
        <v>2.1</v>
      </c>
      <c r="V121" s="44">
        <f t="shared" si="47"/>
        <v>2.1</v>
      </c>
      <c r="W121" s="44">
        <f t="shared" si="47"/>
        <v>2.1</v>
      </c>
      <c r="X121" s="44">
        <f t="shared" si="47"/>
        <v>2.1</v>
      </c>
      <c r="Y121" s="44">
        <f t="shared" si="47"/>
        <v>2.1</v>
      </c>
      <c r="Z121" s="44">
        <f t="shared" si="47"/>
        <v>2.1</v>
      </c>
      <c r="AA121" s="44">
        <f t="shared" si="47"/>
        <v>2.1</v>
      </c>
      <c r="AB121" s="44">
        <f t="shared" si="47"/>
        <v>2.1</v>
      </c>
      <c r="AC121" s="44">
        <f t="shared" si="47"/>
        <v>2.1</v>
      </c>
      <c r="AD121" s="44">
        <f t="shared" si="47"/>
        <v>2.1</v>
      </c>
      <c r="AE121" s="44">
        <f t="shared" si="47"/>
        <v>2.1</v>
      </c>
      <c r="AF121" s="44">
        <f t="shared" si="47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5"/>
        <v>9.3000000000000007</v>
      </c>
      <c r="C122" s="55">
        <v>9.3000000000000007</v>
      </c>
      <c r="D122" s="44">
        <f t="shared" si="48"/>
        <v>9.3000000000000007</v>
      </c>
      <c r="E122" s="44">
        <f t="shared" si="48"/>
        <v>9.3000000000000007</v>
      </c>
      <c r="F122" s="44">
        <f t="shared" si="48"/>
        <v>9.3000000000000007</v>
      </c>
      <c r="G122" s="44">
        <f t="shared" si="48"/>
        <v>9.3000000000000007</v>
      </c>
      <c r="H122" s="44">
        <f t="shared" si="48"/>
        <v>9.3000000000000007</v>
      </c>
      <c r="I122" s="44">
        <f t="shared" si="48"/>
        <v>9.3000000000000007</v>
      </c>
      <c r="J122" s="44">
        <f t="shared" si="48"/>
        <v>9.3000000000000007</v>
      </c>
      <c r="K122" s="44">
        <f t="shared" si="48"/>
        <v>9.3000000000000007</v>
      </c>
      <c r="L122" s="44">
        <f t="shared" si="48"/>
        <v>9.3000000000000007</v>
      </c>
      <c r="M122" s="44">
        <f t="shared" si="48"/>
        <v>9.3000000000000007</v>
      </c>
      <c r="N122" s="44">
        <f t="shared" si="48"/>
        <v>9.3000000000000007</v>
      </c>
      <c r="O122" s="44">
        <f t="shared" si="48"/>
        <v>9.3000000000000007</v>
      </c>
      <c r="P122" s="44">
        <f t="shared" si="48"/>
        <v>9.3000000000000007</v>
      </c>
      <c r="Q122" s="44">
        <f t="shared" si="48"/>
        <v>9.3000000000000007</v>
      </c>
      <c r="R122" s="44">
        <f t="shared" si="48"/>
        <v>9.3000000000000007</v>
      </c>
      <c r="S122" s="44">
        <f t="shared" si="48"/>
        <v>9.3000000000000007</v>
      </c>
      <c r="T122" s="44">
        <f t="shared" si="47"/>
        <v>9.3000000000000007</v>
      </c>
      <c r="U122" s="44">
        <f t="shared" si="47"/>
        <v>9.3000000000000007</v>
      </c>
      <c r="V122" s="44">
        <f t="shared" si="47"/>
        <v>9.3000000000000007</v>
      </c>
      <c r="W122" s="44">
        <f t="shared" si="47"/>
        <v>9.3000000000000007</v>
      </c>
      <c r="X122" s="44">
        <f t="shared" si="47"/>
        <v>9.3000000000000007</v>
      </c>
      <c r="Y122" s="44">
        <f t="shared" si="47"/>
        <v>9.3000000000000007</v>
      </c>
      <c r="Z122" s="44">
        <f t="shared" si="47"/>
        <v>9.3000000000000007</v>
      </c>
      <c r="AA122" s="44">
        <f t="shared" si="47"/>
        <v>9.3000000000000007</v>
      </c>
      <c r="AB122" s="44">
        <f t="shared" si="47"/>
        <v>9.3000000000000007</v>
      </c>
      <c r="AC122" s="44">
        <f t="shared" si="47"/>
        <v>9.3000000000000007</v>
      </c>
      <c r="AD122" s="44">
        <f t="shared" si="47"/>
        <v>9.3000000000000007</v>
      </c>
      <c r="AE122" s="44">
        <f t="shared" si="47"/>
        <v>9.3000000000000007</v>
      </c>
      <c r="AF122" s="44">
        <f t="shared" si="47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5"/>
        <v>0</v>
      </c>
      <c r="C123" s="55">
        <v>0</v>
      </c>
      <c r="D123" s="44">
        <f t="shared" si="48"/>
        <v>0</v>
      </c>
      <c r="E123" s="44">
        <f t="shared" si="48"/>
        <v>0</v>
      </c>
      <c r="F123" s="44">
        <f t="shared" si="48"/>
        <v>0</v>
      </c>
      <c r="G123" s="44">
        <f t="shared" si="48"/>
        <v>0</v>
      </c>
      <c r="H123" s="44">
        <f t="shared" si="48"/>
        <v>0</v>
      </c>
      <c r="I123" s="44">
        <f t="shared" si="48"/>
        <v>0</v>
      </c>
      <c r="J123" s="44">
        <f t="shared" si="48"/>
        <v>0</v>
      </c>
      <c r="K123" s="44">
        <f t="shared" si="48"/>
        <v>0</v>
      </c>
      <c r="L123" s="44">
        <f t="shared" si="48"/>
        <v>0</v>
      </c>
      <c r="M123" s="44">
        <f t="shared" si="48"/>
        <v>0</v>
      </c>
      <c r="N123" s="44">
        <f t="shared" si="48"/>
        <v>0</v>
      </c>
      <c r="O123" s="44">
        <f t="shared" si="48"/>
        <v>0</v>
      </c>
      <c r="P123" s="44">
        <f t="shared" si="48"/>
        <v>0</v>
      </c>
      <c r="Q123" s="44">
        <f t="shared" si="48"/>
        <v>0</v>
      </c>
      <c r="R123" s="44">
        <f t="shared" si="48"/>
        <v>0</v>
      </c>
      <c r="S123" s="44">
        <f t="shared" si="48"/>
        <v>0</v>
      </c>
      <c r="T123" s="44">
        <f t="shared" si="47"/>
        <v>0</v>
      </c>
      <c r="U123" s="44">
        <f t="shared" si="47"/>
        <v>0</v>
      </c>
      <c r="V123" s="44">
        <f t="shared" si="47"/>
        <v>0</v>
      </c>
      <c r="W123" s="44">
        <f t="shared" si="47"/>
        <v>0</v>
      </c>
      <c r="X123" s="44">
        <f t="shared" si="47"/>
        <v>0</v>
      </c>
      <c r="Y123" s="44">
        <f t="shared" si="47"/>
        <v>0</v>
      </c>
      <c r="Z123" s="44">
        <f t="shared" si="47"/>
        <v>0</v>
      </c>
      <c r="AA123" s="44">
        <f t="shared" si="47"/>
        <v>0</v>
      </c>
      <c r="AB123" s="44">
        <f t="shared" si="47"/>
        <v>0</v>
      </c>
      <c r="AC123" s="44">
        <f t="shared" si="47"/>
        <v>0</v>
      </c>
      <c r="AD123" s="44">
        <f t="shared" si="47"/>
        <v>0</v>
      </c>
      <c r="AE123" s="44">
        <f t="shared" si="47"/>
        <v>0</v>
      </c>
      <c r="AF123" s="44">
        <f t="shared" si="4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5"/>
        <v>0</v>
      </c>
      <c r="C124" s="55">
        <v>0</v>
      </c>
      <c r="D124" s="44">
        <f t="shared" si="48"/>
        <v>0</v>
      </c>
      <c r="E124" s="44">
        <f t="shared" si="48"/>
        <v>0</v>
      </c>
      <c r="F124" s="44">
        <f t="shared" si="48"/>
        <v>0</v>
      </c>
      <c r="G124" s="44">
        <f t="shared" si="48"/>
        <v>0</v>
      </c>
      <c r="H124" s="44">
        <f t="shared" si="48"/>
        <v>0</v>
      </c>
      <c r="I124" s="44">
        <f t="shared" si="48"/>
        <v>0</v>
      </c>
      <c r="J124" s="44">
        <f t="shared" si="48"/>
        <v>0</v>
      </c>
      <c r="K124" s="44">
        <f t="shared" si="48"/>
        <v>0</v>
      </c>
      <c r="L124" s="44">
        <f t="shared" si="48"/>
        <v>0</v>
      </c>
      <c r="M124" s="44">
        <f t="shared" si="48"/>
        <v>0</v>
      </c>
      <c r="N124" s="44">
        <f t="shared" si="48"/>
        <v>0</v>
      </c>
      <c r="O124" s="44">
        <f t="shared" si="48"/>
        <v>0</v>
      </c>
      <c r="P124" s="44">
        <f t="shared" si="48"/>
        <v>0</v>
      </c>
      <c r="Q124" s="44">
        <f t="shared" si="48"/>
        <v>0</v>
      </c>
      <c r="R124" s="44">
        <f t="shared" si="48"/>
        <v>0</v>
      </c>
      <c r="S124" s="44">
        <f t="shared" si="48"/>
        <v>0</v>
      </c>
      <c r="T124" s="44">
        <f t="shared" si="47"/>
        <v>0</v>
      </c>
      <c r="U124" s="44">
        <f t="shared" si="47"/>
        <v>0</v>
      </c>
      <c r="V124" s="44">
        <f t="shared" si="47"/>
        <v>0</v>
      </c>
      <c r="W124" s="44">
        <f t="shared" si="47"/>
        <v>0</v>
      </c>
      <c r="X124" s="44">
        <f t="shared" si="47"/>
        <v>0</v>
      </c>
      <c r="Y124" s="44">
        <f t="shared" si="47"/>
        <v>0</v>
      </c>
      <c r="Z124" s="44">
        <f t="shared" si="47"/>
        <v>0</v>
      </c>
      <c r="AA124" s="44">
        <f t="shared" si="47"/>
        <v>0</v>
      </c>
      <c r="AB124" s="44">
        <f t="shared" si="47"/>
        <v>0</v>
      </c>
      <c r="AC124" s="44">
        <f t="shared" si="47"/>
        <v>0</v>
      </c>
      <c r="AD124" s="44">
        <f t="shared" si="47"/>
        <v>0</v>
      </c>
      <c r="AE124" s="44">
        <f t="shared" si="47"/>
        <v>0</v>
      </c>
      <c r="AF124" s="44">
        <f t="shared" si="47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5"/>
        <v>5</v>
      </c>
      <c r="C125" s="55">
        <v>5</v>
      </c>
      <c r="D125" s="44">
        <f t="shared" si="48"/>
        <v>5</v>
      </c>
      <c r="E125" s="44">
        <f t="shared" si="48"/>
        <v>5</v>
      </c>
      <c r="F125" s="44">
        <f t="shared" si="48"/>
        <v>5</v>
      </c>
      <c r="G125" s="44">
        <f t="shared" si="48"/>
        <v>5</v>
      </c>
      <c r="H125" s="44">
        <f t="shared" si="48"/>
        <v>5</v>
      </c>
      <c r="I125" s="44">
        <f t="shared" si="48"/>
        <v>5</v>
      </c>
      <c r="J125" s="44">
        <f t="shared" si="48"/>
        <v>5</v>
      </c>
      <c r="K125" s="44">
        <f t="shared" si="48"/>
        <v>5</v>
      </c>
      <c r="L125" s="44">
        <f t="shared" si="48"/>
        <v>5</v>
      </c>
      <c r="M125" s="44">
        <f t="shared" si="48"/>
        <v>5</v>
      </c>
      <c r="N125" s="44">
        <f t="shared" si="48"/>
        <v>5</v>
      </c>
      <c r="O125" s="44">
        <f t="shared" si="48"/>
        <v>5</v>
      </c>
      <c r="P125" s="44">
        <f t="shared" si="48"/>
        <v>5</v>
      </c>
      <c r="Q125" s="44">
        <f t="shared" si="48"/>
        <v>5</v>
      </c>
      <c r="R125" s="44">
        <f t="shared" si="48"/>
        <v>5</v>
      </c>
      <c r="S125" s="44">
        <f t="shared" si="48"/>
        <v>5</v>
      </c>
      <c r="T125" s="44">
        <f t="shared" si="47"/>
        <v>5</v>
      </c>
      <c r="U125" s="44">
        <f t="shared" si="47"/>
        <v>5</v>
      </c>
      <c r="V125" s="44">
        <f t="shared" si="47"/>
        <v>5</v>
      </c>
      <c r="W125" s="44">
        <f t="shared" si="47"/>
        <v>5</v>
      </c>
      <c r="X125" s="44">
        <f t="shared" si="47"/>
        <v>5</v>
      </c>
      <c r="Y125" s="44">
        <f t="shared" si="47"/>
        <v>5</v>
      </c>
      <c r="Z125" s="44">
        <f t="shared" si="47"/>
        <v>5</v>
      </c>
      <c r="AA125" s="44">
        <f t="shared" si="47"/>
        <v>5</v>
      </c>
      <c r="AB125" s="44">
        <f t="shared" si="47"/>
        <v>5</v>
      </c>
      <c r="AC125" s="44">
        <f t="shared" si="47"/>
        <v>5</v>
      </c>
      <c r="AD125" s="44">
        <f t="shared" si="47"/>
        <v>5</v>
      </c>
      <c r="AE125" s="44">
        <f t="shared" si="47"/>
        <v>5</v>
      </c>
      <c r="AF125" s="44">
        <f t="shared" si="47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5"/>
        <v>1</v>
      </c>
      <c r="C126" s="55">
        <v>1</v>
      </c>
      <c r="D126" s="44">
        <f t="shared" si="48"/>
        <v>1</v>
      </c>
      <c r="E126" s="44">
        <f t="shared" si="48"/>
        <v>1</v>
      </c>
      <c r="F126" s="44">
        <f t="shared" si="48"/>
        <v>1</v>
      </c>
      <c r="G126" s="44">
        <f t="shared" si="48"/>
        <v>1</v>
      </c>
      <c r="H126" s="44">
        <f t="shared" si="48"/>
        <v>1</v>
      </c>
      <c r="I126" s="44">
        <f t="shared" si="48"/>
        <v>1</v>
      </c>
      <c r="J126" s="44">
        <f t="shared" si="48"/>
        <v>1</v>
      </c>
      <c r="K126" s="44">
        <f t="shared" si="48"/>
        <v>1</v>
      </c>
      <c r="L126" s="44">
        <f t="shared" si="48"/>
        <v>1</v>
      </c>
      <c r="M126" s="44">
        <f t="shared" si="48"/>
        <v>1</v>
      </c>
      <c r="N126" s="44">
        <f t="shared" si="48"/>
        <v>1</v>
      </c>
      <c r="O126" s="44">
        <f t="shared" si="48"/>
        <v>1</v>
      </c>
      <c r="P126" s="44">
        <f t="shared" si="48"/>
        <v>1</v>
      </c>
      <c r="Q126" s="44">
        <f t="shared" si="48"/>
        <v>1</v>
      </c>
      <c r="R126" s="44">
        <f t="shared" si="48"/>
        <v>1</v>
      </c>
      <c r="S126" s="44">
        <f t="shared" si="48"/>
        <v>1</v>
      </c>
      <c r="T126" s="44">
        <f t="shared" si="47"/>
        <v>1</v>
      </c>
      <c r="U126" s="44">
        <f t="shared" si="47"/>
        <v>1</v>
      </c>
      <c r="V126" s="44">
        <f t="shared" si="47"/>
        <v>1</v>
      </c>
      <c r="W126" s="44">
        <f t="shared" si="47"/>
        <v>1</v>
      </c>
      <c r="X126" s="44">
        <f t="shared" si="47"/>
        <v>1</v>
      </c>
      <c r="Y126" s="44">
        <f t="shared" si="47"/>
        <v>1</v>
      </c>
      <c r="Z126" s="44">
        <f t="shared" si="47"/>
        <v>1</v>
      </c>
      <c r="AA126" s="44">
        <f t="shared" si="47"/>
        <v>1</v>
      </c>
      <c r="AB126" s="44">
        <f t="shared" si="47"/>
        <v>1</v>
      </c>
      <c r="AC126" s="44">
        <f t="shared" si="47"/>
        <v>1</v>
      </c>
      <c r="AD126" s="44">
        <f t="shared" si="47"/>
        <v>1</v>
      </c>
      <c r="AE126" s="44">
        <f t="shared" si="47"/>
        <v>1</v>
      </c>
      <c r="AF126" s="44">
        <f t="shared" si="47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5"/>
        <v>1.58</v>
      </c>
      <c r="C127" s="55">
        <v>1.58</v>
      </c>
      <c r="D127" s="44">
        <f t="shared" si="48"/>
        <v>1.58</v>
      </c>
      <c r="E127" s="44">
        <f t="shared" si="48"/>
        <v>1.58</v>
      </c>
      <c r="F127" s="44">
        <f t="shared" si="48"/>
        <v>1.58</v>
      </c>
      <c r="G127" s="44">
        <f t="shared" si="48"/>
        <v>1.58</v>
      </c>
      <c r="H127" s="44">
        <f t="shared" si="48"/>
        <v>1.58</v>
      </c>
      <c r="I127" s="44">
        <f t="shared" si="48"/>
        <v>1.58</v>
      </c>
      <c r="J127" s="44">
        <f t="shared" si="48"/>
        <v>1.58</v>
      </c>
      <c r="K127" s="44">
        <f t="shared" si="48"/>
        <v>1.58</v>
      </c>
      <c r="L127" s="44">
        <f t="shared" si="48"/>
        <v>1.58</v>
      </c>
      <c r="M127" s="44">
        <f t="shared" si="48"/>
        <v>1.58</v>
      </c>
      <c r="N127" s="44">
        <f t="shared" si="48"/>
        <v>1.58</v>
      </c>
      <c r="O127" s="44">
        <f t="shared" si="48"/>
        <v>1.58</v>
      </c>
      <c r="P127" s="44">
        <f t="shared" si="48"/>
        <v>1.58</v>
      </c>
      <c r="Q127" s="44">
        <f t="shared" si="48"/>
        <v>1.58</v>
      </c>
      <c r="R127" s="44">
        <f t="shared" si="48"/>
        <v>1.58</v>
      </c>
      <c r="S127" s="44">
        <f t="shared" si="48"/>
        <v>1.58</v>
      </c>
      <c r="T127" s="44">
        <f t="shared" si="47"/>
        <v>1.58</v>
      </c>
      <c r="U127" s="44">
        <f t="shared" si="47"/>
        <v>1.58</v>
      </c>
      <c r="V127" s="44">
        <f t="shared" si="47"/>
        <v>1.58</v>
      </c>
      <c r="W127" s="44">
        <f t="shared" si="47"/>
        <v>1.58</v>
      </c>
      <c r="X127" s="44">
        <f t="shared" si="47"/>
        <v>1.58</v>
      </c>
      <c r="Y127" s="44">
        <f t="shared" si="47"/>
        <v>1.58</v>
      </c>
      <c r="Z127" s="44">
        <f t="shared" si="47"/>
        <v>1.58</v>
      </c>
      <c r="AA127" s="44">
        <f t="shared" si="47"/>
        <v>1.58</v>
      </c>
      <c r="AB127" s="44">
        <f t="shared" si="47"/>
        <v>1.58</v>
      </c>
      <c r="AC127" s="44">
        <f t="shared" si="47"/>
        <v>1.58</v>
      </c>
      <c r="AD127" s="44">
        <f t="shared" si="47"/>
        <v>1.58</v>
      </c>
      <c r="AE127" s="44">
        <f t="shared" si="47"/>
        <v>1.58</v>
      </c>
      <c r="AF127" s="44">
        <f t="shared" si="47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5"/>
        <v>1.46</v>
      </c>
      <c r="C128" s="55">
        <v>1.46</v>
      </c>
      <c r="D128" s="44">
        <f t="shared" si="48"/>
        <v>1.46</v>
      </c>
      <c r="E128" s="44">
        <f t="shared" si="48"/>
        <v>1.46</v>
      </c>
      <c r="F128" s="44">
        <f t="shared" si="48"/>
        <v>1.46</v>
      </c>
      <c r="G128" s="44">
        <f t="shared" si="48"/>
        <v>1.46</v>
      </c>
      <c r="H128" s="44">
        <f t="shared" si="48"/>
        <v>1.46</v>
      </c>
      <c r="I128" s="44">
        <f t="shared" si="48"/>
        <v>1.46</v>
      </c>
      <c r="J128" s="44">
        <f t="shared" si="48"/>
        <v>1.46</v>
      </c>
      <c r="K128" s="44">
        <f t="shared" si="48"/>
        <v>1.46</v>
      </c>
      <c r="L128" s="44">
        <f t="shared" si="48"/>
        <v>1.46</v>
      </c>
      <c r="M128" s="44">
        <f t="shared" si="48"/>
        <v>1.46</v>
      </c>
      <c r="N128" s="44">
        <f t="shared" si="48"/>
        <v>1.46</v>
      </c>
      <c r="O128" s="44">
        <f t="shared" si="48"/>
        <v>1.46</v>
      </c>
      <c r="P128" s="44">
        <f t="shared" si="48"/>
        <v>1.46</v>
      </c>
      <c r="Q128" s="44">
        <f t="shared" si="48"/>
        <v>1.46</v>
      </c>
      <c r="R128" s="44">
        <f t="shared" si="48"/>
        <v>1.46</v>
      </c>
      <c r="S128" s="44">
        <f t="shared" si="48"/>
        <v>1.46</v>
      </c>
      <c r="T128" s="44">
        <f t="shared" ref="T128:AF129" si="49">S128</f>
        <v>1.46</v>
      </c>
      <c r="U128" s="44">
        <f t="shared" si="49"/>
        <v>1.46</v>
      </c>
      <c r="V128" s="44">
        <f t="shared" si="49"/>
        <v>1.46</v>
      </c>
      <c r="W128" s="44">
        <f t="shared" si="49"/>
        <v>1.46</v>
      </c>
      <c r="X128" s="44">
        <f t="shared" si="49"/>
        <v>1.46</v>
      </c>
      <c r="Y128" s="44">
        <f t="shared" si="49"/>
        <v>1.46</v>
      </c>
      <c r="Z128" s="44">
        <f t="shared" si="49"/>
        <v>1.46</v>
      </c>
      <c r="AA128" s="44">
        <f t="shared" si="49"/>
        <v>1.46</v>
      </c>
      <c r="AB128" s="44">
        <f t="shared" si="49"/>
        <v>1.46</v>
      </c>
      <c r="AC128" s="44">
        <f t="shared" si="49"/>
        <v>1.46</v>
      </c>
      <c r="AD128" s="44">
        <f t="shared" si="49"/>
        <v>1.46</v>
      </c>
      <c r="AE128" s="44">
        <f t="shared" si="49"/>
        <v>1.46</v>
      </c>
      <c r="AF128" s="44">
        <f t="shared" si="49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5"/>
        <v>1.48</v>
      </c>
      <c r="C129" s="55">
        <v>1.48</v>
      </c>
      <c r="D129" s="44">
        <f t="shared" si="48"/>
        <v>1.48</v>
      </c>
      <c r="E129" s="44">
        <f t="shared" si="48"/>
        <v>1.48</v>
      </c>
      <c r="F129" s="44">
        <f t="shared" si="48"/>
        <v>1.48</v>
      </c>
      <c r="G129" s="44">
        <f t="shared" si="48"/>
        <v>1.48</v>
      </c>
      <c r="H129" s="44">
        <f t="shared" si="48"/>
        <v>1.48</v>
      </c>
      <c r="I129" s="44">
        <f t="shared" si="48"/>
        <v>1.48</v>
      </c>
      <c r="J129" s="44">
        <f t="shared" si="48"/>
        <v>1.48</v>
      </c>
      <c r="K129" s="44">
        <f t="shared" si="48"/>
        <v>1.48</v>
      </c>
      <c r="L129" s="44">
        <f t="shared" si="48"/>
        <v>1.48</v>
      </c>
      <c r="M129" s="44">
        <f t="shared" si="48"/>
        <v>1.48</v>
      </c>
      <c r="N129" s="44">
        <f t="shared" si="48"/>
        <v>1.48</v>
      </c>
      <c r="O129" s="44">
        <f t="shared" si="48"/>
        <v>1.48</v>
      </c>
      <c r="P129" s="44">
        <f t="shared" si="48"/>
        <v>1.48</v>
      </c>
      <c r="Q129" s="44">
        <f t="shared" si="48"/>
        <v>1.48</v>
      </c>
      <c r="R129" s="44">
        <f t="shared" si="48"/>
        <v>1.48</v>
      </c>
      <c r="S129" s="44">
        <f t="shared" si="48"/>
        <v>1.48</v>
      </c>
      <c r="T129" s="44">
        <f t="shared" si="49"/>
        <v>1.48</v>
      </c>
      <c r="U129" s="44">
        <f t="shared" si="49"/>
        <v>1.48</v>
      </c>
      <c r="V129" s="44">
        <f t="shared" si="49"/>
        <v>1.48</v>
      </c>
      <c r="W129" s="44">
        <f t="shared" si="49"/>
        <v>1.48</v>
      </c>
      <c r="X129" s="44">
        <f t="shared" si="49"/>
        <v>1.48</v>
      </c>
      <c r="Y129" s="44">
        <f t="shared" si="49"/>
        <v>1.48</v>
      </c>
      <c r="Z129" s="44">
        <f t="shared" si="49"/>
        <v>1.48</v>
      </c>
      <c r="AA129" s="44">
        <f t="shared" si="49"/>
        <v>1.48</v>
      </c>
      <c r="AB129" s="44">
        <f t="shared" si="49"/>
        <v>1.48</v>
      </c>
      <c r="AC129" s="44">
        <f t="shared" si="49"/>
        <v>1.48</v>
      </c>
      <c r="AD129" s="44">
        <f t="shared" si="49"/>
        <v>1.48</v>
      </c>
      <c r="AE129" s="44">
        <f t="shared" si="49"/>
        <v>1.48</v>
      </c>
      <c r="AF129" s="44">
        <f t="shared" si="49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0">AF131</f>
        <v>2.2000000000000002</v>
      </c>
      <c r="C131" s="55">
        <v>2.2000000000000002</v>
      </c>
      <c r="D131" s="44">
        <f t="shared" ref="D131:S138" si="51">C131</f>
        <v>2.2000000000000002</v>
      </c>
      <c r="E131" s="44">
        <f t="shared" si="51"/>
        <v>2.2000000000000002</v>
      </c>
      <c r="F131" s="44">
        <f t="shared" si="51"/>
        <v>2.2000000000000002</v>
      </c>
      <c r="G131" s="44">
        <f t="shared" si="51"/>
        <v>2.2000000000000002</v>
      </c>
      <c r="H131" s="44">
        <f t="shared" si="51"/>
        <v>2.2000000000000002</v>
      </c>
      <c r="I131" s="44">
        <f t="shared" si="51"/>
        <v>2.2000000000000002</v>
      </c>
      <c r="J131" s="44">
        <f t="shared" si="51"/>
        <v>2.2000000000000002</v>
      </c>
      <c r="K131" s="44">
        <f t="shared" si="51"/>
        <v>2.2000000000000002</v>
      </c>
      <c r="L131" s="44">
        <f t="shared" si="51"/>
        <v>2.2000000000000002</v>
      </c>
      <c r="M131" s="44">
        <f t="shared" si="51"/>
        <v>2.2000000000000002</v>
      </c>
      <c r="N131" s="44">
        <f t="shared" si="51"/>
        <v>2.2000000000000002</v>
      </c>
      <c r="O131" s="44">
        <f t="shared" si="51"/>
        <v>2.2000000000000002</v>
      </c>
      <c r="P131" s="44">
        <f t="shared" si="51"/>
        <v>2.2000000000000002</v>
      </c>
      <c r="Q131" s="44">
        <f t="shared" si="51"/>
        <v>2.2000000000000002</v>
      </c>
      <c r="R131" s="44">
        <f t="shared" si="51"/>
        <v>2.2000000000000002</v>
      </c>
      <c r="S131" s="44">
        <f t="shared" si="51"/>
        <v>2.2000000000000002</v>
      </c>
      <c r="T131" s="44">
        <f t="shared" ref="T131:AF138" si="52">S131</f>
        <v>2.2000000000000002</v>
      </c>
      <c r="U131" s="44">
        <f t="shared" si="52"/>
        <v>2.2000000000000002</v>
      </c>
      <c r="V131" s="44">
        <f t="shared" si="52"/>
        <v>2.2000000000000002</v>
      </c>
      <c r="W131" s="44">
        <f t="shared" si="52"/>
        <v>2.2000000000000002</v>
      </c>
      <c r="X131" s="44">
        <f t="shared" si="52"/>
        <v>2.2000000000000002</v>
      </c>
      <c r="Y131" s="44">
        <f t="shared" si="52"/>
        <v>2.2000000000000002</v>
      </c>
      <c r="Z131" s="44">
        <f t="shared" si="52"/>
        <v>2.2000000000000002</v>
      </c>
      <c r="AA131" s="44">
        <f t="shared" si="52"/>
        <v>2.2000000000000002</v>
      </c>
      <c r="AB131" s="44">
        <f t="shared" si="52"/>
        <v>2.2000000000000002</v>
      </c>
      <c r="AC131" s="44">
        <f t="shared" si="52"/>
        <v>2.2000000000000002</v>
      </c>
      <c r="AD131" s="44">
        <f t="shared" si="52"/>
        <v>2.2000000000000002</v>
      </c>
      <c r="AE131" s="44">
        <f t="shared" si="52"/>
        <v>2.2000000000000002</v>
      </c>
      <c r="AF131" s="44">
        <f t="shared" si="52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0"/>
        <v>2</v>
      </c>
      <c r="C132" s="55">
        <v>2</v>
      </c>
      <c r="D132" s="44">
        <f t="shared" si="51"/>
        <v>2</v>
      </c>
      <c r="E132" s="44">
        <f t="shared" si="51"/>
        <v>2</v>
      </c>
      <c r="F132" s="44">
        <f t="shared" si="51"/>
        <v>2</v>
      </c>
      <c r="G132" s="44">
        <f t="shared" si="51"/>
        <v>2</v>
      </c>
      <c r="H132" s="44">
        <f t="shared" si="51"/>
        <v>2</v>
      </c>
      <c r="I132" s="44">
        <f t="shared" si="51"/>
        <v>2</v>
      </c>
      <c r="J132" s="44">
        <f t="shared" si="51"/>
        <v>2</v>
      </c>
      <c r="K132" s="44">
        <f t="shared" si="51"/>
        <v>2</v>
      </c>
      <c r="L132" s="44">
        <f t="shared" si="51"/>
        <v>2</v>
      </c>
      <c r="M132" s="44">
        <f t="shared" si="51"/>
        <v>2</v>
      </c>
      <c r="N132" s="44">
        <f t="shared" si="51"/>
        <v>2</v>
      </c>
      <c r="O132" s="44">
        <f t="shared" si="51"/>
        <v>2</v>
      </c>
      <c r="P132" s="44">
        <f t="shared" si="51"/>
        <v>2</v>
      </c>
      <c r="Q132" s="44">
        <f t="shared" si="51"/>
        <v>2</v>
      </c>
      <c r="R132" s="44">
        <f t="shared" si="51"/>
        <v>2</v>
      </c>
      <c r="S132" s="44">
        <f t="shared" si="51"/>
        <v>2</v>
      </c>
      <c r="T132" s="44">
        <f t="shared" si="52"/>
        <v>2</v>
      </c>
      <c r="U132" s="44">
        <f t="shared" si="52"/>
        <v>2</v>
      </c>
      <c r="V132" s="44">
        <f t="shared" si="52"/>
        <v>2</v>
      </c>
      <c r="W132" s="44">
        <f t="shared" si="52"/>
        <v>2</v>
      </c>
      <c r="X132" s="44">
        <f t="shared" si="52"/>
        <v>2</v>
      </c>
      <c r="Y132" s="44">
        <f t="shared" si="52"/>
        <v>2</v>
      </c>
      <c r="Z132" s="44">
        <f t="shared" si="52"/>
        <v>2</v>
      </c>
      <c r="AA132" s="44">
        <f t="shared" si="52"/>
        <v>2</v>
      </c>
      <c r="AB132" s="44">
        <f t="shared" si="52"/>
        <v>2</v>
      </c>
      <c r="AC132" s="44">
        <f t="shared" si="52"/>
        <v>2</v>
      </c>
      <c r="AD132" s="44">
        <f t="shared" si="52"/>
        <v>2</v>
      </c>
      <c r="AE132" s="44">
        <f t="shared" si="52"/>
        <v>2</v>
      </c>
      <c r="AF132" s="44">
        <f t="shared" si="52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0"/>
        <v>1.25</v>
      </c>
      <c r="C133" s="55">
        <v>1.25</v>
      </c>
      <c r="D133" s="44">
        <f t="shared" si="51"/>
        <v>1.25</v>
      </c>
      <c r="E133" s="44">
        <f t="shared" si="51"/>
        <v>1.25</v>
      </c>
      <c r="F133" s="44">
        <f t="shared" si="51"/>
        <v>1.25</v>
      </c>
      <c r="G133" s="44">
        <f t="shared" si="51"/>
        <v>1.25</v>
      </c>
      <c r="H133" s="44">
        <f t="shared" si="51"/>
        <v>1.25</v>
      </c>
      <c r="I133" s="44">
        <f t="shared" si="51"/>
        <v>1.25</v>
      </c>
      <c r="J133" s="44">
        <f t="shared" si="51"/>
        <v>1.25</v>
      </c>
      <c r="K133" s="44">
        <f t="shared" si="51"/>
        <v>1.25</v>
      </c>
      <c r="L133" s="44">
        <f t="shared" si="51"/>
        <v>1.25</v>
      </c>
      <c r="M133" s="44">
        <f t="shared" si="51"/>
        <v>1.25</v>
      </c>
      <c r="N133" s="44">
        <f t="shared" si="51"/>
        <v>1.25</v>
      </c>
      <c r="O133" s="44">
        <f t="shared" si="51"/>
        <v>1.25</v>
      </c>
      <c r="P133" s="44">
        <f t="shared" si="51"/>
        <v>1.25</v>
      </c>
      <c r="Q133" s="44">
        <f t="shared" si="51"/>
        <v>1.25</v>
      </c>
      <c r="R133" s="44">
        <f t="shared" si="51"/>
        <v>1.25</v>
      </c>
      <c r="S133" s="44">
        <f t="shared" si="51"/>
        <v>1.25</v>
      </c>
      <c r="T133" s="44">
        <f t="shared" si="52"/>
        <v>1.25</v>
      </c>
      <c r="U133" s="44">
        <f t="shared" si="52"/>
        <v>1.25</v>
      </c>
      <c r="V133" s="44">
        <f t="shared" si="52"/>
        <v>1.25</v>
      </c>
      <c r="W133" s="44">
        <f t="shared" si="52"/>
        <v>1.25</v>
      </c>
      <c r="X133" s="44">
        <f t="shared" si="52"/>
        <v>1.25</v>
      </c>
      <c r="Y133" s="44">
        <f t="shared" si="52"/>
        <v>1.25</v>
      </c>
      <c r="Z133" s="44">
        <f t="shared" si="52"/>
        <v>1.25</v>
      </c>
      <c r="AA133" s="44">
        <f t="shared" si="52"/>
        <v>1.25</v>
      </c>
      <c r="AB133" s="44">
        <f t="shared" si="52"/>
        <v>1.25</v>
      </c>
      <c r="AC133" s="44">
        <f t="shared" si="52"/>
        <v>1.25</v>
      </c>
      <c r="AD133" s="44">
        <f t="shared" si="52"/>
        <v>1.25</v>
      </c>
      <c r="AE133" s="44">
        <f t="shared" si="52"/>
        <v>1.25</v>
      </c>
      <c r="AF133" s="44">
        <f t="shared" si="52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0"/>
        <v>1.1499999999999999</v>
      </c>
      <c r="C134" s="55">
        <v>1.1499999999999999</v>
      </c>
      <c r="D134" s="44">
        <f t="shared" si="51"/>
        <v>1.1499999999999999</v>
      </c>
      <c r="E134" s="44">
        <f t="shared" si="51"/>
        <v>1.1499999999999999</v>
      </c>
      <c r="F134" s="44">
        <f t="shared" si="51"/>
        <v>1.1499999999999999</v>
      </c>
      <c r="G134" s="44">
        <f t="shared" si="51"/>
        <v>1.1499999999999999</v>
      </c>
      <c r="H134" s="44">
        <f t="shared" si="51"/>
        <v>1.1499999999999999</v>
      </c>
      <c r="I134" s="44">
        <f t="shared" si="51"/>
        <v>1.1499999999999999</v>
      </c>
      <c r="J134" s="44">
        <f t="shared" si="51"/>
        <v>1.1499999999999999</v>
      </c>
      <c r="K134" s="44">
        <f t="shared" si="51"/>
        <v>1.1499999999999999</v>
      </c>
      <c r="L134" s="44">
        <f t="shared" si="51"/>
        <v>1.1499999999999999</v>
      </c>
      <c r="M134" s="44">
        <f t="shared" si="51"/>
        <v>1.1499999999999999</v>
      </c>
      <c r="N134" s="44">
        <f t="shared" si="51"/>
        <v>1.1499999999999999</v>
      </c>
      <c r="O134" s="44">
        <f t="shared" si="51"/>
        <v>1.1499999999999999</v>
      </c>
      <c r="P134" s="44">
        <f t="shared" si="51"/>
        <v>1.1499999999999999</v>
      </c>
      <c r="Q134" s="44">
        <f t="shared" si="51"/>
        <v>1.1499999999999999</v>
      </c>
      <c r="R134" s="44">
        <f t="shared" si="51"/>
        <v>1.1499999999999999</v>
      </c>
      <c r="S134" s="44">
        <f t="shared" si="51"/>
        <v>1.1499999999999999</v>
      </c>
      <c r="T134" s="44">
        <f t="shared" si="52"/>
        <v>1.1499999999999999</v>
      </c>
      <c r="U134" s="44">
        <f t="shared" si="52"/>
        <v>1.1499999999999999</v>
      </c>
      <c r="V134" s="44">
        <f t="shared" si="52"/>
        <v>1.1499999999999999</v>
      </c>
      <c r="W134" s="44">
        <f t="shared" si="52"/>
        <v>1.1499999999999999</v>
      </c>
      <c r="X134" s="44">
        <f t="shared" si="52"/>
        <v>1.1499999999999999</v>
      </c>
      <c r="Y134" s="44">
        <f t="shared" si="52"/>
        <v>1.1499999999999999</v>
      </c>
      <c r="Z134" s="44">
        <f t="shared" si="52"/>
        <v>1.1499999999999999</v>
      </c>
      <c r="AA134" s="44">
        <f t="shared" si="52"/>
        <v>1.1499999999999999</v>
      </c>
      <c r="AB134" s="44">
        <f t="shared" si="52"/>
        <v>1.1499999999999999</v>
      </c>
      <c r="AC134" s="44">
        <f t="shared" si="52"/>
        <v>1.1499999999999999</v>
      </c>
      <c r="AD134" s="44">
        <f t="shared" si="52"/>
        <v>1.1499999999999999</v>
      </c>
      <c r="AE134" s="44">
        <f t="shared" si="52"/>
        <v>1.1499999999999999</v>
      </c>
      <c r="AF134" s="44">
        <f t="shared" si="52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0"/>
        <v>2.133</v>
      </c>
      <c r="C135" s="55">
        <v>2.133</v>
      </c>
      <c r="D135" s="44">
        <f t="shared" si="51"/>
        <v>2.133</v>
      </c>
      <c r="E135" s="44">
        <f t="shared" si="51"/>
        <v>2.133</v>
      </c>
      <c r="F135" s="44">
        <f t="shared" si="51"/>
        <v>2.133</v>
      </c>
      <c r="G135" s="44">
        <f t="shared" si="51"/>
        <v>2.133</v>
      </c>
      <c r="H135" s="44">
        <f t="shared" si="51"/>
        <v>2.133</v>
      </c>
      <c r="I135" s="44">
        <f t="shared" si="51"/>
        <v>2.133</v>
      </c>
      <c r="J135" s="44">
        <f t="shared" si="51"/>
        <v>2.133</v>
      </c>
      <c r="K135" s="44">
        <f t="shared" si="51"/>
        <v>2.133</v>
      </c>
      <c r="L135" s="44">
        <f t="shared" si="51"/>
        <v>2.133</v>
      </c>
      <c r="M135" s="44">
        <f t="shared" si="51"/>
        <v>2.133</v>
      </c>
      <c r="N135" s="44">
        <f t="shared" si="51"/>
        <v>2.133</v>
      </c>
      <c r="O135" s="44">
        <f t="shared" si="51"/>
        <v>2.133</v>
      </c>
      <c r="P135" s="44">
        <f t="shared" si="51"/>
        <v>2.133</v>
      </c>
      <c r="Q135" s="44">
        <f t="shared" si="51"/>
        <v>2.133</v>
      </c>
      <c r="R135" s="44">
        <f t="shared" si="51"/>
        <v>2.133</v>
      </c>
      <c r="S135" s="44">
        <f t="shared" si="51"/>
        <v>2.133</v>
      </c>
      <c r="T135" s="44">
        <f t="shared" si="52"/>
        <v>2.133</v>
      </c>
      <c r="U135" s="44">
        <f t="shared" si="52"/>
        <v>2.133</v>
      </c>
      <c r="V135" s="44">
        <f t="shared" si="52"/>
        <v>2.133</v>
      </c>
      <c r="W135" s="44">
        <f t="shared" si="52"/>
        <v>2.133</v>
      </c>
      <c r="X135" s="44">
        <f t="shared" si="52"/>
        <v>2.133</v>
      </c>
      <c r="Y135" s="44">
        <f t="shared" si="52"/>
        <v>2.133</v>
      </c>
      <c r="Z135" s="44">
        <f t="shared" si="52"/>
        <v>2.133</v>
      </c>
      <c r="AA135" s="44">
        <f t="shared" si="52"/>
        <v>2.133</v>
      </c>
      <c r="AB135" s="44">
        <f t="shared" si="52"/>
        <v>2.133</v>
      </c>
      <c r="AC135" s="44">
        <f t="shared" si="52"/>
        <v>2.133</v>
      </c>
      <c r="AD135" s="44">
        <f t="shared" si="52"/>
        <v>2.133</v>
      </c>
      <c r="AE135" s="44">
        <f t="shared" si="52"/>
        <v>2.133</v>
      </c>
      <c r="AF135" s="44">
        <f t="shared" si="52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0"/>
        <v>2.09</v>
      </c>
      <c r="C136" s="55">
        <v>2.09</v>
      </c>
      <c r="D136" s="44">
        <f t="shared" si="51"/>
        <v>2.09</v>
      </c>
      <c r="E136" s="44">
        <f t="shared" si="51"/>
        <v>2.09</v>
      </c>
      <c r="F136" s="44">
        <f t="shared" si="51"/>
        <v>2.09</v>
      </c>
      <c r="G136" s="44">
        <f t="shared" si="51"/>
        <v>2.09</v>
      </c>
      <c r="H136" s="44">
        <f t="shared" si="51"/>
        <v>2.09</v>
      </c>
      <c r="I136" s="44">
        <f t="shared" si="51"/>
        <v>2.09</v>
      </c>
      <c r="J136" s="44">
        <f t="shared" si="51"/>
        <v>2.09</v>
      </c>
      <c r="K136" s="44">
        <f t="shared" si="51"/>
        <v>2.09</v>
      </c>
      <c r="L136" s="44">
        <f t="shared" si="51"/>
        <v>2.09</v>
      </c>
      <c r="M136" s="44">
        <f t="shared" si="51"/>
        <v>2.09</v>
      </c>
      <c r="N136" s="44">
        <f t="shared" si="51"/>
        <v>2.09</v>
      </c>
      <c r="O136" s="44">
        <f t="shared" si="51"/>
        <v>2.09</v>
      </c>
      <c r="P136" s="44">
        <f t="shared" si="51"/>
        <v>2.09</v>
      </c>
      <c r="Q136" s="44">
        <f t="shared" si="51"/>
        <v>2.09</v>
      </c>
      <c r="R136" s="44">
        <f t="shared" si="51"/>
        <v>2.09</v>
      </c>
      <c r="S136" s="44">
        <f t="shared" si="51"/>
        <v>2.09</v>
      </c>
      <c r="T136" s="44">
        <f t="shared" si="52"/>
        <v>2.09</v>
      </c>
      <c r="U136" s="44">
        <f t="shared" si="52"/>
        <v>2.09</v>
      </c>
      <c r="V136" s="44">
        <f t="shared" si="52"/>
        <v>2.09</v>
      </c>
      <c r="W136" s="44">
        <f t="shared" si="52"/>
        <v>2.09</v>
      </c>
      <c r="X136" s="44">
        <f t="shared" si="52"/>
        <v>2.09</v>
      </c>
      <c r="Y136" s="44">
        <f t="shared" si="52"/>
        <v>2.09</v>
      </c>
      <c r="Z136" s="44">
        <f t="shared" si="52"/>
        <v>2.09</v>
      </c>
      <c r="AA136" s="44">
        <f t="shared" si="52"/>
        <v>2.09</v>
      </c>
      <c r="AB136" s="44">
        <f t="shared" si="52"/>
        <v>2.09</v>
      </c>
      <c r="AC136" s="44">
        <f t="shared" si="52"/>
        <v>2.09</v>
      </c>
      <c r="AD136" s="44">
        <f t="shared" si="52"/>
        <v>2.09</v>
      </c>
      <c r="AE136" s="44">
        <f t="shared" si="52"/>
        <v>2.09</v>
      </c>
      <c r="AF136" s="44">
        <f t="shared" si="52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0"/>
        <v>1.1399999999999999</v>
      </c>
      <c r="C137" s="55">
        <v>1.1399999999999999</v>
      </c>
      <c r="D137" s="44">
        <f t="shared" si="51"/>
        <v>1.1399999999999999</v>
      </c>
      <c r="E137" s="44">
        <f t="shared" si="51"/>
        <v>1.1399999999999999</v>
      </c>
      <c r="F137" s="44">
        <f t="shared" si="51"/>
        <v>1.1399999999999999</v>
      </c>
      <c r="G137" s="44">
        <f t="shared" si="51"/>
        <v>1.1399999999999999</v>
      </c>
      <c r="H137" s="44">
        <f t="shared" si="51"/>
        <v>1.1399999999999999</v>
      </c>
      <c r="I137" s="44">
        <f t="shared" si="51"/>
        <v>1.1399999999999999</v>
      </c>
      <c r="J137" s="44">
        <f t="shared" si="51"/>
        <v>1.1399999999999999</v>
      </c>
      <c r="K137" s="44">
        <f t="shared" si="51"/>
        <v>1.1399999999999999</v>
      </c>
      <c r="L137" s="44">
        <f t="shared" si="51"/>
        <v>1.1399999999999999</v>
      </c>
      <c r="M137" s="44">
        <f t="shared" si="51"/>
        <v>1.1399999999999999</v>
      </c>
      <c r="N137" s="44">
        <f t="shared" si="51"/>
        <v>1.1399999999999999</v>
      </c>
      <c r="O137" s="44">
        <f t="shared" si="51"/>
        <v>1.1399999999999999</v>
      </c>
      <c r="P137" s="44">
        <f t="shared" si="51"/>
        <v>1.1399999999999999</v>
      </c>
      <c r="Q137" s="44">
        <f t="shared" si="51"/>
        <v>1.1399999999999999</v>
      </c>
      <c r="R137" s="44">
        <f t="shared" si="51"/>
        <v>1.1399999999999999</v>
      </c>
      <c r="S137" s="44">
        <f t="shared" si="51"/>
        <v>1.1399999999999999</v>
      </c>
      <c r="T137" s="44">
        <f t="shared" si="52"/>
        <v>1.1399999999999999</v>
      </c>
      <c r="U137" s="44">
        <f t="shared" si="52"/>
        <v>1.1399999999999999</v>
      </c>
      <c r="V137" s="44">
        <f t="shared" si="52"/>
        <v>1.1399999999999999</v>
      </c>
      <c r="W137" s="44">
        <f t="shared" si="52"/>
        <v>1.1399999999999999</v>
      </c>
      <c r="X137" s="44">
        <f t="shared" si="52"/>
        <v>1.1399999999999999</v>
      </c>
      <c r="Y137" s="44">
        <f t="shared" si="52"/>
        <v>1.1399999999999999</v>
      </c>
      <c r="Z137" s="44">
        <f t="shared" si="52"/>
        <v>1.1399999999999999</v>
      </c>
      <c r="AA137" s="44">
        <f t="shared" si="52"/>
        <v>1.1399999999999999</v>
      </c>
      <c r="AB137" s="44">
        <f t="shared" si="52"/>
        <v>1.1399999999999999</v>
      </c>
      <c r="AC137" s="44">
        <f t="shared" si="52"/>
        <v>1.1399999999999999</v>
      </c>
      <c r="AD137" s="44">
        <f t="shared" si="52"/>
        <v>1.1399999999999999</v>
      </c>
      <c r="AE137" s="44">
        <f t="shared" si="52"/>
        <v>1.1399999999999999</v>
      </c>
      <c r="AF137" s="44">
        <f t="shared" si="5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0"/>
        <v>0.82</v>
      </c>
      <c r="C138" s="55">
        <v>0.82</v>
      </c>
      <c r="D138" s="44">
        <f t="shared" si="51"/>
        <v>0.82</v>
      </c>
      <c r="E138" s="44">
        <f t="shared" si="51"/>
        <v>0.82</v>
      </c>
      <c r="F138" s="44">
        <f t="shared" si="51"/>
        <v>0.82</v>
      </c>
      <c r="G138" s="44">
        <f t="shared" si="51"/>
        <v>0.82</v>
      </c>
      <c r="H138" s="44">
        <f t="shared" si="51"/>
        <v>0.82</v>
      </c>
      <c r="I138" s="44">
        <f t="shared" si="51"/>
        <v>0.82</v>
      </c>
      <c r="J138" s="44">
        <f t="shared" si="51"/>
        <v>0.82</v>
      </c>
      <c r="K138" s="44">
        <f t="shared" si="51"/>
        <v>0.82</v>
      </c>
      <c r="L138" s="44">
        <f t="shared" si="51"/>
        <v>0.82</v>
      </c>
      <c r="M138" s="44">
        <f t="shared" si="51"/>
        <v>0.82</v>
      </c>
      <c r="N138" s="44">
        <f t="shared" si="51"/>
        <v>0.82</v>
      </c>
      <c r="O138" s="44">
        <f t="shared" si="51"/>
        <v>0.82</v>
      </c>
      <c r="P138" s="44">
        <f t="shared" si="51"/>
        <v>0.82</v>
      </c>
      <c r="Q138" s="44">
        <f t="shared" si="51"/>
        <v>0.82</v>
      </c>
      <c r="R138" s="44">
        <f t="shared" si="51"/>
        <v>0.82</v>
      </c>
      <c r="S138" s="44">
        <f t="shared" si="51"/>
        <v>0.82</v>
      </c>
      <c r="T138" s="44">
        <f t="shared" si="52"/>
        <v>0.82</v>
      </c>
      <c r="U138" s="44">
        <f t="shared" si="52"/>
        <v>0.82</v>
      </c>
      <c r="V138" s="44">
        <f t="shared" si="52"/>
        <v>0.82</v>
      </c>
      <c r="W138" s="44">
        <f t="shared" si="52"/>
        <v>0.82</v>
      </c>
      <c r="X138" s="44">
        <f t="shared" si="52"/>
        <v>0.82</v>
      </c>
      <c r="Y138" s="44">
        <f t="shared" si="52"/>
        <v>0.82</v>
      </c>
      <c r="Z138" s="44">
        <f t="shared" si="52"/>
        <v>0.82</v>
      </c>
      <c r="AA138" s="44">
        <f t="shared" si="52"/>
        <v>0.82</v>
      </c>
      <c r="AB138" s="44">
        <f t="shared" si="52"/>
        <v>0.82</v>
      </c>
      <c r="AC138" s="44">
        <f t="shared" si="52"/>
        <v>0.82</v>
      </c>
      <c r="AD138" s="44">
        <f t="shared" si="52"/>
        <v>0.82</v>
      </c>
      <c r="AE138" s="44">
        <f t="shared" si="52"/>
        <v>0.82</v>
      </c>
      <c r="AF138" s="44">
        <f t="shared" si="52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3">AF140</f>
        <v>2</v>
      </c>
      <c r="C140" s="55">
        <v>2</v>
      </c>
      <c r="D140" s="44">
        <f t="shared" ref="D140:S146" si="54">C140</f>
        <v>2</v>
      </c>
      <c r="E140" s="44">
        <f t="shared" si="54"/>
        <v>2</v>
      </c>
      <c r="F140" s="44">
        <f t="shared" si="54"/>
        <v>2</v>
      </c>
      <c r="G140" s="44">
        <f t="shared" si="54"/>
        <v>2</v>
      </c>
      <c r="H140" s="44">
        <f t="shared" si="54"/>
        <v>2</v>
      </c>
      <c r="I140" s="44">
        <f t="shared" si="54"/>
        <v>2</v>
      </c>
      <c r="J140" s="44">
        <f t="shared" si="54"/>
        <v>2</v>
      </c>
      <c r="K140" s="44">
        <f t="shared" si="54"/>
        <v>2</v>
      </c>
      <c r="L140" s="44">
        <f t="shared" si="54"/>
        <v>2</v>
      </c>
      <c r="M140" s="44">
        <f t="shared" si="54"/>
        <v>2</v>
      </c>
      <c r="N140" s="44">
        <f t="shared" si="54"/>
        <v>2</v>
      </c>
      <c r="O140" s="44">
        <f t="shared" si="54"/>
        <v>2</v>
      </c>
      <c r="P140" s="44">
        <f t="shared" si="54"/>
        <v>2</v>
      </c>
      <c r="Q140" s="44">
        <f t="shared" si="54"/>
        <v>2</v>
      </c>
      <c r="R140" s="44">
        <f t="shared" si="54"/>
        <v>2</v>
      </c>
      <c r="S140" s="44">
        <f t="shared" si="54"/>
        <v>2</v>
      </c>
      <c r="T140" s="44">
        <f t="shared" ref="T140:AF146" si="55">S140</f>
        <v>2</v>
      </c>
      <c r="U140" s="44">
        <f t="shared" si="55"/>
        <v>2</v>
      </c>
      <c r="V140" s="44">
        <f t="shared" si="55"/>
        <v>2</v>
      </c>
      <c r="W140" s="44">
        <f t="shared" si="55"/>
        <v>2</v>
      </c>
      <c r="X140" s="44">
        <f t="shared" si="55"/>
        <v>2</v>
      </c>
      <c r="Y140" s="44">
        <f t="shared" si="55"/>
        <v>2</v>
      </c>
      <c r="Z140" s="44">
        <f t="shared" si="55"/>
        <v>2</v>
      </c>
      <c r="AA140" s="44">
        <f t="shared" si="55"/>
        <v>2</v>
      </c>
      <c r="AB140" s="44">
        <f t="shared" si="55"/>
        <v>2</v>
      </c>
      <c r="AC140" s="44">
        <f t="shared" si="55"/>
        <v>2</v>
      </c>
      <c r="AD140" s="44">
        <f t="shared" si="55"/>
        <v>2</v>
      </c>
      <c r="AE140" s="44">
        <f t="shared" si="55"/>
        <v>2</v>
      </c>
      <c r="AF140" s="44">
        <f t="shared" si="5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3"/>
        <v>5.61</v>
      </c>
      <c r="C141" s="55">
        <v>5.61</v>
      </c>
      <c r="D141" s="44">
        <f t="shared" si="54"/>
        <v>5.61</v>
      </c>
      <c r="E141" s="44">
        <f t="shared" si="54"/>
        <v>5.61</v>
      </c>
      <c r="F141" s="44">
        <f t="shared" si="54"/>
        <v>5.61</v>
      </c>
      <c r="G141" s="44">
        <f t="shared" si="54"/>
        <v>5.61</v>
      </c>
      <c r="H141" s="44">
        <f t="shared" si="54"/>
        <v>5.61</v>
      </c>
      <c r="I141" s="44">
        <f t="shared" si="54"/>
        <v>5.61</v>
      </c>
      <c r="J141" s="44">
        <f t="shared" si="54"/>
        <v>5.61</v>
      </c>
      <c r="K141" s="44">
        <f t="shared" si="54"/>
        <v>5.61</v>
      </c>
      <c r="L141" s="44">
        <f t="shared" si="54"/>
        <v>5.61</v>
      </c>
      <c r="M141" s="44">
        <f t="shared" si="54"/>
        <v>5.61</v>
      </c>
      <c r="N141" s="44">
        <f t="shared" si="54"/>
        <v>5.61</v>
      </c>
      <c r="O141" s="44">
        <f t="shared" si="54"/>
        <v>5.61</v>
      </c>
      <c r="P141" s="44">
        <f t="shared" si="54"/>
        <v>5.61</v>
      </c>
      <c r="Q141" s="44">
        <f t="shared" si="54"/>
        <v>5.61</v>
      </c>
      <c r="R141" s="44">
        <f t="shared" si="54"/>
        <v>5.61</v>
      </c>
      <c r="S141" s="44">
        <f t="shared" si="54"/>
        <v>5.61</v>
      </c>
      <c r="T141" s="44">
        <f t="shared" si="55"/>
        <v>5.61</v>
      </c>
      <c r="U141" s="44">
        <f t="shared" si="55"/>
        <v>5.61</v>
      </c>
      <c r="V141" s="44">
        <f t="shared" si="55"/>
        <v>5.61</v>
      </c>
      <c r="W141" s="44">
        <f t="shared" si="55"/>
        <v>5.61</v>
      </c>
      <c r="X141" s="44">
        <f t="shared" si="55"/>
        <v>5.61</v>
      </c>
      <c r="Y141" s="44">
        <f t="shared" si="55"/>
        <v>5.61</v>
      </c>
      <c r="Z141" s="44">
        <f t="shared" si="55"/>
        <v>5.61</v>
      </c>
      <c r="AA141" s="44">
        <f t="shared" si="55"/>
        <v>5.61</v>
      </c>
      <c r="AB141" s="44">
        <f t="shared" si="55"/>
        <v>5.61</v>
      </c>
      <c r="AC141" s="44">
        <f t="shared" si="55"/>
        <v>5.61</v>
      </c>
      <c r="AD141" s="44">
        <f t="shared" si="55"/>
        <v>5.61</v>
      </c>
      <c r="AE141" s="44">
        <f t="shared" si="55"/>
        <v>5.61</v>
      </c>
      <c r="AF141" s="44">
        <f t="shared" si="55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3"/>
        <v>1.25</v>
      </c>
      <c r="C142" s="55">
        <v>1.25</v>
      </c>
      <c r="D142" s="44">
        <f t="shared" si="54"/>
        <v>1.25</v>
      </c>
      <c r="E142" s="44">
        <f t="shared" si="54"/>
        <v>1.25</v>
      </c>
      <c r="F142" s="44">
        <f t="shared" si="54"/>
        <v>1.25</v>
      </c>
      <c r="G142" s="44">
        <f t="shared" si="54"/>
        <v>1.25</v>
      </c>
      <c r="H142" s="44">
        <f t="shared" si="54"/>
        <v>1.25</v>
      </c>
      <c r="I142" s="44">
        <f t="shared" si="54"/>
        <v>1.25</v>
      </c>
      <c r="J142" s="44">
        <f t="shared" si="54"/>
        <v>1.25</v>
      </c>
      <c r="K142" s="44">
        <f t="shared" si="54"/>
        <v>1.25</v>
      </c>
      <c r="L142" s="44">
        <f t="shared" si="54"/>
        <v>1.25</v>
      </c>
      <c r="M142" s="44">
        <f t="shared" si="54"/>
        <v>1.25</v>
      </c>
      <c r="N142" s="44">
        <f t="shared" si="54"/>
        <v>1.25</v>
      </c>
      <c r="O142" s="44">
        <f t="shared" si="54"/>
        <v>1.25</v>
      </c>
      <c r="P142" s="44">
        <f t="shared" si="54"/>
        <v>1.25</v>
      </c>
      <c r="Q142" s="44">
        <f t="shared" si="54"/>
        <v>1.25</v>
      </c>
      <c r="R142" s="44">
        <f t="shared" si="54"/>
        <v>1.25</v>
      </c>
      <c r="S142" s="44">
        <f t="shared" si="54"/>
        <v>1.25</v>
      </c>
      <c r="T142" s="44">
        <f t="shared" si="55"/>
        <v>1.25</v>
      </c>
      <c r="U142" s="44">
        <f t="shared" si="55"/>
        <v>1.25</v>
      </c>
      <c r="V142" s="44">
        <f t="shared" si="55"/>
        <v>1.25</v>
      </c>
      <c r="W142" s="44">
        <f t="shared" si="55"/>
        <v>1.25</v>
      </c>
      <c r="X142" s="44">
        <f t="shared" si="55"/>
        <v>1.25</v>
      </c>
      <c r="Y142" s="44">
        <f t="shared" si="55"/>
        <v>1.25</v>
      </c>
      <c r="Z142" s="44">
        <f t="shared" si="55"/>
        <v>1.25</v>
      </c>
      <c r="AA142" s="44">
        <f t="shared" si="55"/>
        <v>1.25</v>
      </c>
      <c r="AB142" s="44">
        <f t="shared" si="55"/>
        <v>1.25</v>
      </c>
      <c r="AC142" s="44">
        <f t="shared" si="55"/>
        <v>1.25</v>
      </c>
      <c r="AD142" s="44">
        <f t="shared" si="55"/>
        <v>1.25</v>
      </c>
      <c r="AE142" s="44">
        <f t="shared" si="55"/>
        <v>1.25</v>
      </c>
      <c r="AF142" s="44">
        <f t="shared" si="55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3"/>
        <v>1.25</v>
      </c>
      <c r="C143" s="55">
        <v>1.25</v>
      </c>
      <c r="D143" s="44">
        <f t="shared" si="54"/>
        <v>1.25</v>
      </c>
      <c r="E143" s="44">
        <f t="shared" si="54"/>
        <v>1.25</v>
      </c>
      <c r="F143" s="44">
        <f t="shared" si="54"/>
        <v>1.25</v>
      </c>
      <c r="G143" s="44">
        <f t="shared" si="54"/>
        <v>1.25</v>
      </c>
      <c r="H143" s="44">
        <f t="shared" si="54"/>
        <v>1.25</v>
      </c>
      <c r="I143" s="44">
        <f t="shared" si="54"/>
        <v>1.25</v>
      </c>
      <c r="J143" s="44">
        <f t="shared" si="54"/>
        <v>1.25</v>
      </c>
      <c r="K143" s="44">
        <f t="shared" si="54"/>
        <v>1.25</v>
      </c>
      <c r="L143" s="44">
        <f t="shared" si="54"/>
        <v>1.25</v>
      </c>
      <c r="M143" s="44">
        <f t="shared" si="54"/>
        <v>1.25</v>
      </c>
      <c r="N143" s="44">
        <f t="shared" si="54"/>
        <v>1.25</v>
      </c>
      <c r="O143" s="44">
        <f t="shared" si="54"/>
        <v>1.25</v>
      </c>
      <c r="P143" s="44">
        <f t="shared" si="54"/>
        <v>1.25</v>
      </c>
      <c r="Q143" s="44">
        <f t="shared" si="54"/>
        <v>1.25</v>
      </c>
      <c r="R143" s="44">
        <f t="shared" si="54"/>
        <v>1.25</v>
      </c>
      <c r="S143" s="44">
        <f t="shared" si="54"/>
        <v>1.25</v>
      </c>
      <c r="T143" s="44">
        <f t="shared" si="55"/>
        <v>1.25</v>
      </c>
      <c r="U143" s="44">
        <f t="shared" si="55"/>
        <v>1.25</v>
      </c>
      <c r="V143" s="44">
        <f t="shared" si="55"/>
        <v>1.25</v>
      </c>
      <c r="W143" s="44">
        <f t="shared" si="55"/>
        <v>1.25</v>
      </c>
      <c r="X143" s="44">
        <f t="shared" si="55"/>
        <v>1.25</v>
      </c>
      <c r="Y143" s="44">
        <f t="shared" si="55"/>
        <v>1.25</v>
      </c>
      <c r="Z143" s="44">
        <f t="shared" si="55"/>
        <v>1.25</v>
      </c>
      <c r="AA143" s="44">
        <f t="shared" si="55"/>
        <v>1.25</v>
      </c>
      <c r="AB143" s="44">
        <f t="shared" si="55"/>
        <v>1.25</v>
      </c>
      <c r="AC143" s="44">
        <f t="shared" si="55"/>
        <v>1.25</v>
      </c>
      <c r="AD143" s="44">
        <f t="shared" si="55"/>
        <v>1.25</v>
      </c>
      <c r="AE143" s="44">
        <f t="shared" si="55"/>
        <v>1.25</v>
      </c>
      <c r="AF143" s="44">
        <f t="shared" si="55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3"/>
        <v>1.46</v>
      </c>
      <c r="C144" s="55">
        <v>1.46</v>
      </c>
      <c r="D144" s="44">
        <f t="shared" si="54"/>
        <v>1.46</v>
      </c>
      <c r="E144" s="44">
        <f t="shared" si="54"/>
        <v>1.46</v>
      </c>
      <c r="F144" s="44">
        <f t="shared" si="54"/>
        <v>1.46</v>
      </c>
      <c r="G144" s="44">
        <f t="shared" si="54"/>
        <v>1.46</v>
      </c>
      <c r="H144" s="44">
        <f t="shared" si="54"/>
        <v>1.46</v>
      </c>
      <c r="I144" s="44">
        <f t="shared" si="54"/>
        <v>1.46</v>
      </c>
      <c r="J144" s="44">
        <f t="shared" si="54"/>
        <v>1.46</v>
      </c>
      <c r="K144" s="44">
        <f t="shared" si="54"/>
        <v>1.46</v>
      </c>
      <c r="L144" s="44">
        <f t="shared" si="54"/>
        <v>1.46</v>
      </c>
      <c r="M144" s="44">
        <f t="shared" si="54"/>
        <v>1.46</v>
      </c>
      <c r="N144" s="44">
        <f t="shared" si="54"/>
        <v>1.46</v>
      </c>
      <c r="O144" s="44">
        <f t="shared" si="54"/>
        <v>1.46</v>
      </c>
      <c r="P144" s="44">
        <f t="shared" si="54"/>
        <v>1.46</v>
      </c>
      <c r="Q144" s="44">
        <f t="shared" si="54"/>
        <v>1.46</v>
      </c>
      <c r="R144" s="44">
        <f t="shared" si="54"/>
        <v>1.46</v>
      </c>
      <c r="S144" s="44">
        <f t="shared" si="54"/>
        <v>1.46</v>
      </c>
      <c r="T144" s="44">
        <f t="shared" si="55"/>
        <v>1.46</v>
      </c>
      <c r="U144" s="44">
        <f t="shared" si="55"/>
        <v>1.46</v>
      </c>
      <c r="V144" s="44">
        <f t="shared" si="55"/>
        <v>1.46</v>
      </c>
      <c r="W144" s="44">
        <f t="shared" si="55"/>
        <v>1.46</v>
      </c>
      <c r="X144" s="44">
        <f t="shared" si="55"/>
        <v>1.46</v>
      </c>
      <c r="Y144" s="44">
        <f t="shared" si="55"/>
        <v>1.46</v>
      </c>
      <c r="Z144" s="44">
        <f t="shared" si="55"/>
        <v>1.46</v>
      </c>
      <c r="AA144" s="44">
        <f t="shared" si="55"/>
        <v>1.46</v>
      </c>
      <c r="AB144" s="44">
        <f t="shared" si="55"/>
        <v>1.46</v>
      </c>
      <c r="AC144" s="44">
        <f t="shared" si="55"/>
        <v>1.46</v>
      </c>
      <c r="AD144" s="44">
        <f t="shared" si="55"/>
        <v>1.46</v>
      </c>
      <c r="AE144" s="44">
        <f t="shared" si="55"/>
        <v>1.46</v>
      </c>
      <c r="AF144" s="44">
        <f t="shared" si="55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3"/>
        <v>3</v>
      </c>
      <c r="C145" s="55">
        <v>3</v>
      </c>
      <c r="D145" s="44">
        <f t="shared" si="54"/>
        <v>3</v>
      </c>
      <c r="E145" s="44">
        <f t="shared" si="54"/>
        <v>3</v>
      </c>
      <c r="F145" s="44">
        <f t="shared" si="54"/>
        <v>3</v>
      </c>
      <c r="G145" s="44">
        <f t="shared" si="54"/>
        <v>3</v>
      </c>
      <c r="H145" s="44">
        <f t="shared" si="54"/>
        <v>3</v>
      </c>
      <c r="I145" s="44">
        <f t="shared" si="54"/>
        <v>3</v>
      </c>
      <c r="J145" s="44">
        <f t="shared" si="54"/>
        <v>3</v>
      </c>
      <c r="K145" s="44">
        <f t="shared" si="54"/>
        <v>3</v>
      </c>
      <c r="L145" s="44">
        <f t="shared" si="54"/>
        <v>3</v>
      </c>
      <c r="M145" s="44">
        <f t="shared" si="54"/>
        <v>3</v>
      </c>
      <c r="N145" s="44">
        <f t="shared" si="54"/>
        <v>3</v>
      </c>
      <c r="O145" s="44">
        <f t="shared" si="54"/>
        <v>3</v>
      </c>
      <c r="P145" s="44">
        <f t="shared" si="54"/>
        <v>3</v>
      </c>
      <c r="Q145" s="44">
        <f t="shared" si="54"/>
        <v>3</v>
      </c>
      <c r="R145" s="44">
        <f t="shared" si="54"/>
        <v>3</v>
      </c>
      <c r="S145" s="44">
        <f t="shared" si="54"/>
        <v>3</v>
      </c>
      <c r="T145" s="44">
        <f t="shared" si="55"/>
        <v>3</v>
      </c>
      <c r="U145" s="44">
        <f t="shared" si="55"/>
        <v>3</v>
      </c>
      <c r="V145" s="44">
        <f t="shared" si="55"/>
        <v>3</v>
      </c>
      <c r="W145" s="44">
        <f t="shared" si="55"/>
        <v>3</v>
      </c>
      <c r="X145" s="44">
        <f t="shared" si="55"/>
        <v>3</v>
      </c>
      <c r="Y145" s="44">
        <f t="shared" si="55"/>
        <v>3</v>
      </c>
      <c r="Z145" s="44">
        <f t="shared" si="55"/>
        <v>3</v>
      </c>
      <c r="AA145" s="44">
        <f t="shared" si="55"/>
        <v>3</v>
      </c>
      <c r="AB145" s="44">
        <f t="shared" si="55"/>
        <v>3</v>
      </c>
      <c r="AC145" s="44">
        <f t="shared" si="55"/>
        <v>3</v>
      </c>
      <c r="AD145" s="44">
        <f t="shared" si="55"/>
        <v>3</v>
      </c>
      <c r="AE145" s="44">
        <f t="shared" si="55"/>
        <v>3</v>
      </c>
      <c r="AF145" s="44">
        <f t="shared" si="55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3"/>
        <v>3.3</v>
      </c>
      <c r="C146" s="55">
        <v>3.3</v>
      </c>
      <c r="D146" s="44">
        <f t="shared" si="54"/>
        <v>3.3</v>
      </c>
      <c r="E146" s="44">
        <f t="shared" si="54"/>
        <v>3.3</v>
      </c>
      <c r="F146" s="44">
        <f t="shared" si="54"/>
        <v>3.3</v>
      </c>
      <c r="G146" s="44">
        <f t="shared" si="54"/>
        <v>3.3</v>
      </c>
      <c r="H146" s="44">
        <f t="shared" si="54"/>
        <v>3.3</v>
      </c>
      <c r="I146" s="44">
        <f t="shared" si="54"/>
        <v>3.3</v>
      </c>
      <c r="J146" s="44">
        <f t="shared" si="54"/>
        <v>3.3</v>
      </c>
      <c r="K146" s="44">
        <f t="shared" si="54"/>
        <v>3.3</v>
      </c>
      <c r="L146" s="44">
        <f t="shared" si="54"/>
        <v>3.3</v>
      </c>
      <c r="M146" s="44">
        <f t="shared" si="54"/>
        <v>3.3</v>
      </c>
      <c r="N146" s="44">
        <f t="shared" si="54"/>
        <v>3.3</v>
      </c>
      <c r="O146" s="44">
        <f t="shared" si="54"/>
        <v>3.3</v>
      </c>
      <c r="P146" s="44">
        <f t="shared" si="54"/>
        <v>3.3</v>
      </c>
      <c r="Q146" s="44">
        <f t="shared" si="54"/>
        <v>3.3</v>
      </c>
      <c r="R146" s="44">
        <f t="shared" si="54"/>
        <v>3.3</v>
      </c>
      <c r="S146" s="44">
        <f t="shared" si="54"/>
        <v>3.3</v>
      </c>
      <c r="T146" s="44">
        <f t="shared" si="55"/>
        <v>3.3</v>
      </c>
      <c r="U146" s="44">
        <f t="shared" si="55"/>
        <v>3.3</v>
      </c>
      <c r="V146" s="44">
        <f t="shared" si="55"/>
        <v>3.3</v>
      </c>
      <c r="W146" s="44">
        <f t="shared" si="55"/>
        <v>3.3</v>
      </c>
      <c r="X146" s="44">
        <f t="shared" si="55"/>
        <v>3.3</v>
      </c>
      <c r="Y146" s="44">
        <f t="shared" si="55"/>
        <v>3.3</v>
      </c>
      <c r="Z146" s="44">
        <f t="shared" si="55"/>
        <v>3.3</v>
      </c>
      <c r="AA146" s="44">
        <f t="shared" si="55"/>
        <v>3.3</v>
      </c>
      <c r="AB146" s="44">
        <f t="shared" si="55"/>
        <v>3.3</v>
      </c>
      <c r="AC146" s="44">
        <f t="shared" si="55"/>
        <v>3.3</v>
      </c>
      <c r="AD146" s="44">
        <f t="shared" si="55"/>
        <v>3.3</v>
      </c>
      <c r="AE146" s="44">
        <f t="shared" si="55"/>
        <v>3.3</v>
      </c>
      <c r="AF146" s="44">
        <f t="shared" si="55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6">C148</f>
        <v>1.76</v>
      </c>
      <c r="E148" s="44">
        <f t="shared" si="56"/>
        <v>1.76</v>
      </c>
      <c r="F148" s="44">
        <f t="shared" si="56"/>
        <v>1.76</v>
      </c>
      <c r="G148" s="44">
        <f t="shared" si="56"/>
        <v>1.76</v>
      </c>
      <c r="H148" s="44">
        <f t="shared" si="56"/>
        <v>1.76</v>
      </c>
      <c r="I148" s="44">
        <f t="shared" si="56"/>
        <v>1.76</v>
      </c>
      <c r="J148" s="44">
        <f t="shared" si="56"/>
        <v>1.76</v>
      </c>
      <c r="K148" s="44">
        <f t="shared" si="56"/>
        <v>1.76</v>
      </c>
      <c r="L148" s="44">
        <f t="shared" si="56"/>
        <v>1.76</v>
      </c>
      <c r="M148" s="44">
        <f t="shared" si="56"/>
        <v>1.76</v>
      </c>
      <c r="N148" s="44">
        <f t="shared" si="56"/>
        <v>1.76</v>
      </c>
      <c r="O148" s="44">
        <f t="shared" si="56"/>
        <v>1.76</v>
      </c>
      <c r="P148" s="44">
        <f t="shared" si="56"/>
        <v>1.76</v>
      </c>
      <c r="Q148" s="44">
        <f t="shared" si="56"/>
        <v>1.76</v>
      </c>
      <c r="R148" s="44">
        <f t="shared" si="56"/>
        <v>1.76</v>
      </c>
      <c r="S148" s="44">
        <f t="shared" si="56"/>
        <v>1.76</v>
      </c>
      <c r="T148" s="44">
        <f t="shared" ref="T148:AF149" si="57">S148</f>
        <v>1.76</v>
      </c>
      <c r="U148" s="44">
        <f t="shared" si="57"/>
        <v>1.76</v>
      </c>
      <c r="V148" s="44">
        <f t="shared" si="57"/>
        <v>1.76</v>
      </c>
      <c r="W148" s="44">
        <f t="shared" si="57"/>
        <v>1.76</v>
      </c>
      <c r="X148" s="44">
        <f t="shared" si="57"/>
        <v>1.76</v>
      </c>
      <c r="Y148" s="44">
        <f t="shared" si="57"/>
        <v>1.76</v>
      </c>
      <c r="Z148" s="44">
        <f t="shared" si="57"/>
        <v>1.76</v>
      </c>
      <c r="AA148" s="44">
        <f t="shared" si="57"/>
        <v>1.76</v>
      </c>
      <c r="AB148" s="44">
        <f t="shared" si="57"/>
        <v>1.76</v>
      </c>
      <c r="AC148" s="44">
        <f t="shared" si="57"/>
        <v>1.76</v>
      </c>
      <c r="AD148" s="44">
        <f t="shared" si="57"/>
        <v>1.76</v>
      </c>
      <c r="AE148" s="44">
        <f t="shared" si="57"/>
        <v>1.76</v>
      </c>
      <c r="AF148" s="44">
        <f t="shared" si="57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6"/>
        <v>0</v>
      </c>
      <c r="E149" s="44">
        <f t="shared" si="56"/>
        <v>0</v>
      </c>
      <c r="F149" s="44">
        <f t="shared" si="56"/>
        <v>0</v>
      </c>
      <c r="G149" s="44">
        <f t="shared" si="56"/>
        <v>0</v>
      </c>
      <c r="H149" s="44">
        <f t="shared" si="56"/>
        <v>0</v>
      </c>
      <c r="I149" s="44">
        <f t="shared" si="56"/>
        <v>0</v>
      </c>
      <c r="J149" s="44">
        <f t="shared" si="56"/>
        <v>0</v>
      </c>
      <c r="K149" s="44">
        <f t="shared" si="56"/>
        <v>0</v>
      </c>
      <c r="L149" s="44">
        <f t="shared" si="56"/>
        <v>0</v>
      </c>
      <c r="M149" s="44">
        <f t="shared" si="56"/>
        <v>0</v>
      </c>
      <c r="N149" s="44">
        <f t="shared" si="56"/>
        <v>0</v>
      </c>
      <c r="O149" s="44">
        <f t="shared" si="56"/>
        <v>0</v>
      </c>
      <c r="P149" s="44">
        <f t="shared" si="56"/>
        <v>0</v>
      </c>
      <c r="Q149" s="44">
        <f t="shared" si="56"/>
        <v>0</v>
      </c>
      <c r="R149" s="44">
        <f t="shared" si="56"/>
        <v>0</v>
      </c>
      <c r="S149" s="44">
        <f t="shared" si="56"/>
        <v>0</v>
      </c>
      <c r="T149" s="44">
        <f t="shared" si="57"/>
        <v>0</v>
      </c>
      <c r="U149" s="44">
        <f t="shared" si="57"/>
        <v>0</v>
      </c>
      <c r="V149" s="44">
        <f t="shared" si="57"/>
        <v>0</v>
      </c>
      <c r="W149" s="44">
        <f t="shared" si="57"/>
        <v>0</v>
      </c>
      <c r="X149" s="44">
        <f t="shared" si="57"/>
        <v>0</v>
      </c>
      <c r="Y149" s="44">
        <f t="shared" si="57"/>
        <v>0</v>
      </c>
      <c r="Z149" s="44">
        <f t="shared" si="57"/>
        <v>0</v>
      </c>
      <c r="AA149" s="44">
        <f t="shared" si="57"/>
        <v>0</v>
      </c>
      <c r="AB149" s="44">
        <f t="shared" si="57"/>
        <v>0</v>
      </c>
      <c r="AC149" s="44">
        <f t="shared" si="57"/>
        <v>0</v>
      </c>
      <c r="AD149" s="44">
        <f t="shared" si="57"/>
        <v>0</v>
      </c>
      <c r="AE149" s="44">
        <f t="shared" si="57"/>
        <v>0</v>
      </c>
      <c r="AF149" s="44">
        <f t="shared" si="57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8">C151</f>
        <v>0.1</v>
      </c>
      <c r="E151" s="44">
        <f t="shared" si="58"/>
        <v>0.1</v>
      </c>
      <c r="F151" s="44">
        <f t="shared" si="58"/>
        <v>0.1</v>
      </c>
      <c r="G151" s="44">
        <f t="shared" si="58"/>
        <v>0.1</v>
      </c>
      <c r="H151" s="44">
        <f t="shared" si="58"/>
        <v>0.1</v>
      </c>
      <c r="I151" s="44">
        <f t="shared" si="58"/>
        <v>0.1</v>
      </c>
      <c r="J151" s="44">
        <f t="shared" si="58"/>
        <v>0.1</v>
      </c>
      <c r="K151" s="44">
        <f t="shared" si="58"/>
        <v>0.1</v>
      </c>
      <c r="L151" s="44">
        <f t="shared" si="58"/>
        <v>0.1</v>
      </c>
      <c r="M151" s="44">
        <f t="shared" si="58"/>
        <v>0.1</v>
      </c>
      <c r="N151" s="44">
        <f t="shared" si="58"/>
        <v>0.1</v>
      </c>
      <c r="O151" s="44">
        <f t="shared" si="58"/>
        <v>0.1</v>
      </c>
      <c r="P151" s="44">
        <f t="shared" si="58"/>
        <v>0.1</v>
      </c>
      <c r="Q151" s="44">
        <f t="shared" si="58"/>
        <v>0.1</v>
      </c>
      <c r="R151" s="44">
        <f t="shared" si="58"/>
        <v>0.1</v>
      </c>
      <c r="S151" s="44">
        <f t="shared" si="58"/>
        <v>0.1</v>
      </c>
      <c r="T151" s="44">
        <f t="shared" ref="T151:AF154" si="59">S151</f>
        <v>0.1</v>
      </c>
      <c r="U151" s="44">
        <f t="shared" si="59"/>
        <v>0.1</v>
      </c>
      <c r="V151" s="44">
        <f t="shared" si="59"/>
        <v>0.1</v>
      </c>
      <c r="W151" s="44">
        <f t="shared" si="59"/>
        <v>0.1</v>
      </c>
      <c r="X151" s="44">
        <f t="shared" si="59"/>
        <v>0.1</v>
      </c>
      <c r="Y151" s="44">
        <f t="shared" si="59"/>
        <v>0.1</v>
      </c>
      <c r="Z151" s="44">
        <f t="shared" si="59"/>
        <v>0.1</v>
      </c>
      <c r="AA151" s="44">
        <f t="shared" si="59"/>
        <v>0.1</v>
      </c>
      <c r="AB151" s="44">
        <f t="shared" si="59"/>
        <v>0.1</v>
      </c>
      <c r="AC151" s="44">
        <f t="shared" si="59"/>
        <v>0.1</v>
      </c>
      <c r="AD151" s="44">
        <f t="shared" si="59"/>
        <v>0.1</v>
      </c>
      <c r="AE151" s="44">
        <f t="shared" si="59"/>
        <v>0.1</v>
      </c>
      <c r="AF151" s="44">
        <f t="shared" si="59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8"/>
        <v>2.0499999999999998</v>
      </c>
      <c r="E152" s="44">
        <f t="shared" si="58"/>
        <v>2.0499999999999998</v>
      </c>
      <c r="F152" s="44">
        <f t="shared" si="58"/>
        <v>2.0499999999999998</v>
      </c>
      <c r="G152" s="44">
        <f t="shared" si="58"/>
        <v>2.0499999999999998</v>
      </c>
      <c r="H152" s="44">
        <f t="shared" si="58"/>
        <v>2.0499999999999998</v>
      </c>
      <c r="I152" s="44">
        <f t="shared" si="58"/>
        <v>2.0499999999999998</v>
      </c>
      <c r="J152" s="44">
        <f t="shared" si="58"/>
        <v>2.0499999999999998</v>
      </c>
      <c r="K152" s="44">
        <f t="shared" si="58"/>
        <v>2.0499999999999998</v>
      </c>
      <c r="L152" s="44">
        <f t="shared" si="58"/>
        <v>2.0499999999999998</v>
      </c>
      <c r="M152" s="44">
        <f t="shared" si="58"/>
        <v>2.0499999999999998</v>
      </c>
      <c r="N152" s="44">
        <f t="shared" si="58"/>
        <v>2.0499999999999998</v>
      </c>
      <c r="O152" s="44">
        <f t="shared" si="58"/>
        <v>2.0499999999999998</v>
      </c>
      <c r="P152" s="44">
        <f t="shared" si="58"/>
        <v>2.0499999999999998</v>
      </c>
      <c r="Q152" s="44">
        <f t="shared" si="58"/>
        <v>2.0499999999999998</v>
      </c>
      <c r="R152" s="44">
        <f t="shared" si="58"/>
        <v>2.0499999999999998</v>
      </c>
      <c r="S152" s="44">
        <f t="shared" si="58"/>
        <v>2.0499999999999998</v>
      </c>
      <c r="T152" s="44">
        <f t="shared" si="59"/>
        <v>2.0499999999999998</v>
      </c>
      <c r="U152" s="44">
        <f t="shared" si="59"/>
        <v>2.0499999999999998</v>
      </c>
      <c r="V152" s="44">
        <f t="shared" si="59"/>
        <v>2.0499999999999998</v>
      </c>
      <c r="W152" s="44">
        <f t="shared" si="59"/>
        <v>2.0499999999999998</v>
      </c>
      <c r="X152" s="44">
        <f t="shared" si="59"/>
        <v>2.0499999999999998</v>
      </c>
      <c r="Y152" s="44">
        <f t="shared" si="59"/>
        <v>2.0499999999999998</v>
      </c>
      <c r="Z152" s="44">
        <f t="shared" si="59"/>
        <v>2.0499999999999998</v>
      </c>
      <c r="AA152" s="44">
        <f t="shared" si="59"/>
        <v>2.0499999999999998</v>
      </c>
      <c r="AB152" s="44">
        <f t="shared" si="59"/>
        <v>2.0499999999999998</v>
      </c>
      <c r="AC152" s="44">
        <f t="shared" si="59"/>
        <v>2.0499999999999998</v>
      </c>
      <c r="AD152" s="44">
        <f t="shared" si="59"/>
        <v>2.0499999999999998</v>
      </c>
      <c r="AE152" s="44">
        <f t="shared" si="59"/>
        <v>2.0499999999999998</v>
      </c>
      <c r="AF152" s="44">
        <f t="shared" si="59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8"/>
        <v>2.7</v>
      </c>
      <c r="E153" s="44">
        <f t="shared" si="58"/>
        <v>2.7</v>
      </c>
      <c r="F153" s="44">
        <f t="shared" si="58"/>
        <v>2.7</v>
      </c>
      <c r="G153" s="44">
        <f t="shared" si="58"/>
        <v>2.7</v>
      </c>
      <c r="H153" s="44">
        <f t="shared" si="58"/>
        <v>2.7</v>
      </c>
      <c r="I153" s="44">
        <f t="shared" si="58"/>
        <v>2.7</v>
      </c>
      <c r="J153" s="44">
        <f t="shared" si="58"/>
        <v>2.7</v>
      </c>
      <c r="K153" s="44">
        <f t="shared" si="58"/>
        <v>2.7</v>
      </c>
      <c r="L153" s="44">
        <f t="shared" si="58"/>
        <v>2.7</v>
      </c>
      <c r="M153" s="44">
        <f t="shared" si="58"/>
        <v>2.7</v>
      </c>
      <c r="N153" s="44">
        <f t="shared" si="58"/>
        <v>2.7</v>
      </c>
      <c r="O153" s="44">
        <f t="shared" si="58"/>
        <v>2.7</v>
      </c>
      <c r="P153" s="44">
        <f t="shared" si="58"/>
        <v>2.7</v>
      </c>
      <c r="Q153" s="44">
        <f t="shared" si="58"/>
        <v>2.7</v>
      </c>
      <c r="R153" s="44">
        <f t="shared" si="58"/>
        <v>2.7</v>
      </c>
      <c r="S153" s="44">
        <f t="shared" si="58"/>
        <v>2.7</v>
      </c>
      <c r="T153" s="44">
        <f t="shared" si="59"/>
        <v>2.7</v>
      </c>
      <c r="U153" s="44">
        <f t="shared" si="59"/>
        <v>2.7</v>
      </c>
      <c r="V153" s="44">
        <f t="shared" si="59"/>
        <v>2.7</v>
      </c>
      <c r="W153" s="44">
        <f t="shared" si="59"/>
        <v>2.7</v>
      </c>
      <c r="X153" s="44">
        <f t="shared" si="59"/>
        <v>2.7</v>
      </c>
      <c r="Y153" s="44">
        <f t="shared" si="59"/>
        <v>2.7</v>
      </c>
      <c r="Z153" s="44">
        <f t="shared" si="59"/>
        <v>2.7</v>
      </c>
      <c r="AA153" s="44">
        <f t="shared" si="59"/>
        <v>2.7</v>
      </c>
      <c r="AB153" s="44">
        <f t="shared" si="59"/>
        <v>2.7</v>
      </c>
      <c r="AC153" s="44">
        <f t="shared" si="59"/>
        <v>2.7</v>
      </c>
      <c r="AD153" s="44">
        <f t="shared" si="59"/>
        <v>2.7</v>
      </c>
      <c r="AE153" s="44">
        <f t="shared" si="59"/>
        <v>2.7</v>
      </c>
      <c r="AF153" s="44">
        <f t="shared" si="59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8"/>
        <v>2.15</v>
      </c>
      <c r="E154" s="44">
        <f t="shared" si="58"/>
        <v>2.15</v>
      </c>
      <c r="F154" s="44">
        <f t="shared" si="58"/>
        <v>2.15</v>
      </c>
      <c r="G154" s="44">
        <f t="shared" si="58"/>
        <v>2.15</v>
      </c>
      <c r="H154" s="44">
        <f t="shared" si="58"/>
        <v>2.15</v>
      </c>
      <c r="I154" s="44">
        <f t="shared" si="58"/>
        <v>2.15</v>
      </c>
      <c r="J154" s="44">
        <f t="shared" si="58"/>
        <v>2.15</v>
      </c>
      <c r="K154" s="44">
        <f t="shared" si="58"/>
        <v>2.15</v>
      </c>
      <c r="L154" s="44">
        <f t="shared" si="58"/>
        <v>2.15</v>
      </c>
      <c r="M154" s="44">
        <f t="shared" si="58"/>
        <v>2.15</v>
      </c>
      <c r="N154" s="44">
        <f t="shared" si="58"/>
        <v>2.15</v>
      </c>
      <c r="O154" s="44">
        <f t="shared" si="58"/>
        <v>2.15</v>
      </c>
      <c r="P154" s="44">
        <f t="shared" si="58"/>
        <v>2.15</v>
      </c>
      <c r="Q154" s="44">
        <f t="shared" si="58"/>
        <v>2.15</v>
      </c>
      <c r="R154" s="44">
        <f t="shared" si="58"/>
        <v>2.15</v>
      </c>
      <c r="S154" s="44">
        <f t="shared" si="58"/>
        <v>2.15</v>
      </c>
      <c r="T154" s="44">
        <f t="shared" si="59"/>
        <v>2.15</v>
      </c>
      <c r="U154" s="44">
        <f t="shared" si="59"/>
        <v>2.15</v>
      </c>
      <c r="V154" s="44">
        <f t="shared" si="59"/>
        <v>2.15</v>
      </c>
      <c r="W154" s="44">
        <f t="shared" si="59"/>
        <v>2.15</v>
      </c>
      <c r="X154" s="44">
        <f t="shared" si="59"/>
        <v>2.15</v>
      </c>
      <c r="Y154" s="44">
        <f t="shared" si="59"/>
        <v>2.15</v>
      </c>
      <c r="Z154" s="44">
        <f t="shared" si="59"/>
        <v>2.15</v>
      </c>
      <c r="AA154" s="44">
        <f t="shared" si="59"/>
        <v>2.15</v>
      </c>
      <c r="AB154" s="44">
        <f t="shared" si="59"/>
        <v>2.15</v>
      </c>
      <c r="AC154" s="44">
        <f t="shared" si="59"/>
        <v>2.15</v>
      </c>
      <c r="AD154" s="44">
        <f t="shared" si="59"/>
        <v>2.15</v>
      </c>
      <c r="AE154" s="44">
        <f t="shared" si="59"/>
        <v>2.15</v>
      </c>
      <c r="AF154" s="44">
        <f t="shared" si="59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0">AF156</f>
        <v>0.9</v>
      </c>
      <c r="C156" s="55">
        <v>0.9</v>
      </c>
      <c r="D156" s="44">
        <f t="shared" ref="D156:S168" si="61">C156</f>
        <v>0.9</v>
      </c>
      <c r="E156" s="44">
        <f t="shared" si="61"/>
        <v>0.9</v>
      </c>
      <c r="F156" s="44">
        <f t="shared" si="61"/>
        <v>0.9</v>
      </c>
      <c r="G156" s="44">
        <f t="shared" si="61"/>
        <v>0.9</v>
      </c>
      <c r="H156" s="44">
        <f t="shared" si="61"/>
        <v>0.9</v>
      </c>
      <c r="I156" s="44">
        <f t="shared" si="61"/>
        <v>0.9</v>
      </c>
      <c r="J156" s="44">
        <f t="shared" si="61"/>
        <v>0.9</v>
      </c>
      <c r="K156" s="44">
        <f t="shared" si="61"/>
        <v>0.9</v>
      </c>
      <c r="L156" s="44">
        <f t="shared" si="61"/>
        <v>0.9</v>
      </c>
      <c r="M156" s="44">
        <f t="shared" si="61"/>
        <v>0.9</v>
      </c>
      <c r="N156" s="44">
        <f t="shared" si="61"/>
        <v>0.9</v>
      </c>
      <c r="O156" s="44">
        <f t="shared" si="61"/>
        <v>0.9</v>
      </c>
      <c r="P156" s="44">
        <f t="shared" si="61"/>
        <v>0.9</v>
      </c>
      <c r="Q156" s="44">
        <f t="shared" si="61"/>
        <v>0.9</v>
      </c>
      <c r="R156" s="44">
        <f t="shared" si="61"/>
        <v>0.9</v>
      </c>
      <c r="S156" s="44">
        <f t="shared" si="61"/>
        <v>0.9</v>
      </c>
      <c r="T156" s="44">
        <f t="shared" ref="S156:AF168" si="62">S156</f>
        <v>0.9</v>
      </c>
      <c r="U156" s="44">
        <f t="shared" si="62"/>
        <v>0.9</v>
      </c>
      <c r="V156" s="44">
        <f t="shared" si="62"/>
        <v>0.9</v>
      </c>
      <c r="W156" s="44">
        <f t="shared" si="62"/>
        <v>0.9</v>
      </c>
      <c r="X156" s="44">
        <f t="shared" si="62"/>
        <v>0.9</v>
      </c>
      <c r="Y156" s="44">
        <f t="shared" si="62"/>
        <v>0.9</v>
      </c>
      <c r="Z156" s="44">
        <f t="shared" si="62"/>
        <v>0.9</v>
      </c>
      <c r="AA156" s="44">
        <f t="shared" si="62"/>
        <v>0.9</v>
      </c>
      <c r="AB156" s="44">
        <f t="shared" si="62"/>
        <v>0.9</v>
      </c>
      <c r="AC156" s="44">
        <f t="shared" si="62"/>
        <v>0.9</v>
      </c>
      <c r="AD156" s="44">
        <f t="shared" si="62"/>
        <v>0.9</v>
      </c>
      <c r="AE156" s="44">
        <f t="shared" si="62"/>
        <v>0.9</v>
      </c>
      <c r="AF156" s="44">
        <f t="shared" si="62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0"/>
        <v>1.08</v>
      </c>
      <c r="C157" s="55">
        <v>1.08</v>
      </c>
      <c r="D157" s="44">
        <f t="shared" si="61"/>
        <v>1.08</v>
      </c>
      <c r="E157" s="44">
        <f t="shared" si="61"/>
        <v>1.08</v>
      </c>
      <c r="F157" s="44">
        <f t="shared" si="61"/>
        <v>1.08</v>
      </c>
      <c r="G157" s="44">
        <f t="shared" si="61"/>
        <v>1.08</v>
      </c>
      <c r="H157" s="44">
        <f t="shared" si="61"/>
        <v>1.08</v>
      </c>
      <c r="I157" s="44">
        <f t="shared" si="61"/>
        <v>1.08</v>
      </c>
      <c r="J157" s="44">
        <f t="shared" si="61"/>
        <v>1.08</v>
      </c>
      <c r="K157" s="44">
        <f t="shared" si="61"/>
        <v>1.08</v>
      </c>
      <c r="L157" s="44">
        <f t="shared" si="61"/>
        <v>1.08</v>
      </c>
      <c r="M157" s="44">
        <f t="shared" si="61"/>
        <v>1.08</v>
      </c>
      <c r="N157" s="44">
        <f t="shared" si="61"/>
        <v>1.08</v>
      </c>
      <c r="O157" s="44">
        <f t="shared" si="61"/>
        <v>1.08</v>
      </c>
      <c r="P157" s="44">
        <f t="shared" si="61"/>
        <v>1.08</v>
      </c>
      <c r="Q157" s="44">
        <f t="shared" si="61"/>
        <v>1.08</v>
      </c>
      <c r="R157" s="44">
        <f t="shared" si="61"/>
        <v>1.08</v>
      </c>
      <c r="S157" s="44">
        <f t="shared" si="61"/>
        <v>1.08</v>
      </c>
      <c r="T157" s="44">
        <f t="shared" si="62"/>
        <v>1.08</v>
      </c>
      <c r="U157" s="44">
        <f t="shared" si="62"/>
        <v>1.08</v>
      </c>
      <c r="V157" s="44">
        <f t="shared" si="62"/>
        <v>1.08</v>
      </c>
      <c r="W157" s="44">
        <f t="shared" si="62"/>
        <v>1.08</v>
      </c>
      <c r="X157" s="44">
        <f t="shared" si="62"/>
        <v>1.08</v>
      </c>
      <c r="Y157" s="44">
        <f t="shared" si="62"/>
        <v>1.08</v>
      </c>
      <c r="Z157" s="44">
        <f t="shared" si="62"/>
        <v>1.08</v>
      </c>
      <c r="AA157" s="44">
        <f t="shared" si="62"/>
        <v>1.08</v>
      </c>
      <c r="AB157" s="44">
        <f t="shared" si="62"/>
        <v>1.08</v>
      </c>
      <c r="AC157" s="44">
        <f t="shared" si="62"/>
        <v>1.08</v>
      </c>
      <c r="AD157" s="44">
        <f t="shared" si="62"/>
        <v>1.08</v>
      </c>
      <c r="AE157" s="44">
        <f t="shared" si="62"/>
        <v>1.08</v>
      </c>
      <c r="AF157" s="44">
        <f t="shared" si="62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0"/>
        <v>2.37</v>
      </c>
      <c r="C158" s="55">
        <v>2.37</v>
      </c>
      <c r="D158" s="44">
        <f t="shared" si="61"/>
        <v>2.37</v>
      </c>
      <c r="E158" s="44">
        <f t="shared" si="61"/>
        <v>2.37</v>
      </c>
      <c r="F158" s="44">
        <f t="shared" si="61"/>
        <v>2.37</v>
      </c>
      <c r="G158" s="44">
        <f t="shared" si="61"/>
        <v>2.37</v>
      </c>
      <c r="H158" s="44">
        <f t="shared" si="61"/>
        <v>2.37</v>
      </c>
      <c r="I158" s="44">
        <f t="shared" si="61"/>
        <v>2.37</v>
      </c>
      <c r="J158" s="44">
        <f t="shared" si="61"/>
        <v>2.37</v>
      </c>
      <c r="K158" s="44">
        <f t="shared" si="61"/>
        <v>2.37</v>
      </c>
      <c r="L158" s="44">
        <f t="shared" si="61"/>
        <v>2.37</v>
      </c>
      <c r="M158" s="44">
        <f t="shared" si="61"/>
        <v>2.37</v>
      </c>
      <c r="N158" s="44">
        <f t="shared" si="61"/>
        <v>2.37</v>
      </c>
      <c r="O158" s="44">
        <f t="shared" si="61"/>
        <v>2.37</v>
      </c>
      <c r="P158" s="44">
        <f t="shared" si="61"/>
        <v>2.37</v>
      </c>
      <c r="Q158" s="44">
        <f t="shared" si="61"/>
        <v>2.37</v>
      </c>
      <c r="R158" s="44">
        <f t="shared" si="61"/>
        <v>2.37</v>
      </c>
      <c r="S158" s="44">
        <f t="shared" si="61"/>
        <v>2.37</v>
      </c>
      <c r="T158" s="44">
        <f t="shared" si="62"/>
        <v>2.37</v>
      </c>
      <c r="U158" s="44">
        <f t="shared" si="62"/>
        <v>2.37</v>
      </c>
      <c r="V158" s="44">
        <f t="shared" si="62"/>
        <v>2.37</v>
      </c>
      <c r="W158" s="44">
        <f t="shared" si="62"/>
        <v>2.37</v>
      </c>
      <c r="X158" s="44">
        <f t="shared" si="62"/>
        <v>2.37</v>
      </c>
      <c r="Y158" s="44">
        <f t="shared" si="62"/>
        <v>2.37</v>
      </c>
      <c r="Z158" s="44">
        <f t="shared" si="62"/>
        <v>2.37</v>
      </c>
      <c r="AA158" s="44">
        <f t="shared" si="62"/>
        <v>2.37</v>
      </c>
      <c r="AB158" s="44">
        <f t="shared" si="62"/>
        <v>2.37</v>
      </c>
      <c r="AC158" s="44">
        <f t="shared" si="62"/>
        <v>2.37</v>
      </c>
      <c r="AD158" s="44">
        <f t="shared" si="62"/>
        <v>2.37</v>
      </c>
      <c r="AE158" s="44">
        <f t="shared" si="62"/>
        <v>2.37</v>
      </c>
      <c r="AF158" s="44">
        <f t="shared" si="62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0"/>
        <v>1.81</v>
      </c>
      <c r="C159" s="55">
        <v>1.81</v>
      </c>
      <c r="D159" s="44">
        <f t="shared" si="61"/>
        <v>1.81</v>
      </c>
      <c r="E159" s="44">
        <f t="shared" si="61"/>
        <v>1.81</v>
      </c>
      <c r="F159" s="44">
        <f t="shared" si="61"/>
        <v>1.81</v>
      </c>
      <c r="G159" s="44">
        <f t="shared" si="61"/>
        <v>1.81</v>
      </c>
      <c r="H159" s="44">
        <f t="shared" si="61"/>
        <v>1.81</v>
      </c>
      <c r="I159" s="44">
        <f t="shared" si="61"/>
        <v>1.81</v>
      </c>
      <c r="J159" s="44">
        <f t="shared" si="61"/>
        <v>1.81</v>
      </c>
      <c r="K159" s="44">
        <f t="shared" si="61"/>
        <v>1.81</v>
      </c>
      <c r="L159" s="44">
        <f t="shared" si="61"/>
        <v>1.81</v>
      </c>
      <c r="M159" s="44">
        <f t="shared" si="61"/>
        <v>1.81</v>
      </c>
      <c r="N159" s="44">
        <f t="shared" si="61"/>
        <v>1.81</v>
      </c>
      <c r="O159" s="44">
        <f t="shared" si="61"/>
        <v>1.81</v>
      </c>
      <c r="P159" s="44">
        <f t="shared" si="61"/>
        <v>1.81</v>
      </c>
      <c r="Q159" s="44">
        <f t="shared" si="61"/>
        <v>1.81</v>
      </c>
      <c r="R159" s="44">
        <f t="shared" si="61"/>
        <v>1.81</v>
      </c>
      <c r="S159" s="44">
        <f t="shared" si="61"/>
        <v>1.81</v>
      </c>
      <c r="T159" s="44">
        <f t="shared" si="62"/>
        <v>1.81</v>
      </c>
      <c r="U159" s="44">
        <f t="shared" si="62"/>
        <v>1.81</v>
      </c>
      <c r="V159" s="44">
        <f t="shared" si="62"/>
        <v>1.81</v>
      </c>
      <c r="W159" s="44">
        <f t="shared" si="62"/>
        <v>1.81</v>
      </c>
      <c r="X159" s="44">
        <f t="shared" si="62"/>
        <v>1.81</v>
      </c>
      <c r="Y159" s="44">
        <f t="shared" si="62"/>
        <v>1.81</v>
      </c>
      <c r="Z159" s="44">
        <f t="shared" si="62"/>
        <v>1.81</v>
      </c>
      <c r="AA159" s="44">
        <f t="shared" si="62"/>
        <v>1.81</v>
      </c>
      <c r="AB159" s="44">
        <f t="shared" si="62"/>
        <v>1.81</v>
      </c>
      <c r="AC159" s="44">
        <f t="shared" si="62"/>
        <v>1.81</v>
      </c>
      <c r="AD159" s="44">
        <f t="shared" si="62"/>
        <v>1.81</v>
      </c>
      <c r="AE159" s="44">
        <f t="shared" si="62"/>
        <v>1.81</v>
      </c>
      <c r="AF159" s="44">
        <f t="shared" si="6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0"/>
        <v>1.0900000000000001</v>
      </c>
      <c r="C160" s="55">
        <v>1.0900000000000001</v>
      </c>
      <c r="D160" s="44">
        <f t="shared" si="61"/>
        <v>1.0900000000000001</v>
      </c>
      <c r="E160" s="44">
        <f t="shared" si="61"/>
        <v>1.0900000000000001</v>
      </c>
      <c r="F160" s="44">
        <f t="shared" si="61"/>
        <v>1.0900000000000001</v>
      </c>
      <c r="G160" s="44">
        <f t="shared" si="61"/>
        <v>1.0900000000000001</v>
      </c>
      <c r="H160" s="44">
        <f t="shared" si="61"/>
        <v>1.0900000000000001</v>
      </c>
      <c r="I160" s="44">
        <f t="shared" si="61"/>
        <v>1.0900000000000001</v>
      </c>
      <c r="J160" s="44">
        <f t="shared" si="61"/>
        <v>1.0900000000000001</v>
      </c>
      <c r="K160" s="44">
        <f t="shared" si="61"/>
        <v>1.0900000000000001</v>
      </c>
      <c r="L160" s="44">
        <f t="shared" si="61"/>
        <v>1.0900000000000001</v>
      </c>
      <c r="M160" s="44">
        <f t="shared" si="61"/>
        <v>1.0900000000000001</v>
      </c>
      <c r="N160" s="44">
        <f t="shared" si="61"/>
        <v>1.0900000000000001</v>
      </c>
      <c r="O160" s="44">
        <f t="shared" si="61"/>
        <v>1.0900000000000001</v>
      </c>
      <c r="P160" s="44">
        <f t="shared" si="61"/>
        <v>1.0900000000000001</v>
      </c>
      <c r="Q160" s="44">
        <f t="shared" si="61"/>
        <v>1.0900000000000001</v>
      </c>
      <c r="R160" s="44">
        <f t="shared" si="61"/>
        <v>1.0900000000000001</v>
      </c>
      <c r="S160" s="44">
        <f t="shared" si="61"/>
        <v>1.0900000000000001</v>
      </c>
      <c r="T160" s="44">
        <f t="shared" si="62"/>
        <v>1.0900000000000001</v>
      </c>
      <c r="U160" s="44">
        <f t="shared" si="62"/>
        <v>1.0900000000000001</v>
      </c>
      <c r="V160" s="44">
        <f t="shared" si="62"/>
        <v>1.0900000000000001</v>
      </c>
      <c r="W160" s="44">
        <f t="shared" si="62"/>
        <v>1.0900000000000001</v>
      </c>
      <c r="X160" s="44">
        <f t="shared" si="62"/>
        <v>1.0900000000000001</v>
      </c>
      <c r="Y160" s="44">
        <f t="shared" si="62"/>
        <v>1.0900000000000001</v>
      </c>
      <c r="Z160" s="44">
        <f t="shared" si="62"/>
        <v>1.0900000000000001</v>
      </c>
      <c r="AA160" s="44">
        <f t="shared" si="62"/>
        <v>1.0900000000000001</v>
      </c>
      <c r="AB160" s="44">
        <f t="shared" si="62"/>
        <v>1.0900000000000001</v>
      </c>
      <c r="AC160" s="44">
        <f t="shared" si="62"/>
        <v>1.0900000000000001</v>
      </c>
      <c r="AD160" s="44">
        <f t="shared" si="62"/>
        <v>1.0900000000000001</v>
      </c>
      <c r="AE160" s="44">
        <f t="shared" si="62"/>
        <v>1.0900000000000001</v>
      </c>
      <c r="AF160" s="44">
        <f t="shared" si="62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0"/>
        <v>1.58</v>
      </c>
      <c r="C161" s="55">
        <v>1.58</v>
      </c>
      <c r="D161" s="44">
        <f t="shared" si="61"/>
        <v>1.58</v>
      </c>
      <c r="E161" s="44">
        <f t="shared" si="61"/>
        <v>1.58</v>
      </c>
      <c r="F161" s="44">
        <f t="shared" si="61"/>
        <v>1.58</v>
      </c>
      <c r="G161" s="44">
        <f t="shared" si="61"/>
        <v>1.58</v>
      </c>
      <c r="H161" s="44">
        <f t="shared" si="61"/>
        <v>1.58</v>
      </c>
      <c r="I161" s="44">
        <f t="shared" si="61"/>
        <v>1.58</v>
      </c>
      <c r="J161" s="44">
        <f t="shared" si="61"/>
        <v>1.58</v>
      </c>
      <c r="K161" s="44">
        <f t="shared" si="61"/>
        <v>1.58</v>
      </c>
      <c r="L161" s="44">
        <f t="shared" si="61"/>
        <v>1.58</v>
      </c>
      <c r="M161" s="44">
        <f t="shared" si="61"/>
        <v>1.58</v>
      </c>
      <c r="N161" s="44">
        <f t="shared" si="61"/>
        <v>1.58</v>
      </c>
      <c r="O161" s="44">
        <f t="shared" si="61"/>
        <v>1.58</v>
      </c>
      <c r="P161" s="44">
        <f t="shared" si="61"/>
        <v>1.58</v>
      </c>
      <c r="Q161" s="44">
        <f t="shared" si="61"/>
        <v>1.58</v>
      </c>
      <c r="R161" s="44">
        <f t="shared" si="61"/>
        <v>1.58</v>
      </c>
      <c r="S161" s="44">
        <f t="shared" si="61"/>
        <v>1.58</v>
      </c>
      <c r="T161" s="44">
        <f t="shared" si="62"/>
        <v>1.58</v>
      </c>
      <c r="U161" s="44">
        <f t="shared" si="62"/>
        <v>1.58</v>
      </c>
      <c r="V161" s="44">
        <f t="shared" si="62"/>
        <v>1.58</v>
      </c>
      <c r="W161" s="44">
        <f t="shared" si="62"/>
        <v>1.58</v>
      </c>
      <c r="X161" s="44">
        <f t="shared" si="62"/>
        <v>1.58</v>
      </c>
      <c r="Y161" s="44">
        <f t="shared" si="62"/>
        <v>1.58</v>
      </c>
      <c r="Z161" s="44">
        <f t="shared" si="62"/>
        <v>1.58</v>
      </c>
      <c r="AA161" s="44">
        <f t="shared" si="62"/>
        <v>1.58</v>
      </c>
      <c r="AB161" s="44">
        <f t="shared" si="62"/>
        <v>1.58</v>
      </c>
      <c r="AC161" s="44">
        <f t="shared" si="62"/>
        <v>1.58</v>
      </c>
      <c r="AD161" s="44">
        <f t="shared" si="62"/>
        <v>1.58</v>
      </c>
      <c r="AE161" s="44">
        <f t="shared" si="62"/>
        <v>1.58</v>
      </c>
      <c r="AF161" s="44">
        <f t="shared" si="62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0"/>
        <v>2</v>
      </c>
      <c r="C162" s="55">
        <v>2</v>
      </c>
      <c r="D162" s="44">
        <f t="shared" si="61"/>
        <v>2</v>
      </c>
      <c r="E162" s="44">
        <f t="shared" si="61"/>
        <v>2</v>
      </c>
      <c r="F162" s="44">
        <f t="shared" si="61"/>
        <v>2</v>
      </c>
      <c r="G162" s="44">
        <f t="shared" si="61"/>
        <v>2</v>
      </c>
      <c r="H162" s="44">
        <f t="shared" si="61"/>
        <v>2</v>
      </c>
      <c r="I162" s="44">
        <f t="shared" si="61"/>
        <v>2</v>
      </c>
      <c r="J162" s="44">
        <f t="shared" si="61"/>
        <v>2</v>
      </c>
      <c r="K162" s="44">
        <f t="shared" si="61"/>
        <v>2</v>
      </c>
      <c r="L162" s="44">
        <f t="shared" si="61"/>
        <v>2</v>
      </c>
      <c r="M162" s="44">
        <f t="shared" si="61"/>
        <v>2</v>
      </c>
      <c r="N162" s="44">
        <f t="shared" si="61"/>
        <v>2</v>
      </c>
      <c r="O162" s="44">
        <f t="shared" si="61"/>
        <v>2</v>
      </c>
      <c r="P162" s="44">
        <f t="shared" si="61"/>
        <v>2</v>
      </c>
      <c r="Q162" s="44">
        <f t="shared" si="61"/>
        <v>2</v>
      </c>
      <c r="R162" s="44">
        <f t="shared" si="61"/>
        <v>2</v>
      </c>
      <c r="S162" s="44">
        <f t="shared" si="61"/>
        <v>2</v>
      </c>
      <c r="T162" s="44">
        <f t="shared" si="62"/>
        <v>2</v>
      </c>
      <c r="U162" s="44">
        <f t="shared" si="62"/>
        <v>2</v>
      </c>
      <c r="V162" s="44">
        <f t="shared" si="62"/>
        <v>2</v>
      </c>
      <c r="W162" s="44">
        <f t="shared" si="62"/>
        <v>2</v>
      </c>
      <c r="X162" s="44">
        <f t="shared" si="62"/>
        <v>2</v>
      </c>
      <c r="Y162" s="44">
        <f t="shared" si="62"/>
        <v>2</v>
      </c>
      <c r="Z162" s="44">
        <f t="shared" si="62"/>
        <v>2</v>
      </c>
      <c r="AA162" s="44">
        <f t="shared" si="62"/>
        <v>2</v>
      </c>
      <c r="AB162" s="44">
        <f t="shared" si="62"/>
        <v>2</v>
      </c>
      <c r="AC162" s="44">
        <f t="shared" si="62"/>
        <v>2</v>
      </c>
      <c r="AD162" s="44">
        <f t="shared" si="62"/>
        <v>2</v>
      </c>
      <c r="AE162" s="44">
        <f t="shared" si="62"/>
        <v>2</v>
      </c>
      <c r="AF162" s="44">
        <f t="shared" si="62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0"/>
        <v>0.47</v>
      </c>
      <c r="C163" s="55">
        <v>0.47</v>
      </c>
      <c r="D163" s="44">
        <f t="shared" si="61"/>
        <v>0.47</v>
      </c>
      <c r="E163" s="44">
        <f t="shared" si="61"/>
        <v>0.47</v>
      </c>
      <c r="F163" s="44">
        <f t="shared" si="61"/>
        <v>0.47</v>
      </c>
      <c r="G163" s="44">
        <f t="shared" si="61"/>
        <v>0.47</v>
      </c>
      <c r="H163" s="44">
        <f t="shared" si="61"/>
        <v>0.47</v>
      </c>
      <c r="I163" s="44">
        <f t="shared" si="61"/>
        <v>0.47</v>
      </c>
      <c r="J163" s="44">
        <f t="shared" si="61"/>
        <v>0.47</v>
      </c>
      <c r="K163" s="44">
        <f t="shared" si="61"/>
        <v>0.47</v>
      </c>
      <c r="L163" s="44">
        <f t="shared" si="61"/>
        <v>0.47</v>
      </c>
      <c r="M163" s="44">
        <f t="shared" si="61"/>
        <v>0.47</v>
      </c>
      <c r="N163" s="44">
        <f t="shared" si="61"/>
        <v>0.47</v>
      </c>
      <c r="O163" s="44">
        <f t="shared" si="61"/>
        <v>0.47</v>
      </c>
      <c r="P163" s="44">
        <f t="shared" si="61"/>
        <v>0.47</v>
      </c>
      <c r="Q163" s="44">
        <f t="shared" si="61"/>
        <v>0.47</v>
      </c>
      <c r="R163" s="44">
        <f t="shared" si="61"/>
        <v>0.47</v>
      </c>
      <c r="S163" s="44">
        <f t="shared" si="61"/>
        <v>0.47</v>
      </c>
      <c r="T163" s="44">
        <f t="shared" si="62"/>
        <v>0.47</v>
      </c>
      <c r="U163" s="44">
        <f t="shared" si="62"/>
        <v>0.47</v>
      </c>
      <c r="V163" s="44">
        <f t="shared" si="62"/>
        <v>0.47</v>
      </c>
      <c r="W163" s="44">
        <f t="shared" si="62"/>
        <v>0.47</v>
      </c>
      <c r="X163" s="44">
        <f t="shared" si="62"/>
        <v>0.47</v>
      </c>
      <c r="Y163" s="44">
        <f t="shared" si="62"/>
        <v>0.47</v>
      </c>
      <c r="Z163" s="44">
        <f t="shared" si="62"/>
        <v>0.47</v>
      </c>
      <c r="AA163" s="44">
        <f t="shared" si="62"/>
        <v>0.47</v>
      </c>
      <c r="AB163" s="44">
        <f t="shared" si="62"/>
        <v>0.47</v>
      </c>
      <c r="AC163" s="44">
        <f t="shared" si="62"/>
        <v>0.47</v>
      </c>
      <c r="AD163" s="44">
        <f t="shared" si="62"/>
        <v>0.47</v>
      </c>
      <c r="AE163" s="44">
        <f t="shared" si="62"/>
        <v>0.47</v>
      </c>
      <c r="AF163" s="44">
        <f t="shared" si="62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0"/>
        <v>0</v>
      </c>
      <c r="C164" s="55">
        <v>0</v>
      </c>
      <c r="D164" s="44">
        <f t="shared" si="61"/>
        <v>0</v>
      </c>
      <c r="E164" s="44">
        <f t="shared" si="61"/>
        <v>0</v>
      </c>
      <c r="F164" s="44">
        <f t="shared" si="61"/>
        <v>0</v>
      </c>
      <c r="G164" s="44">
        <f t="shared" si="61"/>
        <v>0</v>
      </c>
      <c r="H164" s="44">
        <f t="shared" si="61"/>
        <v>0</v>
      </c>
      <c r="I164" s="44">
        <f t="shared" si="61"/>
        <v>0</v>
      </c>
      <c r="J164" s="44">
        <f t="shared" si="61"/>
        <v>0</v>
      </c>
      <c r="K164" s="44">
        <f t="shared" si="61"/>
        <v>0</v>
      </c>
      <c r="L164" s="44">
        <f t="shared" si="61"/>
        <v>0</v>
      </c>
      <c r="M164" s="44">
        <f t="shared" si="61"/>
        <v>0</v>
      </c>
      <c r="N164" s="44">
        <f t="shared" si="61"/>
        <v>0</v>
      </c>
      <c r="O164" s="44">
        <f t="shared" si="61"/>
        <v>0</v>
      </c>
      <c r="P164" s="44">
        <f t="shared" si="61"/>
        <v>0</v>
      </c>
      <c r="Q164" s="44">
        <f t="shared" si="61"/>
        <v>0</v>
      </c>
      <c r="R164" s="44">
        <f t="shared" si="61"/>
        <v>0</v>
      </c>
      <c r="S164" s="44">
        <f t="shared" si="61"/>
        <v>0</v>
      </c>
      <c r="T164" s="44">
        <f t="shared" si="62"/>
        <v>0</v>
      </c>
      <c r="U164" s="44">
        <f t="shared" si="62"/>
        <v>0</v>
      </c>
      <c r="V164" s="44">
        <f t="shared" si="62"/>
        <v>0</v>
      </c>
      <c r="W164" s="44">
        <f t="shared" si="62"/>
        <v>0</v>
      </c>
      <c r="X164" s="44">
        <f t="shared" si="62"/>
        <v>0</v>
      </c>
      <c r="Y164" s="44">
        <f t="shared" si="62"/>
        <v>0</v>
      </c>
      <c r="Z164" s="44">
        <f t="shared" si="62"/>
        <v>0</v>
      </c>
      <c r="AA164" s="44">
        <f t="shared" si="62"/>
        <v>0</v>
      </c>
      <c r="AB164" s="44">
        <f t="shared" si="62"/>
        <v>0</v>
      </c>
      <c r="AC164" s="44">
        <f t="shared" si="62"/>
        <v>0</v>
      </c>
      <c r="AD164" s="44">
        <f t="shared" si="62"/>
        <v>0</v>
      </c>
      <c r="AE164" s="44">
        <f t="shared" si="62"/>
        <v>0</v>
      </c>
      <c r="AF164" s="44">
        <f t="shared" si="62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0"/>
        <v>0</v>
      </c>
      <c r="C165" s="55">
        <v>0</v>
      </c>
      <c r="D165" s="44">
        <f t="shared" si="61"/>
        <v>0</v>
      </c>
      <c r="E165" s="44">
        <f t="shared" si="61"/>
        <v>0</v>
      </c>
      <c r="F165" s="44">
        <f t="shared" si="61"/>
        <v>0</v>
      </c>
      <c r="G165" s="44">
        <f t="shared" si="61"/>
        <v>0</v>
      </c>
      <c r="H165" s="44">
        <f t="shared" si="61"/>
        <v>0</v>
      </c>
      <c r="I165" s="44">
        <f t="shared" si="61"/>
        <v>0</v>
      </c>
      <c r="J165" s="44">
        <f t="shared" si="61"/>
        <v>0</v>
      </c>
      <c r="K165" s="44">
        <f t="shared" si="61"/>
        <v>0</v>
      </c>
      <c r="L165" s="44">
        <f t="shared" si="61"/>
        <v>0</v>
      </c>
      <c r="M165" s="44">
        <f t="shared" si="61"/>
        <v>0</v>
      </c>
      <c r="N165" s="44">
        <f t="shared" si="61"/>
        <v>0</v>
      </c>
      <c r="O165" s="44">
        <f t="shared" si="61"/>
        <v>0</v>
      </c>
      <c r="P165" s="44">
        <f t="shared" si="61"/>
        <v>0</v>
      </c>
      <c r="Q165" s="44">
        <f t="shared" si="61"/>
        <v>0</v>
      </c>
      <c r="R165" s="44">
        <f t="shared" si="61"/>
        <v>0</v>
      </c>
      <c r="S165" s="44">
        <f t="shared" si="62"/>
        <v>0</v>
      </c>
      <c r="T165" s="44">
        <f t="shared" si="62"/>
        <v>0</v>
      </c>
      <c r="U165" s="44">
        <f t="shared" si="62"/>
        <v>0</v>
      </c>
      <c r="V165" s="44">
        <f t="shared" si="62"/>
        <v>0</v>
      </c>
      <c r="W165" s="44">
        <f t="shared" si="62"/>
        <v>0</v>
      </c>
      <c r="X165" s="44">
        <f t="shared" si="62"/>
        <v>0</v>
      </c>
      <c r="Y165" s="44">
        <f t="shared" si="62"/>
        <v>0</v>
      </c>
      <c r="Z165" s="44">
        <f t="shared" si="62"/>
        <v>0</v>
      </c>
      <c r="AA165" s="44">
        <f t="shared" si="62"/>
        <v>0</v>
      </c>
      <c r="AB165" s="44">
        <f t="shared" si="62"/>
        <v>0</v>
      </c>
      <c r="AC165" s="44">
        <f t="shared" si="62"/>
        <v>0</v>
      </c>
      <c r="AD165" s="44">
        <f t="shared" si="62"/>
        <v>0</v>
      </c>
      <c r="AE165" s="44">
        <f t="shared" si="62"/>
        <v>0</v>
      </c>
      <c r="AF165" s="44">
        <f t="shared" si="62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0"/>
        <v>0.8</v>
      </c>
      <c r="C166" s="55">
        <v>0.8</v>
      </c>
      <c r="D166" s="44">
        <f t="shared" si="61"/>
        <v>0.8</v>
      </c>
      <c r="E166" s="44">
        <f t="shared" si="61"/>
        <v>0.8</v>
      </c>
      <c r="F166" s="44">
        <f t="shared" si="61"/>
        <v>0.8</v>
      </c>
      <c r="G166" s="44">
        <f t="shared" si="61"/>
        <v>0.8</v>
      </c>
      <c r="H166" s="44">
        <f t="shared" si="61"/>
        <v>0.8</v>
      </c>
      <c r="I166" s="44">
        <f t="shared" si="61"/>
        <v>0.8</v>
      </c>
      <c r="J166" s="44">
        <f t="shared" si="61"/>
        <v>0.8</v>
      </c>
      <c r="K166" s="44">
        <f t="shared" si="61"/>
        <v>0.8</v>
      </c>
      <c r="L166" s="44">
        <f t="shared" si="61"/>
        <v>0.8</v>
      </c>
      <c r="M166" s="44">
        <f t="shared" si="61"/>
        <v>0.8</v>
      </c>
      <c r="N166" s="44">
        <f t="shared" si="61"/>
        <v>0.8</v>
      </c>
      <c r="O166" s="44">
        <f t="shared" si="61"/>
        <v>0.8</v>
      </c>
      <c r="P166" s="44">
        <f t="shared" si="61"/>
        <v>0.8</v>
      </c>
      <c r="Q166" s="44">
        <f t="shared" si="61"/>
        <v>0.8</v>
      </c>
      <c r="R166" s="44">
        <f t="shared" si="61"/>
        <v>0.8</v>
      </c>
      <c r="S166" s="44">
        <f t="shared" si="62"/>
        <v>0.8</v>
      </c>
      <c r="T166" s="44">
        <f t="shared" si="62"/>
        <v>0.8</v>
      </c>
      <c r="U166" s="44">
        <f t="shared" si="62"/>
        <v>0.8</v>
      </c>
      <c r="V166" s="44">
        <f t="shared" si="62"/>
        <v>0.8</v>
      </c>
      <c r="W166" s="44">
        <f t="shared" si="62"/>
        <v>0.8</v>
      </c>
      <c r="X166" s="44">
        <f t="shared" si="62"/>
        <v>0.8</v>
      </c>
      <c r="Y166" s="44">
        <f t="shared" si="62"/>
        <v>0.8</v>
      </c>
      <c r="Z166" s="44">
        <f t="shared" si="62"/>
        <v>0.8</v>
      </c>
      <c r="AA166" s="44">
        <f t="shared" si="62"/>
        <v>0.8</v>
      </c>
      <c r="AB166" s="44">
        <f t="shared" si="62"/>
        <v>0.8</v>
      </c>
      <c r="AC166" s="44">
        <f t="shared" si="62"/>
        <v>0.8</v>
      </c>
      <c r="AD166" s="44">
        <f t="shared" si="62"/>
        <v>0.8</v>
      </c>
      <c r="AE166" s="44">
        <f t="shared" si="62"/>
        <v>0.8</v>
      </c>
      <c r="AF166" s="44">
        <f t="shared" si="62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0"/>
        <v>1.5</v>
      </c>
      <c r="C167" s="55">
        <v>1.5</v>
      </c>
      <c r="D167" s="44">
        <f t="shared" si="61"/>
        <v>1.5</v>
      </c>
      <c r="E167" s="44">
        <f t="shared" si="61"/>
        <v>1.5</v>
      </c>
      <c r="F167" s="44">
        <f t="shared" si="61"/>
        <v>1.5</v>
      </c>
      <c r="G167" s="44">
        <f t="shared" si="61"/>
        <v>1.5</v>
      </c>
      <c r="H167" s="44">
        <f t="shared" si="61"/>
        <v>1.5</v>
      </c>
      <c r="I167" s="44">
        <f t="shared" si="61"/>
        <v>1.5</v>
      </c>
      <c r="J167" s="44">
        <f t="shared" si="61"/>
        <v>1.5</v>
      </c>
      <c r="K167" s="44">
        <f t="shared" si="61"/>
        <v>1.5</v>
      </c>
      <c r="L167" s="44">
        <f t="shared" si="61"/>
        <v>1.5</v>
      </c>
      <c r="M167" s="44">
        <f t="shared" si="61"/>
        <v>1.5</v>
      </c>
      <c r="N167" s="44">
        <f t="shared" si="61"/>
        <v>1.5</v>
      </c>
      <c r="O167" s="44">
        <f t="shared" si="61"/>
        <v>1.5</v>
      </c>
      <c r="P167" s="44">
        <f t="shared" si="61"/>
        <v>1.5</v>
      </c>
      <c r="Q167" s="44">
        <f t="shared" si="61"/>
        <v>1.5</v>
      </c>
      <c r="R167" s="44">
        <f t="shared" si="61"/>
        <v>1.5</v>
      </c>
      <c r="S167" s="44">
        <f t="shared" si="62"/>
        <v>1.5</v>
      </c>
      <c r="T167" s="44">
        <f t="shared" si="62"/>
        <v>1.5</v>
      </c>
      <c r="U167" s="44">
        <f t="shared" si="62"/>
        <v>1.5</v>
      </c>
      <c r="V167" s="44">
        <f t="shared" si="62"/>
        <v>1.5</v>
      </c>
      <c r="W167" s="44">
        <f t="shared" si="62"/>
        <v>1.5</v>
      </c>
      <c r="X167" s="44">
        <f t="shared" si="62"/>
        <v>1.5</v>
      </c>
      <c r="Y167" s="44">
        <f t="shared" si="62"/>
        <v>1.5</v>
      </c>
      <c r="Z167" s="44">
        <f t="shared" si="62"/>
        <v>1.5</v>
      </c>
      <c r="AA167" s="44">
        <f t="shared" si="62"/>
        <v>1.5</v>
      </c>
      <c r="AB167" s="44">
        <f t="shared" si="62"/>
        <v>1.5</v>
      </c>
      <c r="AC167" s="44">
        <f t="shared" si="62"/>
        <v>1.5</v>
      </c>
      <c r="AD167" s="44">
        <f t="shared" si="62"/>
        <v>1.5</v>
      </c>
      <c r="AE167" s="44">
        <f t="shared" si="62"/>
        <v>1.5</v>
      </c>
      <c r="AF167" s="44">
        <f t="shared" si="62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0"/>
        <v>1</v>
      </c>
      <c r="C168" s="55">
        <v>1</v>
      </c>
      <c r="D168" s="44">
        <f t="shared" si="61"/>
        <v>1</v>
      </c>
      <c r="E168" s="44">
        <f t="shared" si="61"/>
        <v>1</v>
      </c>
      <c r="F168" s="44">
        <f t="shared" si="61"/>
        <v>1</v>
      </c>
      <c r="G168" s="44">
        <f t="shared" si="61"/>
        <v>1</v>
      </c>
      <c r="H168" s="44">
        <f t="shared" si="61"/>
        <v>1</v>
      </c>
      <c r="I168" s="44">
        <f t="shared" si="61"/>
        <v>1</v>
      </c>
      <c r="J168" s="44">
        <f t="shared" si="61"/>
        <v>1</v>
      </c>
      <c r="K168" s="44">
        <f t="shared" si="61"/>
        <v>1</v>
      </c>
      <c r="L168" s="44">
        <f t="shared" si="61"/>
        <v>1</v>
      </c>
      <c r="M168" s="44">
        <f t="shared" si="61"/>
        <v>1</v>
      </c>
      <c r="N168" s="44">
        <f t="shared" si="61"/>
        <v>1</v>
      </c>
      <c r="O168" s="44">
        <f t="shared" si="61"/>
        <v>1</v>
      </c>
      <c r="P168" s="44">
        <f t="shared" si="61"/>
        <v>1</v>
      </c>
      <c r="Q168" s="44">
        <f t="shared" si="61"/>
        <v>1</v>
      </c>
      <c r="R168" s="44">
        <f t="shared" si="61"/>
        <v>1</v>
      </c>
      <c r="S168" s="44">
        <f t="shared" si="62"/>
        <v>1</v>
      </c>
      <c r="T168" s="44">
        <f t="shared" si="62"/>
        <v>1</v>
      </c>
      <c r="U168" s="44">
        <f t="shared" si="62"/>
        <v>1</v>
      </c>
      <c r="V168" s="44">
        <f t="shared" si="62"/>
        <v>1</v>
      </c>
      <c r="W168" s="44">
        <f t="shared" si="62"/>
        <v>1</v>
      </c>
      <c r="X168" s="44">
        <f t="shared" si="62"/>
        <v>1</v>
      </c>
      <c r="Y168" s="44">
        <f t="shared" si="62"/>
        <v>1</v>
      </c>
      <c r="Z168" s="44">
        <f t="shared" si="62"/>
        <v>1</v>
      </c>
      <c r="AA168" s="44">
        <f t="shared" si="62"/>
        <v>1</v>
      </c>
      <c r="AB168" s="44">
        <f t="shared" si="62"/>
        <v>1</v>
      </c>
      <c r="AC168" s="44">
        <f t="shared" si="62"/>
        <v>1</v>
      </c>
      <c r="AD168" s="44">
        <f t="shared" si="62"/>
        <v>1</v>
      </c>
      <c r="AE168" s="44">
        <f t="shared" si="62"/>
        <v>1</v>
      </c>
      <c r="AF168" s="44">
        <f t="shared" si="62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3">AF170</f>
        <v>1</v>
      </c>
      <c r="C170" s="55">
        <v>1</v>
      </c>
      <c r="D170" s="44">
        <f t="shared" ref="D170:S177" si="64">C170</f>
        <v>1</v>
      </c>
      <c r="E170" s="44">
        <f t="shared" si="64"/>
        <v>1</v>
      </c>
      <c r="F170" s="44">
        <f t="shared" si="64"/>
        <v>1</v>
      </c>
      <c r="G170" s="44">
        <f t="shared" si="64"/>
        <v>1</v>
      </c>
      <c r="H170" s="44">
        <f t="shared" si="64"/>
        <v>1</v>
      </c>
      <c r="I170" s="44">
        <f t="shared" si="64"/>
        <v>1</v>
      </c>
      <c r="J170" s="44">
        <f t="shared" si="64"/>
        <v>1</v>
      </c>
      <c r="K170" s="44">
        <f t="shared" si="64"/>
        <v>1</v>
      </c>
      <c r="L170" s="44">
        <f t="shared" si="64"/>
        <v>1</v>
      </c>
      <c r="M170" s="44">
        <f t="shared" si="64"/>
        <v>1</v>
      </c>
      <c r="N170" s="44">
        <f t="shared" si="64"/>
        <v>1</v>
      </c>
      <c r="O170" s="44">
        <f t="shared" si="64"/>
        <v>1</v>
      </c>
      <c r="P170" s="44">
        <f t="shared" si="64"/>
        <v>1</v>
      </c>
      <c r="Q170" s="44">
        <f t="shared" si="64"/>
        <v>1</v>
      </c>
      <c r="R170" s="44">
        <f t="shared" si="64"/>
        <v>1</v>
      </c>
      <c r="S170" s="44">
        <f t="shared" si="64"/>
        <v>1</v>
      </c>
      <c r="T170" s="44">
        <f t="shared" ref="S170:AF177" si="65">S170</f>
        <v>1</v>
      </c>
      <c r="U170" s="44">
        <f t="shared" si="65"/>
        <v>1</v>
      </c>
      <c r="V170" s="44">
        <f t="shared" si="65"/>
        <v>1</v>
      </c>
      <c r="W170" s="44">
        <f t="shared" si="65"/>
        <v>1</v>
      </c>
      <c r="X170" s="44">
        <f t="shared" si="65"/>
        <v>1</v>
      </c>
      <c r="Y170" s="44">
        <f t="shared" si="65"/>
        <v>1</v>
      </c>
      <c r="Z170" s="44">
        <f t="shared" si="65"/>
        <v>1</v>
      </c>
      <c r="AA170" s="44">
        <f t="shared" si="65"/>
        <v>1</v>
      </c>
      <c r="AB170" s="44">
        <f t="shared" si="65"/>
        <v>1</v>
      </c>
      <c r="AC170" s="44">
        <f t="shared" si="65"/>
        <v>1</v>
      </c>
      <c r="AD170" s="44">
        <f t="shared" si="65"/>
        <v>1</v>
      </c>
      <c r="AE170" s="44">
        <f t="shared" si="65"/>
        <v>1</v>
      </c>
      <c r="AF170" s="44">
        <f t="shared" si="65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3"/>
        <v>0.42</v>
      </c>
      <c r="C171" s="55">
        <v>0.42</v>
      </c>
      <c r="D171" s="44">
        <f t="shared" si="64"/>
        <v>0.42</v>
      </c>
      <c r="E171" s="44">
        <f t="shared" si="64"/>
        <v>0.42</v>
      </c>
      <c r="F171" s="44">
        <f t="shared" si="64"/>
        <v>0.42</v>
      </c>
      <c r="G171" s="44">
        <f t="shared" si="64"/>
        <v>0.42</v>
      </c>
      <c r="H171" s="44">
        <f t="shared" si="64"/>
        <v>0.42</v>
      </c>
      <c r="I171" s="44">
        <f t="shared" si="64"/>
        <v>0.42</v>
      </c>
      <c r="J171" s="44">
        <f t="shared" si="64"/>
        <v>0.42</v>
      </c>
      <c r="K171" s="44">
        <f t="shared" si="64"/>
        <v>0.42</v>
      </c>
      <c r="L171" s="44">
        <f t="shared" si="64"/>
        <v>0.42</v>
      </c>
      <c r="M171" s="44">
        <f t="shared" si="64"/>
        <v>0.42</v>
      </c>
      <c r="N171" s="44">
        <f t="shared" si="64"/>
        <v>0.42</v>
      </c>
      <c r="O171" s="44">
        <f t="shared" si="64"/>
        <v>0.42</v>
      </c>
      <c r="P171" s="44">
        <f t="shared" si="64"/>
        <v>0.42</v>
      </c>
      <c r="Q171" s="44">
        <f t="shared" si="64"/>
        <v>0.42</v>
      </c>
      <c r="R171" s="44">
        <f t="shared" si="64"/>
        <v>0.42</v>
      </c>
      <c r="S171" s="44">
        <f t="shared" si="65"/>
        <v>0.42</v>
      </c>
      <c r="T171" s="44">
        <f t="shared" si="65"/>
        <v>0.42</v>
      </c>
      <c r="U171" s="44">
        <f t="shared" si="65"/>
        <v>0.42</v>
      </c>
      <c r="V171" s="44">
        <f t="shared" si="65"/>
        <v>0.42</v>
      </c>
      <c r="W171" s="44">
        <f t="shared" si="65"/>
        <v>0.42</v>
      </c>
      <c r="X171" s="44">
        <f t="shared" si="65"/>
        <v>0.42</v>
      </c>
      <c r="Y171" s="44">
        <f t="shared" si="65"/>
        <v>0.42</v>
      </c>
      <c r="Z171" s="44">
        <f t="shared" si="65"/>
        <v>0.42</v>
      </c>
      <c r="AA171" s="44">
        <f t="shared" si="65"/>
        <v>0.42</v>
      </c>
      <c r="AB171" s="44">
        <f t="shared" si="65"/>
        <v>0.42</v>
      </c>
      <c r="AC171" s="44">
        <f t="shared" si="65"/>
        <v>0.42</v>
      </c>
      <c r="AD171" s="44">
        <f t="shared" si="65"/>
        <v>0.42</v>
      </c>
      <c r="AE171" s="44">
        <f t="shared" si="65"/>
        <v>0.42</v>
      </c>
      <c r="AF171" s="44">
        <f t="shared" si="65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3"/>
        <v>0.46</v>
      </c>
      <c r="C172" s="55">
        <v>0.46</v>
      </c>
      <c r="D172" s="44">
        <f t="shared" si="64"/>
        <v>0.46</v>
      </c>
      <c r="E172" s="44">
        <f t="shared" si="64"/>
        <v>0.46</v>
      </c>
      <c r="F172" s="44">
        <f t="shared" si="64"/>
        <v>0.46</v>
      </c>
      <c r="G172" s="44">
        <f t="shared" si="64"/>
        <v>0.46</v>
      </c>
      <c r="H172" s="44">
        <f t="shared" si="64"/>
        <v>0.46</v>
      </c>
      <c r="I172" s="44">
        <f t="shared" si="64"/>
        <v>0.46</v>
      </c>
      <c r="J172" s="44">
        <f t="shared" si="64"/>
        <v>0.46</v>
      </c>
      <c r="K172" s="44">
        <f t="shared" si="64"/>
        <v>0.46</v>
      </c>
      <c r="L172" s="44">
        <f t="shared" si="64"/>
        <v>0.46</v>
      </c>
      <c r="M172" s="44">
        <f t="shared" si="64"/>
        <v>0.46</v>
      </c>
      <c r="N172" s="44">
        <f t="shared" si="64"/>
        <v>0.46</v>
      </c>
      <c r="O172" s="44">
        <f t="shared" si="64"/>
        <v>0.46</v>
      </c>
      <c r="P172" s="44">
        <f t="shared" si="64"/>
        <v>0.46</v>
      </c>
      <c r="Q172" s="44">
        <f t="shared" si="64"/>
        <v>0.46</v>
      </c>
      <c r="R172" s="44">
        <f t="shared" si="64"/>
        <v>0.46</v>
      </c>
      <c r="S172" s="44">
        <f t="shared" si="65"/>
        <v>0.46</v>
      </c>
      <c r="T172" s="44">
        <f t="shared" si="65"/>
        <v>0.46</v>
      </c>
      <c r="U172" s="44">
        <f t="shared" si="65"/>
        <v>0.46</v>
      </c>
      <c r="V172" s="44">
        <f t="shared" si="65"/>
        <v>0.46</v>
      </c>
      <c r="W172" s="44">
        <f t="shared" si="65"/>
        <v>0.46</v>
      </c>
      <c r="X172" s="44">
        <f t="shared" si="65"/>
        <v>0.46</v>
      </c>
      <c r="Y172" s="44">
        <f t="shared" si="65"/>
        <v>0.46</v>
      </c>
      <c r="Z172" s="44">
        <f t="shared" si="65"/>
        <v>0.46</v>
      </c>
      <c r="AA172" s="44">
        <f t="shared" si="65"/>
        <v>0.46</v>
      </c>
      <c r="AB172" s="44">
        <f t="shared" si="65"/>
        <v>0.46</v>
      </c>
      <c r="AC172" s="44">
        <f t="shared" si="65"/>
        <v>0.46</v>
      </c>
      <c r="AD172" s="44">
        <f t="shared" si="65"/>
        <v>0.46</v>
      </c>
      <c r="AE172" s="44">
        <f t="shared" si="65"/>
        <v>0.46</v>
      </c>
      <c r="AF172" s="44">
        <f t="shared" si="6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3"/>
        <v>0.85</v>
      </c>
      <c r="C173" s="55">
        <v>0.85</v>
      </c>
      <c r="D173" s="44">
        <f t="shared" si="64"/>
        <v>0.85</v>
      </c>
      <c r="E173" s="44">
        <f t="shared" si="64"/>
        <v>0.85</v>
      </c>
      <c r="F173" s="44">
        <f t="shared" si="64"/>
        <v>0.85</v>
      </c>
      <c r="G173" s="44">
        <f t="shared" si="64"/>
        <v>0.85</v>
      </c>
      <c r="H173" s="44">
        <f t="shared" si="64"/>
        <v>0.85</v>
      </c>
      <c r="I173" s="44">
        <f t="shared" si="64"/>
        <v>0.85</v>
      </c>
      <c r="J173" s="44">
        <f t="shared" si="64"/>
        <v>0.85</v>
      </c>
      <c r="K173" s="44">
        <f t="shared" si="64"/>
        <v>0.85</v>
      </c>
      <c r="L173" s="44">
        <f t="shared" si="64"/>
        <v>0.85</v>
      </c>
      <c r="M173" s="44">
        <f t="shared" si="64"/>
        <v>0.85</v>
      </c>
      <c r="N173" s="44">
        <f t="shared" si="64"/>
        <v>0.85</v>
      </c>
      <c r="O173" s="44">
        <f t="shared" si="64"/>
        <v>0.85</v>
      </c>
      <c r="P173" s="44">
        <f t="shared" si="64"/>
        <v>0.85</v>
      </c>
      <c r="Q173" s="44">
        <f t="shared" si="64"/>
        <v>0.85</v>
      </c>
      <c r="R173" s="44">
        <f t="shared" si="64"/>
        <v>0.85</v>
      </c>
      <c r="S173" s="44">
        <f t="shared" si="65"/>
        <v>0.85</v>
      </c>
      <c r="T173" s="44">
        <f t="shared" si="65"/>
        <v>0.85</v>
      </c>
      <c r="U173" s="44">
        <f t="shared" si="65"/>
        <v>0.85</v>
      </c>
      <c r="V173" s="44">
        <f t="shared" si="65"/>
        <v>0.85</v>
      </c>
      <c r="W173" s="44">
        <f t="shared" si="65"/>
        <v>0.85</v>
      </c>
      <c r="X173" s="44">
        <f t="shared" si="65"/>
        <v>0.85</v>
      </c>
      <c r="Y173" s="44">
        <f t="shared" si="65"/>
        <v>0.85</v>
      </c>
      <c r="Z173" s="44">
        <f t="shared" si="65"/>
        <v>0.85</v>
      </c>
      <c r="AA173" s="44">
        <f t="shared" si="65"/>
        <v>0.85</v>
      </c>
      <c r="AB173" s="44">
        <f t="shared" si="65"/>
        <v>0.85</v>
      </c>
      <c r="AC173" s="44">
        <f t="shared" si="65"/>
        <v>0.85</v>
      </c>
      <c r="AD173" s="44">
        <f t="shared" si="65"/>
        <v>0.85</v>
      </c>
      <c r="AE173" s="44">
        <f t="shared" si="65"/>
        <v>0.85</v>
      </c>
      <c r="AF173" s="44">
        <f t="shared" si="65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3"/>
        <v>0.9</v>
      </c>
      <c r="C174" s="55">
        <v>0.9</v>
      </c>
      <c r="D174" s="44">
        <f t="shared" si="64"/>
        <v>0.9</v>
      </c>
      <c r="E174" s="44">
        <f t="shared" si="64"/>
        <v>0.9</v>
      </c>
      <c r="F174" s="44">
        <f t="shared" si="64"/>
        <v>0.9</v>
      </c>
      <c r="G174" s="44">
        <f t="shared" si="64"/>
        <v>0.9</v>
      </c>
      <c r="H174" s="44">
        <f t="shared" si="64"/>
        <v>0.9</v>
      </c>
      <c r="I174" s="44">
        <f t="shared" si="64"/>
        <v>0.9</v>
      </c>
      <c r="J174" s="44">
        <f t="shared" si="64"/>
        <v>0.9</v>
      </c>
      <c r="K174" s="44">
        <f t="shared" si="64"/>
        <v>0.9</v>
      </c>
      <c r="L174" s="44">
        <f t="shared" si="64"/>
        <v>0.9</v>
      </c>
      <c r="M174" s="44">
        <f t="shared" si="64"/>
        <v>0.9</v>
      </c>
      <c r="N174" s="44">
        <f t="shared" si="64"/>
        <v>0.9</v>
      </c>
      <c r="O174" s="44">
        <f t="shared" si="64"/>
        <v>0.9</v>
      </c>
      <c r="P174" s="44">
        <f t="shared" si="64"/>
        <v>0.9</v>
      </c>
      <c r="Q174" s="44">
        <f t="shared" si="64"/>
        <v>0.9</v>
      </c>
      <c r="R174" s="44">
        <f t="shared" si="64"/>
        <v>0.9</v>
      </c>
      <c r="S174" s="44">
        <f t="shared" si="65"/>
        <v>0.9</v>
      </c>
      <c r="T174" s="44">
        <f t="shared" si="65"/>
        <v>0.9</v>
      </c>
      <c r="U174" s="44">
        <f t="shared" si="65"/>
        <v>0.9</v>
      </c>
      <c r="V174" s="44">
        <f t="shared" si="65"/>
        <v>0.9</v>
      </c>
      <c r="W174" s="44">
        <f t="shared" si="65"/>
        <v>0.9</v>
      </c>
      <c r="X174" s="44">
        <f t="shared" si="65"/>
        <v>0.9</v>
      </c>
      <c r="Y174" s="44">
        <f t="shared" si="65"/>
        <v>0.9</v>
      </c>
      <c r="Z174" s="44">
        <f t="shared" si="65"/>
        <v>0.9</v>
      </c>
      <c r="AA174" s="44">
        <f t="shared" si="65"/>
        <v>0.9</v>
      </c>
      <c r="AB174" s="44">
        <f t="shared" si="65"/>
        <v>0.9</v>
      </c>
      <c r="AC174" s="44">
        <f t="shared" si="65"/>
        <v>0.9</v>
      </c>
      <c r="AD174" s="44">
        <f t="shared" si="65"/>
        <v>0.9</v>
      </c>
      <c r="AE174" s="44">
        <f t="shared" si="65"/>
        <v>0.9</v>
      </c>
      <c r="AF174" s="44">
        <f t="shared" si="65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3"/>
        <v>0.44</v>
      </c>
      <c r="C175" s="55">
        <v>0.44</v>
      </c>
      <c r="D175" s="44">
        <f t="shared" si="64"/>
        <v>0.44</v>
      </c>
      <c r="E175" s="44">
        <f t="shared" si="64"/>
        <v>0.44</v>
      </c>
      <c r="F175" s="44">
        <f t="shared" si="64"/>
        <v>0.44</v>
      </c>
      <c r="G175" s="44">
        <f t="shared" si="64"/>
        <v>0.44</v>
      </c>
      <c r="H175" s="44">
        <f t="shared" si="64"/>
        <v>0.44</v>
      </c>
      <c r="I175" s="44">
        <f t="shared" si="64"/>
        <v>0.44</v>
      </c>
      <c r="J175" s="44">
        <f t="shared" si="64"/>
        <v>0.44</v>
      </c>
      <c r="K175" s="44">
        <f t="shared" si="64"/>
        <v>0.44</v>
      </c>
      <c r="L175" s="44">
        <f t="shared" si="64"/>
        <v>0.44</v>
      </c>
      <c r="M175" s="44">
        <f t="shared" si="64"/>
        <v>0.44</v>
      </c>
      <c r="N175" s="44">
        <f t="shared" si="64"/>
        <v>0.44</v>
      </c>
      <c r="O175" s="44">
        <f t="shared" si="64"/>
        <v>0.44</v>
      </c>
      <c r="P175" s="44">
        <f t="shared" si="64"/>
        <v>0.44</v>
      </c>
      <c r="Q175" s="44">
        <f t="shared" si="64"/>
        <v>0.44</v>
      </c>
      <c r="R175" s="44">
        <f t="shared" si="64"/>
        <v>0.44</v>
      </c>
      <c r="S175" s="44">
        <f t="shared" si="65"/>
        <v>0.44</v>
      </c>
      <c r="T175" s="44">
        <f t="shared" si="65"/>
        <v>0.44</v>
      </c>
      <c r="U175" s="44">
        <f t="shared" si="65"/>
        <v>0.44</v>
      </c>
      <c r="V175" s="44">
        <f t="shared" si="65"/>
        <v>0.44</v>
      </c>
      <c r="W175" s="44">
        <f t="shared" si="65"/>
        <v>0.44</v>
      </c>
      <c r="X175" s="44">
        <f t="shared" si="65"/>
        <v>0.44</v>
      </c>
      <c r="Y175" s="44">
        <f t="shared" si="65"/>
        <v>0.44</v>
      </c>
      <c r="Z175" s="44">
        <f t="shared" si="65"/>
        <v>0.44</v>
      </c>
      <c r="AA175" s="44">
        <f t="shared" si="65"/>
        <v>0.44</v>
      </c>
      <c r="AB175" s="44">
        <f t="shared" si="65"/>
        <v>0.44</v>
      </c>
      <c r="AC175" s="44">
        <f t="shared" si="65"/>
        <v>0.44</v>
      </c>
      <c r="AD175" s="44">
        <f t="shared" si="65"/>
        <v>0.44</v>
      </c>
      <c r="AE175" s="44">
        <f t="shared" si="65"/>
        <v>0.44</v>
      </c>
      <c r="AF175" s="44">
        <f t="shared" si="65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3"/>
        <v>2.1</v>
      </c>
      <c r="C176" s="55">
        <v>2.1</v>
      </c>
      <c r="D176" s="44">
        <f t="shared" si="64"/>
        <v>2.1</v>
      </c>
      <c r="E176" s="44">
        <f t="shared" si="64"/>
        <v>2.1</v>
      </c>
      <c r="F176" s="44">
        <f t="shared" si="64"/>
        <v>2.1</v>
      </c>
      <c r="G176" s="44">
        <f t="shared" si="64"/>
        <v>2.1</v>
      </c>
      <c r="H176" s="44">
        <f t="shared" si="64"/>
        <v>2.1</v>
      </c>
      <c r="I176" s="44">
        <f t="shared" si="64"/>
        <v>2.1</v>
      </c>
      <c r="J176" s="44">
        <f t="shared" si="64"/>
        <v>2.1</v>
      </c>
      <c r="K176" s="44">
        <f t="shared" si="64"/>
        <v>2.1</v>
      </c>
      <c r="L176" s="44">
        <f t="shared" si="64"/>
        <v>2.1</v>
      </c>
      <c r="M176" s="44">
        <f t="shared" si="64"/>
        <v>2.1</v>
      </c>
      <c r="N176" s="44">
        <f t="shared" si="64"/>
        <v>2.1</v>
      </c>
      <c r="O176" s="44">
        <f t="shared" si="64"/>
        <v>2.1</v>
      </c>
      <c r="P176" s="44">
        <f t="shared" si="64"/>
        <v>2.1</v>
      </c>
      <c r="Q176" s="44">
        <f t="shared" si="64"/>
        <v>2.1</v>
      </c>
      <c r="R176" s="44">
        <f t="shared" si="64"/>
        <v>2.1</v>
      </c>
      <c r="S176" s="44">
        <f t="shared" si="65"/>
        <v>2.1</v>
      </c>
      <c r="T176" s="44">
        <f t="shared" si="65"/>
        <v>2.1</v>
      </c>
      <c r="U176" s="44">
        <f t="shared" si="65"/>
        <v>2.1</v>
      </c>
      <c r="V176" s="44">
        <f t="shared" si="65"/>
        <v>2.1</v>
      </c>
      <c r="W176" s="44">
        <f t="shared" si="65"/>
        <v>2.1</v>
      </c>
      <c r="X176" s="44">
        <f t="shared" si="65"/>
        <v>2.1</v>
      </c>
      <c r="Y176" s="44">
        <f t="shared" si="65"/>
        <v>2.1</v>
      </c>
      <c r="Z176" s="44">
        <f t="shared" si="65"/>
        <v>2.1</v>
      </c>
      <c r="AA176" s="44">
        <f t="shared" si="65"/>
        <v>2.1</v>
      </c>
      <c r="AB176" s="44">
        <f t="shared" si="65"/>
        <v>2.1</v>
      </c>
      <c r="AC176" s="44">
        <f t="shared" si="65"/>
        <v>2.1</v>
      </c>
      <c r="AD176" s="44">
        <f t="shared" si="65"/>
        <v>2.1</v>
      </c>
      <c r="AE176" s="44">
        <f t="shared" si="65"/>
        <v>2.1</v>
      </c>
      <c r="AF176" s="44">
        <f t="shared" si="65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3"/>
        <v>0.9</v>
      </c>
      <c r="C177" s="55">
        <v>0.9</v>
      </c>
      <c r="D177" s="44">
        <f t="shared" si="64"/>
        <v>0.9</v>
      </c>
      <c r="E177" s="44">
        <f t="shared" si="64"/>
        <v>0.9</v>
      </c>
      <c r="F177" s="44">
        <f t="shared" si="64"/>
        <v>0.9</v>
      </c>
      <c r="G177" s="44">
        <f t="shared" si="64"/>
        <v>0.9</v>
      </c>
      <c r="H177" s="44">
        <f t="shared" si="64"/>
        <v>0.9</v>
      </c>
      <c r="I177" s="44">
        <f t="shared" si="64"/>
        <v>0.9</v>
      </c>
      <c r="J177" s="44">
        <f t="shared" si="64"/>
        <v>0.9</v>
      </c>
      <c r="K177" s="44">
        <f t="shared" si="64"/>
        <v>0.9</v>
      </c>
      <c r="L177" s="44">
        <f t="shared" si="64"/>
        <v>0.9</v>
      </c>
      <c r="M177" s="44">
        <f t="shared" si="64"/>
        <v>0.9</v>
      </c>
      <c r="N177" s="44">
        <f t="shared" si="64"/>
        <v>0.9</v>
      </c>
      <c r="O177" s="44">
        <f t="shared" si="64"/>
        <v>0.9</v>
      </c>
      <c r="P177" s="44">
        <f t="shared" si="64"/>
        <v>0.9</v>
      </c>
      <c r="Q177" s="44">
        <f t="shared" si="64"/>
        <v>0.9</v>
      </c>
      <c r="R177" s="44">
        <f t="shared" si="64"/>
        <v>0.9</v>
      </c>
      <c r="S177" s="44">
        <f t="shared" si="65"/>
        <v>0.9</v>
      </c>
      <c r="T177" s="44">
        <f t="shared" si="65"/>
        <v>0.9</v>
      </c>
      <c r="U177" s="44">
        <f t="shared" si="65"/>
        <v>0.9</v>
      </c>
      <c r="V177" s="44">
        <f t="shared" si="65"/>
        <v>0.9</v>
      </c>
      <c r="W177" s="44">
        <f t="shared" si="65"/>
        <v>0.9</v>
      </c>
      <c r="X177" s="44">
        <f t="shared" si="65"/>
        <v>0.9</v>
      </c>
      <c r="Y177" s="44">
        <f t="shared" si="65"/>
        <v>0.9</v>
      </c>
      <c r="Z177" s="44">
        <f t="shared" si="65"/>
        <v>0.9</v>
      </c>
      <c r="AA177" s="44">
        <f t="shared" si="65"/>
        <v>0.9</v>
      </c>
      <c r="AB177" s="44">
        <f t="shared" si="65"/>
        <v>0.9</v>
      </c>
      <c r="AC177" s="44">
        <f t="shared" si="65"/>
        <v>0.9</v>
      </c>
      <c r="AD177" s="44">
        <f t="shared" si="65"/>
        <v>0.9</v>
      </c>
      <c r="AE177" s="44">
        <f t="shared" si="65"/>
        <v>0.9</v>
      </c>
      <c r="AF177" s="44">
        <f t="shared" si="65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6">AF179</f>
        <v>0.57999999999999996</v>
      </c>
      <c r="C179" s="55">
        <v>0.57999999999999996</v>
      </c>
      <c r="D179" s="44">
        <f t="shared" ref="D179:S191" si="67">C179</f>
        <v>0.57999999999999996</v>
      </c>
      <c r="E179" s="44">
        <f t="shared" si="67"/>
        <v>0.57999999999999996</v>
      </c>
      <c r="F179" s="44">
        <f t="shared" si="67"/>
        <v>0.57999999999999996</v>
      </c>
      <c r="G179" s="44">
        <f t="shared" si="67"/>
        <v>0.57999999999999996</v>
      </c>
      <c r="H179" s="44">
        <f t="shared" si="67"/>
        <v>0.57999999999999996</v>
      </c>
      <c r="I179" s="44">
        <f t="shared" si="67"/>
        <v>0.57999999999999996</v>
      </c>
      <c r="J179" s="44">
        <f t="shared" si="67"/>
        <v>0.57999999999999996</v>
      </c>
      <c r="K179" s="44">
        <f t="shared" si="67"/>
        <v>0.57999999999999996</v>
      </c>
      <c r="L179" s="44">
        <f t="shared" si="67"/>
        <v>0.57999999999999996</v>
      </c>
      <c r="M179" s="44">
        <f t="shared" si="67"/>
        <v>0.57999999999999996</v>
      </c>
      <c r="N179" s="44">
        <f t="shared" si="67"/>
        <v>0.57999999999999996</v>
      </c>
      <c r="O179" s="44">
        <f t="shared" si="67"/>
        <v>0.57999999999999996</v>
      </c>
      <c r="P179" s="44">
        <f t="shared" si="67"/>
        <v>0.57999999999999996</v>
      </c>
      <c r="Q179" s="44">
        <f t="shared" si="67"/>
        <v>0.57999999999999996</v>
      </c>
      <c r="R179" s="44">
        <f t="shared" si="67"/>
        <v>0.57999999999999996</v>
      </c>
      <c r="S179" s="44">
        <f t="shared" si="67"/>
        <v>0.57999999999999996</v>
      </c>
      <c r="T179" s="44">
        <f t="shared" ref="S179:AF191" si="68">S179</f>
        <v>0.57999999999999996</v>
      </c>
      <c r="U179" s="44">
        <f t="shared" si="68"/>
        <v>0.57999999999999996</v>
      </c>
      <c r="V179" s="44">
        <f t="shared" si="68"/>
        <v>0.57999999999999996</v>
      </c>
      <c r="W179" s="44">
        <f t="shared" si="68"/>
        <v>0.57999999999999996</v>
      </c>
      <c r="X179" s="44">
        <f t="shared" si="68"/>
        <v>0.57999999999999996</v>
      </c>
      <c r="Y179" s="44">
        <f t="shared" si="68"/>
        <v>0.57999999999999996</v>
      </c>
      <c r="Z179" s="44">
        <f t="shared" si="68"/>
        <v>0.57999999999999996</v>
      </c>
      <c r="AA179" s="44">
        <f t="shared" si="68"/>
        <v>0.57999999999999996</v>
      </c>
      <c r="AB179" s="44">
        <f t="shared" si="68"/>
        <v>0.57999999999999996</v>
      </c>
      <c r="AC179" s="44">
        <f t="shared" si="68"/>
        <v>0.57999999999999996</v>
      </c>
      <c r="AD179" s="44">
        <f t="shared" si="68"/>
        <v>0.57999999999999996</v>
      </c>
      <c r="AE179" s="44">
        <f t="shared" si="68"/>
        <v>0.57999999999999996</v>
      </c>
      <c r="AF179" s="44">
        <f t="shared" si="68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6"/>
        <v>0.8</v>
      </c>
      <c r="C180" s="55">
        <v>0.8</v>
      </c>
      <c r="D180" s="44">
        <f t="shared" si="67"/>
        <v>0.8</v>
      </c>
      <c r="E180" s="44">
        <f t="shared" si="67"/>
        <v>0.8</v>
      </c>
      <c r="F180" s="44">
        <f t="shared" si="67"/>
        <v>0.8</v>
      </c>
      <c r="G180" s="44">
        <f t="shared" si="67"/>
        <v>0.8</v>
      </c>
      <c r="H180" s="44">
        <f t="shared" si="67"/>
        <v>0.8</v>
      </c>
      <c r="I180" s="44">
        <f t="shared" si="67"/>
        <v>0.8</v>
      </c>
      <c r="J180" s="44">
        <f t="shared" si="67"/>
        <v>0.8</v>
      </c>
      <c r="K180" s="44">
        <f t="shared" si="67"/>
        <v>0.8</v>
      </c>
      <c r="L180" s="44">
        <f t="shared" si="67"/>
        <v>0.8</v>
      </c>
      <c r="M180" s="44">
        <f t="shared" si="67"/>
        <v>0.8</v>
      </c>
      <c r="N180" s="44">
        <f t="shared" si="67"/>
        <v>0.8</v>
      </c>
      <c r="O180" s="44">
        <f t="shared" si="67"/>
        <v>0.8</v>
      </c>
      <c r="P180" s="44">
        <f t="shared" si="67"/>
        <v>0.8</v>
      </c>
      <c r="Q180" s="44">
        <f t="shared" si="67"/>
        <v>0.8</v>
      </c>
      <c r="R180" s="44">
        <f t="shared" si="67"/>
        <v>0.8</v>
      </c>
      <c r="S180" s="44">
        <f t="shared" si="67"/>
        <v>0.8</v>
      </c>
      <c r="T180" s="44">
        <f t="shared" si="68"/>
        <v>0.8</v>
      </c>
      <c r="U180" s="44">
        <f t="shared" si="68"/>
        <v>0.8</v>
      </c>
      <c r="V180" s="44">
        <f t="shared" si="68"/>
        <v>0.8</v>
      </c>
      <c r="W180" s="44">
        <f t="shared" si="68"/>
        <v>0.8</v>
      </c>
      <c r="X180" s="44">
        <f t="shared" si="68"/>
        <v>0.8</v>
      </c>
      <c r="Y180" s="44">
        <f t="shared" si="68"/>
        <v>0.8</v>
      </c>
      <c r="Z180" s="44">
        <f t="shared" si="68"/>
        <v>0.8</v>
      </c>
      <c r="AA180" s="44">
        <f t="shared" si="68"/>
        <v>0.8</v>
      </c>
      <c r="AB180" s="44">
        <f t="shared" si="68"/>
        <v>0.8</v>
      </c>
      <c r="AC180" s="44">
        <f t="shared" si="68"/>
        <v>0.8</v>
      </c>
      <c r="AD180" s="44">
        <f t="shared" si="68"/>
        <v>0.8</v>
      </c>
      <c r="AE180" s="44">
        <f t="shared" si="68"/>
        <v>0.8</v>
      </c>
      <c r="AF180" s="44">
        <f t="shared" si="68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6"/>
        <v>0</v>
      </c>
      <c r="C181" s="55">
        <v>0</v>
      </c>
      <c r="D181" s="44">
        <f t="shared" si="67"/>
        <v>0</v>
      </c>
      <c r="E181" s="44">
        <f t="shared" si="67"/>
        <v>0</v>
      </c>
      <c r="F181" s="44">
        <f t="shared" si="67"/>
        <v>0</v>
      </c>
      <c r="G181" s="44">
        <f t="shared" si="67"/>
        <v>0</v>
      </c>
      <c r="H181" s="44">
        <f t="shared" si="67"/>
        <v>0</v>
      </c>
      <c r="I181" s="44">
        <f t="shared" si="67"/>
        <v>0</v>
      </c>
      <c r="J181" s="44">
        <f t="shared" si="67"/>
        <v>0</v>
      </c>
      <c r="K181" s="44">
        <f t="shared" si="67"/>
        <v>0</v>
      </c>
      <c r="L181" s="44">
        <f t="shared" si="67"/>
        <v>0</v>
      </c>
      <c r="M181" s="44">
        <f t="shared" si="67"/>
        <v>0</v>
      </c>
      <c r="N181" s="44">
        <f t="shared" si="67"/>
        <v>0</v>
      </c>
      <c r="O181" s="44">
        <f t="shared" si="67"/>
        <v>0</v>
      </c>
      <c r="P181" s="44">
        <f t="shared" si="67"/>
        <v>0</v>
      </c>
      <c r="Q181" s="44">
        <f t="shared" si="67"/>
        <v>0</v>
      </c>
      <c r="R181" s="44">
        <f t="shared" si="67"/>
        <v>0</v>
      </c>
      <c r="S181" s="44">
        <f t="shared" si="67"/>
        <v>0</v>
      </c>
      <c r="T181" s="44">
        <f t="shared" si="68"/>
        <v>0</v>
      </c>
      <c r="U181" s="44">
        <f t="shared" si="68"/>
        <v>0</v>
      </c>
      <c r="V181" s="44">
        <f t="shared" si="68"/>
        <v>0</v>
      </c>
      <c r="W181" s="44">
        <f t="shared" si="68"/>
        <v>0</v>
      </c>
      <c r="X181" s="44">
        <f t="shared" si="68"/>
        <v>0</v>
      </c>
      <c r="Y181" s="44">
        <f t="shared" si="68"/>
        <v>0</v>
      </c>
      <c r="Z181" s="44">
        <f t="shared" si="68"/>
        <v>0</v>
      </c>
      <c r="AA181" s="44">
        <f t="shared" si="68"/>
        <v>0</v>
      </c>
      <c r="AB181" s="44">
        <f t="shared" si="68"/>
        <v>0</v>
      </c>
      <c r="AC181" s="44">
        <f t="shared" si="68"/>
        <v>0</v>
      </c>
      <c r="AD181" s="44">
        <f t="shared" si="68"/>
        <v>0</v>
      </c>
      <c r="AE181" s="44">
        <f t="shared" si="68"/>
        <v>0</v>
      </c>
      <c r="AF181" s="44">
        <f t="shared" si="68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6"/>
        <v>0.6</v>
      </c>
      <c r="C182" s="55">
        <v>0.6</v>
      </c>
      <c r="D182" s="44">
        <f t="shared" si="67"/>
        <v>0.6</v>
      </c>
      <c r="E182" s="44">
        <f t="shared" si="67"/>
        <v>0.6</v>
      </c>
      <c r="F182" s="44">
        <f t="shared" si="67"/>
        <v>0.6</v>
      </c>
      <c r="G182" s="44">
        <f t="shared" si="67"/>
        <v>0.6</v>
      </c>
      <c r="H182" s="44">
        <f t="shared" si="67"/>
        <v>0.6</v>
      </c>
      <c r="I182" s="44">
        <f t="shared" si="67"/>
        <v>0.6</v>
      </c>
      <c r="J182" s="44">
        <f t="shared" si="67"/>
        <v>0.6</v>
      </c>
      <c r="K182" s="44">
        <f t="shared" si="67"/>
        <v>0.6</v>
      </c>
      <c r="L182" s="44">
        <f t="shared" si="67"/>
        <v>0.6</v>
      </c>
      <c r="M182" s="44">
        <f t="shared" si="67"/>
        <v>0.6</v>
      </c>
      <c r="N182" s="44">
        <f t="shared" si="67"/>
        <v>0.6</v>
      </c>
      <c r="O182" s="44">
        <f t="shared" si="67"/>
        <v>0.6</v>
      </c>
      <c r="P182" s="44">
        <f t="shared" si="67"/>
        <v>0.6</v>
      </c>
      <c r="Q182" s="44">
        <f t="shared" si="67"/>
        <v>0.6</v>
      </c>
      <c r="R182" s="44">
        <f t="shared" si="67"/>
        <v>0.6</v>
      </c>
      <c r="S182" s="44">
        <f t="shared" si="67"/>
        <v>0.6</v>
      </c>
      <c r="T182" s="44">
        <f t="shared" si="68"/>
        <v>0.6</v>
      </c>
      <c r="U182" s="44">
        <f t="shared" si="68"/>
        <v>0.6</v>
      </c>
      <c r="V182" s="44">
        <f t="shared" si="68"/>
        <v>0.6</v>
      </c>
      <c r="W182" s="44">
        <f t="shared" si="68"/>
        <v>0.6</v>
      </c>
      <c r="X182" s="44">
        <f t="shared" si="68"/>
        <v>0.6</v>
      </c>
      <c r="Y182" s="44">
        <f t="shared" si="68"/>
        <v>0.6</v>
      </c>
      <c r="Z182" s="44">
        <f t="shared" si="68"/>
        <v>0.6</v>
      </c>
      <c r="AA182" s="44">
        <f t="shared" si="68"/>
        <v>0.6</v>
      </c>
      <c r="AB182" s="44">
        <f t="shared" si="68"/>
        <v>0.6</v>
      </c>
      <c r="AC182" s="44">
        <f t="shared" si="68"/>
        <v>0.6</v>
      </c>
      <c r="AD182" s="44">
        <f t="shared" si="68"/>
        <v>0.6</v>
      </c>
      <c r="AE182" s="44">
        <f t="shared" si="68"/>
        <v>0.6</v>
      </c>
      <c r="AF182" s="44">
        <f t="shared" si="68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6"/>
        <v>0.6</v>
      </c>
      <c r="C183" s="55">
        <v>0.6</v>
      </c>
      <c r="D183" s="44">
        <f t="shared" si="67"/>
        <v>0.6</v>
      </c>
      <c r="E183" s="44">
        <f t="shared" si="67"/>
        <v>0.6</v>
      </c>
      <c r="F183" s="44">
        <f t="shared" si="67"/>
        <v>0.6</v>
      </c>
      <c r="G183" s="44">
        <f t="shared" si="67"/>
        <v>0.6</v>
      </c>
      <c r="H183" s="44">
        <f t="shared" si="67"/>
        <v>0.6</v>
      </c>
      <c r="I183" s="44">
        <f t="shared" si="67"/>
        <v>0.6</v>
      </c>
      <c r="J183" s="44">
        <f t="shared" si="67"/>
        <v>0.6</v>
      </c>
      <c r="K183" s="44">
        <f t="shared" si="67"/>
        <v>0.6</v>
      </c>
      <c r="L183" s="44">
        <f t="shared" si="67"/>
        <v>0.6</v>
      </c>
      <c r="M183" s="44">
        <f t="shared" si="67"/>
        <v>0.6</v>
      </c>
      <c r="N183" s="44">
        <f t="shared" si="67"/>
        <v>0.6</v>
      </c>
      <c r="O183" s="44">
        <f t="shared" si="67"/>
        <v>0.6</v>
      </c>
      <c r="P183" s="44">
        <f t="shared" si="67"/>
        <v>0.6</v>
      </c>
      <c r="Q183" s="44">
        <f t="shared" si="67"/>
        <v>0.6</v>
      </c>
      <c r="R183" s="44">
        <f t="shared" si="67"/>
        <v>0.6</v>
      </c>
      <c r="S183" s="44">
        <f t="shared" si="67"/>
        <v>0.6</v>
      </c>
      <c r="T183" s="44">
        <f t="shared" si="68"/>
        <v>0.6</v>
      </c>
      <c r="U183" s="44">
        <f t="shared" si="68"/>
        <v>0.6</v>
      </c>
      <c r="V183" s="44">
        <f t="shared" si="68"/>
        <v>0.6</v>
      </c>
      <c r="W183" s="44">
        <f t="shared" si="68"/>
        <v>0.6</v>
      </c>
      <c r="X183" s="44">
        <f t="shared" si="68"/>
        <v>0.6</v>
      </c>
      <c r="Y183" s="44">
        <f t="shared" si="68"/>
        <v>0.6</v>
      </c>
      <c r="Z183" s="44">
        <f t="shared" si="68"/>
        <v>0.6</v>
      </c>
      <c r="AA183" s="44">
        <f t="shared" si="68"/>
        <v>0.6</v>
      </c>
      <c r="AB183" s="44">
        <f t="shared" si="68"/>
        <v>0.6</v>
      </c>
      <c r="AC183" s="44">
        <f t="shared" si="68"/>
        <v>0.6</v>
      </c>
      <c r="AD183" s="44">
        <f t="shared" si="68"/>
        <v>0.6</v>
      </c>
      <c r="AE183" s="44">
        <f t="shared" si="68"/>
        <v>0.6</v>
      </c>
      <c r="AF183" s="44">
        <f t="shared" si="68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6"/>
        <v>0.35</v>
      </c>
      <c r="C184" s="55">
        <v>0.35</v>
      </c>
      <c r="D184" s="44">
        <f t="shared" si="67"/>
        <v>0.35</v>
      </c>
      <c r="E184" s="44">
        <f t="shared" si="67"/>
        <v>0.35</v>
      </c>
      <c r="F184" s="44">
        <f t="shared" si="67"/>
        <v>0.35</v>
      </c>
      <c r="G184" s="44">
        <f t="shared" si="67"/>
        <v>0.35</v>
      </c>
      <c r="H184" s="44">
        <f t="shared" si="67"/>
        <v>0.35</v>
      </c>
      <c r="I184" s="44">
        <f t="shared" si="67"/>
        <v>0.35</v>
      </c>
      <c r="J184" s="44">
        <f t="shared" si="67"/>
        <v>0.35</v>
      </c>
      <c r="K184" s="44">
        <f t="shared" si="67"/>
        <v>0.35</v>
      </c>
      <c r="L184" s="44">
        <f t="shared" si="67"/>
        <v>0.35</v>
      </c>
      <c r="M184" s="44">
        <f t="shared" si="67"/>
        <v>0.35</v>
      </c>
      <c r="N184" s="44">
        <f t="shared" si="67"/>
        <v>0.35</v>
      </c>
      <c r="O184" s="44">
        <f t="shared" si="67"/>
        <v>0.35</v>
      </c>
      <c r="P184" s="44">
        <f t="shared" si="67"/>
        <v>0.35</v>
      </c>
      <c r="Q184" s="44">
        <f t="shared" si="67"/>
        <v>0.35</v>
      </c>
      <c r="R184" s="44">
        <f t="shared" si="67"/>
        <v>0.35</v>
      </c>
      <c r="S184" s="44">
        <f t="shared" si="67"/>
        <v>0.35</v>
      </c>
      <c r="T184" s="44">
        <f t="shared" si="68"/>
        <v>0.35</v>
      </c>
      <c r="U184" s="44">
        <f t="shared" si="68"/>
        <v>0.35</v>
      </c>
      <c r="V184" s="44">
        <f t="shared" si="68"/>
        <v>0.35</v>
      </c>
      <c r="W184" s="44">
        <f t="shared" si="68"/>
        <v>0.35</v>
      </c>
      <c r="X184" s="44">
        <f t="shared" si="68"/>
        <v>0.35</v>
      </c>
      <c r="Y184" s="44">
        <f t="shared" si="68"/>
        <v>0.35</v>
      </c>
      <c r="Z184" s="44">
        <f t="shared" si="68"/>
        <v>0.35</v>
      </c>
      <c r="AA184" s="44">
        <f t="shared" si="68"/>
        <v>0.35</v>
      </c>
      <c r="AB184" s="44">
        <f t="shared" si="68"/>
        <v>0.35</v>
      </c>
      <c r="AC184" s="44">
        <f t="shared" si="68"/>
        <v>0.35</v>
      </c>
      <c r="AD184" s="44">
        <f t="shared" si="68"/>
        <v>0.35</v>
      </c>
      <c r="AE184" s="44">
        <f t="shared" si="68"/>
        <v>0.35</v>
      </c>
      <c r="AF184" s="44">
        <f t="shared" si="68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6"/>
        <v>0.28999999999999998</v>
      </c>
      <c r="C185" s="55">
        <v>0.28999999999999998</v>
      </c>
      <c r="D185" s="44">
        <f t="shared" si="67"/>
        <v>0.28999999999999998</v>
      </c>
      <c r="E185" s="44">
        <f t="shared" si="67"/>
        <v>0.28999999999999998</v>
      </c>
      <c r="F185" s="44">
        <f t="shared" si="67"/>
        <v>0.28999999999999998</v>
      </c>
      <c r="G185" s="44">
        <f t="shared" si="67"/>
        <v>0.28999999999999998</v>
      </c>
      <c r="H185" s="44">
        <f t="shared" si="67"/>
        <v>0.28999999999999998</v>
      </c>
      <c r="I185" s="44">
        <f t="shared" si="67"/>
        <v>0.28999999999999998</v>
      </c>
      <c r="J185" s="44">
        <f t="shared" si="67"/>
        <v>0.28999999999999998</v>
      </c>
      <c r="K185" s="44">
        <f t="shared" si="67"/>
        <v>0.28999999999999998</v>
      </c>
      <c r="L185" s="44">
        <f t="shared" si="67"/>
        <v>0.28999999999999998</v>
      </c>
      <c r="M185" s="44">
        <f t="shared" si="67"/>
        <v>0.28999999999999998</v>
      </c>
      <c r="N185" s="44">
        <f t="shared" si="67"/>
        <v>0.28999999999999998</v>
      </c>
      <c r="O185" s="44">
        <f t="shared" si="67"/>
        <v>0.28999999999999998</v>
      </c>
      <c r="P185" s="44">
        <f t="shared" si="67"/>
        <v>0.28999999999999998</v>
      </c>
      <c r="Q185" s="44">
        <f t="shared" si="67"/>
        <v>0.28999999999999998</v>
      </c>
      <c r="R185" s="44">
        <f t="shared" si="67"/>
        <v>0.28999999999999998</v>
      </c>
      <c r="S185" s="44">
        <f t="shared" si="67"/>
        <v>0.28999999999999998</v>
      </c>
      <c r="T185" s="44">
        <f t="shared" si="68"/>
        <v>0.28999999999999998</v>
      </c>
      <c r="U185" s="44">
        <f t="shared" si="68"/>
        <v>0.28999999999999998</v>
      </c>
      <c r="V185" s="44">
        <f t="shared" si="68"/>
        <v>0.28999999999999998</v>
      </c>
      <c r="W185" s="44">
        <f t="shared" si="68"/>
        <v>0.28999999999999998</v>
      </c>
      <c r="X185" s="44">
        <f t="shared" si="68"/>
        <v>0.28999999999999998</v>
      </c>
      <c r="Y185" s="44">
        <f t="shared" si="68"/>
        <v>0.28999999999999998</v>
      </c>
      <c r="Z185" s="44">
        <f t="shared" si="68"/>
        <v>0.28999999999999998</v>
      </c>
      <c r="AA185" s="44">
        <f t="shared" si="68"/>
        <v>0.28999999999999998</v>
      </c>
      <c r="AB185" s="44">
        <f t="shared" si="68"/>
        <v>0.28999999999999998</v>
      </c>
      <c r="AC185" s="44">
        <f t="shared" si="68"/>
        <v>0.28999999999999998</v>
      </c>
      <c r="AD185" s="44">
        <f t="shared" si="68"/>
        <v>0.28999999999999998</v>
      </c>
      <c r="AE185" s="44">
        <f t="shared" si="68"/>
        <v>0.28999999999999998</v>
      </c>
      <c r="AF185" s="44">
        <f t="shared" si="6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6"/>
        <v>0.06</v>
      </c>
      <c r="C186" s="55">
        <v>0.06</v>
      </c>
      <c r="D186" s="44">
        <f t="shared" si="67"/>
        <v>0.06</v>
      </c>
      <c r="E186" s="44">
        <f t="shared" si="67"/>
        <v>0.06</v>
      </c>
      <c r="F186" s="44">
        <f t="shared" si="67"/>
        <v>0.06</v>
      </c>
      <c r="G186" s="44">
        <f t="shared" si="67"/>
        <v>0.06</v>
      </c>
      <c r="H186" s="44">
        <f t="shared" si="67"/>
        <v>0.06</v>
      </c>
      <c r="I186" s="44">
        <f t="shared" si="67"/>
        <v>0.06</v>
      </c>
      <c r="J186" s="44">
        <f t="shared" si="67"/>
        <v>0.06</v>
      </c>
      <c r="K186" s="44">
        <f t="shared" si="67"/>
        <v>0.06</v>
      </c>
      <c r="L186" s="44">
        <f t="shared" si="67"/>
        <v>0.06</v>
      </c>
      <c r="M186" s="44">
        <f t="shared" si="67"/>
        <v>0.06</v>
      </c>
      <c r="N186" s="44">
        <f t="shared" si="67"/>
        <v>0.06</v>
      </c>
      <c r="O186" s="44">
        <f t="shared" si="67"/>
        <v>0.06</v>
      </c>
      <c r="P186" s="44">
        <f t="shared" si="67"/>
        <v>0.06</v>
      </c>
      <c r="Q186" s="44">
        <f t="shared" si="67"/>
        <v>0.06</v>
      </c>
      <c r="R186" s="44">
        <f t="shared" si="67"/>
        <v>0.06</v>
      </c>
      <c r="S186" s="44">
        <f t="shared" si="67"/>
        <v>0.06</v>
      </c>
      <c r="T186" s="44">
        <f t="shared" si="68"/>
        <v>0.06</v>
      </c>
      <c r="U186" s="44">
        <f t="shared" si="68"/>
        <v>0.06</v>
      </c>
      <c r="V186" s="44">
        <f t="shared" si="68"/>
        <v>0.06</v>
      </c>
      <c r="W186" s="44">
        <f t="shared" si="68"/>
        <v>0.06</v>
      </c>
      <c r="X186" s="44">
        <f t="shared" si="68"/>
        <v>0.06</v>
      </c>
      <c r="Y186" s="44">
        <f t="shared" si="68"/>
        <v>0.06</v>
      </c>
      <c r="Z186" s="44">
        <f t="shared" si="68"/>
        <v>0.06</v>
      </c>
      <c r="AA186" s="44">
        <f t="shared" si="68"/>
        <v>0.06</v>
      </c>
      <c r="AB186" s="44">
        <f t="shared" si="68"/>
        <v>0.06</v>
      </c>
      <c r="AC186" s="44">
        <f t="shared" si="68"/>
        <v>0.06</v>
      </c>
      <c r="AD186" s="44">
        <f t="shared" si="68"/>
        <v>0.06</v>
      </c>
      <c r="AE186" s="44">
        <f t="shared" si="68"/>
        <v>0.06</v>
      </c>
      <c r="AF186" s="44">
        <f t="shared" si="68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6"/>
        <v>0.11</v>
      </c>
      <c r="C187" s="55">
        <v>0.11</v>
      </c>
      <c r="D187" s="44">
        <f t="shared" si="67"/>
        <v>0.11</v>
      </c>
      <c r="E187" s="44">
        <f t="shared" si="67"/>
        <v>0.11</v>
      </c>
      <c r="F187" s="44">
        <f t="shared" si="67"/>
        <v>0.11</v>
      </c>
      <c r="G187" s="44">
        <f t="shared" si="67"/>
        <v>0.11</v>
      </c>
      <c r="H187" s="44">
        <f t="shared" si="67"/>
        <v>0.11</v>
      </c>
      <c r="I187" s="44">
        <f t="shared" si="67"/>
        <v>0.11</v>
      </c>
      <c r="J187" s="44">
        <f t="shared" si="67"/>
        <v>0.11</v>
      </c>
      <c r="K187" s="44">
        <f t="shared" si="67"/>
        <v>0.11</v>
      </c>
      <c r="L187" s="44">
        <f t="shared" si="67"/>
        <v>0.11</v>
      </c>
      <c r="M187" s="44">
        <f t="shared" si="67"/>
        <v>0.11</v>
      </c>
      <c r="N187" s="44">
        <f t="shared" si="67"/>
        <v>0.11</v>
      </c>
      <c r="O187" s="44">
        <f t="shared" si="67"/>
        <v>0.11</v>
      </c>
      <c r="P187" s="44">
        <f t="shared" si="67"/>
        <v>0.11</v>
      </c>
      <c r="Q187" s="44">
        <f t="shared" si="67"/>
        <v>0.11</v>
      </c>
      <c r="R187" s="44">
        <f t="shared" si="67"/>
        <v>0.11</v>
      </c>
      <c r="S187" s="44">
        <f t="shared" si="67"/>
        <v>0.11</v>
      </c>
      <c r="T187" s="44">
        <f t="shared" si="68"/>
        <v>0.11</v>
      </c>
      <c r="U187" s="44">
        <f t="shared" si="68"/>
        <v>0.11</v>
      </c>
      <c r="V187" s="44">
        <f t="shared" si="68"/>
        <v>0.11</v>
      </c>
      <c r="W187" s="44">
        <f t="shared" si="68"/>
        <v>0.11</v>
      </c>
      <c r="X187" s="44">
        <f t="shared" si="68"/>
        <v>0.11</v>
      </c>
      <c r="Y187" s="44">
        <f t="shared" si="68"/>
        <v>0.11</v>
      </c>
      <c r="Z187" s="44">
        <f t="shared" si="68"/>
        <v>0.11</v>
      </c>
      <c r="AA187" s="44">
        <f t="shared" si="68"/>
        <v>0.11</v>
      </c>
      <c r="AB187" s="44">
        <f t="shared" si="68"/>
        <v>0.11</v>
      </c>
      <c r="AC187" s="44">
        <f t="shared" si="68"/>
        <v>0.11</v>
      </c>
      <c r="AD187" s="44">
        <f t="shared" si="68"/>
        <v>0.11</v>
      </c>
      <c r="AE187" s="44">
        <f t="shared" si="68"/>
        <v>0.11</v>
      </c>
      <c r="AF187" s="44">
        <f t="shared" si="68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6"/>
        <v>0.1</v>
      </c>
      <c r="C188" s="55">
        <v>0.1</v>
      </c>
      <c r="D188" s="44">
        <f t="shared" si="67"/>
        <v>0.1</v>
      </c>
      <c r="E188" s="44">
        <f t="shared" si="67"/>
        <v>0.1</v>
      </c>
      <c r="F188" s="44">
        <f t="shared" si="67"/>
        <v>0.1</v>
      </c>
      <c r="G188" s="44">
        <f t="shared" si="67"/>
        <v>0.1</v>
      </c>
      <c r="H188" s="44">
        <f t="shared" si="67"/>
        <v>0.1</v>
      </c>
      <c r="I188" s="44">
        <f t="shared" si="67"/>
        <v>0.1</v>
      </c>
      <c r="J188" s="44">
        <f t="shared" si="67"/>
        <v>0.1</v>
      </c>
      <c r="K188" s="44">
        <f t="shared" si="67"/>
        <v>0.1</v>
      </c>
      <c r="L188" s="44">
        <f t="shared" si="67"/>
        <v>0.1</v>
      </c>
      <c r="M188" s="44">
        <f t="shared" si="67"/>
        <v>0.1</v>
      </c>
      <c r="N188" s="44">
        <f t="shared" si="67"/>
        <v>0.1</v>
      </c>
      <c r="O188" s="44">
        <f t="shared" si="67"/>
        <v>0.1</v>
      </c>
      <c r="P188" s="44">
        <f t="shared" si="67"/>
        <v>0.1</v>
      </c>
      <c r="Q188" s="44">
        <f t="shared" si="67"/>
        <v>0.1</v>
      </c>
      <c r="R188" s="44">
        <f t="shared" si="67"/>
        <v>0.1</v>
      </c>
      <c r="S188" s="44">
        <f t="shared" si="68"/>
        <v>0.1</v>
      </c>
      <c r="T188" s="44">
        <f t="shared" si="68"/>
        <v>0.1</v>
      </c>
      <c r="U188" s="44">
        <f t="shared" si="68"/>
        <v>0.1</v>
      </c>
      <c r="V188" s="44">
        <f t="shared" si="68"/>
        <v>0.1</v>
      </c>
      <c r="W188" s="44">
        <f t="shared" si="68"/>
        <v>0.1</v>
      </c>
      <c r="X188" s="44">
        <f t="shared" si="68"/>
        <v>0.1</v>
      </c>
      <c r="Y188" s="44">
        <f t="shared" si="68"/>
        <v>0.1</v>
      </c>
      <c r="Z188" s="44">
        <f t="shared" si="68"/>
        <v>0.1</v>
      </c>
      <c r="AA188" s="44">
        <f t="shared" si="68"/>
        <v>0.1</v>
      </c>
      <c r="AB188" s="44">
        <f t="shared" si="68"/>
        <v>0.1</v>
      </c>
      <c r="AC188" s="44">
        <f t="shared" si="68"/>
        <v>0.1</v>
      </c>
      <c r="AD188" s="44">
        <f t="shared" si="68"/>
        <v>0.1</v>
      </c>
      <c r="AE188" s="44">
        <f t="shared" si="68"/>
        <v>0.1</v>
      </c>
      <c r="AF188" s="44">
        <f t="shared" si="68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6"/>
        <v>0.09</v>
      </c>
      <c r="C189" s="55">
        <v>0.09</v>
      </c>
      <c r="D189" s="44">
        <f t="shared" si="67"/>
        <v>0.09</v>
      </c>
      <c r="E189" s="44">
        <f t="shared" si="67"/>
        <v>0.09</v>
      </c>
      <c r="F189" s="44">
        <f t="shared" si="67"/>
        <v>0.09</v>
      </c>
      <c r="G189" s="44">
        <f t="shared" si="67"/>
        <v>0.09</v>
      </c>
      <c r="H189" s="44">
        <f t="shared" si="67"/>
        <v>0.09</v>
      </c>
      <c r="I189" s="44">
        <f t="shared" si="67"/>
        <v>0.09</v>
      </c>
      <c r="J189" s="44">
        <f t="shared" si="67"/>
        <v>0.09</v>
      </c>
      <c r="K189" s="44">
        <f t="shared" si="67"/>
        <v>0.09</v>
      </c>
      <c r="L189" s="44">
        <f t="shared" si="67"/>
        <v>0.09</v>
      </c>
      <c r="M189" s="44">
        <f t="shared" si="67"/>
        <v>0.09</v>
      </c>
      <c r="N189" s="44">
        <f t="shared" si="67"/>
        <v>0.09</v>
      </c>
      <c r="O189" s="44">
        <f t="shared" si="67"/>
        <v>0.09</v>
      </c>
      <c r="P189" s="44">
        <f t="shared" si="67"/>
        <v>0.09</v>
      </c>
      <c r="Q189" s="44">
        <f t="shared" si="67"/>
        <v>0.09</v>
      </c>
      <c r="R189" s="44">
        <f t="shared" si="67"/>
        <v>0.09</v>
      </c>
      <c r="S189" s="44">
        <f t="shared" si="68"/>
        <v>0.09</v>
      </c>
      <c r="T189" s="44">
        <f t="shared" si="68"/>
        <v>0.09</v>
      </c>
      <c r="U189" s="44">
        <f t="shared" si="68"/>
        <v>0.09</v>
      </c>
      <c r="V189" s="44">
        <f t="shared" si="68"/>
        <v>0.09</v>
      </c>
      <c r="W189" s="44">
        <f t="shared" si="68"/>
        <v>0.09</v>
      </c>
      <c r="X189" s="44">
        <f t="shared" si="68"/>
        <v>0.09</v>
      </c>
      <c r="Y189" s="44">
        <f t="shared" si="68"/>
        <v>0.09</v>
      </c>
      <c r="Z189" s="44">
        <f t="shared" si="68"/>
        <v>0.09</v>
      </c>
      <c r="AA189" s="44">
        <f t="shared" si="68"/>
        <v>0.09</v>
      </c>
      <c r="AB189" s="44">
        <f t="shared" si="68"/>
        <v>0.09</v>
      </c>
      <c r="AC189" s="44">
        <f t="shared" si="68"/>
        <v>0.09</v>
      </c>
      <c r="AD189" s="44">
        <f t="shared" si="68"/>
        <v>0.09</v>
      </c>
      <c r="AE189" s="44">
        <f t="shared" si="68"/>
        <v>0.09</v>
      </c>
      <c r="AF189" s="44">
        <f t="shared" si="68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6"/>
        <v>0.04</v>
      </c>
      <c r="C190" s="54">
        <v>0.04</v>
      </c>
      <c r="D190" s="44">
        <f t="shared" si="67"/>
        <v>0.04</v>
      </c>
      <c r="E190" s="44">
        <f t="shared" si="67"/>
        <v>0.04</v>
      </c>
      <c r="F190" s="44">
        <f t="shared" si="67"/>
        <v>0.04</v>
      </c>
      <c r="G190" s="44">
        <f t="shared" si="67"/>
        <v>0.04</v>
      </c>
      <c r="H190" s="44">
        <f t="shared" si="67"/>
        <v>0.04</v>
      </c>
      <c r="I190" s="44">
        <f t="shared" si="67"/>
        <v>0.04</v>
      </c>
      <c r="J190" s="44">
        <f t="shared" si="67"/>
        <v>0.04</v>
      </c>
      <c r="K190" s="44">
        <f t="shared" si="67"/>
        <v>0.04</v>
      </c>
      <c r="L190" s="44">
        <f t="shared" si="67"/>
        <v>0.04</v>
      </c>
      <c r="M190" s="44">
        <f t="shared" si="67"/>
        <v>0.04</v>
      </c>
      <c r="N190" s="44">
        <f t="shared" si="67"/>
        <v>0.04</v>
      </c>
      <c r="O190" s="44">
        <f t="shared" si="67"/>
        <v>0.04</v>
      </c>
      <c r="P190" s="44">
        <f t="shared" si="67"/>
        <v>0.04</v>
      </c>
      <c r="Q190" s="44">
        <f t="shared" si="67"/>
        <v>0.04</v>
      </c>
      <c r="R190" s="44">
        <f t="shared" si="67"/>
        <v>0.04</v>
      </c>
      <c r="S190" s="44">
        <f t="shared" si="68"/>
        <v>0.04</v>
      </c>
      <c r="T190" s="44">
        <f t="shared" si="68"/>
        <v>0.04</v>
      </c>
      <c r="U190" s="44">
        <f t="shared" si="68"/>
        <v>0.04</v>
      </c>
      <c r="V190" s="44">
        <f t="shared" si="68"/>
        <v>0.04</v>
      </c>
      <c r="W190" s="44">
        <f t="shared" si="68"/>
        <v>0.04</v>
      </c>
      <c r="X190" s="44">
        <f t="shared" si="68"/>
        <v>0.04</v>
      </c>
      <c r="Y190" s="44">
        <f t="shared" si="68"/>
        <v>0.04</v>
      </c>
      <c r="Z190" s="44">
        <f t="shared" si="68"/>
        <v>0.04</v>
      </c>
      <c r="AA190" s="44">
        <f t="shared" si="68"/>
        <v>0.04</v>
      </c>
      <c r="AB190" s="44">
        <f t="shared" si="68"/>
        <v>0.04</v>
      </c>
      <c r="AC190" s="44">
        <f t="shared" si="68"/>
        <v>0.04</v>
      </c>
      <c r="AD190" s="44">
        <f t="shared" si="68"/>
        <v>0.04</v>
      </c>
      <c r="AE190" s="44">
        <f t="shared" si="68"/>
        <v>0.04</v>
      </c>
      <c r="AF190" s="44">
        <f t="shared" si="68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6"/>
        <v>2.3E-2</v>
      </c>
      <c r="C191" s="54">
        <v>2.3E-2</v>
      </c>
      <c r="D191" s="44">
        <f>C191</f>
        <v>2.3E-2</v>
      </c>
      <c r="E191" s="44">
        <f t="shared" si="67"/>
        <v>2.3E-2</v>
      </c>
      <c r="F191" s="44">
        <f t="shared" si="67"/>
        <v>2.3E-2</v>
      </c>
      <c r="G191" s="44">
        <f t="shared" si="67"/>
        <v>2.3E-2</v>
      </c>
      <c r="H191" s="44">
        <f t="shared" si="67"/>
        <v>2.3E-2</v>
      </c>
      <c r="I191" s="44">
        <f t="shared" si="67"/>
        <v>2.3E-2</v>
      </c>
      <c r="J191" s="44">
        <f t="shared" si="67"/>
        <v>2.3E-2</v>
      </c>
      <c r="K191" s="44">
        <f t="shared" si="67"/>
        <v>2.3E-2</v>
      </c>
      <c r="L191" s="44">
        <f t="shared" si="67"/>
        <v>2.3E-2</v>
      </c>
      <c r="M191" s="44">
        <f t="shared" si="67"/>
        <v>2.3E-2</v>
      </c>
      <c r="N191" s="44">
        <f t="shared" si="67"/>
        <v>2.3E-2</v>
      </c>
      <c r="O191" s="44">
        <f t="shared" si="67"/>
        <v>2.3E-2</v>
      </c>
      <c r="P191" s="44">
        <f t="shared" si="67"/>
        <v>2.3E-2</v>
      </c>
      <c r="Q191" s="44">
        <f t="shared" si="67"/>
        <v>2.3E-2</v>
      </c>
      <c r="R191" s="44">
        <f t="shared" si="67"/>
        <v>2.3E-2</v>
      </c>
      <c r="S191" s="44">
        <f t="shared" si="68"/>
        <v>2.3E-2</v>
      </c>
      <c r="T191" s="44">
        <f t="shared" si="68"/>
        <v>2.3E-2</v>
      </c>
      <c r="U191" s="44">
        <f t="shared" si="68"/>
        <v>2.3E-2</v>
      </c>
      <c r="V191" s="44">
        <f t="shared" si="68"/>
        <v>2.3E-2</v>
      </c>
      <c r="W191" s="44">
        <f t="shared" si="68"/>
        <v>2.3E-2</v>
      </c>
      <c r="X191" s="44">
        <f t="shared" si="68"/>
        <v>2.3E-2</v>
      </c>
      <c r="Y191" s="44">
        <f t="shared" si="68"/>
        <v>2.3E-2</v>
      </c>
      <c r="Z191" s="44">
        <f t="shared" si="68"/>
        <v>2.3E-2</v>
      </c>
      <c r="AA191" s="44">
        <f t="shared" si="68"/>
        <v>2.3E-2</v>
      </c>
      <c r="AB191" s="44">
        <f t="shared" si="68"/>
        <v>2.3E-2</v>
      </c>
      <c r="AC191" s="44">
        <f t="shared" si="68"/>
        <v>2.3E-2</v>
      </c>
      <c r="AD191" s="44">
        <f t="shared" si="68"/>
        <v>2.3E-2</v>
      </c>
      <c r="AE191" s="44">
        <f t="shared" si="68"/>
        <v>2.3E-2</v>
      </c>
      <c r="AF191" s="44">
        <f t="shared" si="68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9">SUM(C102:C191)</f>
        <v>194.70600000000002</v>
      </c>
      <c r="D192" s="51">
        <f t="shared" si="69"/>
        <v>194.70600000000002</v>
      </c>
      <c r="E192" s="51">
        <f t="shared" si="69"/>
        <v>194.70600000000002</v>
      </c>
      <c r="F192" s="51">
        <f t="shared" si="69"/>
        <v>194.70600000000002</v>
      </c>
      <c r="G192" s="51">
        <f t="shared" si="69"/>
        <v>194.70600000000002</v>
      </c>
      <c r="H192" s="51">
        <f t="shared" si="69"/>
        <v>194.70600000000002</v>
      </c>
      <c r="I192" s="51">
        <f t="shared" si="69"/>
        <v>194.70600000000002</v>
      </c>
      <c r="J192" s="51">
        <f t="shared" si="69"/>
        <v>192.10600000000005</v>
      </c>
      <c r="K192" s="51">
        <f t="shared" si="69"/>
        <v>192.10600000000005</v>
      </c>
      <c r="L192" s="51">
        <f t="shared" si="69"/>
        <v>192.10600000000005</v>
      </c>
      <c r="M192" s="51">
        <f t="shared" si="69"/>
        <v>192.10600000000005</v>
      </c>
      <c r="N192" s="51">
        <f t="shared" si="69"/>
        <v>192.10600000000005</v>
      </c>
      <c r="O192" s="51">
        <f t="shared" si="69"/>
        <v>192.10600000000005</v>
      </c>
      <c r="P192" s="51">
        <f t="shared" si="69"/>
        <v>192.10600000000005</v>
      </c>
      <c r="Q192" s="51">
        <f t="shared" si="69"/>
        <v>192.10600000000005</v>
      </c>
      <c r="R192" s="51">
        <f t="shared" si="69"/>
        <v>192.10600000000005</v>
      </c>
      <c r="S192" s="51">
        <f t="shared" si="69"/>
        <v>192.10600000000005</v>
      </c>
      <c r="T192" s="51">
        <f t="shared" si="69"/>
        <v>192.10600000000005</v>
      </c>
      <c r="U192" s="51">
        <f t="shared" si="69"/>
        <v>192.10600000000005</v>
      </c>
      <c r="V192" s="51">
        <f t="shared" si="69"/>
        <v>192.10600000000005</v>
      </c>
      <c r="W192" s="51">
        <f t="shared" si="69"/>
        <v>192.10600000000005</v>
      </c>
      <c r="X192" s="51">
        <f t="shared" si="69"/>
        <v>192.10600000000005</v>
      </c>
      <c r="Y192" s="51">
        <f t="shared" si="69"/>
        <v>192.10600000000005</v>
      </c>
      <c r="Z192" s="51">
        <f t="shared" si="69"/>
        <v>192.10600000000005</v>
      </c>
      <c r="AA192" s="51">
        <f t="shared" si="69"/>
        <v>192.10600000000005</v>
      </c>
      <c r="AB192" s="51">
        <f t="shared" si="69"/>
        <v>192.10600000000005</v>
      </c>
      <c r="AC192" s="51">
        <f t="shared" si="69"/>
        <v>192.10600000000005</v>
      </c>
      <c r="AD192" s="51">
        <f t="shared" si="69"/>
        <v>192.10600000000005</v>
      </c>
      <c r="AE192" s="51">
        <f t="shared" si="69"/>
        <v>192.10600000000005</v>
      </c>
      <c r="AF192" s="51">
        <f t="shared" si="69"/>
        <v>192.10600000000005</v>
      </c>
      <c r="AG192" s="50">
        <f t="shared" si="69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0">AF194</f>
        <v>0.3</v>
      </c>
      <c r="C194" s="47">
        <v>0.3</v>
      </c>
      <c r="D194" s="47">
        <f t="shared" ref="D194:S199" si="71">C194</f>
        <v>0.3</v>
      </c>
      <c r="E194" s="47">
        <f t="shared" si="71"/>
        <v>0.3</v>
      </c>
      <c r="F194" s="47">
        <f t="shared" si="71"/>
        <v>0.3</v>
      </c>
      <c r="G194" s="47">
        <f t="shared" si="71"/>
        <v>0.3</v>
      </c>
      <c r="H194" s="47">
        <f t="shared" si="71"/>
        <v>0.3</v>
      </c>
      <c r="I194" s="47">
        <f t="shared" si="71"/>
        <v>0.3</v>
      </c>
      <c r="J194" s="47">
        <f t="shared" si="71"/>
        <v>0.3</v>
      </c>
      <c r="K194" s="47">
        <f t="shared" si="71"/>
        <v>0.3</v>
      </c>
      <c r="L194" s="47">
        <f t="shared" si="71"/>
        <v>0.3</v>
      </c>
      <c r="M194" s="47">
        <f t="shared" si="71"/>
        <v>0.3</v>
      </c>
      <c r="N194" s="47">
        <f t="shared" si="71"/>
        <v>0.3</v>
      </c>
      <c r="O194" s="47">
        <f t="shared" si="71"/>
        <v>0.3</v>
      </c>
      <c r="P194" s="47">
        <f t="shared" si="71"/>
        <v>0.3</v>
      </c>
      <c r="Q194" s="47">
        <f t="shared" si="71"/>
        <v>0.3</v>
      </c>
      <c r="R194" s="47">
        <f t="shared" si="71"/>
        <v>0.3</v>
      </c>
      <c r="S194" s="47">
        <f t="shared" si="71"/>
        <v>0.3</v>
      </c>
      <c r="T194" s="47">
        <f t="shared" ref="T194:AF199" si="72">S194</f>
        <v>0.3</v>
      </c>
      <c r="U194" s="47">
        <f t="shared" si="72"/>
        <v>0.3</v>
      </c>
      <c r="V194" s="47">
        <f t="shared" si="72"/>
        <v>0.3</v>
      </c>
      <c r="W194" s="47">
        <f t="shared" si="72"/>
        <v>0.3</v>
      </c>
      <c r="X194" s="47">
        <f t="shared" si="72"/>
        <v>0.3</v>
      </c>
      <c r="Y194" s="47">
        <f t="shared" si="72"/>
        <v>0.3</v>
      </c>
      <c r="Z194" s="47">
        <f t="shared" si="72"/>
        <v>0.3</v>
      </c>
      <c r="AA194" s="47">
        <f t="shared" si="72"/>
        <v>0.3</v>
      </c>
      <c r="AB194" s="47">
        <f t="shared" si="72"/>
        <v>0.3</v>
      </c>
      <c r="AC194" s="47">
        <f t="shared" si="72"/>
        <v>0.3</v>
      </c>
      <c r="AD194" s="47">
        <f t="shared" si="72"/>
        <v>0.3</v>
      </c>
      <c r="AE194" s="47">
        <f t="shared" si="72"/>
        <v>0.3</v>
      </c>
      <c r="AF194" s="47">
        <f t="shared" si="72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0"/>
        <v>0.4</v>
      </c>
      <c r="C195" s="44">
        <v>0.4</v>
      </c>
      <c r="D195" s="44">
        <f t="shared" si="71"/>
        <v>0.4</v>
      </c>
      <c r="E195" s="44">
        <f t="shared" si="71"/>
        <v>0.4</v>
      </c>
      <c r="F195" s="44">
        <f t="shared" si="71"/>
        <v>0.4</v>
      </c>
      <c r="G195" s="44">
        <f t="shared" si="71"/>
        <v>0.4</v>
      </c>
      <c r="H195" s="44">
        <f t="shared" si="71"/>
        <v>0.4</v>
      </c>
      <c r="I195" s="44">
        <f t="shared" si="71"/>
        <v>0.4</v>
      </c>
      <c r="J195" s="44">
        <f t="shared" si="71"/>
        <v>0.4</v>
      </c>
      <c r="K195" s="44">
        <f t="shared" si="71"/>
        <v>0.4</v>
      </c>
      <c r="L195" s="44">
        <f t="shared" si="71"/>
        <v>0.4</v>
      </c>
      <c r="M195" s="44">
        <f t="shared" si="71"/>
        <v>0.4</v>
      </c>
      <c r="N195" s="44">
        <f t="shared" si="71"/>
        <v>0.4</v>
      </c>
      <c r="O195" s="44">
        <f t="shared" si="71"/>
        <v>0.4</v>
      </c>
      <c r="P195" s="44">
        <f t="shared" si="71"/>
        <v>0.4</v>
      </c>
      <c r="Q195" s="44">
        <f t="shared" si="71"/>
        <v>0.4</v>
      </c>
      <c r="R195" s="44">
        <f t="shared" si="71"/>
        <v>0.4</v>
      </c>
      <c r="S195" s="44">
        <f t="shared" si="71"/>
        <v>0.4</v>
      </c>
      <c r="T195" s="44">
        <f t="shared" si="72"/>
        <v>0.4</v>
      </c>
      <c r="U195" s="44">
        <f t="shared" si="72"/>
        <v>0.4</v>
      </c>
      <c r="V195" s="44">
        <f t="shared" si="72"/>
        <v>0.4</v>
      </c>
      <c r="W195" s="44">
        <f>V195</f>
        <v>0.4</v>
      </c>
      <c r="X195" s="44">
        <f>W195</f>
        <v>0.4</v>
      </c>
      <c r="Y195" s="44">
        <f t="shared" si="72"/>
        <v>0.4</v>
      </c>
      <c r="Z195" s="44">
        <f t="shared" si="72"/>
        <v>0.4</v>
      </c>
      <c r="AA195" s="44">
        <f t="shared" si="72"/>
        <v>0.4</v>
      </c>
      <c r="AB195" s="44">
        <f t="shared" si="72"/>
        <v>0.4</v>
      </c>
      <c r="AC195" s="44">
        <f t="shared" si="72"/>
        <v>0.4</v>
      </c>
      <c r="AD195" s="44">
        <f t="shared" si="72"/>
        <v>0.4</v>
      </c>
      <c r="AE195" s="44">
        <f t="shared" si="72"/>
        <v>0.4</v>
      </c>
      <c r="AF195" s="44">
        <f t="shared" si="72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0"/>
        <v>1.5</v>
      </c>
      <c r="C196" s="44">
        <v>1.5</v>
      </c>
      <c r="D196" s="44">
        <f t="shared" si="71"/>
        <v>1.5</v>
      </c>
      <c r="E196" s="44">
        <f t="shared" si="71"/>
        <v>1.5</v>
      </c>
      <c r="F196" s="44">
        <f t="shared" si="71"/>
        <v>1.5</v>
      </c>
      <c r="G196" s="44">
        <f t="shared" si="71"/>
        <v>1.5</v>
      </c>
      <c r="H196" s="44">
        <f t="shared" si="71"/>
        <v>1.5</v>
      </c>
      <c r="I196" s="44">
        <f t="shared" si="71"/>
        <v>1.5</v>
      </c>
      <c r="J196" s="44">
        <f t="shared" si="71"/>
        <v>1.5</v>
      </c>
      <c r="K196" s="44">
        <f t="shared" si="71"/>
        <v>1.5</v>
      </c>
      <c r="L196" s="44">
        <f t="shared" si="71"/>
        <v>1.5</v>
      </c>
      <c r="M196" s="44">
        <f t="shared" si="71"/>
        <v>1.5</v>
      </c>
      <c r="N196" s="44">
        <f t="shared" si="71"/>
        <v>1.5</v>
      </c>
      <c r="O196" s="44">
        <f t="shared" si="71"/>
        <v>1.5</v>
      </c>
      <c r="P196" s="44">
        <f t="shared" si="71"/>
        <v>1.5</v>
      </c>
      <c r="Q196" s="44">
        <f t="shared" si="71"/>
        <v>1.5</v>
      </c>
      <c r="R196" s="44">
        <f t="shared" si="71"/>
        <v>1.5</v>
      </c>
      <c r="S196" s="44">
        <f t="shared" si="71"/>
        <v>1.5</v>
      </c>
      <c r="T196" s="44">
        <f t="shared" si="72"/>
        <v>1.5</v>
      </c>
      <c r="U196" s="44">
        <f t="shared" si="72"/>
        <v>1.5</v>
      </c>
      <c r="V196" s="44">
        <f t="shared" si="72"/>
        <v>1.5</v>
      </c>
      <c r="W196" s="44">
        <f t="shared" si="72"/>
        <v>1.5</v>
      </c>
      <c r="X196" s="44">
        <f t="shared" si="72"/>
        <v>1.5</v>
      </c>
      <c r="Y196" s="44">
        <f t="shared" si="72"/>
        <v>1.5</v>
      </c>
      <c r="Z196" s="44">
        <f t="shared" si="72"/>
        <v>1.5</v>
      </c>
      <c r="AA196" s="44">
        <f t="shared" si="72"/>
        <v>1.5</v>
      </c>
      <c r="AB196" s="44">
        <f t="shared" si="72"/>
        <v>1.5</v>
      </c>
      <c r="AC196" s="44">
        <f t="shared" si="72"/>
        <v>1.5</v>
      </c>
      <c r="AD196" s="44">
        <f t="shared" si="72"/>
        <v>1.5</v>
      </c>
      <c r="AE196" s="44">
        <f t="shared" si="72"/>
        <v>1.5</v>
      </c>
      <c r="AF196" s="44">
        <f t="shared" si="72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0"/>
        <v>0.3</v>
      </c>
      <c r="C197" s="44">
        <v>0.3</v>
      </c>
      <c r="D197" s="44">
        <f t="shared" si="71"/>
        <v>0.3</v>
      </c>
      <c r="E197" s="44">
        <f t="shared" si="71"/>
        <v>0.3</v>
      </c>
      <c r="F197" s="44">
        <f t="shared" si="71"/>
        <v>0.3</v>
      </c>
      <c r="G197" s="44">
        <f t="shared" si="71"/>
        <v>0.3</v>
      </c>
      <c r="H197" s="44">
        <f t="shared" si="71"/>
        <v>0.3</v>
      </c>
      <c r="I197" s="44">
        <f t="shared" si="71"/>
        <v>0.3</v>
      </c>
      <c r="J197" s="44">
        <f t="shared" si="71"/>
        <v>0.3</v>
      </c>
      <c r="K197" s="44">
        <f t="shared" si="71"/>
        <v>0.3</v>
      </c>
      <c r="L197" s="44">
        <f t="shared" si="71"/>
        <v>0.3</v>
      </c>
      <c r="M197" s="44">
        <f t="shared" si="71"/>
        <v>0.3</v>
      </c>
      <c r="N197" s="44">
        <f t="shared" si="71"/>
        <v>0.3</v>
      </c>
      <c r="O197" s="44">
        <f t="shared" si="71"/>
        <v>0.3</v>
      </c>
      <c r="P197" s="44">
        <f t="shared" si="71"/>
        <v>0.3</v>
      </c>
      <c r="Q197" s="44">
        <f t="shared" si="71"/>
        <v>0.3</v>
      </c>
      <c r="R197" s="44">
        <f t="shared" si="71"/>
        <v>0.3</v>
      </c>
      <c r="S197" s="44">
        <f t="shared" si="71"/>
        <v>0.3</v>
      </c>
      <c r="T197" s="44">
        <f t="shared" si="72"/>
        <v>0.3</v>
      </c>
      <c r="U197" s="44">
        <f t="shared" si="72"/>
        <v>0.3</v>
      </c>
      <c r="V197" s="44">
        <f t="shared" si="72"/>
        <v>0.3</v>
      </c>
      <c r="W197" s="44">
        <f t="shared" si="72"/>
        <v>0.3</v>
      </c>
      <c r="X197" s="44">
        <f t="shared" si="72"/>
        <v>0.3</v>
      </c>
      <c r="Y197" s="44">
        <f t="shared" si="72"/>
        <v>0.3</v>
      </c>
      <c r="Z197" s="44">
        <f t="shared" si="72"/>
        <v>0.3</v>
      </c>
      <c r="AA197" s="44">
        <f t="shared" si="72"/>
        <v>0.3</v>
      </c>
      <c r="AB197" s="44">
        <f t="shared" si="72"/>
        <v>0.3</v>
      </c>
      <c r="AC197" s="44">
        <f t="shared" si="72"/>
        <v>0.3</v>
      </c>
      <c r="AD197" s="44">
        <f t="shared" si="72"/>
        <v>0.3</v>
      </c>
      <c r="AE197" s="44">
        <f t="shared" si="72"/>
        <v>0.3</v>
      </c>
      <c r="AF197" s="44">
        <f t="shared" si="72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0"/>
        <v>0.4</v>
      </c>
      <c r="C198" s="44">
        <v>0.4</v>
      </c>
      <c r="D198" s="44">
        <f t="shared" si="71"/>
        <v>0.4</v>
      </c>
      <c r="E198" s="44">
        <f t="shared" si="71"/>
        <v>0.4</v>
      </c>
      <c r="F198" s="44">
        <f t="shared" si="71"/>
        <v>0.4</v>
      </c>
      <c r="G198" s="44">
        <f t="shared" si="71"/>
        <v>0.4</v>
      </c>
      <c r="H198" s="44">
        <f t="shared" si="71"/>
        <v>0.4</v>
      </c>
      <c r="I198" s="44">
        <f t="shared" si="71"/>
        <v>0.4</v>
      </c>
      <c r="J198" s="44">
        <f t="shared" si="71"/>
        <v>0.4</v>
      </c>
      <c r="K198" s="44">
        <f t="shared" si="71"/>
        <v>0.4</v>
      </c>
      <c r="L198" s="44">
        <f t="shared" si="71"/>
        <v>0.4</v>
      </c>
      <c r="M198" s="44">
        <f t="shared" si="71"/>
        <v>0.4</v>
      </c>
      <c r="N198" s="44">
        <f t="shared" si="71"/>
        <v>0.4</v>
      </c>
      <c r="O198" s="44">
        <f t="shared" si="71"/>
        <v>0.4</v>
      </c>
      <c r="P198" s="44">
        <f t="shared" si="71"/>
        <v>0.4</v>
      </c>
      <c r="Q198" s="44">
        <f t="shared" si="71"/>
        <v>0.4</v>
      </c>
      <c r="R198" s="44">
        <f t="shared" si="71"/>
        <v>0.4</v>
      </c>
      <c r="S198" s="44">
        <f t="shared" si="71"/>
        <v>0.4</v>
      </c>
      <c r="T198" s="44">
        <f t="shared" si="72"/>
        <v>0.4</v>
      </c>
      <c r="U198" s="44">
        <f t="shared" si="72"/>
        <v>0.4</v>
      </c>
      <c r="V198" s="44">
        <f t="shared" si="72"/>
        <v>0.4</v>
      </c>
      <c r="W198" s="44">
        <f t="shared" si="72"/>
        <v>0.4</v>
      </c>
      <c r="X198" s="44">
        <f t="shared" si="72"/>
        <v>0.4</v>
      </c>
      <c r="Y198" s="44">
        <f t="shared" si="72"/>
        <v>0.4</v>
      </c>
      <c r="Z198" s="44">
        <f t="shared" si="72"/>
        <v>0.4</v>
      </c>
      <c r="AA198" s="44">
        <f t="shared" si="72"/>
        <v>0.4</v>
      </c>
      <c r="AB198" s="44">
        <f t="shared" si="72"/>
        <v>0.4</v>
      </c>
      <c r="AC198" s="44">
        <f t="shared" si="72"/>
        <v>0.4</v>
      </c>
      <c r="AD198" s="44">
        <f t="shared" si="72"/>
        <v>0.4</v>
      </c>
      <c r="AE198" s="44">
        <f t="shared" si="72"/>
        <v>0.4</v>
      </c>
      <c r="AF198" s="44">
        <f t="shared" si="72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0"/>
        <v>0.64</v>
      </c>
      <c r="C199" s="40">
        <v>0.64</v>
      </c>
      <c r="D199" s="40">
        <f t="shared" si="71"/>
        <v>0.64</v>
      </c>
      <c r="E199" s="40">
        <f t="shared" si="71"/>
        <v>0.64</v>
      </c>
      <c r="F199" s="40">
        <f t="shared" si="71"/>
        <v>0.64</v>
      </c>
      <c r="G199" s="40">
        <f t="shared" si="71"/>
        <v>0.64</v>
      </c>
      <c r="H199" s="40">
        <f t="shared" si="71"/>
        <v>0.64</v>
      </c>
      <c r="I199" s="40">
        <f t="shared" si="71"/>
        <v>0.64</v>
      </c>
      <c r="J199" s="40">
        <f t="shared" si="71"/>
        <v>0.64</v>
      </c>
      <c r="K199" s="40">
        <f t="shared" si="71"/>
        <v>0.64</v>
      </c>
      <c r="L199" s="40">
        <f t="shared" si="71"/>
        <v>0.64</v>
      </c>
      <c r="M199" s="40">
        <f t="shared" si="71"/>
        <v>0.64</v>
      </c>
      <c r="N199" s="40">
        <f t="shared" si="71"/>
        <v>0.64</v>
      </c>
      <c r="O199" s="40">
        <f t="shared" si="71"/>
        <v>0.64</v>
      </c>
      <c r="P199" s="40">
        <f t="shared" si="71"/>
        <v>0.64</v>
      </c>
      <c r="Q199" s="40">
        <f t="shared" si="71"/>
        <v>0.64</v>
      </c>
      <c r="R199" s="40">
        <f t="shared" si="71"/>
        <v>0.64</v>
      </c>
      <c r="S199" s="40">
        <f t="shared" si="71"/>
        <v>0.64</v>
      </c>
      <c r="T199" s="40">
        <f t="shared" si="72"/>
        <v>0.64</v>
      </c>
      <c r="U199" s="40">
        <f t="shared" si="72"/>
        <v>0.64</v>
      </c>
      <c r="V199" s="40">
        <f t="shared" si="72"/>
        <v>0.64</v>
      </c>
      <c r="W199" s="40">
        <f t="shared" si="72"/>
        <v>0.64</v>
      </c>
      <c r="X199" s="40">
        <f t="shared" si="72"/>
        <v>0.64</v>
      </c>
      <c r="Y199" s="40">
        <f t="shared" si="72"/>
        <v>0.64</v>
      </c>
      <c r="Z199" s="40">
        <f t="shared" si="72"/>
        <v>0.64</v>
      </c>
      <c r="AA199" s="40">
        <f t="shared" si="72"/>
        <v>0.64</v>
      </c>
      <c r="AB199" s="40">
        <f t="shared" si="72"/>
        <v>0.64</v>
      </c>
      <c r="AC199" s="40">
        <f t="shared" si="72"/>
        <v>0.64</v>
      </c>
      <c r="AD199" s="40">
        <f t="shared" si="72"/>
        <v>0.64</v>
      </c>
      <c r="AE199" s="40">
        <f t="shared" si="72"/>
        <v>0.64</v>
      </c>
      <c r="AF199" s="40">
        <f t="shared" si="7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3">SUM(D194:D199)</f>
        <v>3.54</v>
      </c>
      <c r="E200" s="37">
        <f t="shared" si="73"/>
        <v>3.54</v>
      </c>
      <c r="F200" s="37">
        <f t="shared" si="73"/>
        <v>3.54</v>
      </c>
      <c r="G200" s="37">
        <f t="shared" si="73"/>
        <v>3.54</v>
      </c>
      <c r="H200" s="37">
        <f t="shared" si="73"/>
        <v>3.54</v>
      </c>
      <c r="I200" s="37">
        <f t="shared" si="73"/>
        <v>3.54</v>
      </c>
      <c r="J200" s="37">
        <f t="shared" si="73"/>
        <v>3.54</v>
      </c>
      <c r="K200" s="37">
        <f t="shared" si="73"/>
        <v>3.54</v>
      </c>
      <c r="L200" s="37">
        <f t="shared" si="73"/>
        <v>3.54</v>
      </c>
      <c r="M200" s="37">
        <f>SUM(M194:M199)</f>
        <v>3.54</v>
      </c>
      <c r="N200" s="37">
        <f t="shared" ref="N200:S200" si="74">SUM(N194:N199)</f>
        <v>3.54</v>
      </c>
      <c r="O200" s="37">
        <f t="shared" si="74"/>
        <v>3.54</v>
      </c>
      <c r="P200" s="37">
        <f t="shared" si="74"/>
        <v>3.54</v>
      </c>
      <c r="Q200" s="37">
        <f t="shared" si="74"/>
        <v>3.54</v>
      </c>
      <c r="R200" s="37">
        <f t="shared" si="74"/>
        <v>3.54</v>
      </c>
      <c r="S200" s="37">
        <f t="shared" si="74"/>
        <v>3.54</v>
      </c>
      <c r="T200" s="37">
        <f>SUM(T194:T199)</f>
        <v>3.54</v>
      </c>
      <c r="U200" s="37">
        <f t="shared" ref="U200:AG200" si="75">SUM(U194:U199)</f>
        <v>3.54</v>
      </c>
      <c r="V200" s="37">
        <f t="shared" si="75"/>
        <v>3.54</v>
      </c>
      <c r="W200" s="37">
        <f t="shared" si="75"/>
        <v>3.54</v>
      </c>
      <c r="X200" s="37">
        <f t="shared" si="75"/>
        <v>3.54</v>
      </c>
      <c r="Y200" s="37">
        <f t="shared" si="75"/>
        <v>3.54</v>
      </c>
      <c r="Z200" s="37">
        <f t="shared" si="75"/>
        <v>3.54</v>
      </c>
      <c r="AA200" s="37">
        <f t="shared" si="75"/>
        <v>3.54</v>
      </c>
      <c r="AB200" s="37">
        <f t="shared" si="75"/>
        <v>3.54</v>
      </c>
      <c r="AC200" s="37">
        <f t="shared" si="75"/>
        <v>3.54</v>
      </c>
      <c r="AD200" s="37">
        <f t="shared" si="75"/>
        <v>3.54</v>
      </c>
      <c r="AE200" s="37">
        <f t="shared" si="75"/>
        <v>3.54</v>
      </c>
      <c r="AF200" s="37">
        <f t="shared" si="75"/>
        <v>3.54</v>
      </c>
      <c r="AG200" s="36">
        <f t="shared" si="75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1460.64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18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2078/12/18)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2078/12/18)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6">B75</f>
        <v>1284.8400000000001</v>
      </c>
      <c r="U214" s="9">
        <f t="shared" si="76"/>
        <v>1277.2400000000002</v>
      </c>
      <c r="V214" s="9">
        <f t="shared" si="76"/>
        <v>1226.04</v>
      </c>
      <c r="W214" s="9">
        <f t="shared" si="76"/>
        <v>1205.8399999999999</v>
      </c>
      <c r="X214" s="9">
        <f t="shared" si="76"/>
        <v>1195.6399999999999</v>
      </c>
      <c r="Y214" s="9">
        <f t="shared" si="76"/>
        <v>1237.2399999999998</v>
      </c>
      <c r="Z214" s="9">
        <f t="shared" si="76"/>
        <v>1239.44</v>
      </c>
      <c r="AA214" s="9">
        <f t="shared" si="76"/>
        <v>1283.24</v>
      </c>
      <c r="AB214" s="9">
        <f t="shared" si="76"/>
        <v>1333.64</v>
      </c>
      <c r="AC214" s="9">
        <f t="shared" si="76"/>
        <v>1379.3400000000001</v>
      </c>
      <c r="AD214" s="9">
        <f t="shared" si="76"/>
        <v>1440.7399999999998</v>
      </c>
      <c r="AE214" s="9">
        <f t="shared" si="76"/>
        <v>1460.64</v>
      </c>
      <c r="AF214" s="9">
        <f t="shared" si="76"/>
        <v>1439.14</v>
      </c>
      <c r="AG214" s="9">
        <f t="shared" si="76"/>
        <v>1447.94</v>
      </c>
      <c r="AH214" s="9">
        <f t="shared" si="76"/>
        <v>1453.04</v>
      </c>
      <c r="AI214" s="9">
        <f t="shared" si="76"/>
        <v>1452.74</v>
      </c>
      <c r="AJ214" s="9">
        <f t="shared" si="76"/>
        <v>1479.8400000000001</v>
      </c>
      <c r="AK214" s="9">
        <f t="shared" si="76"/>
        <v>1491.34</v>
      </c>
      <c r="AL214" s="9">
        <f t="shared" si="76"/>
        <v>1479.14</v>
      </c>
      <c r="AM214" s="9">
        <f t="shared" si="76"/>
        <v>1451.94</v>
      </c>
      <c r="AN214" s="9">
        <f t="shared" si="76"/>
        <v>1443.34</v>
      </c>
      <c r="AO214" s="9">
        <f t="shared" si="76"/>
        <v>1373.1399999999999</v>
      </c>
      <c r="AP214" s="9">
        <f t="shared" si="76"/>
        <v>1274.3400000000001</v>
      </c>
      <c r="AQ214" s="9">
        <f t="shared" si="76"/>
        <v>1392.76</v>
      </c>
      <c r="AR214" s="9">
        <f t="shared" si="76"/>
        <v>1680.2400000000002</v>
      </c>
      <c r="AS214" s="9">
        <f t="shared" si="76"/>
        <v>1655.6400000000003</v>
      </c>
      <c r="AT214" s="9">
        <f t="shared" si="76"/>
        <v>1520.42</v>
      </c>
      <c r="AU214" s="9">
        <f t="shared" si="76"/>
        <v>1484.24</v>
      </c>
      <c r="AV214" s="9">
        <f t="shared" si="76"/>
        <v>1311.1399999999999</v>
      </c>
      <c r="AW214" s="9">
        <f t="shared" si="76"/>
        <v>1244.8400000000001</v>
      </c>
      <c r="AX214" s="9">
        <f t="shared" si="76"/>
        <v>1202.94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7">C199</f>
        <v>0.64</v>
      </c>
      <c r="C235" s="4">
        <f t="shared" si="77"/>
        <v>0.64</v>
      </c>
      <c r="D235" s="4">
        <f t="shared" si="77"/>
        <v>0.64</v>
      </c>
      <c r="E235" s="4">
        <f t="shared" si="77"/>
        <v>0.64</v>
      </c>
      <c r="F235" s="4">
        <f t="shared" si="77"/>
        <v>0.64</v>
      </c>
      <c r="G235" s="4">
        <f t="shared" si="77"/>
        <v>0.64</v>
      </c>
      <c r="H235" s="4">
        <f t="shared" si="77"/>
        <v>0.64</v>
      </c>
      <c r="I235" s="4">
        <f t="shared" si="77"/>
        <v>0.64</v>
      </c>
      <c r="J235" s="4">
        <f t="shared" si="77"/>
        <v>0.64</v>
      </c>
      <c r="K235" s="4">
        <f t="shared" si="77"/>
        <v>0.64</v>
      </c>
      <c r="L235" s="4">
        <f t="shared" si="77"/>
        <v>0.64</v>
      </c>
      <c r="M235" s="4">
        <f t="shared" si="77"/>
        <v>0.64</v>
      </c>
      <c r="N235" s="4">
        <f t="shared" si="77"/>
        <v>0.64</v>
      </c>
      <c r="O235" s="4">
        <f t="shared" si="77"/>
        <v>0.64</v>
      </c>
      <c r="P235" s="4">
        <f t="shared" si="77"/>
        <v>0.64</v>
      </c>
      <c r="Q235" s="4">
        <f t="shared" si="77"/>
        <v>0.64</v>
      </c>
      <c r="R235" s="4">
        <f t="shared" si="77"/>
        <v>0.64</v>
      </c>
      <c r="S235" s="4">
        <f t="shared" si="77"/>
        <v>0.64</v>
      </c>
      <c r="T235" s="4">
        <f t="shared" si="77"/>
        <v>0.64</v>
      </c>
      <c r="U235" s="4">
        <f t="shared" si="77"/>
        <v>0.64</v>
      </c>
      <c r="V235" s="4">
        <f t="shared" si="77"/>
        <v>0.64</v>
      </c>
      <c r="W235" s="4">
        <f t="shared" si="77"/>
        <v>0.64</v>
      </c>
      <c r="X235" s="4">
        <f t="shared" si="77"/>
        <v>0.64</v>
      </c>
      <c r="Y235" s="4">
        <f t="shared" si="77"/>
        <v>0.64</v>
      </c>
      <c r="Z235" s="4">
        <f t="shared" si="77"/>
        <v>0.64</v>
      </c>
      <c r="AA235" s="4">
        <f t="shared" si="77"/>
        <v>0.64</v>
      </c>
      <c r="AB235" s="4">
        <f t="shared" si="77"/>
        <v>0.64</v>
      </c>
      <c r="AC235" s="4">
        <f t="shared" si="77"/>
        <v>0.64</v>
      </c>
      <c r="AD235" s="4">
        <f t="shared" si="77"/>
        <v>0.64</v>
      </c>
      <c r="AE235" s="4">
        <f t="shared" si="77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8">IF(C203&lt;100,"",C203-520)</f>
        <v/>
      </c>
      <c r="D236" s="3" t="str">
        <f t="shared" si="78"/>
        <v/>
      </c>
      <c r="E236" s="3" t="str">
        <f t="shared" si="78"/>
        <v/>
      </c>
      <c r="F236" s="3" t="str">
        <f t="shared" si="78"/>
        <v/>
      </c>
      <c r="G236" s="3" t="str">
        <f t="shared" si="78"/>
        <v/>
      </c>
      <c r="H236" s="3" t="str">
        <f t="shared" si="78"/>
        <v/>
      </c>
      <c r="I236" s="3" t="str">
        <f t="shared" si="78"/>
        <v/>
      </c>
      <c r="J236" s="3" t="str">
        <f t="shared" si="78"/>
        <v/>
      </c>
      <c r="K236" s="3" t="str">
        <f t="shared" si="78"/>
        <v/>
      </c>
      <c r="L236" s="3" t="str">
        <f t="shared" si="78"/>
        <v/>
      </c>
      <c r="M236" s="3" t="str">
        <f t="shared" si="78"/>
        <v/>
      </c>
      <c r="N236" s="3" t="str">
        <f t="shared" si="78"/>
        <v/>
      </c>
      <c r="O236" s="3" t="str">
        <f t="shared" si="78"/>
        <v/>
      </c>
      <c r="P236" s="3" t="str">
        <f t="shared" si="78"/>
        <v/>
      </c>
      <c r="Q236" s="3" t="str">
        <f t="shared" si="78"/>
        <v/>
      </c>
      <c r="R236" s="3" t="str">
        <f t="shared" si="78"/>
        <v/>
      </c>
      <c r="S236" s="3" t="str">
        <f t="shared" si="78"/>
        <v/>
      </c>
      <c r="T236" s="3" t="str">
        <f t="shared" si="78"/>
        <v/>
      </c>
      <c r="U236" s="3" t="str">
        <f t="shared" si="78"/>
        <v/>
      </c>
      <c r="V236" s="3" t="str">
        <f t="shared" si="78"/>
        <v/>
      </c>
      <c r="W236" s="3" t="str">
        <f t="shared" si="78"/>
        <v/>
      </c>
      <c r="X236" s="3" t="str">
        <f t="shared" si="78"/>
        <v/>
      </c>
      <c r="Y236" s="3" t="str">
        <f t="shared" si="78"/>
        <v/>
      </c>
      <c r="Z236" s="3" t="str">
        <f t="shared" si="78"/>
        <v/>
      </c>
      <c r="AA236" s="3" t="str">
        <f t="shared" si="78"/>
        <v/>
      </c>
      <c r="AB236" s="3" t="str">
        <f t="shared" si="78"/>
        <v/>
      </c>
      <c r="AC236" s="3" t="str">
        <f t="shared" si="78"/>
        <v/>
      </c>
      <c r="AD236" s="3" t="str">
        <f t="shared" si="78"/>
        <v/>
      </c>
      <c r="AE236" s="3" t="str">
        <f t="shared" si="78"/>
        <v/>
      </c>
      <c r="AF236" s="3" t="str">
        <f t="shared" si="78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9">IF(B204&lt;100,"",B204-620)</f>
        <v/>
      </c>
      <c r="C237" s="3" t="str">
        <f t="shared" si="79"/>
        <v/>
      </c>
      <c r="D237" s="3" t="str">
        <f t="shared" si="79"/>
        <v/>
      </c>
      <c r="E237" s="3" t="str">
        <f t="shared" si="79"/>
        <v/>
      </c>
      <c r="F237" s="3" t="str">
        <f t="shared" si="79"/>
        <v/>
      </c>
      <c r="G237" s="3" t="str">
        <f t="shared" si="79"/>
        <v/>
      </c>
      <c r="H237" s="3" t="str">
        <f t="shared" si="79"/>
        <v/>
      </c>
      <c r="I237" s="3" t="str">
        <f t="shared" si="79"/>
        <v/>
      </c>
      <c r="J237" s="3" t="str">
        <f t="shared" si="79"/>
        <v/>
      </c>
      <c r="K237" s="3" t="str">
        <f t="shared" si="79"/>
        <v/>
      </c>
      <c r="L237" s="3" t="str">
        <f t="shared" si="79"/>
        <v/>
      </c>
      <c r="M237" s="3" t="str">
        <f t="shared" si="79"/>
        <v/>
      </c>
      <c r="N237" s="3" t="str">
        <f t="shared" si="79"/>
        <v/>
      </c>
      <c r="O237" s="3" t="str">
        <f t="shared" si="79"/>
        <v/>
      </c>
      <c r="P237" s="3" t="str">
        <f t="shared" si="79"/>
        <v/>
      </c>
      <c r="Q237" s="3" t="str">
        <f t="shared" si="79"/>
        <v/>
      </c>
      <c r="R237" s="3" t="str">
        <f t="shared" si="79"/>
        <v/>
      </c>
      <c r="S237" s="3" t="str">
        <f t="shared" si="79"/>
        <v/>
      </c>
      <c r="T237" s="3" t="str">
        <f t="shared" si="79"/>
        <v/>
      </c>
      <c r="U237" s="3" t="str">
        <f t="shared" si="79"/>
        <v/>
      </c>
      <c r="V237" s="3" t="str">
        <f t="shared" si="79"/>
        <v/>
      </c>
      <c r="W237" s="3" t="str">
        <f t="shared" si="79"/>
        <v/>
      </c>
      <c r="X237" s="3" t="str">
        <f t="shared" si="79"/>
        <v/>
      </c>
      <c r="Y237" s="3" t="str">
        <f t="shared" si="79"/>
        <v/>
      </c>
      <c r="Z237" s="3" t="str">
        <f t="shared" si="79"/>
        <v/>
      </c>
      <c r="AA237" s="3" t="str">
        <f t="shared" si="79"/>
        <v/>
      </c>
      <c r="AB237" s="3" t="str">
        <f t="shared" si="79"/>
        <v/>
      </c>
      <c r="AC237" s="3" t="str">
        <f t="shared" si="79"/>
        <v/>
      </c>
      <c r="AD237" s="3" t="str">
        <f t="shared" si="79"/>
        <v/>
      </c>
      <c r="AE237" s="3" t="str">
        <f t="shared" si="79"/>
        <v/>
      </c>
      <c r="AF237" s="3" t="str">
        <f t="shared" si="79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0">IF(B205&lt;100,"",B205-330)</f>
        <v/>
      </c>
      <c r="C238" s="3" t="str">
        <f t="shared" si="80"/>
        <v/>
      </c>
      <c r="D238" s="3" t="str">
        <f t="shared" si="80"/>
        <v/>
      </c>
      <c r="E238" s="3" t="str">
        <f t="shared" si="80"/>
        <v/>
      </c>
      <c r="F238" s="3" t="str">
        <f t="shared" si="80"/>
        <v/>
      </c>
      <c r="G238" s="3" t="str">
        <f t="shared" si="80"/>
        <v/>
      </c>
      <c r="H238" s="3" t="str">
        <f t="shared" si="80"/>
        <v/>
      </c>
      <c r="I238" s="3" t="str">
        <f t="shared" si="80"/>
        <v/>
      </c>
      <c r="J238" s="3" t="str">
        <f t="shared" si="80"/>
        <v/>
      </c>
      <c r="K238" s="3" t="str">
        <f t="shared" si="80"/>
        <v/>
      </c>
      <c r="L238" s="3" t="str">
        <f t="shared" si="80"/>
        <v/>
      </c>
      <c r="M238" s="3" t="str">
        <f t="shared" si="80"/>
        <v/>
      </c>
      <c r="N238" s="3" t="str">
        <f t="shared" si="80"/>
        <v/>
      </c>
      <c r="O238" s="3" t="str">
        <f t="shared" si="80"/>
        <v/>
      </c>
      <c r="P238" s="3" t="str">
        <f t="shared" si="80"/>
        <v/>
      </c>
      <c r="Q238" s="3" t="str">
        <f t="shared" si="80"/>
        <v/>
      </c>
      <c r="R238" s="3" t="str">
        <f t="shared" si="80"/>
        <v/>
      </c>
      <c r="S238" s="3" t="str">
        <f t="shared" si="80"/>
        <v/>
      </c>
      <c r="T238" s="3" t="str">
        <f t="shared" si="80"/>
        <v/>
      </c>
      <c r="U238" s="3" t="str">
        <f t="shared" si="80"/>
        <v/>
      </c>
      <c r="V238" s="3" t="str">
        <f t="shared" si="80"/>
        <v/>
      </c>
      <c r="W238" s="3" t="str">
        <f t="shared" si="80"/>
        <v/>
      </c>
      <c r="X238" s="3" t="str">
        <f t="shared" si="80"/>
        <v/>
      </c>
      <c r="Y238" s="3" t="str">
        <f t="shared" si="80"/>
        <v/>
      </c>
      <c r="Z238" s="3" t="str">
        <f t="shared" si="80"/>
        <v/>
      </c>
      <c r="AA238" s="3" t="str">
        <f t="shared" si="80"/>
        <v/>
      </c>
      <c r="AB238" s="3" t="str">
        <f t="shared" si="80"/>
        <v/>
      </c>
      <c r="AC238" s="3" t="str">
        <f t="shared" si="80"/>
        <v/>
      </c>
      <c r="AD238" s="3" t="str">
        <f t="shared" si="80"/>
        <v/>
      </c>
      <c r="AE238" s="3" t="str">
        <f t="shared" si="80"/>
        <v/>
      </c>
      <c r="AF238" s="3" t="str">
        <f t="shared" si="80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1">IF(C206&lt;100,"",C206-1500)</f>
        <v/>
      </c>
      <c r="D239" s="3" t="str">
        <f t="shared" si="81"/>
        <v/>
      </c>
      <c r="E239" s="3" t="str">
        <f t="shared" si="81"/>
        <v/>
      </c>
      <c r="F239" s="3" t="str">
        <f t="shared" si="81"/>
        <v/>
      </c>
      <c r="G239" s="3" t="str">
        <f t="shared" si="81"/>
        <v/>
      </c>
      <c r="H239" s="3" t="str">
        <f t="shared" si="81"/>
        <v/>
      </c>
      <c r="I239" s="3" t="str">
        <f t="shared" si="81"/>
        <v/>
      </c>
      <c r="J239" s="3" t="str">
        <f t="shared" si="81"/>
        <v/>
      </c>
      <c r="K239" s="3" t="str">
        <f t="shared" si="81"/>
        <v/>
      </c>
      <c r="L239" s="3" t="str">
        <f t="shared" si="81"/>
        <v/>
      </c>
      <c r="M239" s="3" t="str">
        <f t="shared" si="81"/>
        <v/>
      </c>
      <c r="N239" s="3" t="str">
        <f t="shared" si="81"/>
        <v/>
      </c>
      <c r="O239" s="3" t="str">
        <f t="shared" si="81"/>
        <v/>
      </c>
      <c r="P239" s="3" t="str">
        <f t="shared" si="81"/>
        <v/>
      </c>
      <c r="Q239" s="3" t="str">
        <f t="shared" si="81"/>
        <v/>
      </c>
      <c r="R239" s="3" t="str">
        <f t="shared" si="81"/>
        <v/>
      </c>
      <c r="S239" s="3" t="str">
        <f t="shared" si="81"/>
        <v/>
      </c>
      <c r="T239" s="3" t="str">
        <f t="shared" si="81"/>
        <v/>
      </c>
      <c r="U239" s="3" t="str">
        <f t="shared" si="81"/>
        <v/>
      </c>
      <c r="V239" s="3" t="str">
        <f t="shared" si="81"/>
        <v/>
      </c>
      <c r="W239" s="3" t="str">
        <f t="shared" si="81"/>
        <v/>
      </c>
      <c r="X239" s="3" t="str">
        <f t="shared" si="81"/>
        <v/>
      </c>
      <c r="Y239" s="3" t="str">
        <f t="shared" si="81"/>
        <v/>
      </c>
      <c r="Z239" s="3" t="str">
        <f t="shared" si="81"/>
        <v/>
      </c>
      <c r="AA239" s="3" t="str">
        <f t="shared" si="81"/>
        <v/>
      </c>
      <c r="AB239" s="3" t="str">
        <f t="shared" si="81"/>
        <v/>
      </c>
      <c r="AC239" s="3" t="str">
        <f t="shared" si="81"/>
        <v/>
      </c>
      <c r="AD239" s="3" t="str">
        <f t="shared" si="81"/>
        <v/>
      </c>
      <c r="AE239" s="3" t="str">
        <f t="shared" si="81"/>
        <v/>
      </c>
      <c r="AF239" s="3" t="str">
        <f t="shared" si="81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M37:R37 C57:L59 C60:O60 P39:R39 M39:O42 P40:Q42 R42 O45:R45 P60:R61 R40:T41 X85:Z91 Z16:Z31 Z40:Z43 AB81:AF81 C81:R81 C82:AF83 D194:AF200 B194:B200 AB84:AF87 B9:AF10 B192:AF192 AF57:AF59 AG73 AB94:AF94 U213:AF213 E61:O61 S18:U24 M12:R14 N62:R62 T25:U30 S25:S32 U40:Y42 M58:X59 Z11:Z14 M11:Y11 M36:Z36 V18:Y30 AB11:AE11 AB40:AC42 C56:AF56 C68:AF80 AC43 AC88:AF91 AC95:AF100 AD40:AF43 M53:AF55 M16:R32">
    <cfRule type="expression" dxfId="4008" priority="409">
      <formula>B$9&gt;=20/24</formula>
    </cfRule>
    <cfRule type="expression" dxfId="4007" priority="410">
      <formula>AND(B$9&gt;=14/24,B$9&lt;20/24)</formula>
    </cfRule>
    <cfRule type="expression" dxfId="4006" priority="411">
      <formula>AND(B$9&gt;=8/24,B$9&lt;14/24)</formula>
    </cfRule>
    <cfRule type="expression" dxfId="4005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004" priority="404">
      <formula>M$9&gt;=20/24</formula>
    </cfRule>
    <cfRule type="expression" dxfId="4003" priority="405">
      <formula>AND(M$9&gt;=14/24,M$9&lt;20/24)</formula>
    </cfRule>
    <cfRule type="expression" dxfId="4002" priority="406">
      <formula>AND(M$9&gt;=8/24,M$9&lt;14/24)</formula>
    </cfRule>
    <cfRule type="expression" dxfId="4001" priority="407">
      <formula>M$9&lt;8/24</formula>
    </cfRule>
  </conditionalFormatting>
  <conditionalFormatting sqref="M43:R43">
    <cfRule type="expression" dxfId="4000" priority="400">
      <formula>M$9&gt;=20/24</formula>
    </cfRule>
    <cfRule type="expression" dxfId="3999" priority="401">
      <formula>AND(M$9&gt;=14/24,M$9&lt;20/24)</formula>
    </cfRule>
    <cfRule type="expression" dxfId="3998" priority="402">
      <formula>AND(M$9&gt;=8/24,M$9&lt;14/24)</formula>
    </cfRule>
    <cfRule type="expression" dxfId="3997" priority="403">
      <formula>M$9&lt;8/24</formula>
    </cfRule>
  </conditionalFormatting>
  <conditionalFormatting sqref="Z32">
    <cfRule type="expression" dxfId="3996" priority="396">
      <formula>Z$9&gt;=20/24</formula>
    </cfRule>
    <cfRule type="expression" dxfId="3995" priority="397">
      <formula>AND(Z$9&gt;=14/24,Z$9&lt;20/24)</formula>
    </cfRule>
    <cfRule type="expression" dxfId="3994" priority="398">
      <formula>AND(Z$9&gt;=8/24,Z$9&lt;14/24)</formula>
    </cfRule>
    <cfRule type="expression" dxfId="3993" priority="399">
      <formula>Z$9&lt;8/24</formula>
    </cfRule>
  </conditionalFormatting>
  <conditionalFormatting sqref="S39:Z39 AB39:AF39">
    <cfRule type="expression" dxfId="3992" priority="392">
      <formula>S$9&gt;=20/24</formula>
    </cfRule>
    <cfRule type="expression" dxfId="3991" priority="393">
      <formula>AND(S$9&gt;=14/24,S$9&lt;20/24)</formula>
    </cfRule>
    <cfRule type="expression" dxfId="3990" priority="394">
      <formula>AND(S$9&gt;=8/24,S$9&lt;14/24)</formula>
    </cfRule>
    <cfRule type="expression" dxfId="3989" priority="395">
      <formula>S$9&lt;8/24</formula>
    </cfRule>
  </conditionalFormatting>
  <conditionalFormatting sqref="S57:Z57 AB57:AE57">
    <cfRule type="expression" dxfId="3988" priority="388">
      <formula>S$9&gt;=20/24</formula>
    </cfRule>
    <cfRule type="expression" dxfId="3987" priority="389">
      <formula>AND(S$9&gt;=14/24,S$9&lt;20/24)</formula>
    </cfRule>
    <cfRule type="expression" dxfId="3986" priority="390">
      <formula>AND(S$9&gt;=8/24,S$9&lt;14/24)</formula>
    </cfRule>
    <cfRule type="expression" dxfId="3985" priority="391">
      <formula>S$9&lt;8/24</formula>
    </cfRule>
  </conditionalFormatting>
  <conditionalFormatting sqref="S81:AA81">
    <cfRule type="expression" dxfId="3984" priority="384">
      <formula>S$9&gt;=20/24</formula>
    </cfRule>
    <cfRule type="expression" dxfId="3983" priority="385">
      <formula>AND(S$9&gt;=14/24,S$9&lt;20/24)</formula>
    </cfRule>
    <cfRule type="expression" dxfId="3982" priority="386">
      <formula>AND(S$9&gt;=8/24,S$9&lt;14/24)</formula>
    </cfRule>
    <cfRule type="expression" dxfId="3981" priority="387">
      <formula>S$9&lt;8/24</formula>
    </cfRule>
  </conditionalFormatting>
  <conditionalFormatting sqref="U84:Z84">
    <cfRule type="expression" dxfId="3980" priority="380">
      <formula>U$9&gt;=20/24</formula>
    </cfRule>
    <cfRule type="expression" dxfId="3979" priority="381">
      <formula>AND(U$9&gt;=14/24,U$9&lt;20/24)</formula>
    </cfRule>
    <cfRule type="expression" dxfId="3978" priority="382">
      <formula>AND(U$9&gt;=8/24,U$9&lt;14/24)</formula>
    </cfRule>
    <cfRule type="expression" dxfId="3977" priority="383">
      <formula>U$9&lt;8/24</formula>
    </cfRule>
  </conditionalFormatting>
  <conditionalFormatting sqref="M35:S35">
    <cfRule type="expression" dxfId="3976" priority="376">
      <formula>M$9&gt;=20/24</formula>
    </cfRule>
    <cfRule type="expression" dxfId="3975" priority="377">
      <formula>AND(M$9&gt;=14/24,M$9&lt;20/24)</formula>
    </cfRule>
    <cfRule type="expression" dxfId="3974" priority="378">
      <formula>AND(M$9&gt;=8/24,M$9&lt;14/24)</formula>
    </cfRule>
    <cfRule type="expression" dxfId="3973" priority="379">
      <formula>M$9&lt;8/24</formula>
    </cfRule>
  </conditionalFormatting>
  <conditionalFormatting sqref="O45:R45">
    <cfRule type="expression" dxfId="3972" priority="364">
      <formula>O$9&gt;=20/24</formula>
    </cfRule>
    <cfRule type="expression" dxfId="3971" priority="365">
      <formula>AND(O$9&gt;=14/24,O$9&lt;20/24)</formula>
    </cfRule>
    <cfRule type="expression" dxfId="3970" priority="366">
      <formula>AND(O$9&gt;=8/24,O$9&lt;14/24)</formula>
    </cfRule>
    <cfRule type="expression" dxfId="3969" priority="367">
      <formula>O$9&lt;8/24</formula>
    </cfRule>
  </conditionalFormatting>
  <conditionalFormatting sqref="S37:Z37 AB37:AE37">
    <cfRule type="expression" dxfId="3968" priority="360">
      <formula>S$9&gt;=20/24</formula>
    </cfRule>
    <cfRule type="expression" dxfId="3967" priority="361">
      <formula>AND(S$9&gt;=14/24,S$9&lt;20/24)</formula>
    </cfRule>
    <cfRule type="expression" dxfId="3966" priority="362">
      <formula>AND(S$9&gt;=8/24,S$9&lt;14/24)</formula>
    </cfRule>
    <cfRule type="expression" dxfId="3965" priority="363">
      <formula>S$9&lt;8/24</formula>
    </cfRule>
  </conditionalFormatting>
  <conditionalFormatting sqref="T31:Y32 T35:Z35">
    <cfRule type="expression" dxfId="3964" priority="356">
      <formula>T$9&gt;=20/24</formula>
    </cfRule>
    <cfRule type="expression" dxfId="3963" priority="357">
      <formula>AND(T$9&gt;=14/24,T$9&lt;20/24)</formula>
    </cfRule>
    <cfRule type="expression" dxfId="3962" priority="358">
      <formula>AND(T$9&gt;=8/24,T$9&lt;14/24)</formula>
    </cfRule>
    <cfRule type="expression" dxfId="3961" priority="359">
      <formula>T$9&lt;8/24</formula>
    </cfRule>
  </conditionalFormatting>
  <conditionalFormatting sqref="S42:T43 U43:Y43 S45:Z45">
    <cfRule type="expression" dxfId="3960" priority="352">
      <formula>S$9&gt;=20/24</formula>
    </cfRule>
    <cfRule type="expression" dxfId="3959" priority="353">
      <formula>AND(S$9&gt;=14/24,S$9&lt;20/24)</formula>
    </cfRule>
    <cfRule type="expression" dxfId="3958" priority="354">
      <formula>AND(S$9&gt;=8/24,S$9&lt;14/24)</formula>
    </cfRule>
    <cfRule type="expression" dxfId="3957" priority="355">
      <formula>S$9&lt;8/24</formula>
    </cfRule>
  </conditionalFormatting>
  <conditionalFormatting sqref="Y60:Z67 S60:T67">
    <cfRule type="expression" dxfId="3956" priority="340">
      <formula>S$9&gt;=20/24</formula>
    </cfRule>
    <cfRule type="expression" dxfId="3955" priority="341">
      <formula>AND(S$9&gt;=14/24,S$9&lt;20/24)</formula>
    </cfRule>
    <cfRule type="expression" dxfId="3954" priority="342">
      <formula>AND(S$9&gt;=8/24,S$9&lt;14/24)</formula>
    </cfRule>
    <cfRule type="expression" dxfId="3953" priority="343">
      <formula>S$9&lt;8/24</formula>
    </cfRule>
  </conditionalFormatting>
  <conditionalFormatting sqref="U94:Z97">
    <cfRule type="expression" dxfId="3952" priority="332">
      <formula>U$9&gt;=20/24</formula>
    </cfRule>
    <cfRule type="expression" dxfId="3951" priority="333">
      <formula>AND(U$9&gt;=14/24,U$9&lt;20/24)</formula>
    </cfRule>
    <cfRule type="expression" dxfId="3950" priority="334">
      <formula>AND(U$9&gt;=8/24,U$9&lt;14/24)</formula>
    </cfRule>
    <cfRule type="expression" dxfId="3949" priority="335">
      <formula>U$9&lt;8/24</formula>
    </cfRule>
  </conditionalFormatting>
  <conditionalFormatting sqref="AG51 E37:U37 D44:E44 E45 C42:E43 F42:F45 J42:U42 G42:I47 J43:N47 M12:R14 O43:U45 M34:U36 O46:Z47 C39:U41 V39:Z45 Z11:Z32 E11:Y11 S18:Y32 V34:Z37 AB37:AF37 AB11:AF11 AB39:AC42 C38:AF38 AC43 AD39:AF43 C51:AF56 M16:R32">
    <cfRule type="expression" dxfId="3948" priority="331">
      <formula>C11&gt;$AG11</formula>
    </cfRule>
  </conditionalFormatting>
  <conditionalFormatting sqref="A101:A157 A84:A97 A11:A14 A16:A32 A45:A72 A80:A82 A74:A78 A35:A43 A170:A200">
    <cfRule type="expression" dxfId="3947" priority="330">
      <formula>$AH11=0</formula>
    </cfRule>
  </conditionalFormatting>
  <conditionalFormatting sqref="U98:Z98">
    <cfRule type="expression" dxfId="3946" priority="326">
      <formula>U$9&gt;=20/24</formula>
    </cfRule>
    <cfRule type="expression" dxfId="3945" priority="327">
      <formula>AND(U$9&gt;=14/24,U$9&lt;20/24)</formula>
    </cfRule>
    <cfRule type="expression" dxfId="3944" priority="328">
      <formula>AND(U$9&gt;=8/24,U$9&lt;14/24)</formula>
    </cfRule>
    <cfRule type="expression" dxfId="3943" priority="329">
      <formula>U$9&lt;8/24</formula>
    </cfRule>
  </conditionalFormatting>
  <conditionalFormatting sqref="A98">
    <cfRule type="expression" dxfId="3942" priority="325">
      <formula>$AH98=0</formula>
    </cfRule>
  </conditionalFormatting>
  <conditionalFormatting sqref="AL32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Z34">
    <cfRule type="expression" dxfId="3941" priority="308">
      <formula>Z$9&gt;=20/24</formula>
    </cfRule>
    <cfRule type="expression" dxfId="3940" priority="309">
      <formula>AND(Z$9&gt;=14/24,Z$9&lt;20/24)</formula>
    </cfRule>
    <cfRule type="expression" dxfId="3939" priority="310">
      <formula>AND(Z$9&gt;=8/24,Z$9&lt;14/24)</formula>
    </cfRule>
    <cfRule type="expression" dxfId="3938" priority="311">
      <formula>Z$9&lt;8/24</formula>
    </cfRule>
  </conditionalFormatting>
  <conditionalFormatting sqref="M34:S34">
    <cfRule type="expression" dxfId="3937" priority="304">
      <formula>M$9&gt;=20/24</formula>
    </cfRule>
    <cfRule type="expression" dxfId="3936" priority="305">
      <formula>AND(M$9&gt;=14/24,M$9&lt;20/24)</formula>
    </cfRule>
    <cfRule type="expression" dxfId="3935" priority="306">
      <formula>AND(M$9&gt;=8/24,M$9&lt;14/24)</formula>
    </cfRule>
    <cfRule type="expression" dxfId="3934" priority="307">
      <formula>M$9&lt;8/24</formula>
    </cfRule>
  </conditionalFormatting>
  <conditionalFormatting sqref="T34:Y34">
    <cfRule type="expression" dxfId="3933" priority="300">
      <formula>T$9&gt;=20/24</formula>
    </cfRule>
    <cfRule type="expression" dxfId="3932" priority="301">
      <formula>AND(T$9&gt;=14/24,T$9&lt;20/24)</formula>
    </cfRule>
    <cfRule type="expression" dxfId="3931" priority="302">
      <formula>AND(T$9&gt;=8/24,T$9&lt;14/24)</formula>
    </cfRule>
    <cfRule type="expression" dxfId="3930" priority="303">
      <formula>T$9&lt;8/24</formula>
    </cfRule>
  </conditionalFormatting>
  <conditionalFormatting sqref="A34">
    <cfRule type="expression" dxfId="3929" priority="299">
      <formula>$AH34=0</formula>
    </cfRule>
  </conditionalFormatting>
  <conditionalFormatting sqref="A83">
    <cfRule type="expression" dxfId="3928" priority="298">
      <formula>$AH83=0</formula>
    </cfRule>
  </conditionalFormatting>
  <conditionalFormatting sqref="Z15">
    <cfRule type="expression" dxfId="3927" priority="294">
      <formula>Z$9&gt;=20/24</formula>
    </cfRule>
    <cfRule type="expression" dxfId="3926" priority="295">
      <formula>AND(Z$9&gt;=14/24,Z$9&lt;20/24)</formula>
    </cfRule>
    <cfRule type="expression" dxfId="3925" priority="296">
      <formula>AND(Z$9&gt;=8/24,Z$9&lt;14/24)</formula>
    </cfRule>
    <cfRule type="expression" dxfId="3924" priority="297">
      <formula>Z$9&lt;8/24</formula>
    </cfRule>
  </conditionalFormatting>
  <conditionalFormatting sqref="M15:R15">
    <cfRule type="expression" dxfId="3923" priority="290">
      <formula>M$9&gt;=20/24</formula>
    </cfRule>
    <cfRule type="expression" dxfId="3922" priority="291">
      <formula>AND(M$9&gt;=14/24,M$9&lt;20/24)</formula>
    </cfRule>
    <cfRule type="expression" dxfId="3921" priority="292">
      <formula>AND(M$9&gt;=8/24,M$9&lt;14/24)</formula>
    </cfRule>
    <cfRule type="expression" dxfId="3920" priority="293">
      <formula>M$9&lt;8/24</formula>
    </cfRule>
  </conditionalFormatting>
  <conditionalFormatting sqref="M15:R15">
    <cfRule type="expression" dxfId="3919" priority="289">
      <formula>M15&gt;$AG15</formula>
    </cfRule>
  </conditionalFormatting>
  <conditionalFormatting sqref="A15">
    <cfRule type="expression" dxfId="3918" priority="288">
      <formula>$AH15=0</formula>
    </cfRule>
  </conditionalFormatting>
  <conditionalFormatting sqref="A164:A169">
    <cfRule type="expression" dxfId="3917" priority="287">
      <formula>$AH164=0</formula>
    </cfRule>
  </conditionalFormatting>
  <conditionalFormatting sqref="A158:A163">
    <cfRule type="expression" dxfId="3916" priority="286">
      <formula>$AH158=0</formula>
    </cfRule>
  </conditionalFormatting>
  <conditionalFormatting sqref="Z44">
    <cfRule type="expression" dxfId="3915" priority="282">
      <formula>Z$9&gt;=20/24</formula>
    </cfRule>
    <cfRule type="expression" dxfId="3914" priority="283">
      <formula>AND(Z$9&gt;=14/24,Z$9&lt;20/24)</formula>
    </cfRule>
    <cfRule type="expression" dxfId="3913" priority="284">
      <formula>AND(Z$9&gt;=8/24,Z$9&lt;14/24)</formula>
    </cfRule>
    <cfRule type="expression" dxfId="3912" priority="285">
      <formula>Z$9&lt;8/24</formula>
    </cfRule>
  </conditionalFormatting>
  <conditionalFormatting sqref="M44:R44">
    <cfRule type="expression" dxfId="3911" priority="278">
      <formula>M$9&gt;=20/24</formula>
    </cfRule>
    <cfRule type="expression" dxfId="3910" priority="279">
      <formula>AND(M$9&gt;=14/24,M$9&lt;20/24)</formula>
    </cfRule>
    <cfRule type="expression" dxfId="3909" priority="280">
      <formula>AND(M$9&gt;=8/24,M$9&lt;14/24)</formula>
    </cfRule>
    <cfRule type="expression" dxfId="3908" priority="281">
      <formula>M$9&lt;8/24</formula>
    </cfRule>
  </conditionalFormatting>
  <conditionalFormatting sqref="S44:Y44">
    <cfRule type="expression" dxfId="3907" priority="274">
      <formula>S$9&gt;=20/24</formula>
    </cfRule>
    <cfRule type="expression" dxfId="3906" priority="275">
      <formula>AND(S$9&gt;=14/24,S$9&lt;20/24)</formula>
    </cfRule>
    <cfRule type="expression" dxfId="3905" priority="276">
      <formula>AND(S$9&gt;=8/24,S$9&lt;14/24)</formula>
    </cfRule>
    <cfRule type="expression" dxfId="3904" priority="277">
      <formula>S$9&lt;8/24</formula>
    </cfRule>
  </conditionalFormatting>
  <conditionalFormatting sqref="A44">
    <cfRule type="expression" dxfId="3903" priority="273">
      <formula>$AH44=0</formula>
    </cfRule>
  </conditionalFormatting>
  <conditionalFormatting sqref="A79">
    <cfRule type="expression" dxfId="3902" priority="272">
      <formula>$AH79=0</formula>
    </cfRule>
  </conditionalFormatting>
  <conditionalFormatting sqref="A73">
    <cfRule type="expression" dxfId="3901" priority="271">
      <formula>$AH73=0</formula>
    </cfRule>
  </conditionalFormatting>
  <conditionalFormatting sqref="AL34:AL35 AL7:AL31">
    <cfRule type="iconSet" priority="415">
      <iconSet iconSet="3TrafficLights2" reverse="1">
        <cfvo type="percent" val="0"/>
        <cfvo type="num" val="1"/>
        <cfvo type="num" val="1"/>
      </iconSet>
    </cfRule>
  </conditionalFormatting>
  <conditionalFormatting sqref="U60:X67">
    <cfRule type="expression" dxfId="3900" priority="267">
      <formula>U$9&gt;=20/24</formula>
    </cfRule>
    <cfRule type="expression" dxfId="3899" priority="268">
      <formula>AND(U$9&gt;=14/24,U$9&lt;20/24)</formula>
    </cfRule>
    <cfRule type="expression" dxfId="3898" priority="269">
      <formula>AND(U$9&gt;=8/24,U$9&lt;14/24)</formula>
    </cfRule>
    <cfRule type="expression" dxfId="3897" priority="270">
      <formula>U$9&lt;8/24</formula>
    </cfRule>
  </conditionalFormatting>
  <conditionalFormatting sqref="U85:W91">
    <cfRule type="expression" dxfId="3896" priority="263">
      <formula>U$9&gt;=20/24</formula>
    </cfRule>
    <cfRule type="expression" dxfId="3895" priority="264">
      <formula>AND(U$9&gt;=14/24,U$9&lt;20/24)</formula>
    </cfRule>
    <cfRule type="expression" dxfId="3894" priority="265">
      <formula>AND(U$9&gt;=8/24,U$9&lt;14/24)</formula>
    </cfRule>
    <cfRule type="expression" dxfId="3893" priority="266">
      <formula>U$9&lt;8/24</formula>
    </cfRule>
  </conditionalFormatting>
  <conditionalFormatting sqref="C84:R91 S85:T91">
    <cfRule type="expression" dxfId="3892" priority="259">
      <formula>C$9&gt;=20/24</formula>
    </cfRule>
    <cfRule type="expression" dxfId="3891" priority="260">
      <formula>AND(C$9&gt;=14/24,C$9&lt;20/24)</formula>
    </cfRule>
    <cfRule type="expression" dxfId="3890" priority="261">
      <formula>AND(C$9&gt;=8/24,C$9&lt;14/24)</formula>
    </cfRule>
    <cfRule type="expression" dxfId="3889" priority="262">
      <formula>C$9&lt;8/24</formula>
    </cfRule>
  </conditionalFormatting>
  <conditionalFormatting sqref="S84:T84">
    <cfRule type="expression" dxfId="3888" priority="255">
      <formula>S$9&gt;=20/24</formula>
    </cfRule>
    <cfRule type="expression" dxfId="3887" priority="256">
      <formula>AND(S$9&gt;=14/24,S$9&lt;20/24)</formula>
    </cfRule>
    <cfRule type="expression" dxfId="3886" priority="257">
      <formula>AND(S$9&gt;=8/24,S$9&lt;14/24)</formula>
    </cfRule>
    <cfRule type="expression" dxfId="3885" priority="258">
      <formula>S$9&lt;8/24</formula>
    </cfRule>
  </conditionalFormatting>
  <conditionalFormatting sqref="C95:M97 C94:F94">
    <cfRule type="expression" dxfId="3884" priority="251">
      <formula>C$9&gt;=20/24</formula>
    </cfRule>
    <cfRule type="expression" dxfId="3883" priority="252">
      <formula>AND(C$9&gt;=14/24,C$9&lt;20/24)</formula>
    </cfRule>
    <cfRule type="expression" dxfId="3882" priority="253">
      <formula>AND(C$9&gt;=8/24,C$9&lt;14/24)</formula>
    </cfRule>
    <cfRule type="expression" dxfId="3881" priority="254">
      <formula>C$9&lt;8/24</formula>
    </cfRule>
  </conditionalFormatting>
  <conditionalFormatting sqref="N95:R97 O94:R94">
    <cfRule type="expression" dxfId="3880" priority="247">
      <formula>N$9&gt;=20/24</formula>
    </cfRule>
    <cfRule type="expression" dxfId="3879" priority="248">
      <formula>AND(N$9&gt;=14/24,N$9&lt;20/24)</formula>
    </cfRule>
    <cfRule type="expression" dxfId="3878" priority="249">
      <formula>AND(N$9&gt;=8/24,N$9&lt;14/24)</formula>
    </cfRule>
    <cfRule type="expression" dxfId="3877" priority="250">
      <formula>N$9&lt;8/24</formula>
    </cfRule>
  </conditionalFormatting>
  <conditionalFormatting sqref="S94:T97">
    <cfRule type="expression" dxfId="3876" priority="243">
      <formula>S$9&gt;=20/24</formula>
    </cfRule>
    <cfRule type="expression" dxfId="3875" priority="244">
      <formula>AND(S$9&gt;=14/24,S$9&lt;20/24)</formula>
    </cfRule>
    <cfRule type="expression" dxfId="3874" priority="245">
      <formula>AND(S$9&gt;=8/24,S$9&lt;14/24)</formula>
    </cfRule>
    <cfRule type="expression" dxfId="3873" priority="246">
      <formula>S$9&lt;8/24</formula>
    </cfRule>
  </conditionalFormatting>
  <conditionalFormatting sqref="C98:M98">
    <cfRule type="expression" dxfId="3872" priority="239">
      <formula>C$9&gt;=20/24</formula>
    </cfRule>
    <cfRule type="expression" dxfId="3871" priority="240">
      <formula>AND(C$9&gt;=14/24,C$9&lt;20/24)</formula>
    </cfRule>
    <cfRule type="expression" dxfId="3870" priority="241">
      <formula>AND(C$9&gt;=8/24,C$9&lt;14/24)</formula>
    </cfRule>
    <cfRule type="expression" dxfId="3869" priority="242">
      <formula>C$9&lt;8/24</formula>
    </cfRule>
  </conditionalFormatting>
  <conditionalFormatting sqref="N98:R98">
    <cfRule type="expression" dxfId="3868" priority="235">
      <formula>N$9&gt;=20/24</formula>
    </cfRule>
    <cfRule type="expression" dxfId="3867" priority="236">
      <formula>AND(N$9&gt;=14/24,N$9&lt;20/24)</formula>
    </cfRule>
    <cfRule type="expression" dxfId="3866" priority="237">
      <formula>AND(N$9&gt;=8/24,N$9&lt;14/24)</formula>
    </cfRule>
    <cfRule type="expression" dxfId="3865" priority="238">
      <formula>N$9&lt;8/24</formula>
    </cfRule>
  </conditionalFormatting>
  <conditionalFormatting sqref="S98:T98">
    <cfRule type="expression" dxfId="3864" priority="231">
      <formula>S$9&gt;=20/24</formula>
    </cfRule>
    <cfRule type="expression" dxfId="3863" priority="232">
      <formula>AND(S$9&gt;=14/24,S$9&lt;20/24)</formula>
    </cfRule>
    <cfRule type="expression" dxfId="3862" priority="233">
      <formula>AND(S$9&gt;=8/24,S$9&lt;14/24)</formula>
    </cfRule>
    <cfRule type="expression" dxfId="3861" priority="234">
      <formula>S$9&lt;8/24</formula>
    </cfRule>
  </conditionalFormatting>
  <conditionalFormatting sqref="M94:N94">
    <cfRule type="expression" dxfId="3860" priority="227">
      <formula>M$9&gt;=20/24</formula>
    </cfRule>
    <cfRule type="expression" dxfId="3859" priority="228">
      <formula>AND(M$9&gt;=14/24,M$9&lt;20/24)</formula>
    </cfRule>
    <cfRule type="expression" dxfId="3858" priority="229">
      <formula>AND(M$9&gt;=8/24,M$9&lt;14/24)</formula>
    </cfRule>
    <cfRule type="expression" dxfId="3857" priority="230">
      <formula>M$9&lt;8/24</formula>
    </cfRule>
  </conditionalFormatting>
  <conditionalFormatting sqref="G94:L94">
    <cfRule type="expression" dxfId="3856" priority="223">
      <formula>G$9&gt;=20/24</formula>
    </cfRule>
    <cfRule type="expression" dxfId="3855" priority="224">
      <formula>AND(G$9&gt;=14/24,G$9&lt;20/24)</formula>
    </cfRule>
    <cfRule type="expression" dxfId="3854" priority="225">
      <formula>AND(G$9&gt;=8/24,G$9&lt;14/24)</formula>
    </cfRule>
    <cfRule type="expression" dxfId="3853" priority="226">
      <formula>G$9&lt;8/24</formula>
    </cfRule>
  </conditionalFormatting>
  <conditionalFormatting sqref="U94:W94">
    <cfRule type="expression" dxfId="3852" priority="219">
      <formula>U$9&gt;=20/24</formula>
    </cfRule>
    <cfRule type="expression" dxfId="3851" priority="220">
      <formula>AND(U$9&gt;=14/24,U$9&lt;20/24)</formula>
    </cfRule>
    <cfRule type="expression" dxfId="3850" priority="221">
      <formula>AND(U$9&gt;=8/24,U$9&lt;14/24)</formula>
    </cfRule>
    <cfRule type="expression" dxfId="3849" priority="222">
      <formula>U$9&lt;8/24</formula>
    </cfRule>
  </conditionalFormatting>
  <conditionalFormatting sqref="N94:T94">
    <cfRule type="expression" dxfId="3848" priority="215">
      <formula>N$9&gt;=20/24</formula>
    </cfRule>
    <cfRule type="expression" dxfId="3847" priority="216">
      <formula>AND(N$9&gt;=14/24,N$9&lt;20/24)</formula>
    </cfRule>
    <cfRule type="expression" dxfId="3846" priority="217">
      <formula>AND(N$9&gt;=8/24,N$9&lt;14/24)</formula>
    </cfRule>
    <cfRule type="expression" dxfId="3845" priority="218">
      <formula>N$9&lt;8/24</formula>
    </cfRule>
  </conditionalFormatting>
  <conditionalFormatting sqref="U99:Z100">
    <cfRule type="expression" dxfId="3844" priority="211">
      <formula>U$9&gt;=20/24</formula>
    </cfRule>
    <cfRule type="expression" dxfId="3843" priority="212">
      <formula>AND(U$9&gt;=14/24,U$9&lt;20/24)</formula>
    </cfRule>
    <cfRule type="expression" dxfId="3842" priority="213">
      <formula>AND(U$9&gt;=8/24,U$9&lt;14/24)</formula>
    </cfRule>
    <cfRule type="expression" dxfId="3841" priority="214">
      <formula>U$9&lt;8/24</formula>
    </cfRule>
  </conditionalFormatting>
  <conditionalFormatting sqref="C99:M100">
    <cfRule type="expression" dxfId="3840" priority="207">
      <formula>C$9&gt;=20/24</formula>
    </cfRule>
    <cfRule type="expression" dxfId="3839" priority="208">
      <formula>AND(C$9&gt;=14/24,C$9&lt;20/24)</formula>
    </cfRule>
    <cfRule type="expression" dxfId="3838" priority="209">
      <formula>AND(C$9&gt;=8/24,C$9&lt;14/24)</formula>
    </cfRule>
    <cfRule type="expression" dxfId="3837" priority="210">
      <formula>C$9&lt;8/24</formula>
    </cfRule>
  </conditionalFormatting>
  <conditionalFormatting sqref="N99:R100">
    <cfRule type="expression" dxfId="3836" priority="203">
      <formula>N$9&gt;=20/24</formula>
    </cfRule>
    <cfRule type="expression" dxfId="3835" priority="204">
      <formula>AND(N$9&gt;=14/24,N$9&lt;20/24)</formula>
    </cfRule>
    <cfRule type="expression" dxfId="3834" priority="205">
      <formula>AND(N$9&gt;=8/24,N$9&lt;14/24)</formula>
    </cfRule>
    <cfRule type="expression" dxfId="3833" priority="206">
      <formula>N$9&lt;8/24</formula>
    </cfRule>
  </conditionalFormatting>
  <conditionalFormatting sqref="S99:T100">
    <cfRule type="expression" dxfId="3832" priority="199">
      <formula>S$9&gt;=20/24</formula>
    </cfRule>
    <cfRule type="expression" dxfId="3831" priority="200">
      <formula>AND(S$9&gt;=14/24,S$9&lt;20/24)</formula>
    </cfRule>
    <cfRule type="expression" dxfId="3830" priority="201">
      <formula>AND(S$9&gt;=8/24,S$9&lt;14/24)</formula>
    </cfRule>
    <cfRule type="expression" dxfId="3829" priority="202">
      <formula>S$9&lt;8/24</formula>
    </cfRule>
  </conditionalFormatting>
  <conditionalFormatting sqref="S12:Y16">
    <cfRule type="expression" dxfId="3828" priority="195">
      <formula>S$9&gt;=20/24</formula>
    </cfRule>
    <cfRule type="expression" dxfId="3827" priority="196">
      <formula>AND(S$9&gt;=14/24,S$9&lt;20/24)</formula>
    </cfRule>
    <cfRule type="expression" dxfId="3826" priority="197">
      <formula>AND(S$9&gt;=8/24,S$9&lt;14/24)</formula>
    </cfRule>
    <cfRule type="expression" dxfId="3825" priority="198">
      <formula>S$9&lt;8/24</formula>
    </cfRule>
  </conditionalFormatting>
  <conditionalFormatting sqref="S17:Y17">
    <cfRule type="expression" dxfId="3824" priority="191">
      <formula>S$9&gt;=20/24</formula>
    </cfRule>
    <cfRule type="expression" dxfId="3823" priority="192">
      <formula>AND(S$9&gt;=14/24,S$9&lt;20/24)</formula>
    </cfRule>
    <cfRule type="expression" dxfId="3822" priority="193">
      <formula>AND(S$9&gt;=8/24,S$9&lt;14/24)</formula>
    </cfRule>
    <cfRule type="expression" dxfId="3821" priority="194">
      <formula>S$9&lt;8/24</formula>
    </cfRule>
  </conditionalFormatting>
  <conditionalFormatting sqref="S12:Y13">
    <cfRule type="expression" dxfId="3820" priority="187">
      <formula>S$9&gt;=20/24</formula>
    </cfRule>
    <cfRule type="expression" dxfId="3819" priority="188">
      <formula>AND(S$9&gt;=14/24,S$9&lt;20/24)</formula>
    </cfRule>
    <cfRule type="expression" dxfId="3818" priority="189">
      <formula>AND(S$9&gt;=8/24,S$9&lt;14/24)</formula>
    </cfRule>
    <cfRule type="expression" dxfId="3817" priority="190">
      <formula>S$9&lt;8/24</formula>
    </cfRule>
  </conditionalFormatting>
  <conditionalFormatting sqref="AB58:AE59">
    <cfRule type="expression" dxfId="3816" priority="183">
      <formula>AB$9&gt;=20/24</formula>
    </cfRule>
    <cfRule type="expression" dxfId="3815" priority="184">
      <formula>AND(AB$9&gt;=14/24,AB$9&lt;20/24)</formula>
    </cfRule>
    <cfRule type="expression" dxfId="3814" priority="185">
      <formula>AND(AB$9&gt;=8/24,AB$9&lt;14/24)</formula>
    </cfRule>
    <cfRule type="expression" dxfId="3813" priority="186">
      <formula>AB$9&lt;8/24</formula>
    </cfRule>
  </conditionalFormatting>
  <conditionalFormatting sqref="AL33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12" priority="416">
      <formula>C$9&gt;=20/24</formula>
    </cfRule>
    <cfRule type="expression" dxfId="3811" priority="417">
      <formula>AND(C$9&gt;=14/24,C$9&lt;20/24)</formula>
    </cfRule>
    <cfRule type="expression" dxfId="3810" priority="418">
      <formula>AND(C$9&gt;=8/24,C$9&lt;14/24)</formula>
    </cfRule>
    <cfRule type="expression" dxfId="3809" priority="419">
      <formula>C$9&lt;8/24</formula>
    </cfRule>
  </conditionalFormatting>
  <conditionalFormatting sqref="A201">
    <cfRule type="expression" dxfId="3808" priority="420">
      <formula>$AH201=0</formula>
    </cfRule>
  </conditionalFormatting>
  <conditionalFormatting sqref="AG213">
    <cfRule type="expression" dxfId="3807" priority="421">
      <formula>B$9&gt;=20/24</formula>
    </cfRule>
    <cfRule type="expression" dxfId="3806" priority="422">
      <formula>AND(B$9&gt;=14/24,B$9&lt;20/24)</formula>
    </cfRule>
    <cfRule type="expression" dxfId="3805" priority="423">
      <formula>AND(B$9&gt;=8/24,B$9&lt;14/24)</formula>
    </cfRule>
    <cfRule type="expression" dxfId="3804" priority="424">
      <formula>B$9&lt;8/24</formula>
    </cfRule>
  </conditionalFormatting>
  <conditionalFormatting sqref="S8">
    <cfRule type="expression" dxfId="3803" priority="177">
      <formula>U$9&gt;=20/24</formula>
    </cfRule>
    <cfRule type="expression" dxfId="3802" priority="178">
      <formula>AND(U$9&gt;=14/24,U$9&lt;20/24)</formula>
    </cfRule>
    <cfRule type="expression" dxfId="3801" priority="179">
      <formula>AND(U$9&gt;=8/24,U$9&lt;14/24)</formula>
    </cfRule>
    <cfRule type="expression" dxfId="3800" priority="180">
      <formula>U$9&lt;8/24</formula>
    </cfRule>
  </conditionalFormatting>
  <conditionalFormatting sqref="AB8">
    <cfRule type="expression" dxfId="3799" priority="173">
      <formula>AD$9&gt;=20/24</formula>
    </cfRule>
    <cfRule type="expression" dxfId="3798" priority="174">
      <formula>AND(AD$9&gt;=14/24,AD$9&lt;20/24)</formula>
    </cfRule>
    <cfRule type="expression" dxfId="3797" priority="175">
      <formula>AND(AD$9&gt;=8/24,AD$9&lt;14/24)</formula>
    </cfRule>
    <cfRule type="expression" dxfId="3796" priority="176">
      <formula>AD$9&lt;8/24</formula>
    </cfRule>
  </conditionalFormatting>
  <conditionalFormatting sqref="AH213:AX213">
    <cfRule type="expression" dxfId="3795" priority="425">
      <formula>AG$9&gt;=20/24</formula>
    </cfRule>
    <cfRule type="expression" dxfId="3794" priority="426">
      <formula>AND(AG$9&gt;=14/24,AG$9&lt;20/24)</formula>
    </cfRule>
    <cfRule type="expression" dxfId="3793" priority="427">
      <formula>AND(AG$9&gt;=8/24,AG$9&lt;14/24)</formula>
    </cfRule>
    <cfRule type="expression" dxfId="3792" priority="428">
      <formula>AG$9&lt;8/24</formula>
    </cfRule>
  </conditionalFormatting>
  <conditionalFormatting sqref="T213">
    <cfRule type="expression" dxfId="3791" priority="429">
      <formula>AX$9&gt;=20/24</formula>
    </cfRule>
    <cfRule type="expression" dxfId="3790" priority="430">
      <formula>AND(AX$9&gt;=14/24,AX$9&lt;20/24)</formula>
    </cfRule>
    <cfRule type="expression" dxfId="3789" priority="431">
      <formula>AND(AX$9&gt;=8/24,AX$9&lt;14/24)</formula>
    </cfRule>
    <cfRule type="expression" dxfId="3788" priority="432">
      <formula>AX$9&lt;8/24</formula>
    </cfRule>
  </conditionalFormatting>
  <conditionalFormatting sqref="A99:A100">
    <cfRule type="expression" dxfId="3787" priority="172">
      <formula>$AH99=0</formula>
    </cfRule>
  </conditionalFormatting>
  <conditionalFormatting sqref="M33:S33">
    <cfRule type="expression" dxfId="3786" priority="168">
      <formula>M$9&gt;=20/24</formula>
    </cfRule>
    <cfRule type="expression" dxfId="3785" priority="169">
      <formula>AND(M$9&gt;=14/24,M$9&lt;20/24)</formula>
    </cfRule>
    <cfRule type="expression" dxfId="3784" priority="170">
      <formula>AND(M$9&gt;=8/24,M$9&lt;14/24)</formula>
    </cfRule>
    <cfRule type="expression" dxfId="3783" priority="171">
      <formula>M$9&lt;8/24</formula>
    </cfRule>
  </conditionalFormatting>
  <conditionalFormatting sqref="Z33">
    <cfRule type="expression" dxfId="3782" priority="164">
      <formula>Z$9&gt;=20/24</formula>
    </cfRule>
    <cfRule type="expression" dxfId="3781" priority="165">
      <formula>AND(Z$9&gt;=14/24,Z$9&lt;20/24)</formula>
    </cfRule>
    <cfRule type="expression" dxfId="3780" priority="166">
      <formula>AND(Z$9&gt;=8/24,Z$9&lt;14/24)</formula>
    </cfRule>
    <cfRule type="expression" dxfId="3779" priority="167">
      <formula>Z$9&lt;8/24</formula>
    </cfRule>
  </conditionalFormatting>
  <conditionalFormatting sqref="T33:Y33">
    <cfRule type="expression" dxfId="3778" priority="160">
      <formula>T$9&gt;=20/24</formula>
    </cfRule>
    <cfRule type="expression" dxfId="3777" priority="161">
      <formula>AND(T$9&gt;=14/24,T$9&lt;20/24)</formula>
    </cfRule>
    <cfRule type="expression" dxfId="3776" priority="162">
      <formula>AND(T$9&gt;=8/24,T$9&lt;14/24)</formula>
    </cfRule>
    <cfRule type="expression" dxfId="3775" priority="163">
      <formula>T$9&lt;8/24</formula>
    </cfRule>
  </conditionalFormatting>
  <conditionalFormatting sqref="M33:Z33">
    <cfRule type="expression" dxfId="3774" priority="159">
      <formula>M33&gt;$AG33</formula>
    </cfRule>
  </conditionalFormatting>
  <conditionalFormatting sqref="B68:B91 B94:B100 B53:B60 B11:D14 E12:L14 B16:L31 B36:L36">
    <cfRule type="expression" dxfId="3773" priority="155">
      <formula>B$9&gt;=20/24</formula>
    </cfRule>
    <cfRule type="expression" dxfId="3772" priority="156">
      <formula>AND(B$9&gt;=14/24,B$9&lt;20/24)</formula>
    </cfRule>
    <cfRule type="expression" dxfId="3771" priority="157">
      <formula>AND(B$9&gt;=8/24,B$9&lt;14/24)</formula>
    </cfRule>
    <cfRule type="expression" dxfId="3770" priority="158">
      <formula>B$9&lt;8/24</formula>
    </cfRule>
  </conditionalFormatting>
  <conditionalFormatting sqref="B32:L32">
    <cfRule type="expression" dxfId="3769" priority="151">
      <formula>B$9&gt;=20/24</formula>
    </cfRule>
    <cfRule type="expression" dxfId="3768" priority="152">
      <formula>AND(B$9&gt;=14/24,B$9&lt;20/24)</formula>
    </cfRule>
    <cfRule type="expression" dxfId="3767" priority="153">
      <formula>AND(B$9&gt;=8/24,B$9&lt;14/24)</formula>
    </cfRule>
    <cfRule type="expression" dxfId="3766" priority="154">
      <formula>B$9&lt;8/24</formula>
    </cfRule>
  </conditionalFormatting>
  <conditionalFormatting sqref="B37:D37">
    <cfRule type="expression" dxfId="3765" priority="147">
      <formula>B$9&gt;=20/24</formula>
    </cfRule>
    <cfRule type="expression" dxfId="3764" priority="148">
      <formula>AND(B$9&gt;=14/24,B$9&lt;20/24)</formula>
    </cfRule>
    <cfRule type="expression" dxfId="3763" priority="149">
      <formula>AND(B$9&gt;=8/24,B$9&lt;14/24)</formula>
    </cfRule>
    <cfRule type="expression" dxfId="3762" priority="150">
      <formula>B$9&lt;8/24</formula>
    </cfRule>
  </conditionalFormatting>
  <conditionalFormatting sqref="B35:L35">
    <cfRule type="expression" dxfId="3761" priority="143">
      <formula>B$9&gt;=20/24</formula>
    </cfRule>
    <cfRule type="expression" dxfId="3760" priority="144">
      <formula>AND(B$9&gt;=14/24,B$9&lt;20/24)</formula>
    </cfRule>
    <cfRule type="expression" dxfId="3759" priority="145">
      <formula>AND(B$9&gt;=8/24,B$9&lt;14/24)</formula>
    </cfRule>
    <cfRule type="expression" dxfId="3758" priority="146">
      <formula>B$9&lt;8/24</formula>
    </cfRule>
  </conditionalFormatting>
  <conditionalFormatting sqref="B45:D48 E46:F48 G48:Z48">
    <cfRule type="expression" dxfId="3757" priority="139">
      <formula>B$9&gt;=20/24</formula>
    </cfRule>
    <cfRule type="expression" dxfId="3756" priority="140">
      <formula>AND(B$9&gt;=14/24,B$9&lt;20/24)</formula>
    </cfRule>
    <cfRule type="expression" dxfId="3755" priority="141">
      <formula>AND(B$9&gt;=8/24,B$9&lt;14/24)</formula>
    </cfRule>
    <cfRule type="expression" dxfId="3754" priority="142">
      <formula>B$9&lt;8/24</formula>
    </cfRule>
  </conditionalFormatting>
  <conditionalFormatting sqref="B49:Z49">
    <cfRule type="expression" dxfId="3753" priority="135">
      <formula>B$9&gt;=20/24</formula>
    </cfRule>
    <cfRule type="expression" dxfId="3752" priority="136">
      <formula>AND(B$9&gt;=14/24,B$9&lt;20/24)</formula>
    </cfRule>
    <cfRule type="expression" dxfId="3751" priority="137">
      <formula>AND(B$9&gt;=8/24,B$9&lt;14/24)</formula>
    </cfRule>
    <cfRule type="expression" dxfId="3750" priority="138">
      <formula>B$9&lt;8/24</formula>
    </cfRule>
  </conditionalFormatting>
  <conditionalFormatting sqref="B50:Z50">
    <cfRule type="expression" dxfId="3749" priority="131">
      <formula>B$9&gt;=20/24</formula>
    </cfRule>
    <cfRule type="expression" dxfId="3748" priority="132">
      <formula>AND(B$9&gt;=14/24,B$9&lt;20/24)</formula>
    </cfRule>
    <cfRule type="expression" dxfId="3747" priority="133">
      <formula>AND(B$9&gt;=8/24,B$9&lt;14/24)</formula>
    </cfRule>
    <cfRule type="expression" dxfId="3746" priority="134">
      <formula>B$9&lt;8/24</formula>
    </cfRule>
  </conditionalFormatting>
  <conditionalFormatting sqref="B61:D67 E62:M67 N63:R67">
    <cfRule type="expression" dxfId="3745" priority="127">
      <formula>B$9&gt;=20/24</formula>
    </cfRule>
    <cfRule type="expression" dxfId="3744" priority="128">
      <formula>AND(B$9&gt;=14/24,B$9&lt;20/24)</formula>
    </cfRule>
    <cfRule type="expression" dxfId="3743" priority="129">
      <formula>AND(B$9&gt;=8/24,B$9&lt;14/24)</formula>
    </cfRule>
    <cfRule type="expression" dxfId="3742" priority="130">
      <formula>B$9&lt;8/24</formula>
    </cfRule>
  </conditionalFormatting>
  <conditionalFormatting sqref="B34:B56 C44:C50 B11:D32 C34:D37 D45:D50 E46:F50 E12:L32 E34:L36 G48:Z50">
    <cfRule type="expression" dxfId="3741" priority="126">
      <formula>B11&gt;$AG11</formula>
    </cfRule>
  </conditionalFormatting>
  <conditionalFormatting sqref="B34:L34">
    <cfRule type="expression" dxfId="3740" priority="122">
      <formula>B$9&gt;=20/24</formula>
    </cfRule>
    <cfRule type="expression" dxfId="3739" priority="123">
      <formula>AND(B$9&gt;=14/24,B$9&lt;20/24)</formula>
    </cfRule>
    <cfRule type="expression" dxfId="3738" priority="124">
      <formula>AND(B$9&gt;=8/24,B$9&lt;14/24)</formula>
    </cfRule>
    <cfRule type="expression" dxfId="3737" priority="125">
      <formula>B$9&lt;8/24</formula>
    </cfRule>
  </conditionalFormatting>
  <conditionalFormatting sqref="B15:L15">
    <cfRule type="expression" dxfId="3736" priority="118">
      <formula>B$9&gt;=20/24</formula>
    </cfRule>
    <cfRule type="expression" dxfId="3735" priority="119">
      <formula>AND(B$9&gt;=14/24,B$9&lt;20/24)</formula>
    </cfRule>
    <cfRule type="expression" dxfId="3734" priority="120">
      <formula>AND(B$9&gt;=8/24,B$9&lt;14/24)</formula>
    </cfRule>
    <cfRule type="expression" dxfId="3733" priority="121">
      <formula>B$9&lt;8/24</formula>
    </cfRule>
  </conditionalFormatting>
  <conditionalFormatting sqref="B44:C44">
    <cfRule type="expression" dxfId="3732" priority="114">
      <formula>B$9&gt;=20/24</formula>
    </cfRule>
    <cfRule type="expression" dxfId="3731" priority="115">
      <formula>AND(B$9&gt;=14/24,B$9&lt;20/24)</formula>
    </cfRule>
    <cfRule type="expression" dxfId="3730" priority="116">
      <formula>AND(B$9&gt;=8/24,B$9&lt;14/24)</formula>
    </cfRule>
    <cfRule type="expression" dxfId="3729" priority="117">
      <formula>B$9&lt;8/24</formula>
    </cfRule>
  </conditionalFormatting>
  <conditionalFormatting sqref="B33:L33">
    <cfRule type="expression" dxfId="3728" priority="110">
      <formula>B$9&gt;=20/24</formula>
    </cfRule>
    <cfRule type="expression" dxfId="3727" priority="111">
      <formula>AND(B$9&gt;=14/24,B$9&lt;20/24)</formula>
    </cfRule>
    <cfRule type="expression" dxfId="3726" priority="112">
      <formula>AND(B$9&gt;=8/24,B$9&lt;14/24)</formula>
    </cfRule>
    <cfRule type="expression" dxfId="3725" priority="113">
      <formula>B$9&lt;8/24</formula>
    </cfRule>
  </conditionalFormatting>
  <conditionalFormatting sqref="B33:L33">
    <cfRule type="expression" dxfId="3724" priority="109">
      <formula>B33&gt;$AG33</formula>
    </cfRule>
  </conditionalFormatting>
  <conditionalFormatting sqref="M45:N47 O46:Z47">
    <cfRule type="expression" dxfId="3723" priority="105">
      <formula>M$9&gt;=20/24</formula>
    </cfRule>
    <cfRule type="expression" dxfId="3722" priority="106">
      <formula>AND(M$9&gt;=14/24,M$9&lt;20/24)</formula>
    </cfRule>
    <cfRule type="expression" dxfId="3721" priority="107">
      <formula>AND(M$9&gt;=8/24,M$9&lt;14/24)</formula>
    </cfRule>
    <cfRule type="expression" dxfId="3720" priority="108">
      <formula>M$9&lt;8/24</formula>
    </cfRule>
  </conditionalFormatting>
  <conditionalFormatting sqref="M45:N47 O46:Z47">
    <cfRule type="expression" dxfId="3719" priority="101">
      <formula>M$9&gt;=20/24</formula>
    </cfRule>
    <cfRule type="expression" dxfId="3718" priority="102">
      <formula>AND(M$9&gt;=14/24,M$9&lt;20/24)</formula>
    </cfRule>
    <cfRule type="expression" dxfId="3717" priority="103">
      <formula>AND(M$9&gt;=8/24,M$9&lt;14/24)</formula>
    </cfRule>
    <cfRule type="expression" dxfId="3716" priority="104">
      <formula>M$9&lt;8/24</formula>
    </cfRule>
  </conditionalFormatting>
  <conditionalFormatting sqref="AA11 AA36:AF36 AA18:AF30">
    <cfRule type="expression" dxfId="3715" priority="97">
      <formula>AA$9&gt;=20/24</formula>
    </cfRule>
    <cfRule type="expression" dxfId="3714" priority="98">
      <formula>AND(AA$9&gt;=14/24,AA$9&lt;20/24)</formula>
    </cfRule>
    <cfRule type="expression" dxfId="3713" priority="99">
      <formula>AND(AA$9&gt;=8/24,AA$9&lt;14/24)</formula>
    </cfRule>
    <cfRule type="expression" dxfId="3712" priority="100">
      <formula>AA$9&lt;8/24</formula>
    </cfRule>
  </conditionalFormatting>
  <conditionalFormatting sqref="AA37">
    <cfRule type="expression" dxfId="3711" priority="93">
      <formula>AA$9&gt;=20/24</formula>
    </cfRule>
    <cfRule type="expression" dxfId="3710" priority="94">
      <formula>AND(AA$9&gt;=14/24,AA$9&lt;20/24)</formula>
    </cfRule>
    <cfRule type="expression" dxfId="3709" priority="95">
      <formula>AND(AA$9&gt;=8/24,AA$9&lt;14/24)</formula>
    </cfRule>
    <cfRule type="expression" dxfId="3708" priority="96">
      <formula>AA$9&lt;8/24</formula>
    </cfRule>
  </conditionalFormatting>
  <conditionalFormatting sqref="AA31:AF32 AA35:AF35">
    <cfRule type="expression" dxfId="3707" priority="89">
      <formula>AA$9&gt;=20/24</formula>
    </cfRule>
    <cfRule type="expression" dxfId="3706" priority="90">
      <formula>AND(AA$9&gt;=14/24,AA$9&lt;20/24)</formula>
    </cfRule>
    <cfRule type="expression" dxfId="3705" priority="91">
      <formula>AND(AA$9&gt;=8/24,AA$9&lt;14/24)</formula>
    </cfRule>
    <cfRule type="expression" dxfId="3704" priority="92">
      <formula>AA$9&lt;8/24</formula>
    </cfRule>
  </conditionalFormatting>
  <conditionalFormatting sqref="AA11 AA34:AA37 AA18:AF32 AB34:AF36">
    <cfRule type="expression" dxfId="3703" priority="88">
      <formula>AA11&gt;$AG11</formula>
    </cfRule>
  </conditionalFormatting>
  <conditionalFormatting sqref="AA34:AF34">
    <cfRule type="expression" dxfId="3702" priority="84">
      <formula>AA$9&gt;=20/24</formula>
    </cfRule>
    <cfRule type="expression" dxfId="3701" priority="85">
      <formula>AND(AA$9&gt;=14/24,AA$9&lt;20/24)</formula>
    </cfRule>
    <cfRule type="expression" dxfId="3700" priority="86">
      <formula>AND(AA$9&gt;=8/24,AA$9&lt;14/24)</formula>
    </cfRule>
    <cfRule type="expression" dxfId="3699" priority="87">
      <formula>AA$9&lt;8/24</formula>
    </cfRule>
  </conditionalFormatting>
  <conditionalFormatting sqref="AA12:AF16">
    <cfRule type="expression" dxfId="3698" priority="80">
      <formula>AA$9&gt;=20/24</formula>
    </cfRule>
    <cfRule type="expression" dxfId="3697" priority="81">
      <formula>AND(AA$9&gt;=14/24,AA$9&lt;20/24)</formula>
    </cfRule>
    <cfRule type="expression" dxfId="3696" priority="82">
      <formula>AND(AA$9&gt;=8/24,AA$9&lt;14/24)</formula>
    </cfRule>
    <cfRule type="expression" dxfId="3695" priority="83">
      <formula>AA$9&lt;8/24</formula>
    </cfRule>
  </conditionalFormatting>
  <conditionalFormatting sqref="AA17:AF17">
    <cfRule type="expression" dxfId="3694" priority="76">
      <formula>AA$9&gt;=20/24</formula>
    </cfRule>
    <cfRule type="expression" dxfId="3693" priority="77">
      <formula>AND(AA$9&gt;=14/24,AA$9&lt;20/24)</formula>
    </cfRule>
    <cfRule type="expression" dxfId="3692" priority="78">
      <formula>AND(AA$9&gt;=8/24,AA$9&lt;14/24)</formula>
    </cfRule>
    <cfRule type="expression" dxfId="3691" priority="79">
      <formula>AA$9&lt;8/24</formula>
    </cfRule>
  </conditionalFormatting>
  <conditionalFormatting sqref="AA12:AF13">
    <cfRule type="expression" dxfId="3690" priority="72">
      <formula>AA$9&gt;=20/24</formula>
    </cfRule>
    <cfRule type="expression" dxfId="3689" priority="73">
      <formula>AND(AA$9&gt;=14/24,AA$9&lt;20/24)</formula>
    </cfRule>
    <cfRule type="expression" dxfId="3688" priority="74">
      <formula>AND(AA$9&gt;=8/24,AA$9&lt;14/24)</formula>
    </cfRule>
    <cfRule type="expression" dxfId="3687" priority="75">
      <formula>AA$9&lt;8/24</formula>
    </cfRule>
  </conditionalFormatting>
  <conditionalFormatting sqref="AA33:AF33">
    <cfRule type="expression" dxfId="3686" priority="68">
      <formula>AA$9&gt;=20/24</formula>
    </cfRule>
    <cfRule type="expression" dxfId="3685" priority="69">
      <formula>AND(AA$9&gt;=14/24,AA$9&lt;20/24)</formula>
    </cfRule>
    <cfRule type="expression" dxfId="3684" priority="70">
      <formula>AND(AA$9&gt;=8/24,AA$9&lt;14/24)</formula>
    </cfRule>
    <cfRule type="expression" dxfId="3683" priority="71">
      <formula>AA$9&lt;8/24</formula>
    </cfRule>
  </conditionalFormatting>
  <conditionalFormatting sqref="AA33:AF33">
    <cfRule type="expression" dxfId="3682" priority="67">
      <formula>AA33&gt;$AG33</formula>
    </cfRule>
  </conditionalFormatting>
  <conditionalFormatting sqref="AA40:AA42">
    <cfRule type="expression" dxfId="3681" priority="63">
      <formula>AA$9&gt;=20/24</formula>
    </cfRule>
    <cfRule type="expression" dxfId="3680" priority="64">
      <formula>AND(AA$9&gt;=14/24,AA$9&lt;20/24)</formula>
    </cfRule>
    <cfRule type="expression" dxfId="3679" priority="65">
      <formula>AND(AA$9&gt;=8/24,AA$9&lt;14/24)</formula>
    </cfRule>
    <cfRule type="expression" dxfId="3678" priority="66">
      <formula>AA$9&lt;8/24</formula>
    </cfRule>
  </conditionalFormatting>
  <conditionalFormatting sqref="AA39">
    <cfRule type="expression" dxfId="3677" priority="59">
      <formula>AA$9&gt;=20/24</formula>
    </cfRule>
    <cfRule type="expression" dxfId="3676" priority="60">
      <formula>AND(AA$9&gt;=14/24,AA$9&lt;20/24)</formula>
    </cfRule>
    <cfRule type="expression" dxfId="3675" priority="61">
      <formula>AND(AA$9&gt;=8/24,AA$9&lt;14/24)</formula>
    </cfRule>
    <cfRule type="expression" dxfId="3674" priority="62">
      <formula>AA$9&lt;8/24</formula>
    </cfRule>
  </conditionalFormatting>
  <conditionalFormatting sqref="AA43:AB43 AA45:AF45">
    <cfRule type="expression" dxfId="3673" priority="55">
      <formula>AA$9&gt;=20/24</formula>
    </cfRule>
    <cfRule type="expression" dxfId="3672" priority="56">
      <formula>AND(AA$9&gt;=14/24,AA$9&lt;20/24)</formula>
    </cfRule>
    <cfRule type="expression" dxfId="3671" priority="57">
      <formula>AND(AA$9&gt;=8/24,AA$9&lt;14/24)</formula>
    </cfRule>
    <cfRule type="expression" dxfId="3670" priority="58">
      <formula>AA$9&lt;8/24</formula>
    </cfRule>
  </conditionalFormatting>
  <conditionalFormatting sqref="AA39:AA47 AB43:AB47 AC44:AF47">
    <cfRule type="expression" dxfId="3669" priority="54">
      <formula>AA39&gt;$AG39</formula>
    </cfRule>
  </conditionalFormatting>
  <conditionalFormatting sqref="AA44:AF44">
    <cfRule type="expression" dxfId="3668" priority="50">
      <formula>AA$9&gt;=20/24</formula>
    </cfRule>
    <cfRule type="expression" dxfId="3667" priority="51">
      <formula>AND(AA$9&gt;=14/24,AA$9&lt;20/24)</formula>
    </cfRule>
    <cfRule type="expression" dxfId="3666" priority="52">
      <formula>AND(AA$9&gt;=8/24,AA$9&lt;14/24)</formula>
    </cfRule>
    <cfRule type="expression" dxfId="3665" priority="53">
      <formula>AA$9&lt;8/24</formula>
    </cfRule>
  </conditionalFormatting>
  <conditionalFormatting sqref="AA48:AF48">
    <cfRule type="expression" dxfId="3664" priority="46">
      <formula>AA$9&gt;=20/24</formula>
    </cfRule>
    <cfRule type="expression" dxfId="3663" priority="47">
      <formula>AND(AA$9&gt;=14/24,AA$9&lt;20/24)</formula>
    </cfRule>
    <cfRule type="expression" dxfId="3662" priority="48">
      <formula>AND(AA$9&gt;=8/24,AA$9&lt;14/24)</formula>
    </cfRule>
    <cfRule type="expression" dxfId="3661" priority="49">
      <formula>AA$9&lt;8/24</formula>
    </cfRule>
  </conditionalFormatting>
  <conditionalFormatting sqref="AA49:AF49">
    <cfRule type="expression" dxfId="3660" priority="42">
      <formula>AA$9&gt;=20/24</formula>
    </cfRule>
    <cfRule type="expression" dxfId="3659" priority="43">
      <formula>AND(AA$9&gt;=14/24,AA$9&lt;20/24)</formula>
    </cfRule>
    <cfRule type="expression" dxfId="3658" priority="44">
      <formula>AND(AA$9&gt;=8/24,AA$9&lt;14/24)</formula>
    </cfRule>
    <cfRule type="expression" dxfId="3657" priority="45">
      <formula>AA$9&lt;8/24</formula>
    </cfRule>
  </conditionalFormatting>
  <conditionalFormatting sqref="AA50:AF50">
    <cfRule type="expression" dxfId="3656" priority="38">
      <formula>AA$9&gt;=20/24</formula>
    </cfRule>
    <cfRule type="expression" dxfId="3655" priority="39">
      <formula>AND(AA$9&gt;=14/24,AA$9&lt;20/24)</formula>
    </cfRule>
    <cfRule type="expression" dxfId="3654" priority="40">
      <formula>AND(AA$9&gt;=8/24,AA$9&lt;14/24)</formula>
    </cfRule>
    <cfRule type="expression" dxfId="3653" priority="41">
      <formula>AA$9&lt;8/24</formula>
    </cfRule>
  </conditionalFormatting>
  <conditionalFormatting sqref="AA48:AF50">
    <cfRule type="expression" dxfId="3652" priority="37">
      <formula>AA48&gt;$AG48</formula>
    </cfRule>
  </conditionalFormatting>
  <conditionalFormatting sqref="AA46:AF47">
    <cfRule type="expression" dxfId="3651" priority="33">
      <formula>AA$9&gt;=20/24</formula>
    </cfRule>
    <cfRule type="expression" dxfId="3650" priority="34">
      <formula>AND(AA$9&gt;=14/24,AA$9&lt;20/24)</formula>
    </cfRule>
    <cfRule type="expression" dxfId="3649" priority="35">
      <formula>AND(AA$9&gt;=8/24,AA$9&lt;14/24)</formula>
    </cfRule>
    <cfRule type="expression" dxfId="3648" priority="36">
      <formula>AA$9&lt;8/24</formula>
    </cfRule>
  </conditionalFormatting>
  <conditionalFormatting sqref="AA46:AF47">
    <cfRule type="expression" dxfId="3647" priority="29">
      <formula>AA$9&gt;=20/24</formula>
    </cfRule>
    <cfRule type="expression" dxfId="3646" priority="30">
      <formula>AND(AA$9&gt;=14/24,AA$9&lt;20/24)</formula>
    </cfRule>
    <cfRule type="expression" dxfId="3645" priority="31">
      <formula>AND(AA$9&gt;=8/24,AA$9&lt;14/24)</formula>
    </cfRule>
    <cfRule type="expression" dxfId="3644" priority="32">
      <formula>AA$9&lt;8/24</formula>
    </cfRule>
  </conditionalFormatting>
  <conditionalFormatting sqref="AA57">
    <cfRule type="expression" dxfId="3643" priority="25">
      <formula>AA$9&gt;=20/24</formula>
    </cfRule>
    <cfRule type="expression" dxfId="3642" priority="26">
      <formula>AND(AA$9&gt;=14/24,AA$9&lt;20/24)</formula>
    </cfRule>
    <cfRule type="expression" dxfId="3641" priority="27">
      <formula>AND(AA$9&gt;=8/24,AA$9&lt;14/24)</formula>
    </cfRule>
    <cfRule type="expression" dxfId="3640" priority="28">
      <formula>AA$9&lt;8/24</formula>
    </cfRule>
  </conditionalFormatting>
  <conditionalFormatting sqref="AA60:AF67">
    <cfRule type="expression" dxfId="3639" priority="21">
      <formula>AA$9&gt;=20/24</formula>
    </cfRule>
    <cfRule type="expression" dxfId="3638" priority="22">
      <formula>AND(AA$9&gt;=14/24,AA$9&lt;20/24)</formula>
    </cfRule>
    <cfRule type="expression" dxfId="3637" priority="23">
      <formula>AND(AA$9&gt;=8/24,AA$9&lt;14/24)</formula>
    </cfRule>
    <cfRule type="expression" dxfId="3636" priority="24">
      <formula>AA$9&lt;8/24</formula>
    </cfRule>
  </conditionalFormatting>
  <conditionalFormatting sqref="AA85:AA91 AB88:AB91">
    <cfRule type="expression" dxfId="3635" priority="17">
      <formula>AA$9&gt;=20/24</formula>
    </cfRule>
    <cfRule type="expression" dxfId="3634" priority="18">
      <formula>AND(AA$9&gt;=14/24,AA$9&lt;20/24)</formula>
    </cfRule>
    <cfRule type="expression" dxfId="3633" priority="19">
      <formula>AND(AA$9&gt;=8/24,AA$9&lt;14/24)</formula>
    </cfRule>
    <cfRule type="expression" dxfId="3632" priority="20">
      <formula>AA$9&lt;8/24</formula>
    </cfRule>
  </conditionalFormatting>
  <conditionalFormatting sqref="AA84">
    <cfRule type="expression" dxfId="3631" priority="13">
      <formula>AA$9&gt;=20/24</formula>
    </cfRule>
    <cfRule type="expression" dxfId="3630" priority="14">
      <formula>AND(AA$9&gt;=14/24,AA$9&lt;20/24)</formula>
    </cfRule>
    <cfRule type="expression" dxfId="3629" priority="15">
      <formula>AND(AA$9&gt;=8/24,AA$9&lt;14/24)</formula>
    </cfRule>
    <cfRule type="expression" dxfId="3628" priority="16">
      <formula>AA$9&lt;8/24</formula>
    </cfRule>
  </conditionalFormatting>
  <conditionalFormatting sqref="AA94:AA97 AB95:AB97">
    <cfRule type="expression" dxfId="3627" priority="9">
      <formula>AA$9&gt;=20/24</formula>
    </cfRule>
    <cfRule type="expression" dxfId="3626" priority="10">
      <formula>AND(AA$9&gt;=14/24,AA$9&lt;20/24)</formula>
    </cfRule>
    <cfRule type="expression" dxfId="3625" priority="11">
      <formula>AND(AA$9&gt;=8/24,AA$9&lt;14/24)</formula>
    </cfRule>
    <cfRule type="expression" dxfId="3624" priority="12">
      <formula>AA$9&lt;8/24</formula>
    </cfRule>
  </conditionalFormatting>
  <conditionalFormatting sqref="AA98:AB98">
    <cfRule type="expression" dxfId="3623" priority="5">
      <formula>AA$9&gt;=20/24</formula>
    </cfRule>
    <cfRule type="expression" dxfId="3622" priority="6">
      <formula>AND(AA$9&gt;=14/24,AA$9&lt;20/24)</formula>
    </cfRule>
    <cfRule type="expression" dxfId="3621" priority="7">
      <formula>AND(AA$9&gt;=8/24,AA$9&lt;14/24)</formula>
    </cfRule>
    <cfRule type="expression" dxfId="3620" priority="8">
      <formula>AA$9&lt;8/24</formula>
    </cfRule>
  </conditionalFormatting>
  <conditionalFormatting sqref="AA99:AB100">
    <cfRule type="expression" dxfId="3619" priority="1">
      <formula>AA$9&gt;=20/24</formula>
    </cfRule>
    <cfRule type="expression" dxfId="3618" priority="2">
      <formula>AND(AA$9&gt;=14/24,AA$9&lt;20/24)</formula>
    </cfRule>
    <cfRule type="expression" dxfId="3617" priority="3">
      <formula>AND(AA$9&gt;=8/24,AA$9&lt;14/24)</formula>
    </cfRule>
    <cfRule type="expression" dxfId="3616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2" id="{43101D5F-FB03-4B93-9F19-9D1BB6F2814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F13" sqref="AF1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2078/12/19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88.3</v>
      </c>
      <c r="C5" s="157">
        <f t="shared" si="0"/>
        <v>104.39999999999999</v>
      </c>
      <c r="D5" s="157">
        <f t="shared" si="0"/>
        <v>306.10000000000002</v>
      </c>
      <c r="E5" s="157">
        <f t="shared" si="0"/>
        <v>296.40000000000003</v>
      </c>
      <c r="F5" s="157">
        <f t="shared" si="0"/>
        <v>312.60000000000002</v>
      </c>
      <c r="G5" s="157">
        <f t="shared" si="0"/>
        <v>102.5</v>
      </c>
      <c r="H5" s="157">
        <f t="shared" si="0"/>
        <v>93.5</v>
      </c>
      <c r="I5" s="157">
        <f t="shared" si="0"/>
        <v>240.2</v>
      </c>
      <c r="J5" s="157">
        <f t="shared" si="0"/>
        <v>273</v>
      </c>
      <c r="K5" s="157">
        <f t="shared" si="0"/>
        <v>257</v>
      </c>
      <c r="L5" s="157">
        <f t="shared" si="0"/>
        <v>436.6</v>
      </c>
      <c r="M5" s="157">
        <f t="shared" si="0"/>
        <v>464.8</v>
      </c>
      <c r="N5" s="157">
        <f t="shared" si="0"/>
        <v>428.09999999999997</v>
      </c>
      <c r="O5" s="157">
        <f t="shared" si="0"/>
        <v>442.40000000000003</v>
      </c>
      <c r="P5" s="157">
        <f t="shared" si="0"/>
        <v>461.50000000000006</v>
      </c>
      <c r="Q5" s="157">
        <f t="shared" si="0"/>
        <v>441.63</v>
      </c>
      <c r="R5" s="157">
        <f t="shared" si="0"/>
        <v>465</v>
      </c>
      <c r="S5" s="157">
        <f t="shared" si="0"/>
        <v>436</v>
      </c>
      <c r="T5" s="157">
        <f t="shared" si="0"/>
        <v>551.4</v>
      </c>
      <c r="U5" s="157">
        <f t="shared" si="0"/>
        <v>535.09999999999991</v>
      </c>
      <c r="V5" s="157">
        <f t="shared" si="0"/>
        <v>397.1</v>
      </c>
      <c r="W5" s="157">
        <f t="shared" si="0"/>
        <v>274.8</v>
      </c>
      <c r="X5" s="157">
        <f t="shared" si="0"/>
        <v>213.7</v>
      </c>
      <c r="Y5" s="157">
        <f t="shared" si="0"/>
        <v>251.7</v>
      </c>
      <c r="Z5" s="157">
        <f t="shared" si="0"/>
        <v>151</v>
      </c>
      <c r="AA5" s="157">
        <f t="shared" si="0"/>
        <v>131.5</v>
      </c>
      <c r="AB5" s="157">
        <f t="shared" si="0"/>
        <v>148.19999999999999</v>
      </c>
      <c r="AC5" s="157">
        <f t="shared" si="0"/>
        <v>99.2</v>
      </c>
      <c r="AD5" s="157">
        <f t="shared" si="0"/>
        <v>99.710000000000008</v>
      </c>
      <c r="AE5" s="157">
        <f t="shared" si="0"/>
        <v>82.1</v>
      </c>
      <c r="AF5" s="157">
        <f>B68</f>
        <v>96.8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1373MW at 9:00hr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Load=1143</v>
      </c>
      <c r="B7" s="146">
        <f>B75</f>
        <v>1265.24</v>
      </c>
      <c r="C7" s="146">
        <f t="shared" ref="C7:AF7" si="1">C75</f>
        <v>1217.0400000000002</v>
      </c>
      <c r="D7" s="146">
        <f t="shared" si="1"/>
        <v>1205.3400000000001</v>
      </c>
      <c r="E7" s="146">
        <f t="shared" si="1"/>
        <v>1151.04</v>
      </c>
      <c r="F7" s="146">
        <f t="shared" si="1"/>
        <v>1142.54</v>
      </c>
      <c r="G7" s="146">
        <f t="shared" si="1"/>
        <v>1178.1399999999999</v>
      </c>
      <c r="H7" s="146">
        <f t="shared" si="1"/>
        <v>1201.1400000000001</v>
      </c>
      <c r="I7" s="146">
        <f t="shared" si="1"/>
        <v>1212.74</v>
      </c>
      <c r="J7" s="146">
        <f t="shared" si="1"/>
        <v>1240.44</v>
      </c>
      <c r="K7" s="146">
        <f t="shared" si="1"/>
        <v>1289.94</v>
      </c>
      <c r="L7" s="146">
        <f t="shared" si="1"/>
        <v>1344.24</v>
      </c>
      <c r="M7" s="146">
        <f t="shared" si="1"/>
        <v>1369.6399999999999</v>
      </c>
      <c r="N7" s="146">
        <f t="shared" si="1"/>
        <v>1372.74</v>
      </c>
      <c r="O7" s="146">
        <f t="shared" si="1"/>
        <v>1360.34</v>
      </c>
      <c r="P7" s="146">
        <f t="shared" si="1"/>
        <v>1344.44</v>
      </c>
      <c r="Q7" s="146">
        <f t="shared" si="1"/>
        <v>1338.7400000000002</v>
      </c>
      <c r="R7" s="146">
        <f t="shared" si="1"/>
        <v>1327.8700000000001</v>
      </c>
      <c r="S7" s="146">
        <f t="shared" si="1"/>
        <v>1361.3400000000001</v>
      </c>
      <c r="T7" s="146">
        <f t="shared" si="1"/>
        <v>1326.3400000000001</v>
      </c>
      <c r="U7" s="146">
        <f t="shared" si="1"/>
        <v>1335.94</v>
      </c>
      <c r="V7" s="146">
        <f t="shared" si="1"/>
        <v>1320.04</v>
      </c>
      <c r="W7" s="146">
        <f t="shared" si="1"/>
        <v>1318.4390000000001</v>
      </c>
      <c r="X7" s="146">
        <f t="shared" si="1"/>
        <v>1177.0400000000002</v>
      </c>
      <c r="Y7" s="146">
        <f t="shared" si="1"/>
        <v>1387.74</v>
      </c>
      <c r="Z7" s="146">
        <f t="shared" si="1"/>
        <v>1522.04</v>
      </c>
      <c r="AA7" s="146">
        <f t="shared" si="1"/>
        <v>1521.3400000000001</v>
      </c>
      <c r="AB7" s="146">
        <f t="shared" si="1"/>
        <v>1495.2400000000002</v>
      </c>
      <c r="AC7" s="146">
        <f t="shared" si="1"/>
        <v>1443.24</v>
      </c>
      <c r="AD7" s="146">
        <f t="shared" si="1"/>
        <v>1314.04</v>
      </c>
      <c r="AE7" s="146">
        <f t="shared" si="1"/>
        <v>1247.5500000000002</v>
      </c>
      <c r="AF7" s="146">
        <f t="shared" si="1"/>
        <v>1220.6399999999999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190</v>
      </c>
      <c r="C11" s="127">
        <v>150</v>
      </c>
      <c r="D11" s="127">
        <v>130</v>
      </c>
      <c r="E11" s="127">
        <v>50</v>
      </c>
      <c r="F11" s="127">
        <v>82.5</v>
      </c>
      <c r="G11" s="127">
        <v>110</v>
      </c>
      <c r="H11" s="127">
        <v>300</v>
      </c>
      <c r="I11" s="127">
        <v>320</v>
      </c>
      <c r="J11" s="127">
        <v>250</v>
      </c>
      <c r="K11" s="127">
        <v>270</v>
      </c>
      <c r="L11" s="127">
        <v>290</v>
      </c>
      <c r="M11" s="181">
        <v>120</v>
      </c>
      <c r="N11" s="103">
        <v>80</v>
      </c>
      <c r="O11" s="103">
        <v>140</v>
      </c>
      <c r="P11" s="103">
        <v>150</v>
      </c>
      <c r="Q11" s="103">
        <v>150</v>
      </c>
      <c r="R11" s="135">
        <v>160</v>
      </c>
      <c r="S11" s="103">
        <v>160</v>
      </c>
      <c r="T11" s="103">
        <v>130</v>
      </c>
      <c r="U11" s="103">
        <v>12</v>
      </c>
      <c r="V11" s="103">
        <v>13</v>
      </c>
      <c r="W11" s="103">
        <v>80</v>
      </c>
      <c r="X11" s="103">
        <v>100</v>
      </c>
      <c r="Y11" s="103">
        <v>250</v>
      </c>
      <c r="Z11" s="179">
        <v>280</v>
      </c>
      <c r="AA11" s="103">
        <v>380</v>
      </c>
      <c r="AB11" s="103">
        <v>360</v>
      </c>
      <c r="AC11" s="103">
        <v>350</v>
      </c>
      <c r="AD11" s="103">
        <v>320</v>
      </c>
      <c r="AE11" s="103">
        <v>280</v>
      </c>
      <c r="AF11" s="127">
        <v>311</v>
      </c>
      <c r="AG11" s="54">
        <v>456</v>
      </c>
      <c r="AH11" s="21">
        <f>MAX(B11:AF11)</f>
        <v>380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81">
        <v>27</v>
      </c>
      <c r="N12" s="181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77">
        <v>27</v>
      </c>
      <c r="V12" s="77">
        <v>27</v>
      </c>
      <c r="W12" s="77">
        <v>27</v>
      </c>
      <c r="X12" s="77">
        <v>27</v>
      </c>
      <c r="Y12" s="7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27">
        <v>27.3</v>
      </c>
      <c r="AG12" s="134">
        <v>60</v>
      </c>
      <c r="AH12" s="21">
        <f t="shared" ref="AH12:AH75" si="2">MAX(B12:AF12)</f>
        <v>27.3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16.399999999999999</v>
      </c>
      <c r="C13" s="127">
        <v>16.399999999999999</v>
      </c>
      <c r="D13" s="127">
        <v>16.399999999999999</v>
      </c>
      <c r="E13" s="127">
        <v>16.399999999999999</v>
      </c>
      <c r="F13" s="127">
        <v>16.399999999999999</v>
      </c>
      <c r="G13" s="127">
        <v>16.399999999999999</v>
      </c>
      <c r="H13" s="127">
        <v>16.399999999999999</v>
      </c>
      <c r="I13" s="127">
        <v>16.399999999999999</v>
      </c>
      <c r="J13" s="127">
        <v>16.399999999999999</v>
      </c>
      <c r="K13" s="127">
        <v>16.399999999999999</v>
      </c>
      <c r="L13" s="127">
        <v>16.399999999999999</v>
      </c>
      <c r="M13" s="181">
        <v>16.399999999999999</v>
      </c>
      <c r="N13" s="181">
        <v>20.5</v>
      </c>
      <c r="O13" s="127">
        <v>19.7</v>
      </c>
      <c r="P13" s="127">
        <v>19.7</v>
      </c>
      <c r="Q13" s="127">
        <v>19</v>
      </c>
      <c r="R13" s="127">
        <v>18.3</v>
      </c>
      <c r="S13" s="127">
        <v>18.3</v>
      </c>
      <c r="T13" s="127">
        <v>18.3</v>
      </c>
      <c r="U13" s="77">
        <v>18.3</v>
      </c>
      <c r="V13" s="77">
        <v>18.3</v>
      </c>
      <c r="W13" s="77">
        <v>18.3</v>
      </c>
      <c r="X13" s="77">
        <v>18.3</v>
      </c>
      <c r="Y13" s="77">
        <v>18.3</v>
      </c>
      <c r="Z13" s="103">
        <v>19.7</v>
      </c>
      <c r="AA13" s="103">
        <v>19.7</v>
      </c>
      <c r="AB13" s="103">
        <v>35</v>
      </c>
      <c r="AC13" s="103">
        <v>35</v>
      </c>
      <c r="AD13" s="103">
        <v>35</v>
      </c>
      <c r="AE13" s="103">
        <v>35</v>
      </c>
      <c r="AF13" s="127">
        <v>27.3</v>
      </c>
      <c r="AG13" s="134">
        <v>52.4</v>
      </c>
      <c r="AH13" s="21">
        <f t="shared" si="2"/>
        <v>35</v>
      </c>
      <c r="AI13" s="20">
        <f t="shared" si="3"/>
        <v>16.399999999999999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25.5</v>
      </c>
      <c r="C14" s="127">
        <v>25.5</v>
      </c>
      <c r="D14" s="127">
        <v>25.5</v>
      </c>
      <c r="E14" s="127">
        <v>25.5</v>
      </c>
      <c r="F14" s="127">
        <v>25.5</v>
      </c>
      <c r="G14" s="127">
        <v>25.5</v>
      </c>
      <c r="H14" s="127">
        <v>25.5</v>
      </c>
      <c r="I14" s="127">
        <v>25.5</v>
      </c>
      <c r="J14" s="127">
        <v>25.5</v>
      </c>
      <c r="K14" s="127">
        <v>25.5</v>
      </c>
      <c r="L14" s="127">
        <v>25.5</v>
      </c>
      <c r="M14" s="181">
        <v>25.5</v>
      </c>
      <c r="N14" s="181">
        <v>25.2</v>
      </c>
      <c r="O14" s="103">
        <v>25.1</v>
      </c>
      <c r="P14" s="103">
        <v>25.4</v>
      </c>
      <c r="Q14" s="103">
        <v>25.4</v>
      </c>
      <c r="R14" s="103">
        <v>25.3</v>
      </c>
      <c r="S14" s="103">
        <v>25.3</v>
      </c>
      <c r="T14" s="103">
        <v>25.3</v>
      </c>
      <c r="U14" s="67">
        <v>25.3</v>
      </c>
      <c r="V14" s="67">
        <v>25.3</v>
      </c>
      <c r="W14" s="67">
        <v>25.3</v>
      </c>
      <c r="X14" s="67">
        <v>25.3</v>
      </c>
      <c r="Y14" s="67">
        <v>25.3</v>
      </c>
      <c r="Z14" s="103">
        <v>25.4</v>
      </c>
      <c r="AA14" s="103">
        <v>25.4</v>
      </c>
      <c r="AB14" s="103">
        <v>25.4</v>
      </c>
      <c r="AC14" s="103">
        <v>25.4</v>
      </c>
      <c r="AD14" s="103">
        <v>25.4</v>
      </c>
      <c r="AE14" s="103">
        <v>25.4</v>
      </c>
      <c r="AF14" s="103">
        <v>25.4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22.7</v>
      </c>
      <c r="C15" s="123">
        <v>22.7</v>
      </c>
      <c r="D15" s="123">
        <v>22.7</v>
      </c>
      <c r="E15" s="123">
        <v>22.7</v>
      </c>
      <c r="F15" s="123">
        <v>22.7</v>
      </c>
      <c r="G15" s="123">
        <v>22.7</v>
      </c>
      <c r="H15" s="123">
        <v>22.7</v>
      </c>
      <c r="I15" s="123">
        <v>22.7</v>
      </c>
      <c r="J15" s="123">
        <v>22.7</v>
      </c>
      <c r="K15" s="123">
        <v>22.7</v>
      </c>
      <c r="L15" s="123">
        <v>22.7</v>
      </c>
      <c r="M15" s="182">
        <v>22.7</v>
      </c>
      <c r="N15" s="182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67">
        <v>22.7</v>
      </c>
      <c r="V15" s="67">
        <v>22.7</v>
      </c>
      <c r="W15" s="67">
        <v>22.4</v>
      </c>
      <c r="X15" s="67">
        <v>22.4</v>
      </c>
      <c r="Y15" s="67">
        <v>22.4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22.9</v>
      </c>
      <c r="AE15" s="103">
        <v>22.9</v>
      </c>
      <c r="AF15" s="103">
        <v>22.9</v>
      </c>
      <c r="AG15" s="108">
        <v>45</v>
      </c>
      <c r="AH15" s="21">
        <f t="shared" si="2"/>
        <v>22.9</v>
      </c>
      <c r="AI15" s="20">
        <f t="shared" si="3"/>
        <v>22.4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81">
        <v>14</v>
      </c>
      <c r="N16" s="181">
        <v>14</v>
      </c>
      <c r="O16" s="181">
        <v>14</v>
      </c>
      <c r="P16" s="181">
        <v>14</v>
      </c>
      <c r="Q16" s="181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81">
        <v>6.5</v>
      </c>
      <c r="N17" s="181">
        <v>6.5</v>
      </c>
      <c r="O17" s="181">
        <v>6.5</v>
      </c>
      <c r="P17" s="181">
        <v>6.5</v>
      </c>
      <c r="Q17" s="181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81">
        <v>8</v>
      </c>
      <c r="N18" s="181">
        <v>8</v>
      </c>
      <c r="O18" s="181">
        <v>8</v>
      </c>
      <c r="P18" s="181">
        <v>8</v>
      </c>
      <c r="Q18" s="181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12.2</v>
      </c>
      <c r="C19" s="127">
        <v>12.2</v>
      </c>
      <c r="D19" s="127">
        <v>12.2</v>
      </c>
      <c r="E19" s="127">
        <v>12.2</v>
      </c>
      <c r="F19" s="127">
        <v>12.2</v>
      </c>
      <c r="G19" s="127">
        <v>12.2</v>
      </c>
      <c r="H19" s="127">
        <v>12.2</v>
      </c>
      <c r="I19" s="127">
        <v>12.2</v>
      </c>
      <c r="J19" s="127">
        <v>12.2</v>
      </c>
      <c r="K19" s="127">
        <v>12.2</v>
      </c>
      <c r="L19" s="127">
        <v>12.2</v>
      </c>
      <c r="M19" s="181">
        <v>13.1</v>
      </c>
      <c r="N19" s="181">
        <v>13.1</v>
      </c>
      <c r="O19" s="181">
        <v>13.1</v>
      </c>
      <c r="P19" s="181">
        <v>13.1</v>
      </c>
      <c r="Q19" s="181">
        <v>13.1</v>
      </c>
      <c r="R19" s="103">
        <v>12.5</v>
      </c>
      <c r="S19" s="103">
        <v>12.5</v>
      </c>
      <c r="T19" s="103">
        <v>12.5</v>
      </c>
      <c r="U19" s="103">
        <v>12.5</v>
      </c>
      <c r="V19" s="103">
        <v>12.5</v>
      </c>
      <c r="W19" s="103">
        <v>12.5</v>
      </c>
      <c r="X19" s="103">
        <v>12.5</v>
      </c>
      <c r="Y19" s="103">
        <v>12.5</v>
      </c>
      <c r="Z19" s="103">
        <v>13.3</v>
      </c>
      <c r="AA19" s="103">
        <v>13.3</v>
      </c>
      <c r="AB19" s="103">
        <v>13.3</v>
      </c>
      <c r="AC19" s="103">
        <v>13.3</v>
      </c>
      <c r="AD19" s="103">
        <v>13.3</v>
      </c>
      <c r="AE19" s="103">
        <v>13.3</v>
      </c>
      <c r="AF19" s="103">
        <v>13.3</v>
      </c>
      <c r="AG19" s="134">
        <v>30</v>
      </c>
      <c r="AH19" s="21">
        <f t="shared" si="2"/>
        <v>13.3</v>
      </c>
      <c r="AI19" s="20">
        <f t="shared" si="3"/>
        <v>12.2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81">
        <v>6.2</v>
      </c>
      <c r="N20" s="181">
        <v>6.2</v>
      </c>
      <c r="O20" s="181">
        <v>6.2</v>
      </c>
      <c r="P20" s="181">
        <v>6.2</v>
      </c>
      <c r="Q20" s="181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81">
        <v>3.5</v>
      </c>
      <c r="N21" s="181">
        <v>3.5</v>
      </c>
      <c r="O21" s="181">
        <v>3.5</v>
      </c>
      <c r="P21" s="181">
        <v>3.5</v>
      </c>
      <c r="Q21" s="181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22.3</v>
      </c>
      <c r="C22" s="127">
        <v>22.3</v>
      </c>
      <c r="D22" s="127">
        <v>22.3</v>
      </c>
      <c r="E22" s="127">
        <v>22.3</v>
      </c>
      <c r="F22" s="127">
        <v>22.3</v>
      </c>
      <c r="G22" s="127">
        <v>22.3</v>
      </c>
      <c r="H22" s="127">
        <v>22.3</v>
      </c>
      <c r="I22" s="127">
        <v>22.3</v>
      </c>
      <c r="J22" s="127">
        <v>22.3</v>
      </c>
      <c r="K22" s="127">
        <v>22.3</v>
      </c>
      <c r="L22" s="127">
        <v>22.3</v>
      </c>
      <c r="M22" s="103">
        <v>22.1</v>
      </c>
      <c r="N22" s="103">
        <v>22.1</v>
      </c>
      <c r="O22" s="103">
        <v>22.1</v>
      </c>
      <c r="P22" s="103">
        <v>22.1</v>
      </c>
      <c r="Q22" s="103">
        <v>22.1</v>
      </c>
      <c r="R22" s="103">
        <v>22.1</v>
      </c>
      <c r="S22" s="103">
        <v>22.1</v>
      </c>
      <c r="T22" s="103">
        <v>22.1</v>
      </c>
      <c r="U22" s="103">
        <v>22.1</v>
      </c>
      <c r="V22" s="103">
        <v>22.1</v>
      </c>
      <c r="W22" s="103">
        <v>22.1</v>
      </c>
      <c r="X22" s="103">
        <v>22.1</v>
      </c>
      <c r="Y22" s="103">
        <v>22.1</v>
      </c>
      <c r="Z22" s="103">
        <v>22.6</v>
      </c>
      <c r="AA22" s="103">
        <v>22.6</v>
      </c>
      <c r="AB22" s="103">
        <v>22.6</v>
      </c>
      <c r="AC22" s="103">
        <v>22.6</v>
      </c>
      <c r="AD22" s="103">
        <v>22.6</v>
      </c>
      <c r="AE22" s="103">
        <v>22.6</v>
      </c>
      <c r="AF22" s="103">
        <v>22.6</v>
      </c>
      <c r="AG22" s="134">
        <v>25</v>
      </c>
      <c r="AH22" s="21">
        <f t="shared" si="2"/>
        <v>22.6</v>
      </c>
      <c r="AI22" s="20">
        <f t="shared" si="3"/>
        <v>22.1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4.9000000000000004</v>
      </c>
      <c r="C23" s="127">
        <v>4.9000000000000004</v>
      </c>
      <c r="D23" s="127">
        <v>4.9000000000000004</v>
      </c>
      <c r="E23" s="127">
        <v>4.9000000000000004</v>
      </c>
      <c r="F23" s="127">
        <v>4.9000000000000004</v>
      </c>
      <c r="G23" s="127">
        <v>4.9000000000000004</v>
      </c>
      <c r="H23" s="127">
        <v>4.9000000000000004</v>
      </c>
      <c r="I23" s="127">
        <v>4.9000000000000004</v>
      </c>
      <c r="J23" s="127">
        <v>4.9000000000000004</v>
      </c>
      <c r="K23" s="127">
        <v>4.9000000000000004</v>
      </c>
      <c r="L23" s="127">
        <v>4.9000000000000004</v>
      </c>
      <c r="M23" s="181">
        <v>4.9000000000000004</v>
      </c>
      <c r="N23" s="181">
        <v>4.9000000000000004</v>
      </c>
      <c r="O23" s="181">
        <v>4.9000000000000004</v>
      </c>
      <c r="P23" s="181">
        <v>4.9000000000000004</v>
      </c>
      <c r="Q23" s="181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4.0999999999999996</v>
      </c>
      <c r="C24" s="127">
        <v>4.0999999999999996</v>
      </c>
      <c r="D24" s="127">
        <v>4.0999999999999996</v>
      </c>
      <c r="E24" s="127">
        <v>4.0999999999999996</v>
      </c>
      <c r="F24" s="127">
        <v>4.0999999999999996</v>
      </c>
      <c r="G24" s="127">
        <v>4.0999999999999996</v>
      </c>
      <c r="H24" s="127">
        <v>4.0999999999999996</v>
      </c>
      <c r="I24" s="127">
        <v>4.0999999999999996</v>
      </c>
      <c r="J24" s="127">
        <v>4.0999999999999996</v>
      </c>
      <c r="K24" s="127">
        <v>4.0999999999999996</v>
      </c>
      <c r="L24" s="127">
        <v>4.0999999999999996</v>
      </c>
      <c r="M24" s="181">
        <v>4.0999999999999996</v>
      </c>
      <c r="N24" s="181">
        <v>4.0999999999999996</v>
      </c>
      <c r="O24" s="181">
        <v>4.0999999999999996</v>
      </c>
      <c r="P24" s="181">
        <v>4.0999999999999996</v>
      </c>
      <c r="Q24" s="181">
        <v>4.0999999999999996</v>
      </c>
      <c r="R24" s="103">
        <v>6.6</v>
      </c>
      <c r="S24" s="103">
        <v>6.6</v>
      </c>
      <c r="T24" s="103">
        <v>6.6</v>
      </c>
      <c r="U24" s="103">
        <v>6.6</v>
      </c>
      <c r="V24" s="103">
        <v>6.6</v>
      </c>
      <c r="W24" s="103">
        <v>6.6</v>
      </c>
      <c r="X24" s="103">
        <v>6.6</v>
      </c>
      <c r="Y24" s="103">
        <v>6.6</v>
      </c>
      <c r="Z24" s="103">
        <v>4.7</v>
      </c>
      <c r="AA24" s="103">
        <v>4.7</v>
      </c>
      <c r="AB24" s="103">
        <v>8</v>
      </c>
      <c r="AC24" s="103">
        <v>7.8</v>
      </c>
      <c r="AD24" s="103">
        <v>7.8</v>
      </c>
      <c r="AE24" s="103">
        <v>7.8</v>
      </c>
      <c r="AF24" s="103">
        <v>11.7</v>
      </c>
      <c r="AG24" s="134">
        <v>25</v>
      </c>
      <c r="AH24" s="21">
        <f t="shared" si="2"/>
        <v>11.7</v>
      </c>
      <c r="AI24" s="20">
        <f t="shared" si="3"/>
        <v>4.0999999999999996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81">
        <v>5</v>
      </c>
      <c r="N25" s="181">
        <v>5</v>
      </c>
      <c r="O25" s="181">
        <v>5</v>
      </c>
      <c r="P25" s="181">
        <v>5</v>
      </c>
      <c r="Q25" s="181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6.7</v>
      </c>
      <c r="C26" s="127">
        <v>6.7</v>
      </c>
      <c r="D26" s="127">
        <v>6.7</v>
      </c>
      <c r="E26" s="127">
        <v>6.7</v>
      </c>
      <c r="F26" s="127">
        <v>6.7</v>
      </c>
      <c r="G26" s="127">
        <v>6.7</v>
      </c>
      <c r="H26" s="127">
        <v>6.7</v>
      </c>
      <c r="I26" s="127">
        <v>6.7</v>
      </c>
      <c r="J26" s="127">
        <v>6.7</v>
      </c>
      <c r="K26" s="127">
        <v>6.7</v>
      </c>
      <c r="L26" s="127">
        <v>6.7</v>
      </c>
      <c r="M26" s="181">
        <v>6.7</v>
      </c>
      <c r="N26" s="181">
        <v>6.7</v>
      </c>
      <c r="O26" s="181">
        <v>6.7</v>
      </c>
      <c r="P26" s="181">
        <v>6.7</v>
      </c>
      <c r="Q26" s="181">
        <v>6.7</v>
      </c>
      <c r="R26" s="103">
        <v>6.7</v>
      </c>
      <c r="S26" s="103">
        <v>6.7</v>
      </c>
      <c r="T26" s="103">
        <v>6.7</v>
      </c>
      <c r="U26" s="103">
        <v>6.7</v>
      </c>
      <c r="V26" s="103">
        <v>6.7</v>
      </c>
      <c r="W26" s="103">
        <v>6.7</v>
      </c>
      <c r="X26" s="103">
        <v>6.7</v>
      </c>
      <c r="Y26" s="103">
        <v>6.7</v>
      </c>
      <c r="Z26" s="103">
        <v>6.7</v>
      </c>
      <c r="AA26" s="103">
        <v>6.7</v>
      </c>
      <c r="AB26" s="103">
        <v>6.7</v>
      </c>
      <c r="AC26" s="103">
        <v>6.7</v>
      </c>
      <c r="AD26" s="103">
        <v>6.7</v>
      </c>
      <c r="AE26" s="103">
        <v>6.7</v>
      </c>
      <c r="AF26" s="103">
        <v>6.7</v>
      </c>
      <c r="AG26" s="134">
        <v>20</v>
      </c>
      <c r="AH26" s="21">
        <f t="shared" si="2"/>
        <v>6.7</v>
      </c>
      <c r="AI26" s="20">
        <f t="shared" si="3"/>
        <v>6.7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81">
        <v>2.5</v>
      </c>
      <c r="N27" s="181">
        <v>2.5</v>
      </c>
      <c r="O27" s="181">
        <v>2.5</v>
      </c>
      <c r="P27" s="181">
        <v>2.5</v>
      </c>
      <c r="Q27" s="181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81">
        <v>5.6</v>
      </c>
      <c r="N28" s="181">
        <v>5.6</v>
      </c>
      <c r="O28" s="181">
        <v>5.6</v>
      </c>
      <c r="P28" s="181">
        <v>5.6</v>
      </c>
      <c r="Q28" s="181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81">
        <v>4.5999999999999996</v>
      </c>
      <c r="N29" s="181">
        <v>4.5999999999999996</v>
      </c>
      <c r="O29" s="181">
        <v>4.5999999999999996</v>
      </c>
      <c r="P29" s="181">
        <v>4.5999999999999996</v>
      </c>
      <c r="Q29" s="181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81">
        <v>10</v>
      </c>
      <c r="N30" s="181">
        <v>10</v>
      </c>
      <c r="O30" s="181">
        <v>10</v>
      </c>
      <c r="P30" s="181">
        <v>10</v>
      </c>
      <c r="Q30" s="181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82">
        <v>6</v>
      </c>
      <c r="N31" s="182">
        <v>6</v>
      </c>
      <c r="O31" s="182">
        <v>6</v>
      </c>
      <c r="P31" s="182">
        <v>6</v>
      </c>
      <c r="Q31" s="182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82">
        <v>3.7</v>
      </c>
      <c r="N32" s="182">
        <v>3.7</v>
      </c>
      <c r="O32" s="182">
        <v>3.7</v>
      </c>
      <c r="P32" s="182">
        <v>3.7</v>
      </c>
      <c r="Q32" s="182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82">
        <v>2.5</v>
      </c>
      <c r="N33" s="182">
        <v>2.5</v>
      </c>
      <c r="O33" s="182">
        <v>2.5</v>
      </c>
      <c r="P33" s="182">
        <v>2.5</v>
      </c>
      <c r="Q33" s="182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82">
        <v>5</v>
      </c>
      <c r="N34" s="182">
        <v>5</v>
      </c>
      <c r="O34" s="182">
        <v>5</v>
      </c>
      <c r="P34" s="182">
        <v>5</v>
      </c>
      <c r="Q34" s="182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82">
        <v>5</v>
      </c>
      <c r="N35" s="182">
        <v>5</v>
      </c>
      <c r="O35" s="182">
        <v>5</v>
      </c>
      <c r="P35" s="182">
        <v>5</v>
      </c>
      <c r="Q35" s="182">
        <v>5</v>
      </c>
      <c r="R35" s="103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5</v>
      </c>
      <c r="AA35" s="103">
        <v>5</v>
      </c>
      <c r="AB35" s="103">
        <v>5</v>
      </c>
      <c r="AC35" s="103">
        <v>5</v>
      </c>
      <c r="AD35" s="103">
        <v>5</v>
      </c>
      <c r="AE35" s="103">
        <v>5</v>
      </c>
      <c r="AF35" s="103">
        <v>5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161</v>
      </c>
      <c r="AG36" s="106">
        <v>85</v>
      </c>
      <c r="AH36" s="21">
        <f t="shared" si="2"/>
        <v>161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50</v>
      </c>
      <c r="C37" s="123">
        <v>50</v>
      </c>
      <c r="D37" s="123">
        <v>50</v>
      </c>
      <c r="E37" s="123">
        <f>19.7+30.7</f>
        <v>50.4</v>
      </c>
      <c r="F37" s="123">
        <f>20.2+28.7</f>
        <v>48.9</v>
      </c>
      <c r="G37" s="123">
        <f>19.8+27.4</f>
        <v>47.2</v>
      </c>
      <c r="H37" s="123">
        <f>19.3+26.9</f>
        <v>46.2</v>
      </c>
      <c r="I37" s="123">
        <f>19.5+25.9</f>
        <v>45.4</v>
      </c>
      <c r="J37" s="123">
        <f>18.9+26.2</f>
        <v>45.099999999999994</v>
      </c>
      <c r="K37" s="123">
        <f>19.6+25.5</f>
        <v>45.1</v>
      </c>
      <c r="L37" s="123">
        <v>45</v>
      </c>
      <c r="M37" s="128">
        <v>43.6</v>
      </c>
      <c r="N37" s="128">
        <v>44.4</v>
      </c>
      <c r="O37" s="128">
        <v>42.8</v>
      </c>
      <c r="P37" s="128">
        <v>47.4</v>
      </c>
      <c r="Q37" s="128">
        <v>44.9</v>
      </c>
      <c r="R37" s="128">
        <v>42.9</v>
      </c>
      <c r="S37" s="128">
        <v>42.9</v>
      </c>
      <c r="T37" s="128">
        <v>40</v>
      </c>
      <c r="U37" s="128">
        <v>40</v>
      </c>
      <c r="V37" s="128">
        <v>40</v>
      </c>
      <c r="W37" s="128">
        <v>40</v>
      </c>
      <c r="X37" s="128">
        <f>19.4+20.7</f>
        <v>40.099999999999994</v>
      </c>
      <c r="Y37" s="128">
        <f>18.7+19.7</f>
        <v>38.4</v>
      </c>
      <c r="Z37" s="128">
        <v>41.599999999999994</v>
      </c>
      <c r="AA37" s="128">
        <v>41.599999999999994</v>
      </c>
      <c r="AB37" s="128">
        <v>41.599999999999994</v>
      </c>
      <c r="AC37" s="128">
        <f>20.2+21.8</f>
        <v>42</v>
      </c>
      <c r="AD37" s="128">
        <f>20.5+24.8</f>
        <v>45.3</v>
      </c>
      <c r="AE37" s="128">
        <f>24.3+26.9</f>
        <v>51.2</v>
      </c>
      <c r="AF37" s="128">
        <f>26.2+26.4</f>
        <v>52.599999999999994</v>
      </c>
      <c r="AG37" s="106">
        <v>240</v>
      </c>
      <c r="AH37" s="21">
        <f t="shared" si="2"/>
        <v>52.599999999999994</v>
      </c>
      <c r="AI37" s="20">
        <f t="shared" si="3"/>
        <v>38.4</v>
      </c>
      <c r="AK37" s="42"/>
    </row>
    <row r="38" spans="1:88" ht="15.75" thickBot="1" x14ac:dyDescent="0.3">
      <c r="A38" s="100" t="s">
        <v>173</v>
      </c>
      <c r="B38" s="99">
        <f>SUM(B11:B36)</f>
        <v>574.9</v>
      </c>
      <c r="C38" s="99">
        <f t="shared" ref="C38:AF38" si="4">SUM(C11:C36)</f>
        <v>534.90000000000009</v>
      </c>
      <c r="D38" s="99">
        <f t="shared" si="4"/>
        <v>514.90000000000009</v>
      </c>
      <c r="E38" s="99">
        <f t="shared" si="4"/>
        <v>434.89999999999992</v>
      </c>
      <c r="F38" s="99">
        <f t="shared" si="4"/>
        <v>467.4</v>
      </c>
      <c r="G38" s="99">
        <f t="shared" si="4"/>
        <v>494.9</v>
      </c>
      <c r="H38" s="99">
        <f t="shared" si="4"/>
        <v>684.90000000000009</v>
      </c>
      <c r="I38" s="99">
        <f t="shared" si="4"/>
        <v>704.9</v>
      </c>
      <c r="J38" s="99">
        <f t="shared" si="4"/>
        <v>634.9</v>
      </c>
      <c r="K38" s="99">
        <f t="shared" si="4"/>
        <v>654.9</v>
      </c>
      <c r="L38" s="99">
        <f t="shared" si="4"/>
        <v>674.9</v>
      </c>
      <c r="M38" s="99">
        <f t="shared" si="4"/>
        <v>510.6</v>
      </c>
      <c r="N38" s="99">
        <f t="shared" si="4"/>
        <v>474.4</v>
      </c>
      <c r="O38" s="99">
        <f t="shared" si="4"/>
        <v>533.5</v>
      </c>
      <c r="P38" s="99">
        <f t="shared" si="4"/>
        <v>543.79999999999995</v>
      </c>
      <c r="Q38" s="99">
        <f t="shared" si="4"/>
        <v>543.10000000000014</v>
      </c>
      <c r="R38" s="99">
        <f t="shared" si="4"/>
        <v>554.20000000000005</v>
      </c>
      <c r="S38" s="99">
        <f t="shared" si="4"/>
        <v>554.20000000000005</v>
      </c>
      <c r="T38" s="99">
        <f t="shared" si="4"/>
        <v>524.20000000000005</v>
      </c>
      <c r="U38" s="99">
        <f t="shared" si="4"/>
        <v>406.19999999999993</v>
      </c>
      <c r="V38" s="99">
        <f t="shared" si="4"/>
        <v>407.19999999999993</v>
      </c>
      <c r="W38" s="99">
        <f t="shared" si="4"/>
        <v>473.90000000000003</v>
      </c>
      <c r="X38" s="99">
        <f t="shared" si="4"/>
        <v>493.90000000000003</v>
      </c>
      <c r="Y38" s="99">
        <f t="shared" si="4"/>
        <v>643.90000000000009</v>
      </c>
      <c r="Z38" s="99">
        <f t="shared" si="4"/>
        <v>675.09999999999991</v>
      </c>
      <c r="AA38" s="99">
        <f t="shared" si="4"/>
        <v>775.10000000000014</v>
      </c>
      <c r="AB38" s="99">
        <f t="shared" si="4"/>
        <v>773.70000000000016</v>
      </c>
      <c r="AC38" s="99">
        <f t="shared" si="4"/>
        <v>763.5</v>
      </c>
      <c r="AD38" s="99">
        <f t="shared" si="4"/>
        <v>733.7</v>
      </c>
      <c r="AE38" s="99">
        <f t="shared" si="4"/>
        <v>693.7</v>
      </c>
      <c r="AF38" s="99">
        <f t="shared" si="4"/>
        <v>722.2</v>
      </c>
      <c r="AG38" s="106">
        <f>SUM(AG11:AG37)</f>
        <v>1492.8299999999997</v>
      </c>
      <c r="AH38" s="21">
        <f t="shared" si="2"/>
        <v>775.10000000000014</v>
      </c>
      <c r="AI38" s="20">
        <f t="shared" si="3"/>
        <v>406.19999999999993</v>
      </c>
      <c r="AK38" s="42"/>
    </row>
    <row r="39" spans="1:88" x14ac:dyDescent="0.25">
      <c r="A39" s="109" t="s">
        <v>172</v>
      </c>
      <c r="B39" s="127">
        <v>144.80000000000001</v>
      </c>
      <c r="C39" s="127">
        <v>144.80000000000001</v>
      </c>
      <c r="D39" s="127">
        <v>144</v>
      </c>
      <c r="E39" s="123">
        <v>101.1</v>
      </c>
      <c r="F39" s="123">
        <v>99</v>
      </c>
      <c r="G39" s="123">
        <v>81</v>
      </c>
      <c r="H39" s="123">
        <v>90</v>
      </c>
      <c r="I39" s="123">
        <v>91</v>
      </c>
      <c r="J39" s="123">
        <v>70.7</v>
      </c>
      <c r="K39" s="123">
        <v>70.8</v>
      </c>
      <c r="L39" s="123">
        <v>121.1</v>
      </c>
      <c r="M39" s="103">
        <v>136.30000000000001</v>
      </c>
      <c r="N39" s="103">
        <v>136.4</v>
      </c>
      <c r="O39" s="103">
        <v>120.9</v>
      </c>
      <c r="P39" s="103">
        <v>111.1</v>
      </c>
      <c r="Q39" s="103">
        <v>97.2</v>
      </c>
      <c r="R39" s="103">
        <v>97.2</v>
      </c>
      <c r="S39" s="103">
        <v>97</v>
      </c>
      <c r="T39" s="103">
        <v>97</v>
      </c>
      <c r="U39" s="103">
        <v>113.3</v>
      </c>
      <c r="V39" s="103">
        <v>121</v>
      </c>
      <c r="W39" s="103">
        <v>141.1</v>
      </c>
      <c r="X39" s="103">
        <v>133.1</v>
      </c>
      <c r="Y39" s="103">
        <v>145.19999999999999</v>
      </c>
      <c r="Z39" s="103">
        <v>145.5</v>
      </c>
      <c r="AA39" s="103">
        <v>145.5</v>
      </c>
      <c r="AB39" s="103">
        <v>145.30000000000001</v>
      </c>
      <c r="AC39" s="103">
        <v>145.19999999999999</v>
      </c>
      <c r="AD39" s="103">
        <v>145.4</v>
      </c>
      <c r="AE39" s="103">
        <v>145.1</v>
      </c>
      <c r="AF39" s="103">
        <v>145.1</v>
      </c>
      <c r="AG39" s="108">
        <v>144</v>
      </c>
      <c r="AH39" s="21">
        <f t="shared" si="2"/>
        <v>145.5</v>
      </c>
      <c r="AI39" s="20">
        <f t="shared" si="3"/>
        <v>70.7</v>
      </c>
      <c r="AK39" s="42"/>
    </row>
    <row r="40" spans="1:88" x14ac:dyDescent="0.25">
      <c r="A40" s="107" t="s">
        <v>171</v>
      </c>
      <c r="B40" s="123">
        <v>70</v>
      </c>
      <c r="C40" s="123">
        <v>70</v>
      </c>
      <c r="D40" s="123">
        <v>69.599999999999994</v>
      </c>
      <c r="E40" s="123">
        <v>50</v>
      </c>
      <c r="F40" s="123">
        <v>34.799999999999997</v>
      </c>
      <c r="G40" s="123">
        <v>34.700000000000003</v>
      </c>
      <c r="H40" s="123">
        <v>70.7</v>
      </c>
      <c r="I40" s="123">
        <v>70.8</v>
      </c>
      <c r="J40" s="123">
        <v>69.900000000000006</v>
      </c>
      <c r="K40" s="123">
        <v>70.599999999999994</v>
      </c>
      <c r="L40" s="123">
        <v>70.599999999999994</v>
      </c>
      <c r="M40" s="73">
        <v>68.7</v>
      </c>
      <c r="N40" s="73">
        <v>69.8</v>
      </c>
      <c r="O40" s="73">
        <v>55.6</v>
      </c>
      <c r="P40" s="73">
        <v>49.3</v>
      </c>
      <c r="Q40" s="73">
        <v>44.4</v>
      </c>
      <c r="R40" s="73">
        <v>45.2</v>
      </c>
      <c r="S40" s="73">
        <v>71</v>
      </c>
      <c r="T40" s="73">
        <v>71</v>
      </c>
      <c r="U40" s="73">
        <v>50.5</v>
      </c>
      <c r="V40" s="73">
        <v>50.7</v>
      </c>
      <c r="W40" s="73">
        <v>63.8</v>
      </c>
      <c r="X40" s="73">
        <v>60.5</v>
      </c>
      <c r="Y40" s="73">
        <v>72</v>
      </c>
      <c r="Z40" s="73">
        <v>71.5</v>
      </c>
      <c r="AA40" s="73">
        <v>71.5</v>
      </c>
      <c r="AB40" s="73">
        <v>69.400000000000006</v>
      </c>
      <c r="AC40" s="73">
        <v>69.5</v>
      </c>
      <c r="AD40" s="73">
        <v>69.400000000000006</v>
      </c>
      <c r="AE40" s="73">
        <v>69.400000000000006</v>
      </c>
      <c r="AF40" s="73">
        <v>69.8</v>
      </c>
      <c r="AG40" s="106">
        <v>70</v>
      </c>
      <c r="AH40" s="21">
        <f t="shared" si="2"/>
        <v>72</v>
      </c>
      <c r="AI40" s="20">
        <f t="shared" si="3"/>
        <v>34.700000000000003</v>
      </c>
      <c r="AK40" s="42"/>
    </row>
    <row r="41" spans="1:88" x14ac:dyDescent="0.25">
      <c r="A41" s="107" t="s">
        <v>170</v>
      </c>
      <c r="B41" s="123">
        <v>68.5</v>
      </c>
      <c r="C41" s="123">
        <v>68.5</v>
      </c>
      <c r="D41" s="123">
        <v>68.5</v>
      </c>
      <c r="E41" s="123">
        <v>53.5</v>
      </c>
      <c r="F41" s="123">
        <v>54</v>
      </c>
      <c r="G41" s="123">
        <v>54.4</v>
      </c>
      <c r="H41" s="123">
        <v>54.3</v>
      </c>
      <c r="I41" s="123">
        <v>54.5</v>
      </c>
      <c r="J41" s="123">
        <v>68.2</v>
      </c>
      <c r="K41" s="123">
        <v>67.8</v>
      </c>
      <c r="L41" s="123">
        <v>67.8</v>
      </c>
      <c r="M41" s="73">
        <v>68.400000000000006</v>
      </c>
      <c r="N41" s="73">
        <v>68.3</v>
      </c>
      <c r="O41" s="73">
        <v>63.2</v>
      </c>
      <c r="P41" s="73">
        <v>49.3</v>
      </c>
      <c r="Q41" s="73">
        <v>44</v>
      </c>
      <c r="R41" s="73">
        <v>40.5</v>
      </c>
      <c r="S41" s="73">
        <v>45</v>
      </c>
      <c r="T41" s="73">
        <v>45</v>
      </c>
      <c r="U41" s="73">
        <v>52.3</v>
      </c>
      <c r="V41" s="73">
        <v>56.2</v>
      </c>
      <c r="W41" s="73">
        <v>69</v>
      </c>
      <c r="X41" s="73">
        <v>68.5</v>
      </c>
      <c r="Y41" s="73">
        <v>68.099999999999994</v>
      </c>
      <c r="Z41" s="73">
        <v>67.8</v>
      </c>
      <c r="AA41" s="73">
        <v>67.8</v>
      </c>
      <c r="AB41" s="73">
        <v>67.8</v>
      </c>
      <c r="AC41" s="73">
        <v>67.5</v>
      </c>
      <c r="AD41" s="73">
        <v>67.7</v>
      </c>
      <c r="AE41" s="73">
        <v>67.7</v>
      </c>
      <c r="AF41" s="73">
        <v>67.5</v>
      </c>
      <c r="AG41" s="106">
        <v>69</v>
      </c>
      <c r="AH41" s="21">
        <f t="shared" si="2"/>
        <v>69</v>
      </c>
      <c r="AI41" s="20">
        <f t="shared" si="3"/>
        <v>40.5</v>
      </c>
      <c r="AK41" s="42"/>
    </row>
    <row r="42" spans="1:88" x14ac:dyDescent="0.25">
      <c r="A42" s="107" t="s">
        <v>169</v>
      </c>
      <c r="B42" s="123">
        <v>60.9</v>
      </c>
      <c r="C42" s="123">
        <v>61.2</v>
      </c>
      <c r="D42" s="123">
        <v>61.2</v>
      </c>
      <c r="E42" s="123">
        <v>61.2</v>
      </c>
      <c r="F42" s="123">
        <v>61.2</v>
      </c>
      <c r="G42" s="123">
        <v>61.2</v>
      </c>
      <c r="H42" s="123">
        <v>61.2</v>
      </c>
      <c r="I42" s="123">
        <v>61.2</v>
      </c>
      <c r="J42" s="123">
        <v>60.9</v>
      </c>
      <c r="K42" s="123">
        <v>60.9</v>
      </c>
      <c r="L42" s="123">
        <v>60.9</v>
      </c>
      <c r="M42" s="73">
        <v>60.9</v>
      </c>
      <c r="N42" s="73">
        <v>60.9</v>
      </c>
      <c r="O42" s="73">
        <v>60.9</v>
      </c>
      <c r="P42" s="73">
        <v>60.4</v>
      </c>
      <c r="Q42" s="73">
        <v>60.4</v>
      </c>
      <c r="R42" s="73">
        <v>60.9</v>
      </c>
      <c r="S42" s="73">
        <v>60.9</v>
      </c>
      <c r="T42" s="73">
        <v>60.9</v>
      </c>
      <c r="U42" s="73">
        <v>60.9</v>
      </c>
      <c r="V42" s="73">
        <v>60.1</v>
      </c>
      <c r="W42" s="73">
        <v>60.9</v>
      </c>
      <c r="X42" s="73">
        <v>60.4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73">
        <v>60.9</v>
      </c>
      <c r="AG42" s="106">
        <v>60</v>
      </c>
      <c r="AH42" s="21">
        <f t="shared" si="2"/>
        <v>61.2</v>
      </c>
      <c r="AI42" s="20">
        <f t="shared" si="3"/>
        <v>60.1</v>
      </c>
      <c r="AK42" s="42"/>
    </row>
    <row r="43" spans="1:88" x14ac:dyDescent="0.25">
      <c r="A43" s="107" t="s">
        <v>168</v>
      </c>
      <c r="B43" s="123">
        <v>20</v>
      </c>
      <c r="C43" s="123">
        <v>20</v>
      </c>
      <c r="D43" s="123">
        <v>15</v>
      </c>
      <c r="E43" s="123">
        <v>25</v>
      </c>
      <c r="F43" s="123">
        <v>25</v>
      </c>
      <c r="G43" s="123">
        <v>25</v>
      </c>
      <c r="H43" s="123">
        <v>25</v>
      </c>
      <c r="I43" s="123">
        <v>25</v>
      </c>
      <c r="J43" s="123">
        <v>25</v>
      </c>
      <c r="K43" s="123">
        <v>25</v>
      </c>
      <c r="L43" s="123">
        <v>25</v>
      </c>
      <c r="M43" s="123">
        <v>25</v>
      </c>
      <c r="N43" s="103">
        <v>25</v>
      </c>
      <c r="O43" s="103">
        <v>25</v>
      </c>
      <c r="P43" s="103">
        <v>15</v>
      </c>
      <c r="Q43" s="103">
        <v>15</v>
      </c>
      <c r="R43" s="103">
        <v>15</v>
      </c>
      <c r="S43" s="103">
        <v>15</v>
      </c>
      <c r="T43" s="103">
        <v>15</v>
      </c>
      <c r="U43" s="103">
        <v>15</v>
      </c>
      <c r="V43" s="103">
        <v>15</v>
      </c>
      <c r="W43" s="103">
        <v>15</v>
      </c>
      <c r="X43" s="103">
        <v>14.7</v>
      </c>
      <c r="Y43" s="103">
        <v>19.2</v>
      </c>
      <c r="Z43" s="73">
        <v>28</v>
      </c>
      <c r="AA43" s="73">
        <v>28</v>
      </c>
      <c r="AB43" s="73">
        <v>28</v>
      </c>
      <c r="AC43" s="73">
        <v>28</v>
      </c>
      <c r="AD43" s="73">
        <v>28</v>
      </c>
      <c r="AE43" s="73">
        <v>24</v>
      </c>
      <c r="AF43" s="73">
        <v>24</v>
      </c>
      <c r="AG43" s="106">
        <v>30</v>
      </c>
      <c r="AH43" s="21">
        <f t="shared" si="2"/>
        <v>28</v>
      </c>
      <c r="AI43" s="20">
        <f t="shared" si="3"/>
        <v>14.7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4</v>
      </c>
      <c r="N44" s="123">
        <v>4</v>
      </c>
      <c r="O44" s="123">
        <v>4</v>
      </c>
      <c r="P44" s="123">
        <v>4</v>
      </c>
      <c r="Q44" s="123">
        <v>4</v>
      </c>
      <c r="R44" s="103">
        <v>4</v>
      </c>
      <c r="S44" s="103">
        <v>4</v>
      </c>
      <c r="T44" s="103">
        <v>4</v>
      </c>
      <c r="U44" s="103">
        <v>4</v>
      </c>
      <c r="V44" s="103">
        <v>4</v>
      </c>
      <c r="W44" s="103">
        <v>4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4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17.399999999999999</v>
      </c>
      <c r="C45" s="123">
        <v>17.399999999999999</v>
      </c>
      <c r="D45" s="123">
        <v>17.399999999999999</v>
      </c>
      <c r="E45" s="123">
        <v>17.399999999999999</v>
      </c>
      <c r="F45" s="123">
        <v>17.399999999999999</v>
      </c>
      <c r="G45" s="123">
        <v>17.399999999999999</v>
      </c>
      <c r="H45" s="123">
        <v>17.399999999999999</v>
      </c>
      <c r="I45" s="123">
        <v>17.399999999999999</v>
      </c>
      <c r="J45" s="123">
        <v>17.399999999999999</v>
      </c>
      <c r="K45" s="123">
        <v>17.399999999999999</v>
      </c>
      <c r="L45" s="123">
        <v>17.399999999999999</v>
      </c>
      <c r="M45" s="123">
        <v>17.399999999999999</v>
      </c>
      <c r="N45" s="123">
        <v>17.399999999999999</v>
      </c>
      <c r="O45" s="123">
        <v>17.399999999999999</v>
      </c>
      <c r="P45" s="123">
        <v>17.399999999999999</v>
      </c>
      <c r="Q45" s="123">
        <v>17.399999999999999</v>
      </c>
      <c r="R45" s="103">
        <v>17.399999999999999</v>
      </c>
      <c r="S45" s="103">
        <v>17.399999999999999</v>
      </c>
      <c r="T45" s="103">
        <v>17.399999999999999</v>
      </c>
      <c r="U45" s="103">
        <v>17.3</v>
      </c>
      <c r="V45" s="103">
        <v>17.3</v>
      </c>
      <c r="W45" s="103">
        <v>17.600000000000001</v>
      </c>
      <c r="X45" s="103">
        <v>17.600000000000001</v>
      </c>
      <c r="Y45" s="103">
        <v>17.600000000000001</v>
      </c>
      <c r="Z45" s="103">
        <v>17.2</v>
      </c>
      <c r="AA45" s="103">
        <v>17.2</v>
      </c>
      <c r="AB45" s="103">
        <v>17.2</v>
      </c>
      <c r="AC45" s="103">
        <v>17.2</v>
      </c>
      <c r="AD45" s="103">
        <v>17.2</v>
      </c>
      <c r="AE45" s="103">
        <v>17.2</v>
      </c>
      <c r="AF45" s="103">
        <v>17.2</v>
      </c>
      <c r="AG45" s="106">
        <v>24</v>
      </c>
      <c r="AH45" s="21">
        <f t="shared" si="2"/>
        <v>17.600000000000001</v>
      </c>
      <c r="AI45" s="20">
        <f t="shared" si="3"/>
        <v>17.2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7.1</v>
      </c>
      <c r="C48" s="123">
        <v>7.1</v>
      </c>
      <c r="D48" s="123">
        <v>7.1</v>
      </c>
      <c r="E48" s="123">
        <v>7.1</v>
      </c>
      <c r="F48" s="123">
        <v>7.1</v>
      </c>
      <c r="G48" s="123">
        <v>7.1</v>
      </c>
      <c r="H48" s="123">
        <v>7.1</v>
      </c>
      <c r="I48" s="123">
        <v>7.1</v>
      </c>
      <c r="J48" s="123">
        <v>7.1</v>
      </c>
      <c r="K48" s="123">
        <v>7.1</v>
      </c>
      <c r="L48" s="123">
        <v>7.1</v>
      </c>
      <c r="M48" s="123">
        <v>7.1</v>
      </c>
      <c r="N48" s="123">
        <v>7.1</v>
      </c>
      <c r="O48" s="123">
        <v>7.1</v>
      </c>
      <c r="P48" s="123">
        <v>7.1</v>
      </c>
      <c r="Q48" s="123">
        <v>7.1</v>
      </c>
      <c r="R48" s="10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7.1</v>
      </c>
      <c r="AK48" s="42"/>
    </row>
    <row r="49" spans="1:37" x14ac:dyDescent="0.25">
      <c r="A49" s="107" t="s">
        <v>162</v>
      </c>
      <c r="B49" s="123">
        <v>6.6</v>
      </c>
      <c r="C49" s="123">
        <v>6.6</v>
      </c>
      <c r="D49" s="123">
        <v>6.6</v>
      </c>
      <c r="E49" s="123">
        <v>6.6</v>
      </c>
      <c r="F49" s="123">
        <v>6.6</v>
      </c>
      <c r="G49" s="123">
        <v>6.6</v>
      </c>
      <c r="H49" s="123">
        <v>6.6</v>
      </c>
      <c r="I49" s="123">
        <v>6.6</v>
      </c>
      <c r="J49" s="123">
        <v>6.6</v>
      </c>
      <c r="K49" s="123">
        <v>6.6</v>
      </c>
      <c r="L49" s="123">
        <v>6.6</v>
      </c>
      <c r="M49" s="123">
        <v>6.6</v>
      </c>
      <c r="N49" s="123">
        <v>6.6</v>
      </c>
      <c r="O49" s="123">
        <v>6.6</v>
      </c>
      <c r="P49" s="123">
        <v>6.6</v>
      </c>
      <c r="Q49" s="123">
        <v>6.6</v>
      </c>
      <c r="R49" s="103">
        <v>6.6</v>
      </c>
      <c r="S49" s="103">
        <v>6.6</v>
      </c>
      <c r="T49" s="103">
        <v>6.6</v>
      </c>
      <c r="U49" s="103">
        <v>6.6</v>
      </c>
      <c r="V49" s="103">
        <v>6.6</v>
      </c>
      <c r="W49" s="103">
        <v>6.6</v>
      </c>
      <c r="X49" s="103">
        <v>6.6</v>
      </c>
      <c r="Y49" s="103">
        <v>6.6</v>
      </c>
      <c r="Z49" s="103">
        <v>6.6</v>
      </c>
      <c r="AA49" s="103">
        <v>6.6</v>
      </c>
      <c r="AB49" s="103">
        <v>6.6</v>
      </c>
      <c r="AC49" s="103">
        <v>6.6</v>
      </c>
      <c r="AD49" s="103">
        <v>6.6</v>
      </c>
      <c r="AE49" s="103">
        <v>6.6</v>
      </c>
      <c r="AF49" s="103">
        <v>6.6</v>
      </c>
      <c r="AG49" s="106">
        <v>10.050000000000001</v>
      </c>
      <c r="AH49" s="21">
        <f t="shared" si="2"/>
        <v>6.6</v>
      </c>
      <c r="AI49" s="20">
        <f t="shared" si="3"/>
        <v>6.6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413.34000000000003</v>
      </c>
      <c r="C52" s="99">
        <f t="shared" ref="C52:AF52" si="6">SUM(C39:C51)</f>
        <v>413.64000000000004</v>
      </c>
      <c r="D52" s="99">
        <f t="shared" si="6"/>
        <v>407.44000000000005</v>
      </c>
      <c r="E52" s="99">
        <f t="shared" si="6"/>
        <v>339.94000000000005</v>
      </c>
      <c r="F52" s="99">
        <f t="shared" si="6"/>
        <v>323.14000000000004</v>
      </c>
      <c r="G52" s="99">
        <f t="shared" si="6"/>
        <v>305.44000000000005</v>
      </c>
      <c r="H52" s="99">
        <f t="shared" si="6"/>
        <v>350.34000000000003</v>
      </c>
      <c r="I52" s="99">
        <f t="shared" si="6"/>
        <v>351.64000000000004</v>
      </c>
      <c r="J52" s="99">
        <f t="shared" si="6"/>
        <v>343.84000000000003</v>
      </c>
      <c r="K52" s="99">
        <f t="shared" si="6"/>
        <v>344.24</v>
      </c>
      <c r="L52" s="99">
        <f t="shared" si="6"/>
        <v>394.54</v>
      </c>
      <c r="M52" s="99">
        <f t="shared" si="6"/>
        <v>412.44</v>
      </c>
      <c r="N52" s="99">
        <f t="shared" si="6"/>
        <v>413.54</v>
      </c>
      <c r="O52" s="99">
        <f t="shared" si="6"/>
        <v>378.74</v>
      </c>
      <c r="P52" s="99">
        <f t="shared" si="6"/>
        <v>338.24</v>
      </c>
      <c r="Q52" s="99">
        <f t="shared" si="6"/>
        <v>314.14000000000004</v>
      </c>
      <c r="R52" s="99">
        <f t="shared" si="6"/>
        <v>312.04000000000002</v>
      </c>
      <c r="S52" s="99">
        <f t="shared" si="6"/>
        <v>342.14</v>
      </c>
      <c r="T52" s="99">
        <f t="shared" si="6"/>
        <v>342.14</v>
      </c>
      <c r="U52" s="99">
        <f t="shared" si="6"/>
        <v>345.14000000000004</v>
      </c>
      <c r="V52" s="99">
        <f t="shared" si="6"/>
        <v>356.14000000000004</v>
      </c>
      <c r="W52" s="99">
        <f t="shared" si="6"/>
        <v>403.24</v>
      </c>
      <c r="X52" s="99">
        <f t="shared" si="6"/>
        <v>386.64000000000004</v>
      </c>
      <c r="Y52" s="99">
        <f t="shared" si="6"/>
        <v>414.84</v>
      </c>
      <c r="Z52" s="99">
        <f t="shared" si="6"/>
        <v>422.74</v>
      </c>
      <c r="AA52" s="99">
        <f t="shared" si="6"/>
        <v>422.74</v>
      </c>
      <c r="AB52" s="99">
        <f t="shared" si="6"/>
        <v>420.44</v>
      </c>
      <c r="AC52" s="99">
        <f t="shared" si="6"/>
        <v>420.14</v>
      </c>
      <c r="AD52" s="99">
        <f t="shared" si="6"/>
        <v>420.44</v>
      </c>
      <c r="AE52" s="99">
        <f t="shared" si="6"/>
        <v>416.14</v>
      </c>
      <c r="AF52" s="99">
        <f t="shared" si="6"/>
        <v>416.34</v>
      </c>
      <c r="AG52" s="98">
        <f>SUM(AG39:AG51)</f>
        <v>489.91</v>
      </c>
      <c r="AH52" s="21">
        <f t="shared" si="2"/>
        <v>422.74</v>
      </c>
      <c r="AI52" s="20">
        <f t="shared" si="3"/>
        <v>305.44000000000005</v>
      </c>
      <c r="AK52" s="42"/>
    </row>
    <row r="53" spans="1:37" x14ac:dyDescent="0.25">
      <c r="A53" s="109" t="s">
        <v>159</v>
      </c>
      <c r="B53" s="103">
        <v>59.3</v>
      </c>
      <c r="C53" s="103">
        <v>59.3</v>
      </c>
      <c r="D53" s="123">
        <v>59.4</v>
      </c>
      <c r="E53" s="123">
        <v>44.3</v>
      </c>
      <c r="F53" s="123">
        <v>33.9</v>
      </c>
      <c r="G53" s="123">
        <v>39.5</v>
      </c>
      <c r="H53" s="123">
        <v>39.9</v>
      </c>
      <c r="I53" s="123">
        <v>39.4</v>
      </c>
      <c r="J53" s="123">
        <v>13.8</v>
      </c>
      <c r="K53" s="123">
        <v>10.1</v>
      </c>
      <c r="L53" s="123">
        <v>10.1</v>
      </c>
      <c r="M53" s="122">
        <v>0</v>
      </c>
      <c r="N53" s="122">
        <v>0</v>
      </c>
      <c r="O53" s="122">
        <v>0</v>
      </c>
      <c r="P53" s="122">
        <v>0</v>
      </c>
      <c r="Q53" s="122">
        <v>0</v>
      </c>
      <c r="R53" s="103">
        <v>0</v>
      </c>
      <c r="S53" s="103">
        <v>0</v>
      </c>
      <c r="T53" s="103">
        <v>14</v>
      </c>
      <c r="U53" s="103">
        <v>14.4</v>
      </c>
      <c r="V53" s="103">
        <v>14.4</v>
      </c>
      <c r="W53" s="103">
        <v>30</v>
      </c>
      <c r="X53" s="103">
        <v>13.6</v>
      </c>
      <c r="Y53" s="103">
        <v>30</v>
      </c>
      <c r="Z53" s="103">
        <v>59.6</v>
      </c>
      <c r="AA53" s="103">
        <v>59.6</v>
      </c>
      <c r="AB53" s="103">
        <v>59.8</v>
      </c>
      <c r="AC53" s="103">
        <v>39.700000000000003</v>
      </c>
      <c r="AD53" s="103">
        <v>30</v>
      </c>
      <c r="AE53" s="103">
        <v>24.6</v>
      </c>
      <c r="AF53" s="103">
        <v>0</v>
      </c>
      <c r="AG53" s="108">
        <v>60</v>
      </c>
      <c r="AH53" s="21">
        <f t="shared" si="2"/>
        <v>59.8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30</v>
      </c>
      <c r="C54" s="73">
        <v>30</v>
      </c>
      <c r="D54" s="123">
        <v>28.7</v>
      </c>
      <c r="E54" s="123">
        <v>18.899999999999999</v>
      </c>
      <c r="F54" s="123">
        <v>15.9</v>
      </c>
      <c r="G54" s="123">
        <v>18.8</v>
      </c>
      <c r="H54" s="123">
        <v>17.2</v>
      </c>
      <c r="I54" s="123">
        <v>17.100000000000001</v>
      </c>
      <c r="J54" s="123">
        <v>5.6</v>
      </c>
      <c r="K54" s="123">
        <v>5.6</v>
      </c>
      <c r="L54" s="123">
        <v>5.6</v>
      </c>
      <c r="M54" s="122">
        <v>0</v>
      </c>
      <c r="N54" s="122">
        <v>0</v>
      </c>
      <c r="O54" s="122">
        <v>0</v>
      </c>
      <c r="P54" s="122">
        <v>0</v>
      </c>
      <c r="Q54" s="122">
        <v>0</v>
      </c>
      <c r="R54" s="73">
        <v>0</v>
      </c>
      <c r="S54" s="103">
        <v>0</v>
      </c>
      <c r="T54" s="103">
        <v>0</v>
      </c>
      <c r="U54" s="103">
        <v>6.6</v>
      </c>
      <c r="V54" s="73">
        <v>5.3</v>
      </c>
      <c r="W54" s="73">
        <v>10.199999999999999</v>
      </c>
      <c r="X54" s="73">
        <v>5.9</v>
      </c>
      <c r="Y54" s="73">
        <v>11.2</v>
      </c>
      <c r="Z54" s="73">
        <v>31.4</v>
      </c>
      <c r="AA54" s="73">
        <v>31.4</v>
      </c>
      <c r="AB54" s="73">
        <v>29.2</v>
      </c>
      <c r="AC54" s="73">
        <v>15.9</v>
      </c>
      <c r="AD54" s="73">
        <v>22.5</v>
      </c>
      <c r="AE54" s="73">
        <v>9.8000000000000007</v>
      </c>
      <c r="AF54" s="73">
        <v>0</v>
      </c>
      <c r="AG54" s="106">
        <v>32</v>
      </c>
      <c r="AH54" s="21">
        <f t="shared" si="2"/>
        <v>31.4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10.9</v>
      </c>
      <c r="C55" s="118">
        <v>10.9</v>
      </c>
      <c r="D55" s="120">
        <v>10.5</v>
      </c>
      <c r="E55" s="120">
        <v>6.9</v>
      </c>
      <c r="F55" s="120">
        <v>5.8</v>
      </c>
      <c r="G55" s="120">
        <v>6.9</v>
      </c>
      <c r="H55" s="120">
        <v>6.3</v>
      </c>
      <c r="I55" s="120">
        <v>6.2</v>
      </c>
      <c r="J55" s="120">
        <v>2.1</v>
      </c>
      <c r="K55" s="120">
        <v>2.1</v>
      </c>
      <c r="L55" s="120">
        <v>2.1</v>
      </c>
      <c r="M55" s="119">
        <v>0</v>
      </c>
      <c r="N55" s="119">
        <v>0</v>
      </c>
      <c r="O55" s="119">
        <v>0</v>
      </c>
      <c r="P55" s="119">
        <v>0</v>
      </c>
      <c r="Q55" s="119">
        <v>0</v>
      </c>
      <c r="R55" s="118">
        <v>0</v>
      </c>
      <c r="S55" s="103">
        <v>0</v>
      </c>
      <c r="T55" s="103">
        <v>0</v>
      </c>
      <c r="U55" s="103">
        <v>2.2000000000000002</v>
      </c>
      <c r="V55" s="118">
        <v>1.9</v>
      </c>
      <c r="W55" s="118">
        <v>3.9990000000000001</v>
      </c>
      <c r="X55" s="118">
        <v>2.2000000000000002</v>
      </c>
      <c r="Y55" s="118">
        <v>4.0999999999999996</v>
      </c>
      <c r="Z55" s="118">
        <v>11.5</v>
      </c>
      <c r="AA55" s="118">
        <v>11.5</v>
      </c>
      <c r="AB55" s="118">
        <v>10.6</v>
      </c>
      <c r="AC55" s="118">
        <v>5.8</v>
      </c>
      <c r="AD55" s="118">
        <v>8.1999999999999993</v>
      </c>
      <c r="AE55" s="118">
        <v>3.6</v>
      </c>
      <c r="AF55" s="118">
        <v>0</v>
      </c>
      <c r="AG55" s="117">
        <v>14</v>
      </c>
      <c r="AH55" s="21">
        <f t="shared" si="2"/>
        <v>11.5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100.2</v>
      </c>
      <c r="C56" s="99">
        <f>SUM(C53:C55)</f>
        <v>100.2</v>
      </c>
      <c r="D56" s="99">
        <f t="shared" ref="D56:AF56" si="7">SUM(D53:D55)</f>
        <v>98.6</v>
      </c>
      <c r="E56" s="99">
        <f t="shared" si="7"/>
        <v>70.099999999999994</v>
      </c>
      <c r="F56" s="99">
        <f t="shared" si="7"/>
        <v>55.599999999999994</v>
      </c>
      <c r="G56" s="99">
        <f t="shared" si="7"/>
        <v>65.2</v>
      </c>
      <c r="H56" s="99">
        <f t="shared" si="7"/>
        <v>63.399999999999991</v>
      </c>
      <c r="I56" s="99">
        <f t="shared" si="7"/>
        <v>62.7</v>
      </c>
      <c r="J56" s="99">
        <f t="shared" si="7"/>
        <v>21.5</v>
      </c>
      <c r="K56" s="99">
        <f t="shared" si="7"/>
        <v>17.8</v>
      </c>
      <c r="L56" s="99">
        <f t="shared" si="7"/>
        <v>17.8</v>
      </c>
      <c r="M56" s="99">
        <f t="shared" si="7"/>
        <v>0</v>
      </c>
      <c r="N56" s="99">
        <f t="shared" si="7"/>
        <v>0</v>
      </c>
      <c r="O56" s="99">
        <f t="shared" si="7"/>
        <v>0</v>
      </c>
      <c r="P56" s="99">
        <f t="shared" si="7"/>
        <v>0</v>
      </c>
      <c r="Q56" s="99">
        <f t="shared" si="7"/>
        <v>0</v>
      </c>
      <c r="R56" s="99">
        <f t="shared" si="7"/>
        <v>0</v>
      </c>
      <c r="S56" s="99">
        <f t="shared" si="7"/>
        <v>0</v>
      </c>
      <c r="T56" s="99">
        <f t="shared" si="7"/>
        <v>14</v>
      </c>
      <c r="U56" s="99">
        <f t="shared" si="7"/>
        <v>23.2</v>
      </c>
      <c r="V56" s="99">
        <f t="shared" si="7"/>
        <v>21.599999999999998</v>
      </c>
      <c r="W56" s="99">
        <f t="shared" si="7"/>
        <v>44.199000000000005</v>
      </c>
      <c r="X56" s="99">
        <f t="shared" si="7"/>
        <v>21.7</v>
      </c>
      <c r="Y56" s="99">
        <f t="shared" si="7"/>
        <v>45.300000000000004</v>
      </c>
      <c r="Z56" s="99">
        <f t="shared" si="7"/>
        <v>102.5</v>
      </c>
      <c r="AA56" s="99">
        <f t="shared" si="7"/>
        <v>102.5</v>
      </c>
      <c r="AB56" s="99">
        <f t="shared" si="7"/>
        <v>99.6</v>
      </c>
      <c r="AC56" s="99">
        <f t="shared" si="7"/>
        <v>61.4</v>
      </c>
      <c r="AD56" s="99">
        <f t="shared" si="7"/>
        <v>60.7</v>
      </c>
      <c r="AE56" s="99">
        <f t="shared" si="7"/>
        <v>38.000000000000007</v>
      </c>
      <c r="AF56" s="99">
        <f t="shared" si="7"/>
        <v>0</v>
      </c>
      <c r="AG56" s="98">
        <f>SUM(AG53:AG55)</f>
        <v>106</v>
      </c>
      <c r="AH56" s="21">
        <f t="shared" si="2"/>
        <v>102.5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22</v>
      </c>
      <c r="C57" s="103">
        <v>20</v>
      </c>
      <c r="D57" s="103">
        <v>25</v>
      </c>
      <c r="E57" s="103">
        <v>32.799999999999997</v>
      </c>
      <c r="F57" s="103">
        <v>31.1</v>
      </c>
      <c r="G57" s="103">
        <v>30.3</v>
      </c>
      <c r="H57" s="103">
        <v>31.1</v>
      </c>
      <c r="I57" s="103">
        <v>29.5</v>
      </c>
      <c r="J57" s="103">
        <v>29.7</v>
      </c>
      <c r="K57" s="103">
        <v>29.1</v>
      </c>
      <c r="L57" s="103">
        <v>28.7</v>
      </c>
      <c r="M57" s="103">
        <v>26.8</v>
      </c>
      <c r="N57" s="103">
        <v>32.299999999999997</v>
      </c>
      <c r="O57" s="103">
        <v>34.200000000000003</v>
      </c>
      <c r="P57" s="103">
        <v>23.6</v>
      </c>
      <c r="Q57" s="103">
        <v>27.5</v>
      </c>
      <c r="R57" s="103">
        <v>27.23</v>
      </c>
      <c r="S57" s="103">
        <v>30</v>
      </c>
      <c r="T57" s="103">
        <v>30</v>
      </c>
      <c r="U57" s="103">
        <v>38</v>
      </c>
      <c r="V57" s="103">
        <v>29.9</v>
      </c>
      <c r="W57" s="103">
        <v>29.9</v>
      </c>
      <c r="X57" s="103">
        <v>31.3</v>
      </c>
      <c r="Y57" s="103">
        <v>42.3</v>
      </c>
      <c r="Z57" s="103">
        <v>40.1</v>
      </c>
      <c r="AA57" s="103">
        <v>48</v>
      </c>
      <c r="AB57" s="103">
        <v>47.7</v>
      </c>
      <c r="AC57" s="103">
        <v>47.5</v>
      </c>
      <c r="AD57" s="103">
        <v>45.2</v>
      </c>
      <c r="AE57" s="103">
        <v>38.71</v>
      </c>
      <c r="AF57" s="103">
        <v>23.8</v>
      </c>
      <c r="AG57" s="108"/>
      <c r="AH57" s="21">
        <f t="shared" si="2"/>
        <v>48</v>
      </c>
      <c r="AI57" s="20">
        <f t="shared" si="3"/>
        <v>20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f>83.6+26</f>
        <v>109.6</v>
      </c>
      <c r="K58" s="73">
        <f>85+32</f>
        <v>117</v>
      </c>
      <c r="L58" s="73">
        <f>82.6+32</f>
        <v>114.6</v>
      </c>
      <c r="M58" s="103">
        <v>0</v>
      </c>
      <c r="N58" s="103">
        <v>0</v>
      </c>
      <c r="O58" s="103">
        <v>0</v>
      </c>
      <c r="P58" s="103">
        <v>0</v>
      </c>
      <c r="Q58" s="103">
        <v>0</v>
      </c>
      <c r="R58" s="103">
        <v>0</v>
      </c>
      <c r="S58" s="103">
        <v>0</v>
      </c>
      <c r="T58" s="103">
        <v>0</v>
      </c>
      <c r="U58" s="103">
        <v>93</v>
      </c>
      <c r="V58" s="103">
        <v>98</v>
      </c>
      <c r="W58" s="103">
        <v>120</v>
      </c>
      <c r="X58" s="116">
        <v>70.5</v>
      </c>
      <c r="Y58" s="116">
        <v>0</v>
      </c>
      <c r="Z58" s="116">
        <v>0</v>
      </c>
      <c r="AA58" s="116">
        <v>0</v>
      </c>
      <c r="AB58" s="116">
        <v>0</v>
      </c>
      <c r="AC58" s="116">
        <v>0</v>
      </c>
      <c r="AD58" s="116">
        <v>0</v>
      </c>
      <c r="AE58" s="73">
        <v>0</v>
      </c>
      <c r="AF58" s="73">
        <v>0</v>
      </c>
      <c r="AG58" s="106"/>
      <c r="AH58" s="21">
        <f t="shared" si="2"/>
        <v>120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41.5</v>
      </c>
      <c r="C59" s="73">
        <v>35</v>
      </c>
      <c r="D59" s="73">
        <v>46.1</v>
      </c>
      <c r="E59" s="73">
        <v>240</v>
      </c>
      <c r="F59" s="73">
        <v>232</v>
      </c>
      <c r="G59" s="73">
        <v>249</v>
      </c>
      <c r="H59" s="103">
        <v>38.1</v>
      </c>
      <c r="I59" s="103">
        <v>30.7</v>
      </c>
      <c r="J59" s="103">
        <v>20</v>
      </c>
      <c r="K59" s="103">
        <v>46</v>
      </c>
      <c r="L59" s="103">
        <v>35.1</v>
      </c>
      <c r="M59" s="73">
        <v>325</v>
      </c>
      <c r="N59" s="73">
        <v>270</v>
      </c>
      <c r="O59" s="73">
        <v>237.5</v>
      </c>
      <c r="P59" s="73">
        <v>257.2</v>
      </c>
      <c r="Q59" s="73">
        <v>264.8</v>
      </c>
      <c r="R59" s="73">
        <v>249.2</v>
      </c>
      <c r="S59" s="73">
        <v>269</v>
      </c>
      <c r="T59" s="73">
        <v>250</v>
      </c>
      <c r="U59" s="73">
        <v>259</v>
      </c>
      <c r="V59" s="73">
        <v>256</v>
      </c>
      <c r="W59" s="73">
        <v>90</v>
      </c>
      <c r="X59" s="115">
        <v>140</v>
      </c>
      <c r="Y59" s="115">
        <v>138.4</v>
      </c>
      <c r="Z59" s="115">
        <v>178.6</v>
      </c>
      <c r="AA59" s="115">
        <v>70</v>
      </c>
      <c r="AB59" s="115">
        <v>50.8</v>
      </c>
      <c r="AC59" s="115">
        <v>67.7</v>
      </c>
      <c r="AD59" s="115">
        <v>21</v>
      </c>
      <c r="AE59" s="73">
        <v>28</v>
      </c>
      <c r="AF59" s="73">
        <v>25.3</v>
      </c>
      <c r="AG59" s="113"/>
      <c r="AH59" s="21">
        <f t="shared" si="2"/>
        <v>325</v>
      </c>
      <c r="AI59" s="20">
        <f t="shared" si="3"/>
        <v>20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47.6</v>
      </c>
      <c r="K60" s="77">
        <v>47.6</v>
      </c>
      <c r="L60" s="77">
        <v>45.3</v>
      </c>
      <c r="M60" s="73">
        <v>51.5</v>
      </c>
      <c r="N60" s="73">
        <v>51.3</v>
      </c>
      <c r="O60" s="73">
        <v>52.5</v>
      </c>
      <c r="P60" s="73">
        <v>50.8</v>
      </c>
      <c r="Q60" s="73">
        <v>53.1</v>
      </c>
      <c r="R60" s="73">
        <v>50.2</v>
      </c>
      <c r="S60" s="73">
        <v>50</v>
      </c>
      <c r="T60" s="73">
        <v>50</v>
      </c>
      <c r="U60" s="73">
        <v>49.6</v>
      </c>
      <c r="V60" s="73">
        <v>44.7</v>
      </c>
      <c r="W60" s="73">
        <v>44.3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113"/>
      <c r="AH60" s="21">
        <f t="shared" si="2"/>
        <v>53.1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>
        <v>0</v>
      </c>
      <c r="J61" s="103">
        <v>0</v>
      </c>
      <c r="K61" s="103">
        <v>0</v>
      </c>
      <c r="L61" s="103">
        <v>0</v>
      </c>
      <c r="M61" s="103">
        <v>0</v>
      </c>
      <c r="N61" s="103">
        <v>77.900000000000006</v>
      </c>
      <c r="O61" s="103">
        <v>70.599999999999994</v>
      </c>
      <c r="P61" s="103">
        <v>77.5</v>
      </c>
      <c r="Q61" s="103">
        <v>82.8</v>
      </c>
      <c r="R61" s="103">
        <v>82</v>
      </c>
      <c r="S61" s="103">
        <v>83</v>
      </c>
      <c r="T61" s="103">
        <v>73</v>
      </c>
      <c r="U61" s="103">
        <v>78.8</v>
      </c>
      <c r="V61" s="103">
        <v>73.5</v>
      </c>
      <c r="W61" s="103">
        <v>79.900000000000006</v>
      </c>
      <c r="X61" s="103">
        <v>0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83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67">
        <v>8</v>
      </c>
      <c r="N62" s="67">
        <v>8</v>
      </c>
      <c r="O62" s="67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8</v>
      </c>
      <c r="G64" s="77">
        <v>8</v>
      </c>
      <c r="H64" s="77">
        <v>8</v>
      </c>
      <c r="I64" s="77">
        <v>8</v>
      </c>
      <c r="J64" s="77">
        <v>8</v>
      </c>
      <c r="K64" s="77">
        <v>8</v>
      </c>
      <c r="L64" s="77">
        <v>8</v>
      </c>
      <c r="M64" s="77">
        <v>8</v>
      </c>
      <c r="N64" s="77">
        <v>8</v>
      </c>
      <c r="O64" s="77">
        <v>8</v>
      </c>
      <c r="P64" s="77">
        <v>8</v>
      </c>
      <c r="Q64" s="77">
        <v>8</v>
      </c>
      <c r="R64" s="77">
        <v>8</v>
      </c>
      <c r="S64" s="77">
        <v>8</v>
      </c>
      <c r="T64" s="77">
        <v>8</v>
      </c>
      <c r="U64" s="77">
        <v>8</v>
      </c>
      <c r="V64" s="77">
        <v>8</v>
      </c>
      <c r="W64" s="77">
        <v>8</v>
      </c>
      <c r="X64" s="77">
        <v>8</v>
      </c>
      <c r="Y64" s="77">
        <v>8</v>
      </c>
      <c r="Z64" s="77">
        <v>8</v>
      </c>
      <c r="AA64" s="77">
        <v>8</v>
      </c>
      <c r="AB64" s="77">
        <v>8</v>
      </c>
      <c r="AC64" s="77">
        <v>8</v>
      </c>
      <c r="AD64" s="77">
        <v>8</v>
      </c>
      <c r="AE64" s="77">
        <v>8</v>
      </c>
      <c r="AF64" s="77">
        <v>8</v>
      </c>
      <c r="AG64" s="113"/>
      <c r="AH64" s="21">
        <f t="shared" si="2"/>
        <v>8</v>
      </c>
      <c r="AI64" s="20">
        <f t="shared" si="3"/>
        <v>8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14.3</v>
      </c>
      <c r="C66" s="70">
        <v>14.3</v>
      </c>
      <c r="D66" s="70">
        <v>14.3</v>
      </c>
      <c r="E66" s="70">
        <v>14.3</v>
      </c>
      <c r="F66" s="70">
        <v>14.3</v>
      </c>
      <c r="G66" s="70">
        <v>14.3</v>
      </c>
      <c r="H66" s="70">
        <v>14.3</v>
      </c>
      <c r="I66" s="70">
        <v>14.3</v>
      </c>
      <c r="J66" s="70">
        <v>14.3</v>
      </c>
      <c r="K66" s="70">
        <v>14.3</v>
      </c>
      <c r="L66" s="70">
        <v>14.3</v>
      </c>
      <c r="M66" s="70">
        <v>14.3</v>
      </c>
      <c r="N66" s="70">
        <v>14.3</v>
      </c>
      <c r="O66" s="70">
        <v>14.3</v>
      </c>
      <c r="P66" s="70">
        <v>14.3</v>
      </c>
      <c r="Q66" s="70">
        <v>14.3</v>
      </c>
      <c r="R66" s="70">
        <v>14</v>
      </c>
      <c r="S66" s="70">
        <v>14</v>
      </c>
      <c r="T66" s="70">
        <v>14</v>
      </c>
      <c r="U66" s="70">
        <v>14</v>
      </c>
      <c r="V66" s="70">
        <v>14</v>
      </c>
      <c r="W66" s="70">
        <v>14</v>
      </c>
      <c r="X66" s="70">
        <v>14</v>
      </c>
      <c r="Y66" s="70">
        <v>14</v>
      </c>
      <c r="Z66" s="70">
        <v>14</v>
      </c>
      <c r="AA66" s="70">
        <v>14</v>
      </c>
      <c r="AB66" s="70">
        <v>14</v>
      </c>
      <c r="AC66" s="70">
        <v>14</v>
      </c>
      <c r="AD66" s="70">
        <v>14</v>
      </c>
      <c r="AE66" s="70">
        <v>14</v>
      </c>
      <c r="AF66" s="70">
        <v>14</v>
      </c>
      <c r="AG66" s="102"/>
      <c r="AH66" s="21">
        <f t="shared" si="2"/>
        <v>14.3</v>
      </c>
      <c r="AI66" s="20">
        <f t="shared" si="3"/>
        <v>14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96.8</v>
      </c>
      <c r="C68" s="99">
        <f>SUM(C57:C67)</f>
        <v>88.3</v>
      </c>
      <c r="D68" s="99">
        <f t="shared" ref="D68:AF68" si="8">SUM(D57:D67)</f>
        <v>104.39999999999999</v>
      </c>
      <c r="E68" s="99">
        <f t="shared" si="8"/>
        <v>306.10000000000002</v>
      </c>
      <c r="F68" s="99">
        <f t="shared" si="8"/>
        <v>296.40000000000003</v>
      </c>
      <c r="G68" s="99">
        <f t="shared" si="8"/>
        <v>312.60000000000002</v>
      </c>
      <c r="H68" s="99">
        <f t="shared" si="8"/>
        <v>102.5</v>
      </c>
      <c r="I68" s="99">
        <f t="shared" si="8"/>
        <v>93.5</v>
      </c>
      <c r="J68" s="99">
        <f t="shared" si="8"/>
        <v>240.2</v>
      </c>
      <c r="K68" s="99">
        <f t="shared" si="8"/>
        <v>273</v>
      </c>
      <c r="L68" s="99">
        <f t="shared" si="8"/>
        <v>257</v>
      </c>
      <c r="M68" s="99">
        <f t="shared" si="8"/>
        <v>436.6</v>
      </c>
      <c r="N68" s="99">
        <f t="shared" si="8"/>
        <v>464.8</v>
      </c>
      <c r="O68" s="99">
        <f t="shared" si="8"/>
        <v>428.09999999999997</v>
      </c>
      <c r="P68" s="99">
        <f t="shared" si="8"/>
        <v>442.40000000000003</v>
      </c>
      <c r="Q68" s="99">
        <f t="shared" si="8"/>
        <v>461.50000000000006</v>
      </c>
      <c r="R68" s="99">
        <f t="shared" si="8"/>
        <v>441.63</v>
      </c>
      <c r="S68" s="99">
        <f t="shared" si="8"/>
        <v>465</v>
      </c>
      <c r="T68" s="99">
        <f t="shared" si="8"/>
        <v>436</v>
      </c>
      <c r="U68" s="99">
        <f t="shared" si="8"/>
        <v>551.4</v>
      </c>
      <c r="V68" s="99">
        <f t="shared" si="8"/>
        <v>535.09999999999991</v>
      </c>
      <c r="W68" s="99">
        <f t="shared" si="8"/>
        <v>397.1</v>
      </c>
      <c r="X68" s="99">
        <f t="shared" si="8"/>
        <v>274.8</v>
      </c>
      <c r="Y68" s="99">
        <f t="shared" si="8"/>
        <v>213.7</v>
      </c>
      <c r="Z68" s="99">
        <f t="shared" si="8"/>
        <v>251.7</v>
      </c>
      <c r="AA68" s="99">
        <f t="shared" si="8"/>
        <v>151</v>
      </c>
      <c r="AB68" s="99">
        <f t="shared" si="8"/>
        <v>131.5</v>
      </c>
      <c r="AC68" s="99">
        <f t="shared" si="8"/>
        <v>148.19999999999999</v>
      </c>
      <c r="AD68" s="99">
        <f t="shared" si="8"/>
        <v>99.2</v>
      </c>
      <c r="AE68" s="99">
        <f t="shared" si="8"/>
        <v>99.710000000000008</v>
      </c>
      <c r="AF68" s="99">
        <f t="shared" si="8"/>
        <v>82.1</v>
      </c>
      <c r="AG68" s="98">
        <f>SUM(AG57:AG67)</f>
        <v>0</v>
      </c>
      <c r="AH68" s="21">
        <f t="shared" si="2"/>
        <v>551.4</v>
      </c>
      <c r="AI68" s="20">
        <f t="shared" si="3"/>
        <v>82.1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1185.24</v>
      </c>
      <c r="C73" s="110">
        <f>C68+C56+C52+C38+C72</f>
        <v>1137.0400000000002</v>
      </c>
      <c r="D73" s="110">
        <f t="shared" ref="D73:AG73" si="10">D68+D56+D52+D38+D72</f>
        <v>1125.3400000000001</v>
      </c>
      <c r="E73" s="110">
        <f t="shared" si="10"/>
        <v>1151.04</v>
      </c>
      <c r="F73" s="110">
        <f t="shared" si="10"/>
        <v>1142.54</v>
      </c>
      <c r="G73" s="110">
        <f t="shared" si="10"/>
        <v>1178.1399999999999</v>
      </c>
      <c r="H73" s="110">
        <f t="shared" si="10"/>
        <v>1201.1400000000001</v>
      </c>
      <c r="I73" s="110">
        <f t="shared" si="10"/>
        <v>1212.74</v>
      </c>
      <c r="J73" s="110">
        <f t="shared" si="10"/>
        <v>1240.44</v>
      </c>
      <c r="K73" s="110">
        <f t="shared" si="10"/>
        <v>1289.94</v>
      </c>
      <c r="L73" s="110">
        <f t="shared" si="10"/>
        <v>1344.24</v>
      </c>
      <c r="M73" s="110">
        <f t="shared" si="10"/>
        <v>1359.6399999999999</v>
      </c>
      <c r="N73" s="110">
        <f t="shared" si="10"/>
        <v>1352.74</v>
      </c>
      <c r="O73" s="110">
        <f t="shared" si="10"/>
        <v>1340.34</v>
      </c>
      <c r="P73" s="110">
        <f t="shared" si="10"/>
        <v>1324.44</v>
      </c>
      <c r="Q73" s="110">
        <f t="shared" si="10"/>
        <v>1318.7400000000002</v>
      </c>
      <c r="R73" s="110">
        <f t="shared" si="10"/>
        <v>1307.8700000000001</v>
      </c>
      <c r="S73" s="110">
        <f t="shared" si="10"/>
        <v>1361.3400000000001</v>
      </c>
      <c r="T73" s="110">
        <f t="shared" si="10"/>
        <v>1316.3400000000001</v>
      </c>
      <c r="U73" s="110">
        <f t="shared" si="10"/>
        <v>1325.94</v>
      </c>
      <c r="V73" s="110">
        <f t="shared" si="10"/>
        <v>1320.04</v>
      </c>
      <c r="W73" s="110">
        <f t="shared" si="10"/>
        <v>1318.4390000000001</v>
      </c>
      <c r="X73" s="110">
        <f t="shared" si="10"/>
        <v>1177.0400000000002</v>
      </c>
      <c r="Y73" s="110">
        <f t="shared" si="10"/>
        <v>1317.74</v>
      </c>
      <c r="Z73" s="110">
        <f t="shared" si="10"/>
        <v>1452.04</v>
      </c>
      <c r="AA73" s="110">
        <f t="shared" si="10"/>
        <v>1451.3400000000001</v>
      </c>
      <c r="AB73" s="110">
        <f t="shared" si="10"/>
        <v>1425.2400000000002</v>
      </c>
      <c r="AC73" s="110">
        <f t="shared" si="10"/>
        <v>1393.24</v>
      </c>
      <c r="AD73" s="110">
        <f t="shared" si="10"/>
        <v>1314.04</v>
      </c>
      <c r="AE73" s="110">
        <f t="shared" si="10"/>
        <v>1247.5500000000002</v>
      </c>
      <c r="AF73" s="110">
        <f t="shared" si="10"/>
        <v>1220.6399999999999</v>
      </c>
      <c r="AG73" s="110">
        <f t="shared" si="10"/>
        <v>2144.14</v>
      </c>
      <c r="AH73" s="21">
        <f t="shared" si="2"/>
        <v>1452.04</v>
      </c>
      <c r="AI73" s="20">
        <f t="shared" si="3"/>
        <v>1125.3400000000001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80</v>
      </c>
      <c r="C74" s="111">
        <v>80</v>
      </c>
      <c r="D74" s="111">
        <v>80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10</v>
      </c>
      <c r="N74" s="111">
        <v>20</v>
      </c>
      <c r="O74" s="111">
        <v>20</v>
      </c>
      <c r="P74" s="111">
        <v>20</v>
      </c>
      <c r="Q74" s="111">
        <v>20</v>
      </c>
      <c r="R74" s="111">
        <v>20</v>
      </c>
      <c r="S74" s="111"/>
      <c r="T74" s="111">
        <v>10</v>
      </c>
      <c r="U74" s="111">
        <v>10</v>
      </c>
      <c r="V74" s="111"/>
      <c r="W74" s="111"/>
      <c r="X74" s="111"/>
      <c r="Y74" s="111">
        <v>70</v>
      </c>
      <c r="Z74" s="111">
        <v>70</v>
      </c>
      <c r="AA74" s="111">
        <v>70</v>
      </c>
      <c r="AB74" s="111">
        <v>70</v>
      </c>
      <c r="AC74" s="111">
        <v>50</v>
      </c>
      <c r="AD74" s="111">
        <v>0</v>
      </c>
      <c r="AE74" s="111"/>
      <c r="AF74" s="111"/>
      <c r="AG74" s="98"/>
      <c r="AH74" s="21">
        <f t="shared" si="2"/>
        <v>80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1265.24</v>
      </c>
      <c r="C75" s="110">
        <f>C73+C74</f>
        <v>1217.0400000000002</v>
      </c>
      <c r="D75" s="110">
        <f t="shared" ref="D75:AF75" si="11">D72+D68+D56+D52+D38+D74</f>
        <v>1205.3400000000001</v>
      </c>
      <c r="E75" s="110">
        <f t="shared" si="11"/>
        <v>1151.04</v>
      </c>
      <c r="F75" s="110">
        <f t="shared" si="11"/>
        <v>1142.54</v>
      </c>
      <c r="G75" s="110">
        <f t="shared" si="11"/>
        <v>1178.1399999999999</v>
      </c>
      <c r="H75" s="110">
        <f t="shared" si="11"/>
        <v>1201.1400000000001</v>
      </c>
      <c r="I75" s="110">
        <f t="shared" si="11"/>
        <v>1212.74</v>
      </c>
      <c r="J75" s="110">
        <f t="shared" si="11"/>
        <v>1240.44</v>
      </c>
      <c r="K75" s="110">
        <f t="shared" si="11"/>
        <v>1289.94</v>
      </c>
      <c r="L75" s="110">
        <f t="shared" si="11"/>
        <v>1344.24</v>
      </c>
      <c r="M75" s="110">
        <f t="shared" si="11"/>
        <v>1369.6399999999999</v>
      </c>
      <c r="N75" s="110">
        <f t="shared" si="11"/>
        <v>1372.74</v>
      </c>
      <c r="O75" s="110">
        <f t="shared" si="11"/>
        <v>1360.34</v>
      </c>
      <c r="P75" s="110">
        <f t="shared" si="11"/>
        <v>1344.44</v>
      </c>
      <c r="Q75" s="110">
        <f t="shared" si="11"/>
        <v>1338.7400000000002</v>
      </c>
      <c r="R75" s="110">
        <f t="shared" si="11"/>
        <v>1327.8700000000001</v>
      </c>
      <c r="S75" s="110">
        <f t="shared" si="11"/>
        <v>1361.3400000000001</v>
      </c>
      <c r="T75" s="110">
        <f t="shared" si="11"/>
        <v>1326.3400000000001</v>
      </c>
      <c r="U75" s="110">
        <f t="shared" si="11"/>
        <v>1335.94</v>
      </c>
      <c r="V75" s="110">
        <f t="shared" si="11"/>
        <v>1320.04</v>
      </c>
      <c r="W75" s="110">
        <f t="shared" si="11"/>
        <v>1318.4390000000001</v>
      </c>
      <c r="X75" s="110">
        <f t="shared" si="11"/>
        <v>1177.0400000000002</v>
      </c>
      <c r="Y75" s="110">
        <f t="shared" si="11"/>
        <v>1387.74</v>
      </c>
      <c r="Z75" s="110">
        <f t="shared" si="11"/>
        <v>1522.04</v>
      </c>
      <c r="AA75" s="110">
        <f t="shared" si="11"/>
        <v>1521.3400000000001</v>
      </c>
      <c r="AB75" s="110">
        <f t="shared" si="11"/>
        <v>1495.2400000000002</v>
      </c>
      <c r="AC75" s="110">
        <f t="shared" si="11"/>
        <v>1443.24</v>
      </c>
      <c r="AD75" s="110">
        <f t="shared" si="11"/>
        <v>1314.04</v>
      </c>
      <c r="AE75" s="110">
        <f t="shared" si="11"/>
        <v>1247.5500000000002</v>
      </c>
      <c r="AF75" s="110">
        <f t="shared" si="11"/>
        <v>1220.6399999999999</v>
      </c>
      <c r="AG75" s="98">
        <f>AG72+AG68+AG56+AG52+AG38+AG74</f>
        <v>2144.14</v>
      </c>
      <c r="AH75" s="21">
        <f t="shared" si="2"/>
        <v>1522.04</v>
      </c>
      <c r="AI75" s="20">
        <f t="shared" si="3"/>
        <v>1142.54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2530.48</v>
      </c>
      <c r="C83" s="99">
        <f t="shared" ref="C83:AG83" si="20">SUM(C70:C82)</f>
        <v>2434.0800000000004</v>
      </c>
      <c r="D83" s="99">
        <f t="shared" si="20"/>
        <v>2410.6800000000003</v>
      </c>
      <c r="E83" s="99">
        <f t="shared" si="20"/>
        <v>2302.08</v>
      </c>
      <c r="F83" s="99">
        <f t="shared" si="20"/>
        <v>2285.08</v>
      </c>
      <c r="G83" s="99">
        <f t="shared" si="20"/>
        <v>2356.2799999999997</v>
      </c>
      <c r="H83" s="99">
        <f t="shared" si="20"/>
        <v>2402.2800000000002</v>
      </c>
      <c r="I83" s="99">
        <f t="shared" si="20"/>
        <v>2425.48</v>
      </c>
      <c r="J83" s="99">
        <f t="shared" si="20"/>
        <v>2480.88</v>
      </c>
      <c r="K83" s="99">
        <f t="shared" si="20"/>
        <v>2579.88</v>
      </c>
      <c r="L83" s="99">
        <f t="shared" si="20"/>
        <v>2688.48</v>
      </c>
      <c r="M83" s="99">
        <f t="shared" si="20"/>
        <v>2739.2799999999997</v>
      </c>
      <c r="N83" s="99">
        <f t="shared" si="20"/>
        <v>2745.48</v>
      </c>
      <c r="O83" s="99">
        <f t="shared" si="20"/>
        <v>2720.68</v>
      </c>
      <c r="P83" s="99">
        <f t="shared" si="20"/>
        <v>2688.88</v>
      </c>
      <c r="Q83" s="99">
        <f t="shared" si="20"/>
        <v>2677.4800000000005</v>
      </c>
      <c r="R83" s="99">
        <f t="shared" si="20"/>
        <v>2655.7400000000002</v>
      </c>
      <c r="S83" s="99">
        <f t="shared" si="20"/>
        <v>2722.6800000000003</v>
      </c>
      <c r="T83" s="99">
        <f t="shared" si="20"/>
        <v>2652.6800000000003</v>
      </c>
      <c r="U83" s="99">
        <f t="shared" si="20"/>
        <v>2671.88</v>
      </c>
      <c r="V83" s="99">
        <f t="shared" si="20"/>
        <v>2640.08</v>
      </c>
      <c r="W83" s="99">
        <f t="shared" si="20"/>
        <v>2636.8780000000002</v>
      </c>
      <c r="X83" s="99">
        <f t="shared" si="20"/>
        <v>2354.0800000000004</v>
      </c>
      <c r="Y83" s="99">
        <f t="shared" si="20"/>
        <v>2775.48</v>
      </c>
      <c r="Z83" s="99">
        <f t="shared" si="20"/>
        <v>3044.08</v>
      </c>
      <c r="AA83" s="99">
        <f t="shared" si="20"/>
        <v>3042.6800000000003</v>
      </c>
      <c r="AB83" s="99">
        <f t="shared" si="20"/>
        <v>2990.4800000000005</v>
      </c>
      <c r="AC83" s="99">
        <f t="shared" si="20"/>
        <v>2886.48</v>
      </c>
      <c r="AD83" s="99">
        <f t="shared" si="20"/>
        <v>2628.08</v>
      </c>
      <c r="AE83" s="99">
        <f t="shared" si="20"/>
        <v>2495.1000000000004</v>
      </c>
      <c r="AF83" s="99">
        <f t="shared" si="20"/>
        <v>2441.2799999999997</v>
      </c>
      <c r="AG83" s="98">
        <f t="shared" si="20"/>
        <v>4360.08</v>
      </c>
      <c r="AH83" s="21">
        <f t="shared" si="13"/>
        <v>3044.08</v>
      </c>
      <c r="AI83" s="20">
        <f t="shared" si="14"/>
        <v>2285.08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49.985999999999997</v>
      </c>
      <c r="C84" s="96">
        <v>49.953000000000003</v>
      </c>
      <c r="D84" s="96">
        <v>50.024999999999999</v>
      </c>
      <c r="E84" s="96">
        <v>50.043999999999997</v>
      </c>
      <c r="F84" s="96">
        <v>50.027000000000001</v>
      </c>
      <c r="G84" s="96">
        <v>49.991</v>
      </c>
      <c r="H84" s="96">
        <v>49.966000000000001</v>
      </c>
      <c r="I84" s="96">
        <v>49.899000000000001</v>
      </c>
      <c r="J84" s="96">
        <v>50.042999999999999</v>
      </c>
      <c r="K84" s="96">
        <v>49.872</v>
      </c>
      <c r="L84" s="96">
        <v>50.006999999999998</v>
      </c>
      <c r="M84" s="96">
        <v>50.033999999999999</v>
      </c>
      <c r="N84" s="96">
        <v>50.042999999999999</v>
      </c>
      <c r="O84" s="96">
        <v>49.976999999999997</v>
      </c>
      <c r="P84" s="96">
        <v>50.039000000000001</v>
      </c>
      <c r="Q84" s="96">
        <v>50.018000000000001</v>
      </c>
      <c r="R84" s="96">
        <v>49.954000000000001</v>
      </c>
      <c r="S84" s="96">
        <v>50.06</v>
      </c>
      <c r="T84" s="96">
        <v>50.04</v>
      </c>
      <c r="U84" s="96">
        <v>50.000999999999998</v>
      </c>
      <c r="V84" s="96">
        <v>49.94</v>
      </c>
      <c r="W84" s="96">
        <v>49.965000000000003</v>
      </c>
      <c r="X84" s="96">
        <v>49.966000000000001</v>
      </c>
      <c r="Y84" s="96">
        <v>50.033999999999999</v>
      </c>
      <c r="Z84" s="96">
        <v>49.906999999999996</v>
      </c>
      <c r="AA84" s="96">
        <v>49.81</v>
      </c>
      <c r="AB84" s="96">
        <v>50.5</v>
      </c>
      <c r="AC84" s="96">
        <v>49.99</v>
      </c>
      <c r="AD84" s="96">
        <v>49.95</v>
      </c>
      <c r="AE84" s="96">
        <v>49.94</v>
      </c>
      <c r="AF84" s="96">
        <v>49.9</v>
      </c>
      <c r="AG84" s="95"/>
      <c r="AH84" s="21">
        <f t="shared" si="13"/>
        <v>50.5</v>
      </c>
      <c r="AI84" s="20">
        <f t="shared" si="14"/>
        <v>49.81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128.69999999999999</v>
      </c>
      <c r="C85" s="73">
        <v>128.6</v>
      </c>
      <c r="D85" s="73">
        <v>128.5</v>
      </c>
      <c r="E85" s="73">
        <v>128.30000000000001</v>
      </c>
      <c r="F85" s="73">
        <v>127.9</v>
      </c>
      <c r="G85" s="73">
        <v>127.1</v>
      </c>
      <c r="H85" s="73">
        <v>127</v>
      </c>
      <c r="I85" s="73">
        <v>127.2</v>
      </c>
      <c r="J85" s="73">
        <v>124.2</v>
      </c>
      <c r="K85" s="73">
        <v>124.5</v>
      </c>
      <c r="L85" s="73">
        <v>122.9</v>
      </c>
      <c r="M85" s="73">
        <v>125</v>
      </c>
      <c r="N85" s="73">
        <v>125.5</v>
      </c>
      <c r="O85" s="73">
        <v>123.9</v>
      </c>
      <c r="P85" s="73">
        <v>124.5</v>
      </c>
      <c r="Q85" s="73">
        <v>123.8</v>
      </c>
      <c r="R85" s="73">
        <v>124.5</v>
      </c>
      <c r="S85" s="73">
        <v>122</v>
      </c>
      <c r="T85" s="73">
        <v>126</v>
      </c>
      <c r="U85" s="94">
        <v>124.9</v>
      </c>
      <c r="V85" s="94">
        <v>125.7</v>
      </c>
      <c r="W85" s="94">
        <v>127.4</v>
      </c>
      <c r="X85" s="94">
        <v>125.7</v>
      </c>
      <c r="Y85" s="94">
        <v>125</v>
      </c>
      <c r="Z85" s="94">
        <v>125.3</v>
      </c>
      <c r="AA85" s="94">
        <v>125.9</v>
      </c>
      <c r="AB85" s="73">
        <v>127.7</v>
      </c>
      <c r="AC85" s="73">
        <v>126.5</v>
      </c>
      <c r="AD85" s="73">
        <v>127.1</v>
      </c>
      <c r="AE85" s="73">
        <v>124.8</v>
      </c>
      <c r="AF85" s="73">
        <v>122.4</v>
      </c>
      <c r="AG85" s="89"/>
      <c r="AH85" s="21">
        <f t="shared" si="13"/>
        <v>128.69999999999999</v>
      </c>
      <c r="AI85" s="20">
        <f t="shared" si="14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132.69999999999999</v>
      </c>
      <c r="C86" s="73">
        <v>132.80000000000001</v>
      </c>
      <c r="D86" s="73">
        <v>132.9</v>
      </c>
      <c r="E86" s="73">
        <v>132.69999999999999</v>
      </c>
      <c r="F86" s="73">
        <v>132.4</v>
      </c>
      <c r="G86" s="73">
        <v>131.69999999999999</v>
      </c>
      <c r="H86" s="73">
        <v>131.4</v>
      </c>
      <c r="I86" s="73">
        <v>131.1</v>
      </c>
      <c r="J86" s="73">
        <v>128.9</v>
      </c>
      <c r="K86" s="73">
        <v>128.30000000000001</v>
      </c>
      <c r="L86" s="73">
        <v>126.8</v>
      </c>
      <c r="M86" s="73">
        <v>128</v>
      </c>
      <c r="N86" s="73">
        <v>128.4</v>
      </c>
      <c r="O86" s="73">
        <v>127.6</v>
      </c>
      <c r="P86" s="73">
        <v>128.1</v>
      </c>
      <c r="Q86" s="73">
        <v>127.8</v>
      </c>
      <c r="R86" s="73">
        <v>128.6</v>
      </c>
      <c r="S86" s="73">
        <v>128.6</v>
      </c>
      <c r="T86" s="73">
        <v>130</v>
      </c>
      <c r="U86" s="94">
        <v>129</v>
      </c>
      <c r="V86" s="94">
        <v>129.69999999999999</v>
      </c>
      <c r="W86" s="94">
        <v>131</v>
      </c>
      <c r="X86" s="94">
        <v>130</v>
      </c>
      <c r="Y86" s="94">
        <v>129.4</v>
      </c>
      <c r="Z86" s="94">
        <v>129.80000000000001</v>
      </c>
      <c r="AA86" s="94">
        <v>130</v>
      </c>
      <c r="AB86" s="73">
        <v>131.4</v>
      </c>
      <c r="AC86" s="73">
        <v>130.5</v>
      </c>
      <c r="AD86" s="73">
        <v>130.69999999999999</v>
      </c>
      <c r="AE86" s="73">
        <v>129.1</v>
      </c>
      <c r="AF86" s="73">
        <v>127</v>
      </c>
      <c r="AG86" s="89"/>
      <c r="AH86" s="21">
        <f t="shared" si="13"/>
        <v>132.9</v>
      </c>
      <c r="AI86" s="20">
        <f t="shared" si="14"/>
        <v>126.8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130</v>
      </c>
      <c r="C87" s="73">
        <v>129.69999999999999</v>
      </c>
      <c r="D87" s="73">
        <v>130</v>
      </c>
      <c r="E87" s="73">
        <v>130.4</v>
      </c>
      <c r="F87" s="73">
        <v>130.19999999999999</v>
      </c>
      <c r="G87" s="73">
        <v>127.4</v>
      </c>
      <c r="H87" s="73">
        <v>128.30000000000001</v>
      </c>
      <c r="I87" s="73">
        <v>129.30000000000001</v>
      </c>
      <c r="J87" s="73">
        <v>128.69999999999999</v>
      </c>
      <c r="K87" s="73">
        <v>127.4</v>
      </c>
      <c r="L87" s="73">
        <v>130.1</v>
      </c>
      <c r="M87" s="73">
        <v>127.6</v>
      </c>
      <c r="N87" s="73">
        <v>128.69999999999999</v>
      </c>
      <c r="O87" s="73">
        <v>129.6</v>
      </c>
      <c r="P87" s="73">
        <v>131.1</v>
      </c>
      <c r="Q87" s="73">
        <v>129.4</v>
      </c>
      <c r="R87" s="73">
        <v>126.2</v>
      </c>
      <c r="S87" s="73">
        <v>126.2</v>
      </c>
      <c r="T87" s="73">
        <v>130</v>
      </c>
      <c r="U87" s="73">
        <v>129.69999999999999</v>
      </c>
      <c r="V87" s="73">
        <v>135.1</v>
      </c>
      <c r="W87" s="73">
        <v>132.4</v>
      </c>
      <c r="X87" s="94">
        <v>132.4</v>
      </c>
      <c r="Y87" s="94">
        <v>126.9</v>
      </c>
      <c r="Z87" s="94">
        <v>128.30000000000001</v>
      </c>
      <c r="AA87" s="94">
        <v>129</v>
      </c>
      <c r="AB87" s="73">
        <v>129.80000000000001</v>
      </c>
      <c r="AC87" s="73">
        <v>129</v>
      </c>
      <c r="AD87" s="73">
        <v>130.19999999999999</v>
      </c>
      <c r="AE87" s="73">
        <v>132.1</v>
      </c>
      <c r="AF87" s="73">
        <v>131.6</v>
      </c>
      <c r="AG87" s="89"/>
      <c r="AH87" s="21">
        <f t="shared" si="13"/>
        <v>135.1</v>
      </c>
      <c r="AI87" s="20">
        <f t="shared" si="14"/>
        <v>126.2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133.19999999999999</v>
      </c>
      <c r="C88" s="73">
        <v>131.5</v>
      </c>
      <c r="D88" s="73">
        <v>131.5</v>
      </c>
      <c r="E88" s="73">
        <v>132.30000000000001</v>
      </c>
      <c r="F88" s="73">
        <v>132.1</v>
      </c>
      <c r="G88" s="73">
        <v>129.30000000000001</v>
      </c>
      <c r="H88" s="73">
        <v>129.4</v>
      </c>
      <c r="I88" s="73">
        <v>133.1</v>
      </c>
      <c r="J88" s="73">
        <v>133.80000000000001</v>
      </c>
      <c r="K88" s="73">
        <v>131.19999999999999</v>
      </c>
      <c r="L88" s="73">
        <v>133.1</v>
      </c>
      <c r="M88" s="73">
        <v>127.7</v>
      </c>
      <c r="N88" s="73">
        <v>128.69999999999999</v>
      </c>
      <c r="O88" s="73">
        <v>130.4</v>
      </c>
      <c r="P88" s="73">
        <v>132.80000000000001</v>
      </c>
      <c r="Q88" s="73">
        <v>131.4</v>
      </c>
      <c r="R88" s="73">
        <v>129.30000000000001</v>
      </c>
      <c r="S88" s="73">
        <v>129.30000000000001</v>
      </c>
      <c r="T88" s="73">
        <v>132.80000000000001</v>
      </c>
      <c r="U88" s="73">
        <v>133</v>
      </c>
      <c r="V88" s="73">
        <v>133.19999999999999</v>
      </c>
      <c r="W88" s="73">
        <v>134.80000000000001</v>
      </c>
      <c r="X88" s="94">
        <v>135.19999999999999</v>
      </c>
      <c r="Y88" s="94">
        <v>129.9</v>
      </c>
      <c r="Z88" s="94">
        <v>131.1</v>
      </c>
      <c r="AA88" s="94">
        <v>131</v>
      </c>
      <c r="AB88" s="73">
        <v>130.69999999999999</v>
      </c>
      <c r="AC88" s="73">
        <v>130</v>
      </c>
      <c r="AD88" s="73">
        <v>132.80000000000001</v>
      </c>
      <c r="AE88" s="73">
        <v>134.1</v>
      </c>
      <c r="AF88" s="73">
        <v>134.1</v>
      </c>
      <c r="AG88" s="89"/>
      <c r="AH88" s="21">
        <f t="shared" si="13"/>
        <v>135.19999999999999</v>
      </c>
      <c r="AI88" s="20">
        <f t="shared" si="14"/>
        <v>127.7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135.6</v>
      </c>
      <c r="C89" s="66">
        <v>132.4</v>
      </c>
      <c r="D89" s="66">
        <v>134</v>
      </c>
      <c r="E89" s="66">
        <v>130.6</v>
      </c>
      <c r="F89" s="66">
        <v>133.69999999999999</v>
      </c>
      <c r="G89" s="66">
        <v>131.4</v>
      </c>
      <c r="H89" s="66">
        <v>131.6</v>
      </c>
      <c r="I89" s="66">
        <v>132.80000000000001</v>
      </c>
      <c r="J89" s="66">
        <v>129.6</v>
      </c>
      <c r="K89" s="66">
        <v>130.69999999999999</v>
      </c>
      <c r="L89" s="66">
        <v>134</v>
      </c>
      <c r="M89" s="66">
        <v>133</v>
      </c>
      <c r="N89" s="66">
        <v>134</v>
      </c>
      <c r="O89" s="66">
        <v>132</v>
      </c>
      <c r="P89" s="66">
        <v>135</v>
      </c>
      <c r="Q89" s="66">
        <v>132.30000000000001</v>
      </c>
      <c r="R89" s="66">
        <v>132.30000000000001</v>
      </c>
      <c r="S89" s="66">
        <v>132.30000000000001</v>
      </c>
      <c r="T89" s="66">
        <v>134</v>
      </c>
      <c r="U89" s="66">
        <v>132.6</v>
      </c>
      <c r="V89" s="66">
        <v>135.1</v>
      </c>
      <c r="W89" s="66">
        <v>137.4</v>
      </c>
      <c r="X89" s="94">
        <v>135.1</v>
      </c>
      <c r="Y89" s="94">
        <v>133.69999999999999</v>
      </c>
      <c r="Z89" s="94">
        <v>134.6</v>
      </c>
      <c r="AA89" s="94">
        <v>136.30000000000001</v>
      </c>
      <c r="AB89" s="66">
        <v>134.4</v>
      </c>
      <c r="AC89" s="66">
        <v>134.4</v>
      </c>
      <c r="AD89" s="66">
        <v>132.4</v>
      </c>
      <c r="AE89" s="66">
        <v>131.69999999999999</v>
      </c>
      <c r="AF89" s="66">
        <v>130.6</v>
      </c>
      <c r="AG89" s="91"/>
      <c r="AH89" s="21">
        <f t="shared" si="13"/>
        <v>137.4</v>
      </c>
      <c r="AI89" s="20">
        <f t="shared" si="14"/>
        <v>129.6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136.6</v>
      </c>
      <c r="C90" s="73">
        <v>134.30000000000001</v>
      </c>
      <c r="D90" s="73">
        <v>137.4</v>
      </c>
      <c r="E90" s="73">
        <v>138.30000000000001</v>
      </c>
      <c r="F90" s="73">
        <v>135.4</v>
      </c>
      <c r="G90" s="73">
        <v>136.9</v>
      </c>
      <c r="H90" s="73">
        <v>132.4</v>
      </c>
      <c r="I90" s="73">
        <v>133.69999999999999</v>
      </c>
      <c r="J90" s="73">
        <v>135.80000000000001</v>
      </c>
      <c r="K90" s="73">
        <v>134.69999999999999</v>
      </c>
      <c r="L90" s="73">
        <v>135.19999999999999</v>
      </c>
      <c r="M90" s="73">
        <v>133</v>
      </c>
      <c r="N90" s="73">
        <v>133.80000000000001</v>
      </c>
      <c r="O90" s="73">
        <v>133.4</v>
      </c>
      <c r="P90" s="73">
        <v>135.1</v>
      </c>
      <c r="Q90" s="73">
        <v>135.80000000000001</v>
      </c>
      <c r="R90" s="73">
        <v>134.9</v>
      </c>
      <c r="S90" s="73">
        <v>134.9</v>
      </c>
      <c r="T90" s="73">
        <v>135</v>
      </c>
      <c r="U90" s="73">
        <v>136.5</v>
      </c>
      <c r="V90" s="73">
        <v>136.30000000000001</v>
      </c>
      <c r="W90" s="73">
        <v>136.19999999999999</v>
      </c>
      <c r="X90" s="94">
        <v>137.69999999999999</v>
      </c>
      <c r="Y90" s="94">
        <v>133.9</v>
      </c>
      <c r="Z90" s="94">
        <v>129.9</v>
      </c>
      <c r="AA90" s="94">
        <v>130</v>
      </c>
      <c r="AB90" s="73">
        <v>133.5</v>
      </c>
      <c r="AC90" s="73">
        <v>130.30000000000001</v>
      </c>
      <c r="AD90" s="73">
        <v>130.80000000000001</v>
      </c>
      <c r="AE90" s="73">
        <v>132.19999999999999</v>
      </c>
      <c r="AF90" s="73">
        <v>128.19999999999999</v>
      </c>
      <c r="AG90" s="89"/>
      <c r="AH90" s="21">
        <f t="shared" si="13"/>
        <v>138.30000000000001</v>
      </c>
      <c r="AI90" s="20">
        <f t="shared" si="14"/>
        <v>128.19999999999999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66.8</v>
      </c>
      <c r="C91" s="87">
        <v>66.900000000000006</v>
      </c>
      <c r="D91" s="87">
        <v>66.900000000000006</v>
      </c>
      <c r="E91" s="87">
        <v>67</v>
      </c>
      <c r="F91" s="87">
        <v>66.8</v>
      </c>
      <c r="G91" s="87">
        <v>66.400000000000006</v>
      </c>
      <c r="H91" s="87">
        <v>66.3</v>
      </c>
      <c r="I91" s="87">
        <v>66.099999999999994</v>
      </c>
      <c r="J91" s="87">
        <v>64.599999999999994</v>
      </c>
      <c r="K91" s="87">
        <v>64.7</v>
      </c>
      <c r="L91" s="87">
        <v>64.099999999999994</v>
      </c>
      <c r="M91" s="87">
        <v>65</v>
      </c>
      <c r="N91" s="87">
        <v>64.8</v>
      </c>
      <c r="O91" s="87">
        <v>64.400000000000006</v>
      </c>
      <c r="P91" s="87">
        <v>64.599999999999994</v>
      </c>
      <c r="Q91" s="87">
        <v>64.2</v>
      </c>
      <c r="R91" s="87">
        <v>64.5</v>
      </c>
      <c r="S91" s="87">
        <v>64.5</v>
      </c>
      <c r="T91" s="87">
        <v>65.5</v>
      </c>
      <c r="U91" s="87">
        <v>65.099999999999994</v>
      </c>
      <c r="V91" s="87">
        <v>65.400000000000006</v>
      </c>
      <c r="W91" s="87">
        <v>66.099999999999994</v>
      </c>
      <c r="X91" s="87">
        <v>65.599999999999994</v>
      </c>
      <c r="Y91" s="87">
        <v>65.3</v>
      </c>
      <c r="Z91" s="87">
        <v>65.3</v>
      </c>
      <c r="AA91" s="87">
        <v>65.599999999999994</v>
      </c>
      <c r="AB91" s="87">
        <v>66</v>
      </c>
      <c r="AC91" s="87">
        <v>66.099999999999994</v>
      </c>
      <c r="AD91" s="87">
        <v>65.8</v>
      </c>
      <c r="AE91" s="87">
        <v>65.099999999999994</v>
      </c>
      <c r="AF91" s="87">
        <v>64</v>
      </c>
      <c r="AG91" s="86"/>
      <c r="AH91" s="21">
        <f t="shared" si="13"/>
        <v>67</v>
      </c>
      <c r="AI91" s="20">
        <f t="shared" si="14"/>
        <v>64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175.64</v>
      </c>
      <c r="C93" s="82">
        <f t="shared" si="21"/>
        <v>161.13999999999996</v>
      </c>
      <c r="D93" s="82">
        <f t="shared" si="21"/>
        <v>153.54</v>
      </c>
      <c r="E93" s="82">
        <f t="shared" si="21"/>
        <v>153.53999999999996</v>
      </c>
      <c r="F93" s="82">
        <f t="shared" si="21"/>
        <v>157.33999999999995</v>
      </c>
      <c r="G93" s="80">
        <f t="shared" si="21"/>
        <v>178.43999999999994</v>
      </c>
      <c r="H93" s="80">
        <f t="shared" si="21"/>
        <v>201.53999999999996</v>
      </c>
      <c r="I93" s="80">
        <f t="shared" si="21"/>
        <v>219.13999999999996</v>
      </c>
      <c r="J93" s="80">
        <f t="shared" si="21"/>
        <v>250.73999999999998</v>
      </c>
      <c r="K93" s="80">
        <f t="shared" si="21"/>
        <v>269.24</v>
      </c>
      <c r="L93" s="80">
        <f t="shared" si="21"/>
        <v>282.24</v>
      </c>
      <c r="M93" s="80">
        <f t="shared" si="21"/>
        <v>300.54000000000002</v>
      </c>
      <c r="N93" s="80">
        <f t="shared" si="21"/>
        <v>315.54000000000002</v>
      </c>
      <c r="O93" s="80">
        <f t="shared" si="21"/>
        <v>299.24</v>
      </c>
      <c r="P93" s="80">
        <f t="shared" si="21"/>
        <v>284.94</v>
      </c>
      <c r="Q93" s="80">
        <f t="shared" si="21"/>
        <v>271.44</v>
      </c>
      <c r="R93" s="80">
        <f t="shared" si="21"/>
        <v>257.84000000000003</v>
      </c>
      <c r="S93" s="80">
        <f t="shared" si="21"/>
        <v>256.03999999999996</v>
      </c>
      <c r="T93" s="80">
        <f t="shared" si="21"/>
        <v>256.03999999999996</v>
      </c>
      <c r="U93" s="80">
        <f t="shared" si="21"/>
        <v>251.73999999999995</v>
      </c>
      <c r="V93" s="80">
        <f t="shared" si="21"/>
        <v>264.04000000000002</v>
      </c>
      <c r="W93" s="80">
        <f t="shared" si="21"/>
        <v>271.83999999999997</v>
      </c>
      <c r="X93" s="80">
        <f t="shared" si="21"/>
        <v>277.24</v>
      </c>
      <c r="Y93" s="80">
        <f t="shared" si="21"/>
        <v>314.04000000000002</v>
      </c>
      <c r="Z93" s="80">
        <f t="shared" si="21"/>
        <v>346.04</v>
      </c>
      <c r="AA93" s="80">
        <f t="shared" si="21"/>
        <v>343.34000000000003</v>
      </c>
      <c r="AB93" s="80">
        <f t="shared" si="21"/>
        <v>341.64000000000004</v>
      </c>
      <c r="AC93" s="80">
        <f t="shared" si="21"/>
        <v>299.84000000000003</v>
      </c>
      <c r="AD93" s="80">
        <f t="shared" si="21"/>
        <v>263.62399999999997</v>
      </c>
      <c r="AE93" s="80">
        <f t="shared" si="21"/>
        <v>200.53999999999994</v>
      </c>
      <c r="AF93" s="80">
        <f t="shared" si="21"/>
        <v>170.03999999999994</v>
      </c>
      <c r="AG93" s="79"/>
      <c r="AH93" s="21">
        <f>MAX(C93:AF93)</f>
        <v>346.04</v>
      </c>
      <c r="AI93" s="20">
        <f>MIN(C93:AF93)</f>
        <v>153.53999999999996</v>
      </c>
    </row>
    <row r="94" spans="1:88" x14ac:dyDescent="0.25">
      <c r="A94" s="48" t="s">
        <v>122</v>
      </c>
      <c r="B94" s="78">
        <v>22.3</v>
      </c>
      <c r="C94" s="77">
        <v>33.200000000000003</v>
      </c>
      <c r="D94" s="77">
        <v>34.9</v>
      </c>
      <c r="E94" s="77">
        <v>4.7</v>
      </c>
      <c r="F94" s="77">
        <v>-3.4</v>
      </c>
      <c r="G94" s="76">
        <v>-10.4</v>
      </c>
      <c r="H94" s="76">
        <v>6.2</v>
      </c>
      <c r="I94" s="76">
        <v>10.9</v>
      </c>
      <c r="J94" s="76">
        <v>28.1</v>
      </c>
      <c r="K94" s="76">
        <v>22.5</v>
      </c>
      <c r="L94" s="76">
        <v>33.6</v>
      </c>
      <c r="M94" s="75">
        <v>47.6</v>
      </c>
      <c r="N94" s="76">
        <v>41.6</v>
      </c>
      <c r="O94" s="76">
        <v>27.1</v>
      </c>
      <c r="P94" s="76">
        <v>11.7</v>
      </c>
      <c r="Q94" s="76">
        <v>-6.3</v>
      </c>
      <c r="R94" s="76">
        <v>-9.4</v>
      </c>
      <c r="S94" s="76">
        <v>0</v>
      </c>
      <c r="T94" s="76">
        <v>2</v>
      </c>
      <c r="U94" s="75">
        <v>2.2999999999999998</v>
      </c>
      <c r="V94" s="75">
        <v>2.6</v>
      </c>
      <c r="W94" s="75">
        <v>23.8</v>
      </c>
      <c r="X94" s="76">
        <v>30.2</v>
      </c>
      <c r="Y94" s="76">
        <v>36.1</v>
      </c>
      <c r="Z94" s="76">
        <v>9.3000000000000007</v>
      </c>
      <c r="AA94" s="76">
        <v>13</v>
      </c>
      <c r="AB94" s="75">
        <v>18.3</v>
      </c>
      <c r="AC94" s="75">
        <v>23.6</v>
      </c>
      <c r="AD94" s="75">
        <v>24.6</v>
      </c>
      <c r="AE94" s="75">
        <v>27.5</v>
      </c>
      <c r="AF94" s="75">
        <v>26.2</v>
      </c>
      <c r="AG94" s="3">
        <v>75</v>
      </c>
      <c r="AH94" s="21">
        <f t="shared" ref="AH94:AH100" si="22">IF(ABS(MAX(C94:AF94))&gt;ABS(MIN(C94:AF94)),MAX(C94:AF94),MIN(C94:AF94))</f>
        <v>47.6</v>
      </c>
      <c r="AI94" s="64">
        <f t="shared" ref="AI94:AI100" si="23">INDEX($C$9:$AF$9,1,MATCH(AH94,C94:AF94,0))</f>
        <v>0.33333333333333331</v>
      </c>
    </row>
    <row r="95" spans="1:88" x14ac:dyDescent="0.25">
      <c r="A95" s="45" t="s">
        <v>121</v>
      </c>
      <c r="B95" s="74">
        <v>-70</v>
      </c>
      <c r="C95" s="67">
        <v>-76</v>
      </c>
      <c r="D95" s="67">
        <v>-82</v>
      </c>
      <c r="E95" s="67">
        <v>-77</v>
      </c>
      <c r="F95" s="67">
        <v>-75</v>
      </c>
      <c r="G95" s="67">
        <v>-65</v>
      </c>
      <c r="H95" s="67">
        <v>-65</v>
      </c>
      <c r="I95" s="67">
        <v>-58</v>
      </c>
      <c r="J95" s="67">
        <v>-46</v>
      </c>
      <c r="K95" s="67">
        <v>-37</v>
      </c>
      <c r="L95" s="67">
        <v>-31</v>
      </c>
      <c r="M95" s="67">
        <v>-9.9</v>
      </c>
      <c r="N95" s="67">
        <v>-6</v>
      </c>
      <c r="O95" s="67">
        <v>-11.3</v>
      </c>
      <c r="P95" s="67">
        <v>-13.2</v>
      </c>
      <c r="Q95" s="67">
        <v>-15.3</v>
      </c>
      <c r="R95" s="67">
        <v>-20</v>
      </c>
      <c r="S95" s="67">
        <v>-31</v>
      </c>
      <c r="T95" s="67">
        <v>-24</v>
      </c>
      <c r="U95" s="67">
        <v>5.6</v>
      </c>
      <c r="V95" s="67">
        <v>7.2</v>
      </c>
      <c r="W95" s="67">
        <v>-18</v>
      </c>
      <c r="X95" s="67">
        <v>-15.8</v>
      </c>
      <c r="Y95" s="67">
        <v>-15.5</v>
      </c>
      <c r="Z95" s="67">
        <v>4.2</v>
      </c>
      <c r="AA95" s="67">
        <v>2</v>
      </c>
      <c r="AB95" s="73">
        <f>2.6+12.4</f>
        <v>15</v>
      </c>
      <c r="AC95" s="73">
        <f>-6.7-11.5</f>
        <v>-18.2</v>
      </c>
      <c r="AD95" s="73">
        <f>-8.116</f>
        <v>-8.1159999999999997</v>
      </c>
      <c r="AE95" s="73">
        <f>-16-21.4</f>
        <v>-37.4</v>
      </c>
      <c r="AF95" s="73">
        <f>-16.9-20.9</f>
        <v>-37.799999999999997</v>
      </c>
      <c r="AG95" s="3">
        <v>240</v>
      </c>
      <c r="AH95" s="21">
        <f t="shared" si="22"/>
        <v>-82</v>
      </c>
      <c r="AI95" s="64">
        <f t="shared" si="23"/>
        <v>8.3333333333333301E-2</v>
      </c>
    </row>
    <row r="96" spans="1:88" x14ac:dyDescent="0.25">
      <c r="A96" s="45" t="s">
        <v>120</v>
      </c>
      <c r="B96" s="74">
        <v>19.399999999999999</v>
      </c>
      <c r="C96" s="67">
        <v>19.8</v>
      </c>
      <c r="D96" s="67">
        <v>16.899999999999999</v>
      </c>
      <c r="E96" s="67">
        <v>8.9</v>
      </c>
      <c r="F96" s="67">
        <v>1.3</v>
      </c>
      <c r="G96" s="67">
        <v>4.3</v>
      </c>
      <c r="H96" s="67">
        <v>9.8000000000000007</v>
      </c>
      <c r="I96" s="67">
        <v>11.1</v>
      </c>
      <c r="J96" s="67">
        <v>2.5</v>
      </c>
      <c r="K96" s="67">
        <v>1</v>
      </c>
      <c r="L96" s="67">
        <v>1.2</v>
      </c>
      <c r="M96" s="67">
        <v>-0.7</v>
      </c>
      <c r="N96" s="67">
        <v>5.9</v>
      </c>
      <c r="O96" s="67">
        <v>-1.9</v>
      </c>
      <c r="P96" s="67">
        <v>-4.2</v>
      </c>
      <c r="Q96" s="67">
        <v>-2</v>
      </c>
      <c r="R96" s="67">
        <v>-4.0999999999999996</v>
      </c>
      <c r="S96" s="67">
        <v>0</v>
      </c>
      <c r="T96" s="67">
        <v>3</v>
      </c>
      <c r="U96" s="67">
        <v>2.1</v>
      </c>
      <c r="V96" s="67">
        <v>2.2000000000000002</v>
      </c>
      <c r="W96" s="67">
        <v>9.1999999999999993</v>
      </c>
      <c r="X96" s="67">
        <v>5.4</v>
      </c>
      <c r="Y96" s="67">
        <v>16.600000000000001</v>
      </c>
      <c r="Z96" s="67">
        <v>35.5</v>
      </c>
      <c r="AA96" s="67">
        <v>36</v>
      </c>
      <c r="AB96" s="73">
        <v>30.3</v>
      </c>
      <c r="AC96" s="73">
        <v>23.4</v>
      </c>
      <c r="AD96" s="73">
        <v>9.6</v>
      </c>
      <c r="AE96" s="73">
        <v>-0.3</v>
      </c>
      <c r="AF96" s="73">
        <v>-12.8</v>
      </c>
      <c r="AG96" s="3">
        <v>60</v>
      </c>
      <c r="AH96" s="21">
        <f t="shared" si="22"/>
        <v>36</v>
      </c>
      <c r="AI96" s="64">
        <f t="shared" si="23"/>
        <v>0.8125</v>
      </c>
    </row>
    <row r="97" spans="1:37" x14ac:dyDescent="0.25">
      <c r="A97" s="41" t="s">
        <v>119</v>
      </c>
      <c r="B97" s="71">
        <v>15.7</v>
      </c>
      <c r="C97" s="70">
        <v>-4.4000000000000004</v>
      </c>
      <c r="D97" s="70">
        <v>-4.8</v>
      </c>
      <c r="E97" s="70">
        <v>28.4</v>
      </c>
      <c r="F97" s="70">
        <v>45.9</v>
      </c>
      <c r="G97" s="70">
        <v>61</v>
      </c>
      <c r="H97" s="70">
        <v>62</v>
      </c>
      <c r="I97" s="70">
        <v>66.599999999999994</v>
      </c>
      <c r="J97" s="70">
        <v>77.900000000000006</v>
      </c>
      <c r="K97" s="70">
        <v>94.5</v>
      </c>
      <c r="L97" s="70">
        <v>90.2</v>
      </c>
      <c r="M97" s="70">
        <v>71.5</v>
      </c>
      <c r="N97" s="70">
        <v>82</v>
      </c>
      <c r="O97" s="70">
        <v>93.3</v>
      </c>
      <c r="P97" s="70">
        <v>99.1</v>
      </c>
      <c r="Q97" s="70">
        <v>103.5</v>
      </c>
      <c r="R97" s="70">
        <v>99.3</v>
      </c>
      <c r="S97" s="70">
        <v>95</v>
      </c>
      <c r="T97" s="70">
        <v>83</v>
      </c>
      <c r="U97" s="70">
        <v>49.8</v>
      </c>
      <c r="V97" s="70">
        <v>60.9</v>
      </c>
      <c r="W97" s="70">
        <v>64.900000000000006</v>
      </c>
      <c r="X97" s="70">
        <v>70</v>
      </c>
      <c r="Y97" s="70">
        <v>88.9</v>
      </c>
      <c r="Z97" s="70">
        <v>108.7</v>
      </c>
      <c r="AA97" s="70">
        <v>104</v>
      </c>
      <c r="AB97" s="69">
        <v>89.7</v>
      </c>
      <c r="AC97" s="69">
        <v>82.7</v>
      </c>
      <c r="AD97" s="69">
        <v>49</v>
      </c>
      <c r="AE97" s="69">
        <v>22.2</v>
      </c>
      <c r="AF97" s="69">
        <v>5.9</v>
      </c>
      <c r="AG97" s="72">
        <v>120</v>
      </c>
      <c r="AH97" s="21">
        <f t="shared" si="22"/>
        <v>108.7</v>
      </c>
      <c r="AI97" s="64">
        <f t="shared" si="23"/>
        <v>0.79166666666666663</v>
      </c>
    </row>
    <row r="98" spans="1:37" x14ac:dyDescent="0.25">
      <c r="A98" s="41" t="s">
        <v>118</v>
      </c>
      <c r="B98" s="71">
        <v>26.3</v>
      </c>
      <c r="C98" s="70">
        <v>12.7</v>
      </c>
      <c r="D98" s="70">
        <v>14</v>
      </c>
      <c r="E98" s="70">
        <v>52</v>
      </c>
      <c r="F98" s="70">
        <v>64</v>
      </c>
      <c r="G98" s="70">
        <v>75.5</v>
      </c>
      <c r="H98" s="70">
        <v>62</v>
      </c>
      <c r="I98" s="70">
        <v>62.8</v>
      </c>
      <c r="J98" s="70">
        <v>32.9</v>
      </c>
      <c r="K98" s="70">
        <v>90.6</v>
      </c>
      <c r="L98" s="70">
        <v>81.400000000000006</v>
      </c>
      <c r="M98" s="70">
        <v>58.9</v>
      </c>
      <c r="N98" s="70">
        <v>67.099999999999994</v>
      </c>
      <c r="O98" s="70">
        <v>77.400000000000006</v>
      </c>
      <c r="P98" s="70">
        <v>83.3</v>
      </c>
      <c r="Q98" s="70">
        <v>91.9</v>
      </c>
      <c r="R98" s="70">
        <v>86.5</v>
      </c>
      <c r="S98" s="70">
        <v>82</v>
      </c>
      <c r="T98" s="70">
        <v>74</v>
      </c>
      <c r="U98" s="70">
        <v>96</v>
      </c>
      <c r="V98" s="70">
        <v>91</v>
      </c>
      <c r="W98" s="70">
        <v>59.6</v>
      </c>
      <c r="X98" s="70">
        <v>80.5</v>
      </c>
      <c r="Y98" s="70">
        <v>78.2</v>
      </c>
      <c r="Z98" s="70">
        <v>91.3</v>
      </c>
      <c r="AA98" s="70">
        <v>91</v>
      </c>
      <c r="AB98" s="69">
        <v>68.2</v>
      </c>
      <c r="AC98" s="69">
        <v>75</v>
      </c>
      <c r="AD98" s="69">
        <v>79.400000000000006</v>
      </c>
      <c r="AE98" s="69">
        <v>83</v>
      </c>
      <c r="AF98" s="69">
        <v>97.5</v>
      </c>
      <c r="AG98" s="72"/>
      <c r="AH98" s="21">
        <f t="shared" si="22"/>
        <v>97.5</v>
      </c>
      <c r="AI98" s="64">
        <f t="shared" si="23"/>
        <v>0.95833333333333304</v>
      </c>
    </row>
    <row r="99" spans="1:37" x14ac:dyDescent="0.25">
      <c r="A99" s="41" t="s">
        <v>117</v>
      </c>
      <c r="B99" s="71">
        <v>73.8</v>
      </c>
      <c r="C99" s="70">
        <v>64</v>
      </c>
      <c r="D99" s="70">
        <v>60</v>
      </c>
      <c r="E99" s="70">
        <v>76.2</v>
      </c>
      <c r="F99" s="70">
        <v>79</v>
      </c>
      <c r="G99" s="70">
        <v>82.5</v>
      </c>
      <c r="H99" s="70">
        <v>83.2</v>
      </c>
      <c r="I99" s="70">
        <v>75.7</v>
      </c>
      <c r="J99" s="70">
        <v>53.7</v>
      </c>
      <c r="K99" s="70">
        <v>65.2</v>
      </c>
      <c r="L99" s="70">
        <v>40.700000000000003</v>
      </c>
      <c r="M99" s="70">
        <v>37.700000000000003</v>
      </c>
      <c r="N99" s="70">
        <v>42.6</v>
      </c>
      <c r="O99" s="70">
        <v>57.2</v>
      </c>
      <c r="P99" s="70">
        <v>60.5</v>
      </c>
      <c r="Q99" s="70">
        <v>76.099999999999994</v>
      </c>
      <c r="R99" s="70">
        <v>74.099999999999994</v>
      </c>
      <c r="S99" s="70">
        <v>77</v>
      </c>
      <c r="T99" s="70">
        <v>76</v>
      </c>
      <c r="U99" s="70">
        <v>76</v>
      </c>
      <c r="V99" s="70">
        <v>25</v>
      </c>
      <c r="W99" s="70">
        <v>62.9</v>
      </c>
      <c r="X99" s="70">
        <v>51.9</v>
      </c>
      <c r="Y99" s="70">
        <v>56</v>
      </c>
      <c r="Z99" s="70">
        <v>79.8</v>
      </c>
      <c r="AA99" s="70">
        <v>80</v>
      </c>
      <c r="AB99" s="69">
        <v>71.5</v>
      </c>
      <c r="AC99" s="69">
        <v>67.900000000000006</v>
      </c>
      <c r="AD99" s="69">
        <v>69.8</v>
      </c>
      <c r="AE99" s="69">
        <v>70.2</v>
      </c>
      <c r="AF99" s="69">
        <v>75</v>
      </c>
      <c r="AG99" s="65"/>
      <c r="AH99" s="21">
        <f t="shared" si="22"/>
        <v>83.2</v>
      </c>
      <c r="AI99" s="64">
        <f t="shared" si="23"/>
        <v>0.22916666666666666</v>
      </c>
    </row>
    <row r="100" spans="1:37" ht="15.75" thickBot="1" x14ac:dyDescent="0.3">
      <c r="A100" s="68" t="s">
        <v>116</v>
      </c>
      <c r="B100" s="66">
        <v>77.5</v>
      </c>
      <c r="C100" s="67">
        <v>76</v>
      </c>
      <c r="D100" s="67">
        <v>75.2</v>
      </c>
      <c r="E100" s="67">
        <v>75</v>
      </c>
      <c r="F100" s="67">
        <v>75.3</v>
      </c>
      <c r="G100" s="67">
        <v>83</v>
      </c>
      <c r="H100" s="67">
        <v>84.5</v>
      </c>
      <c r="I100" s="67">
        <v>88.7</v>
      </c>
      <c r="J100" s="67">
        <v>32.4</v>
      </c>
      <c r="K100" s="67">
        <v>58.3</v>
      </c>
      <c r="L100" s="67">
        <v>72.5</v>
      </c>
      <c r="M100" s="67">
        <v>89.5</v>
      </c>
      <c r="N100" s="67">
        <v>88</v>
      </c>
      <c r="O100" s="67">
        <v>81</v>
      </c>
      <c r="P100" s="67">
        <v>82.7</v>
      </c>
      <c r="Q100" s="67">
        <v>79.8</v>
      </c>
      <c r="R100" s="67">
        <v>89.3</v>
      </c>
      <c r="S100" s="67">
        <v>95</v>
      </c>
      <c r="T100" s="67">
        <v>90</v>
      </c>
      <c r="U100" s="67">
        <v>30</v>
      </c>
      <c r="V100" s="67">
        <v>70.900000000000006</v>
      </c>
      <c r="W100" s="67">
        <v>30.4</v>
      </c>
      <c r="X100" s="67">
        <v>27.7</v>
      </c>
      <c r="Y100" s="67">
        <v>84.5</v>
      </c>
      <c r="Z100" s="67">
        <v>91.6</v>
      </c>
      <c r="AA100" s="67">
        <v>91</v>
      </c>
      <c r="AB100" s="66">
        <v>89.9</v>
      </c>
      <c r="AC100" s="66">
        <v>96</v>
      </c>
      <c r="AD100" s="66">
        <v>84.4</v>
      </c>
      <c r="AE100" s="66">
        <v>73.8</v>
      </c>
      <c r="AF100" s="66">
        <v>67.7</v>
      </c>
      <c r="AG100" s="65"/>
      <c r="AH100" s="21">
        <f t="shared" si="22"/>
        <v>96</v>
      </c>
      <c r="AI100" s="64">
        <f t="shared" si="23"/>
        <v>0.85416666666666663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1372.74</v>
      </c>
      <c r="C209" s="17">
        <f>INDEX(G9:N9,1,MATCH(MAX(G75:N75),G75:N75,0))</f>
        <v>0.375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19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2078/12/19)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2078/12/19)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1265.24</v>
      </c>
      <c r="U214" s="9">
        <f t="shared" si="60"/>
        <v>1217.0400000000002</v>
      </c>
      <c r="V214" s="9">
        <f t="shared" si="60"/>
        <v>1205.3400000000001</v>
      </c>
      <c r="W214" s="9">
        <f t="shared" si="60"/>
        <v>1151.04</v>
      </c>
      <c r="X214" s="9">
        <f t="shared" si="60"/>
        <v>1142.54</v>
      </c>
      <c r="Y214" s="9">
        <f t="shared" si="60"/>
        <v>1178.1399999999999</v>
      </c>
      <c r="Z214" s="9">
        <f t="shared" si="60"/>
        <v>1201.1400000000001</v>
      </c>
      <c r="AA214" s="9">
        <f t="shared" si="60"/>
        <v>1212.74</v>
      </c>
      <c r="AB214" s="9">
        <f t="shared" si="60"/>
        <v>1240.44</v>
      </c>
      <c r="AC214" s="9">
        <f t="shared" si="60"/>
        <v>1289.94</v>
      </c>
      <c r="AD214" s="9">
        <f t="shared" si="60"/>
        <v>1344.24</v>
      </c>
      <c r="AE214" s="9">
        <f t="shared" si="60"/>
        <v>1369.6399999999999</v>
      </c>
      <c r="AF214" s="9">
        <f t="shared" si="60"/>
        <v>1372.74</v>
      </c>
      <c r="AG214" s="9">
        <f t="shared" si="60"/>
        <v>1360.34</v>
      </c>
      <c r="AH214" s="9">
        <f t="shared" si="60"/>
        <v>1344.44</v>
      </c>
      <c r="AI214" s="9">
        <f t="shared" si="60"/>
        <v>1338.7400000000002</v>
      </c>
      <c r="AJ214" s="9">
        <f t="shared" si="60"/>
        <v>1327.8700000000001</v>
      </c>
      <c r="AK214" s="9">
        <f t="shared" si="60"/>
        <v>1361.3400000000001</v>
      </c>
      <c r="AL214" s="9">
        <f t="shared" si="60"/>
        <v>1326.3400000000001</v>
      </c>
      <c r="AM214" s="9">
        <f t="shared" si="60"/>
        <v>1335.94</v>
      </c>
      <c r="AN214" s="9">
        <f t="shared" si="60"/>
        <v>1320.04</v>
      </c>
      <c r="AO214" s="9">
        <f t="shared" si="60"/>
        <v>1318.4390000000001</v>
      </c>
      <c r="AP214" s="9">
        <f t="shared" si="60"/>
        <v>1177.0400000000002</v>
      </c>
      <c r="AQ214" s="9">
        <f t="shared" si="60"/>
        <v>1387.74</v>
      </c>
      <c r="AR214" s="9">
        <f t="shared" si="60"/>
        <v>1522.04</v>
      </c>
      <c r="AS214" s="9">
        <f t="shared" si="60"/>
        <v>1521.3400000000001</v>
      </c>
      <c r="AT214" s="9">
        <f t="shared" si="60"/>
        <v>1495.2400000000002</v>
      </c>
      <c r="AU214" s="9">
        <f t="shared" si="60"/>
        <v>1443.24</v>
      </c>
      <c r="AV214" s="9">
        <f t="shared" si="60"/>
        <v>1314.04</v>
      </c>
      <c r="AW214" s="9">
        <f t="shared" si="60"/>
        <v>1247.5500000000002</v>
      </c>
      <c r="AX214" s="9">
        <f t="shared" si="60"/>
        <v>1220.6399999999999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N37 D57:L59 P39:R39 M39:O42 P40:Q42 R40:T41 M58:M59 X85:AA91 M11:AA11 AB81:AF81 B81:R81 C56:AF56 B82:AF83 D194:AF200 B194:B200 C68:AF72 B84:B91 B9:AF10 B192:AF192 B53:B72 AG73 AB94:AF100 B94:B100 U213:AF213 C53:C55 C57:C67 D60:M67 B36:N36 O58:W59 N58:N67 M22:Q22 O60:R67 R42:S42 O12:T14 T40:Y42 N45:T48 S62:T67 O36:W37 R16:Y32 Z12:AA14 M53:AF55 B73:AF80 AB84:AF91 AB11:AE14 AF14 Z16:AF31 X36:AF36 Z40:AF43">
    <cfRule type="expression" dxfId="3614" priority="251">
      <formula>B$9&gt;=20/24</formula>
    </cfRule>
    <cfRule type="expression" dxfId="3613" priority="252">
      <formula>AND(B$9&gt;=14/24,B$9&lt;20/24)</formula>
    </cfRule>
    <cfRule type="expression" dxfId="3612" priority="253">
      <formula>AND(B$9&gt;=8/24,B$9&lt;14/24)</formula>
    </cfRule>
    <cfRule type="expression" dxfId="3611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610" priority="246">
      <formula>M$9&gt;=20/24</formula>
    </cfRule>
    <cfRule type="expression" dxfId="3609" priority="247">
      <formula>AND(M$9&gt;=14/24,M$9&lt;20/24)</formula>
    </cfRule>
    <cfRule type="expression" dxfId="3608" priority="248">
      <formula>AND(M$9&gt;=8/24,M$9&lt;14/24)</formula>
    </cfRule>
    <cfRule type="expression" dxfId="3607" priority="249">
      <formula>M$9&lt;8/24</formula>
    </cfRule>
  </conditionalFormatting>
  <conditionalFormatting sqref="M43:T43">
    <cfRule type="expression" dxfId="3606" priority="242">
      <formula>M$9&gt;=20/24</formula>
    </cfRule>
    <cfRule type="expression" dxfId="3605" priority="243">
      <formula>AND(M$9&gt;=14/24,M$9&lt;20/24)</formula>
    </cfRule>
    <cfRule type="expression" dxfId="3604" priority="244">
      <formula>AND(M$9&gt;=8/24,M$9&lt;14/24)</formula>
    </cfRule>
    <cfRule type="expression" dxfId="3603" priority="245">
      <formula>M$9&lt;8/24</formula>
    </cfRule>
  </conditionalFormatting>
  <conditionalFormatting sqref="Z32:AF32">
    <cfRule type="expression" dxfId="3602" priority="238">
      <formula>Z$9&gt;=20/24</formula>
    </cfRule>
    <cfRule type="expression" dxfId="3601" priority="239">
      <formula>AND(Z$9&gt;=14/24,Z$9&lt;20/24)</formula>
    </cfRule>
    <cfRule type="expression" dxfId="3600" priority="240">
      <formula>AND(Z$9&gt;=8/24,Z$9&lt;14/24)</formula>
    </cfRule>
    <cfRule type="expression" dxfId="3599" priority="241">
      <formula>Z$9&lt;8/24</formula>
    </cfRule>
  </conditionalFormatting>
  <conditionalFormatting sqref="AE51 S39:AF39 AE63:AF63">
    <cfRule type="expression" dxfId="3598" priority="234">
      <formula>S$9&gt;=20/24</formula>
    </cfRule>
    <cfRule type="expression" dxfId="3597" priority="235">
      <formula>AND(S$9&gt;=14/24,S$9&lt;20/24)</formula>
    </cfRule>
    <cfRule type="expression" dxfId="3596" priority="236">
      <formula>AND(S$9&gt;=8/24,S$9&lt;14/24)</formula>
    </cfRule>
    <cfRule type="expression" dxfId="3595" priority="237">
      <formula>S$9&lt;8/24</formula>
    </cfRule>
  </conditionalFormatting>
  <conditionalFormatting sqref="S57:AF57">
    <cfRule type="expression" dxfId="3594" priority="230">
      <formula>S$9&gt;=20/24</formula>
    </cfRule>
    <cfRule type="expression" dxfId="3593" priority="231">
      <formula>AND(S$9&gt;=14/24,S$9&lt;20/24)</formula>
    </cfRule>
    <cfRule type="expression" dxfId="3592" priority="232">
      <formula>AND(S$9&gt;=8/24,S$9&lt;14/24)</formula>
    </cfRule>
    <cfRule type="expression" dxfId="3591" priority="233">
      <formula>S$9&lt;8/24</formula>
    </cfRule>
  </conditionalFormatting>
  <conditionalFormatting sqref="S81:AA81">
    <cfRule type="expression" dxfId="3590" priority="226">
      <formula>S$9&gt;=20/24</formula>
    </cfRule>
    <cfRule type="expression" dxfId="3589" priority="227">
      <formula>AND(S$9&gt;=14/24,S$9&lt;20/24)</formula>
    </cfRule>
    <cfRule type="expression" dxfId="3588" priority="228">
      <formula>AND(S$9&gt;=8/24,S$9&lt;14/24)</formula>
    </cfRule>
    <cfRule type="expression" dxfId="3587" priority="229">
      <formula>S$9&lt;8/24</formula>
    </cfRule>
  </conditionalFormatting>
  <conditionalFormatting sqref="U84:AA84">
    <cfRule type="expression" dxfId="3586" priority="222">
      <formula>U$9&gt;=20/24</formula>
    </cfRule>
    <cfRule type="expression" dxfId="3585" priority="223">
      <formula>AND(U$9&gt;=14/24,U$9&lt;20/24)</formula>
    </cfRule>
    <cfRule type="expression" dxfId="3584" priority="224">
      <formula>AND(U$9&gt;=8/24,U$9&lt;14/24)</formula>
    </cfRule>
    <cfRule type="expression" dxfId="3583" priority="225">
      <formula>U$9&lt;8/24</formula>
    </cfRule>
  </conditionalFormatting>
  <conditionalFormatting sqref="R35:Y35">
    <cfRule type="expression" dxfId="3582" priority="218">
      <formula>R$9&gt;=20/24</formula>
    </cfRule>
    <cfRule type="expression" dxfId="3581" priority="219">
      <formula>AND(R$9&gt;=14/24,R$9&lt;20/24)</formula>
    </cfRule>
    <cfRule type="expression" dxfId="3580" priority="220">
      <formula>AND(R$9&gt;=8/24,R$9&lt;14/24)</formula>
    </cfRule>
    <cfRule type="expression" dxfId="3579" priority="221">
      <formula>R$9&lt;8/24</formula>
    </cfRule>
  </conditionalFormatting>
  <conditionalFormatting sqref="M49:T49">
    <cfRule type="expression" dxfId="3578" priority="214">
      <formula>M$9&gt;=20/24</formula>
    </cfRule>
    <cfRule type="expression" dxfId="3577" priority="215">
      <formula>AND(M$9&gt;=14/24,M$9&lt;20/24)</formula>
    </cfRule>
    <cfRule type="expression" dxfId="3576" priority="216">
      <formula>AND(M$9&gt;=8/24,M$9&lt;14/24)</formula>
    </cfRule>
    <cfRule type="expression" dxfId="3575" priority="217">
      <formula>M$9&lt;8/24</formula>
    </cfRule>
  </conditionalFormatting>
  <conditionalFormatting sqref="M50:T50">
    <cfRule type="expression" dxfId="3574" priority="210">
      <formula>M$9&gt;=20/24</formula>
    </cfRule>
    <cfRule type="expression" dxfId="3573" priority="211">
      <formula>AND(M$9&gt;=14/24,M$9&lt;20/24)</formula>
    </cfRule>
    <cfRule type="expression" dxfId="3572" priority="212">
      <formula>AND(M$9&gt;=8/24,M$9&lt;14/24)</formula>
    </cfRule>
    <cfRule type="expression" dxfId="3571" priority="213">
      <formula>M$9&lt;8/24</formula>
    </cfRule>
  </conditionalFormatting>
  <conditionalFormatting sqref="M45:T48">
    <cfRule type="expression" dxfId="3570" priority="206">
      <formula>M$9&gt;=20/24</formula>
    </cfRule>
    <cfRule type="expression" dxfId="3569" priority="207">
      <formula>AND(M$9&gt;=14/24,M$9&lt;20/24)</formula>
    </cfRule>
    <cfRule type="expression" dxfId="3568" priority="208">
      <formula>AND(M$9&gt;=8/24,M$9&lt;14/24)</formula>
    </cfRule>
    <cfRule type="expression" dxfId="3567" priority="209">
      <formula>M$9&lt;8/24</formula>
    </cfRule>
  </conditionalFormatting>
  <conditionalFormatting sqref="X37:AF37">
    <cfRule type="expression" dxfId="3566" priority="202">
      <formula>X$9&gt;=20/24</formula>
    </cfRule>
    <cfRule type="expression" dxfId="3565" priority="203">
      <formula>AND(X$9&gt;=14/24,X$9&lt;20/24)</formula>
    </cfRule>
    <cfRule type="expression" dxfId="3564" priority="204">
      <formula>AND(X$9&gt;=8/24,X$9&lt;14/24)</formula>
    </cfRule>
    <cfRule type="expression" dxfId="3563" priority="205">
      <formula>X$9&lt;8/24</formula>
    </cfRule>
  </conditionalFormatting>
  <conditionalFormatting sqref="Z35:AF35">
    <cfRule type="expression" dxfId="3562" priority="198">
      <formula>Z$9&gt;=20/24</formula>
    </cfRule>
    <cfRule type="expression" dxfId="3561" priority="199">
      <formula>AND(Z$9&gt;=14/24,Z$9&lt;20/24)</formula>
    </cfRule>
    <cfRule type="expression" dxfId="3560" priority="200">
      <formula>AND(Z$9&gt;=8/24,Z$9&lt;14/24)</formula>
    </cfRule>
    <cfRule type="expression" dxfId="3559" priority="201">
      <formula>Z$9&lt;8/24</formula>
    </cfRule>
  </conditionalFormatting>
  <conditionalFormatting sqref="U43:Y43 S42:T43 AE69:AE72 S45:AF48 AE57:AF60">
    <cfRule type="expression" dxfId="3558" priority="194">
      <formula>S$9&gt;=20/24</formula>
    </cfRule>
    <cfRule type="expression" dxfId="3557" priority="195">
      <formula>AND(S$9&gt;=14/24,S$9&lt;20/24)</formula>
    </cfRule>
    <cfRule type="expression" dxfId="3556" priority="196">
      <formula>AND(S$9&gt;=8/24,S$9&lt;14/24)</formula>
    </cfRule>
    <cfRule type="expression" dxfId="3555" priority="197">
      <formula>S$9&lt;8/24</formula>
    </cfRule>
  </conditionalFormatting>
  <conditionalFormatting sqref="AE73 S49:AF49 AE61:AF61">
    <cfRule type="expression" dxfId="3554" priority="190">
      <formula>S$9&gt;=20/24</formula>
    </cfRule>
    <cfRule type="expression" dxfId="3553" priority="191">
      <formula>AND(S$9&gt;=14/24,S$9&lt;20/24)</formula>
    </cfRule>
    <cfRule type="expression" dxfId="3552" priority="192">
      <formula>AND(S$9&gt;=8/24,S$9&lt;14/24)</formula>
    </cfRule>
    <cfRule type="expression" dxfId="3551" priority="193">
      <formula>S$9&lt;8/24</formula>
    </cfRule>
  </conditionalFormatting>
  <conditionalFormatting sqref="S50:AF50 AE62:AF62">
    <cfRule type="expression" dxfId="3550" priority="186">
      <formula>S$9&gt;=20/24</formula>
    </cfRule>
    <cfRule type="expression" dxfId="3549" priority="187">
      <formula>AND(S$9&gt;=14/24,S$9&lt;20/24)</formula>
    </cfRule>
    <cfRule type="expression" dxfId="3548" priority="188">
      <formula>AND(S$9&gt;=8/24,S$9&lt;14/24)</formula>
    </cfRule>
    <cfRule type="expression" dxfId="3547" priority="189">
      <formula>S$9&lt;8/24</formula>
    </cfRule>
  </conditionalFormatting>
  <conditionalFormatting sqref="X60:Z61 S60:T61 Z62:Z67 AA60:AF67">
    <cfRule type="expression" dxfId="3546" priority="182">
      <formula>S$9&gt;=20/24</formula>
    </cfRule>
    <cfRule type="expression" dxfId="3545" priority="183">
      <formula>AND(S$9&gt;=14/24,S$9&lt;20/24)</formula>
    </cfRule>
    <cfRule type="expression" dxfId="3544" priority="184">
      <formula>AND(S$9&gt;=8/24,S$9&lt;14/24)</formula>
    </cfRule>
    <cfRule type="expression" dxfId="3543" priority="185">
      <formula>S$9&lt;8/24</formula>
    </cfRule>
  </conditionalFormatting>
  <conditionalFormatting sqref="U94:AA97">
    <cfRule type="expression" dxfId="3542" priority="174">
      <formula>U$9&gt;=20/24</formula>
    </cfRule>
    <cfRule type="expression" dxfId="3541" priority="175">
      <formula>AND(U$9&gt;=14/24,U$9&lt;20/24)</formula>
    </cfRule>
    <cfRule type="expression" dxfId="3540" priority="176">
      <formula>AND(U$9&gt;=8/24,U$9&lt;14/24)</formula>
    </cfRule>
    <cfRule type="expression" dxfId="3539" priority="177">
      <formula>U$9&lt;8/24</formula>
    </cfRule>
  </conditionalFormatting>
  <conditionalFormatting sqref="AG51 E11:AA11 B11:D32 E12:N21 O16:Q21 E22:Q32 O12:T14 R16:Y32 Z12:AA32 AB11:AF32 B34:AF56">
    <cfRule type="expression" dxfId="3538" priority="173">
      <formula>B11&gt;$AG11</formula>
    </cfRule>
  </conditionalFormatting>
  <conditionalFormatting sqref="A101:A157 A84:A97 A11:A14 A16:A32 A45:A72 A80:A82 A74:A78 A35:A43 A170:A200">
    <cfRule type="expression" dxfId="3537" priority="172">
      <formula>$AH11=0</formula>
    </cfRule>
  </conditionalFormatting>
  <conditionalFormatting sqref="U98:AA98">
    <cfRule type="expression" dxfId="3536" priority="168">
      <formula>U$9&gt;=20/24</formula>
    </cfRule>
    <cfRule type="expression" dxfId="3535" priority="169">
      <formula>AND(U$9&gt;=14/24,U$9&lt;20/24)</formula>
    </cfRule>
    <cfRule type="expression" dxfId="3534" priority="170">
      <formula>AND(U$9&gt;=8/24,U$9&lt;14/24)</formula>
    </cfRule>
    <cfRule type="expression" dxfId="3533" priority="171">
      <formula>U$9&lt;8/24</formula>
    </cfRule>
  </conditionalFormatting>
  <conditionalFormatting sqref="A98">
    <cfRule type="expression" dxfId="3532" priority="167">
      <formula>$AH98=0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3531" priority="150">
      <formula>Z$9&gt;=20/24</formula>
    </cfRule>
    <cfRule type="expression" dxfId="3530" priority="151">
      <formula>AND(Z$9&gt;=14/24,Z$9&lt;20/24)</formula>
    </cfRule>
    <cfRule type="expression" dxfId="3529" priority="152">
      <formula>AND(Z$9&gt;=8/24,Z$9&lt;14/24)</formula>
    </cfRule>
    <cfRule type="expression" dxfId="3528" priority="153">
      <formula>Z$9&lt;8/24</formula>
    </cfRule>
  </conditionalFormatting>
  <conditionalFormatting sqref="R34:Y34">
    <cfRule type="expression" dxfId="3527" priority="146">
      <formula>R$9&gt;=20/24</formula>
    </cfRule>
    <cfRule type="expression" dxfId="3526" priority="147">
      <formula>AND(R$9&gt;=14/24,R$9&lt;20/24)</formula>
    </cfRule>
    <cfRule type="expression" dxfId="3525" priority="148">
      <formula>AND(R$9&gt;=8/24,R$9&lt;14/24)</formula>
    </cfRule>
    <cfRule type="expression" dxfId="3524" priority="149">
      <formula>R$9&lt;8/24</formula>
    </cfRule>
  </conditionalFormatting>
  <conditionalFormatting sqref="A34">
    <cfRule type="expression" dxfId="3523" priority="141">
      <formula>$AH34=0</formula>
    </cfRule>
  </conditionalFormatting>
  <conditionalFormatting sqref="A83">
    <cfRule type="expression" dxfId="3522" priority="140">
      <formula>$AH83=0</formula>
    </cfRule>
  </conditionalFormatting>
  <conditionalFormatting sqref="Z15:AF15">
    <cfRule type="expression" dxfId="3521" priority="136">
      <formula>Z$9&gt;=20/24</formula>
    </cfRule>
    <cfRule type="expression" dxfId="3520" priority="137">
      <formula>AND(Z$9&gt;=14/24,Z$9&lt;20/24)</formula>
    </cfRule>
    <cfRule type="expression" dxfId="3519" priority="138">
      <formula>AND(Z$9&gt;=8/24,Z$9&lt;14/24)</formula>
    </cfRule>
    <cfRule type="expression" dxfId="3518" priority="139">
      <formula>Z$9&lt;8/24</formula>
    </cfRule>
  </conditionalFormatting>
  <conditionalFormatting sqref="O15:T15">
    <cfRule type="expression" dxfId="3517" priority="132">
      <formula>O$9&gt;=20/24</formula>
    </cfRule>
    <cfRule type="expression" dxfId="3516" priority="133">
      <formula>AND(O$9&gt;=14/24,O$9&lt;20/24)</formula>
    </cfRule>
    <cfRule type="expression" dxfId="3515" priority="134">
      <formula>AND(O$9&gt;=8/24,O$9&lt;14/24)</formula>
    </cfRule>
    <cfRule type="expression" dxfId="3514" priority="135">
      <formula>O$9&lt;8/24</formula>
    </cfRule>
  </conditionalFormatting>
  <conditionalFormatting sqref="O15:T15">
    <cfRule type="expression" dxfId="3513" priority="131">
      <formula>O15&gt;$AG15</formula>
    </cfRule>
  </conditionalFormatting>
  <conditionalFormatting sqref="A15">
    <cfRule type="expression" dxfId="3512" priority="130">
      <formula>$AH15=0</formula>
    </cfRule>
  </conditionalFormatting>
  <conditionalFormatting sqref="A164:A169">
    <cfRule type="expression" dxfId="3511" priority="129">
      <formula>$AH164=0</formula>
    </cfRule>
  </conditionalFormatting>
  <conditionalFormatting sqref="A158:A163">
    <cfRule type="expression" dxfId="3510" priority="128">
      <formula>$AH158=0</formula>
    </cfRule>
  </conditionalFormatting>
  <conditionalFormatting sqref="Z44:AF44">
    <cfRule type="expression" dxfId="3509" priority="124">
      <formula>Z$9&gt;=20/24</formula>
    </cfRule>
    <cfRule type="expression" dxfId="3508" priority="125">
      <formula>AND(Z$9&gt;=14/24,Z$9&lt;20/24)</formula>
    </cfRule>
    <cfRule type="expression" dxfId="3507" priority="126">
      <formula>AND(Z$9&gt;=8/24,Z$9&lt;14/24)</formula>
    </cfRule>
    <cfRule type="expression" dxfId="3506" priority="127">
      <formula>Z$9&lt;8/24</formula>
    </cfRule>
  </conditionalFormatting>
  <conditionalFormatting sqref="M44:T44">
    <cfRule type="expression" dxfId="3505" priority="120">
      <formula>M$9&gt;=20/24</formula>
    </cfRule>
    <cfRule type="expression" dxfId="3504" priority="121">
      <formula>AND(M$9&gt;=14/24,M$9&lt;20/24)</formula>
    </cfRule>
    <cfRule type="expression" dxfId="3503" priority="122">
      <formula>AND(M$9&gt;=8/24,M$9&lt;14/24)</formula>
    </cfRule>
    <cfRule type="expression" dxfId="3502" priority="123">
      <formula>M$9&lt;8/24</formula>
    </cfRule>
  </conditionalFormatting>
  <conditionalFormatting sqref="S44:Y44">
    <cfRule type="expression" dxfId="3501" priority="116">
      <formula>S$9&gt;=20/24</formula>
    </cfRule>
    <cfRule type="expression" dxfId="3500" priority="117">
      <formula>AND(S$9&gt;=14/24,S$9&lt;20/24)</formula>
    </cfRule>
    <cfRule type="expression" dxfId="3499" priority="118">
      <formula>AND(S$9&gt;=8/24,S$9&lt;14/24)</formula>
    </cfRule>
    <cfRule type="expression" dxfId="3498" priority="119">
      <formula>S$9&lt;8/24</formula>
    </cfRule>
  </conditionalFormatting>
  <conditionalFormatting sqref="A44">
    <cfRule type="expression" dxfId="3497" priority="115">
      <formula>$AH44=0</formula>
    </cfRule>
  </conditionalFormatting>
  <conditionalFormatting sqref="A79">
    <cfRule type="expression" dxfId="3496" priority="114">
      <formula>$AH79=0</formula>
    </cfRule>
  </conditionalFormatting>
  <conditionalFormatting sqref="A73">
    <cfRule type="expression" dxfId="3495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 X62:Y67">
    <cfRule type="expression" dxfId="3494" priority="109">
      <formula>U$9&gt;=20/24</formula>
    </cfRule>
    <cfRule type="expression" dxfId="3493" priority="110">
      <formula>AND(U$9&gt;=14/24,U$9&lt;20/24)</formula>
    </cfRule>
    <cfRule type="expression" dxfId="3492" priority="111">
      <formula>AND(U$9&gt;=8/24,U$9&lt;14/24)</formula>
    </cfRule>
    <cfRule type="expression" dxfId="3491" priority="112">
      <formula>U$9&lt;8/24</formula>
    </cfRule>
  </conditionalFormatting>
  <conditionalFormatting sqref="U85:W91">
    <cfRule type="expression" dxfId="3490" priority="105">
      <formula>U$9&gt;=20/24</formula>
    </cfRule>
    <cfRule type="expression" dxfId="3489" priority="106">
      <formula>AND(U$9&gt;=14/24,U$9&lt;20/24)</formula>
    </cfRule>
    <cfRule type="expression" dxfId="3488" priority="107">
      <formula>AND(U$9&gt;=8/24,U$9&lt;14/24)</formula>
    </cfRule>
    <cfRule type="expression" dxfId="3487" priority="108">
      <formula>U$9&lt;8/24</formula>
    </cfRule>
  </conditionalFormatting>
  <conditionalFormatting sqref="C84:R91 S85:T91">
    <cfRule type="expression" dxfId="3486" priority="101">
      <formula>C$9&gt;=20/24</formula>
    </cfRule>
    <cfRule type="expression" dxfId="3485" priority="102">
      <formula>AND(C$9&gt;=14/24,C$9&lt;20/24)</formula>
    </cfRule>
    <cfRule type="expression" dxfId="3484" priority="103">
      <formula>AND(C$9&gt;=8/24,C$9&lt;14/24)</formula>
    </cfRule>
    <cfRule type="expression" dxfId="3483" priority="104">
      <formula>C$9&lt;8/24</formula>
    </cfRule>
  </conditionalFormatting>
  <conditionalFormatting sqref="S84:T84">
    <cfRule type="expression" dxfId="3482" priority="97">
      <formula>S$9&gt;=20/24</formula>
    </cfRule>
    <cfRule type="expression" dxfId="3481" priority="98">
      <formula>AND(S$9&gt;=14/24,S$9&lt;20/24)</formula>
    </cfRule>
    <cfRule type="expression" dxfId="3480" priority="99">
      <formula>AND(S$9&gt;=8/24,S$9&lt;14/24)</formula>
    </cfRule>
    <cfRule type="expression" dxfId="3479" priority="100">
      <formula>S$9&lt;8/24</formula>
    </cfRule>
  </conditionalFormatting>
  <conditionalFormatting sqref="C95:M97 C94:F94">
    <cfRule type="expression" dxfId="3478" priority="93">
      <formula>C$9&gt;=20/24</formula>
    </cfRule>
    <cfRule type="expression" dxfId="3477" priority="94">
      <formula>AND(C$9&gt;=14/24,C$9&lt;20/24)</formula>
    </cfRule>
    <cfRule type="expression" dxfId="3476" priority="95">
      <formula>AND(C$9&gt;=8/24,C$9&lt;14/24)</formula>
    </cfRule>
    <cfRule type="expression" dxfId="3475" priority="96">
      <formula>C$9&lt;8/24</formula>
    </cfRule>
  </conditionalFormatting>
  <conditionalFormatting sqref="N95:R97 O94:R94">
    <cfRule type="expression" dxfId="3474" priority="89">
      <formula>N$9&gt;=20/24</formula>
    </cfRule>
    <cfRule type="expression" dxfId="3473" priority="90">
      <formula>AND(N$9&gt;=14/24,N$9&lt;20/24)</formula>
    </cfRule>
    <cfRule type="expression" dxfId="3472" priority="91">
      <formula>AND(N$9&gt;=8/24,N$9&lt;14/24)</formula>
    </cfRule>
    <cfRule type="expression" dxfId="3471" priority="92">
      <formula>N$9&lt;8/24</formula>
    </cfRule>
  </conditionalFormatting>
  <conditionalFormatting sqref="S94:T97">
    <cfRule type="expression" dxfId="3470" priority="85">
      <formula>S$9&gt;=20/24</formula>
    </cfRule>
    <cfRule type="expression" dxfId="3469" priority="86">
      <formula>AND(S$9&gt;=14/24,S$9&lt;20/24)</formula>
    </cfRule>
    <cfRule type="expression" dxfId="3468" priority="87">
      <formula>AND(S$9&gt;=8/24,S$9&lt;14/24)</formula>
    </cfRule>
    <cfRule type="expression" dxfId="3467" priority="88">
      <formula>S$9&lt;8/24</formula>
    </cfRule>
  </conditionalFormatting>
  <conditionalFormatting sqref="C98:M98">
    <cfRule type="expression" dxfId="3466" priority="81">
      <formula>C$9&gt;=20/24</formula>
    </cfRule>
    <cfRule type="expression" dxfId="3465" priority="82">
      <formula>AND(C$9&gt;=14/24,C$9&lt;20/24)</formula>
    </cfRule>
    <cfRule type="expression" dxfId="3464" priority="83">
      <formula>AND(C$9&gt;=8/24,C$9&lt;14/24)</formula>
    </cfRule>
    <cfRule type="expression" dxfId="3463" priority="84">
      <formula>C$9&lt;8/24</formula>
    </cfRule>
  </conditionalFormatting>
  <conditionalFormatting sqref="N98:R98">
    <cfRule type="expression" dxfId="3462" priority="77">
      <formula>N$9&gt;=20/24</formula>
    </cfRule>
    <cfRule type="expression" dxfId="3461" priority="78">
      <formula>AND(N$9&gt;=14/24,N$9&lt;20/24)</formula>
    </cfRule>
    <cfRule type="expression" dxfId="3460" priority="79">
      <formula>AND(N$9&gt;=8/24,N$9&lt;14/24)</formula>
    </cfRule>
    <cfRule type="expression" dxfId="3459" priority="80">
      <formula>N$9&lt;8/24</formula>
    </cfRule>
  </conditionalFormatting>
  <conditionalFormatting sqref="S98:T98">
    <cfRule type="expression" dxfId="3458" priority="73">
      <formula>S$9&gt;=20/24</formula>
    </cfRule>
    <cfRule type="expression" dxfId="3457" priority="74">
      <formula>AND(S$9&gt;=14/24,S$9&lt;20/24)</formula>
    </cfRule>
    <cfRule type="expression" dxfId="3456" priority="75">
      <formula>AND(S$9&gt;=8/24,S$9&lt;14/24)</formula>
    </cfRule>
    <cfRule type="expression" dxfId="3455" priority="76">
      <formula>S$9&lt;8/24</formula>
    </cfRule>
  </conditionalFormatting>
  <conditionalFormatting sqref="M94:N94">
    <cfRule type="expression" dxfId="3454" priority="69">
      <formula>M$9&gt;=20/24</formula>
    </cfRule>
    <cfRule type="expression" dxfId="3453" priority="70">
      <formula>AND(M$9&gt;=14/24,M$9&lt;20/24)</formula>
    </cfRule>
    <cfRule type="expression" dxfId="3452" priority="71">
      <formula>AND(M$9&gt;=8/24,M$9&lt;14/24)</formula>
    </cfRule>
    <cfRule type="expression" dxfId="3451" priority="72">
      <formula>M$9&lt;8/24</formula>
    </cfRule>
  </conditionalFormatting>
  <conditionalFormatting sqref="G94:L94">
    <cfRule type="expression" dxfId="3450" priority="65">
      <formula>G$9&gt;=20/24</formula>
    </cfRule>
    <cfRule type="expression" dxfId="3449" priority="66">
      <formula>AND(G$9&gt;=14/24,G$9&lt;20/24)</formula>
    </cfRule>
    <cfRule type="expression" dxfId="3448" priority="67">
      <formula>AND(G$9&gt;=8/24,G$9&lt;14/24)</formula>
    </cfRule>
    <cfRule type="expression" dxfId="3447" priority="68">
      <formula>G$9&lt;8/24</formula>
    </cfRule>
  </conditionalFormatting>
  <conditionalFormatting sqref="U94:W94">
    <cfRule type="expression" dxfId="3446" priority="61">
      <formula>U$9&gt;=20/24</formula>
    </cfRule>
    <cfRule type="expression" dxfId="3445" priority="62">
      <formula>AND(U$9&gt;=14/24,U$9&lt;20/24)</formula>
    </cfRule>
    <cfRule type="expression" dxfId="3444" priority="63">
      <formula>AND(U$9&gt;=8/24,U$9&lt;14/24)</formula>
    </cfRule>
    <cfRule type="expression" dxfId="3443" priority="64">
      <formula>U$9&lt;8/24</formula>
    </cfRule>
  </conditionalFormatting>
  <conditionalFormatting sqref="N94:T94">
    <cfRule type="expression" dxfId="3442" priority="57">
      <formula>N$9&gt;=20/24</formula>
    </cfRule>
    <cfRule type="expression" dxfId="3441" priority="58">
      <formula>AND(N$9&gt;=14/24,N$9&lt;20/24)</formula>
    </cfRule>
    <cfRule type="expression" dxfId="3440" priority="59">
      <formula>AND(N$9&gt;=8/24,N$9&lt;14/24)</formula>
    </cfRule>
    <cfRule type="expression" dxfId="3439" priority="60">
      <formula>N$9&lt;8/24</formula>
    </cfRule>
  </conditionalFormatting>
  <conditionalFormatting sqref="U99:AA100">
    <cfRule type="expression" dxfId="3438" priority="53">
      <formula>U$9&gt;=20/24</formula>
    </cfRule>
    <cfRule type="expression" dxfId="3437" priority="54">
      <formula>AND(U$9&gt;=14/24,U$9&lt;20/24)</formula>
    </cfRule>
    <cfRule type="expression" dxfId="3436" priority="55">
      <formula>AND(U$9&gt;=8/24,U$9&lt;14/24)</formula>
    </cfRule>
    <cfRule type="expression" dxfId="3435" priority="56">
      <formula>U$9&lt;8/24</formula>
    </cfRule>
  </conditionalFormatting>
  <conditionalFormatting sqref="C99:M100">
    <cfRule type="expression" dxfId="3434" priority="49">
      <formula>C$9&gt;=20/24</formula>
    </cfRule>
    <cfRule type="expression" dxfId="3433" priority="50">
      <formula>AND(C$9&gt;=14/24,C$9&lt;20/24)</formula>
    </cfRule>
    <cfRule type="expression" dxfId="3432" priority="51">
      <formula>AND(C$9&gt;=8/24,C$9&lt;14/24)</formula>
    </cfRule>
    <cfRule type="expression" dxfId="3431" priority="52">
      <formula>C$9&lt;8/24</formula>
    </cfRule>
  </conditionalFormatting>
  <conditionalFormatting sqref="N99:R100">
    <cfRule type="expression" dxfId="3430" priority="45">
      <formula>N$9&gt;=20/24</formula>
    </cfRule>
    <cfRule type="expression" dxfId="3429" priority="46">
      <formula>AND(N$9&gt;=14/24,N$9&lt;20/24)</formula>
    </cfRule>
    <cfRule type="expression" dxfId="3428" priority="47">
      <formula>AND(N$9&gt;=8/24,N$9&lt;14/24)</formula>
    </cfRule>
    <cfRule type="expression" dxfId="3427" priority="48">
      <formula>N$9&lt;8/24</formula>
    </cfRule>
  </conditionalFormatting>
  <conditionalFormatting sqref="S99:T100">
    <cfRule type="expression" dxfId="3426" priority="41">
      <formula>S$9&gt;=20/24</formula>
    </cfRule>
    <cfRule type="expression" dxfId="3425" priority="42">
      <formula>AND(S$9&gt;=14/24,S$9&lt;20/24)</formula>
    </cfRule>
    <cfRule type="expression" dxfId="3424" priority="43">
      <formula>AND(S$9&gt;=8/24,S$9&lt;14/24)</formula>
    </cfRule>
    <cfRule type="expression" dxfId="3423" priority="44">
      <formula>S$9&lt;8/24</formula>
    </cfRule>
  </conditionalFormatting>
  <conditionalFormatting sqref="U12:Y15">
    <cfRule type="expression" dxfId="3422" priority="37">
      <formula>U$9&gt;=20/24</formula>
    </cfRule>
    <cfRule type="expression" dxfId="3421" priority="38">
      <formula>AND(U$9&gt;=14/24,U$9&lt;20/24)</formula>
    </cfRule>
    <cfRule type="expression" dxfId="3420" priority="39">
      <formula>AND(U$9&gt;=8/24,U$9&lt;14/24)</formula>
    </cfRule>
    <cfRule type="expression" dxfId="3419" priority="40">
      <formula>U$9&lt;8/24</formula>
    </cfRule>
  </conditionalFormatting>
  <conditionalFormatting sqref="U12:Y13">
    <cfRule type="expression" dxfId="3418" priority="29">
      <formula>U$9&gt;=20/24</formula>
    </cfRule>
    <cfRule type="expression" dxfId="3417" priority="30">
      <formula>AND(U$9&gt;=14/24,U$9&lt;20/24)</formula>
    </cfRule>
    <cfRule type="expression" dxfId="3416" priority="31">
      <formula>AND(U$9&gt;=8/24,U$9&lt;14/24)</formula>
    </cfRule>
    <cfRule type="expression" dxfId="3415" priority="32">
      <formula>U$9&lt;8/24</formula>
    </cfRule>
  </conditionalFormatting>
  <conditionalFormatting sqref="AE58:AF59">
    <cfRule type="expression" dxfId="3414" priority="25">
      <formula>AE$9&gt;=20/24</formula>
    </cfRule>
    <cfRule type="expression" dxfId="3413" priority="26">
      <formula>AND(AE$9&gt;=14/24,AE$9&lt;20/24)</formula>
    </cfRule>
    <cfRule type="expression" dxfId="3412" priority="27">
      <formula>AND(AE$9&gt;=8/24,AE$9&lt;14/24)</formula>
    </cfRule>
    <cfRule type="expression" dxfId="3411" priority="28">
      <formula>AE$9&lt;8/24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10" priority="258">
      <formula>C$9&gt;=20/24</formula>
    </cfRule>
    <cfRule type="expression" dxfId="3409" priority="259">
      <formula>AND(C$9&gt;=14/24,C$9&lt;20/24)</formula>
    </cfRule>
    <cfRule type="expression" dxfId="3408" priority="260">
      <formula>AND(C$9&gt;=8/24,C$9&lt;14/24)</formula>
    </cfRule>
    <cfRule type="expression" dxfId="3407" priority="261">
      <formula>C$9&lt;8/24</formula>
    </cfRule>
  </conditionalFormatting>
  <conditionalFormatting sqref="A201">
    <cfRule type="expression" dxfId="3406" priority="262">
      <formula>$AH201=0</formula>
    </cfRule>
  </conditionalFormatting>
  <conditionalFormatting sqref="AG213">
    <cfRule type="expression" dxfId="3405" priority="263">
      <formula>B$9&gt;=20/24</formula>
    </cfRule>
    <cfRule type="expression" dxfId="3404" priority="264">
      <formula>AND(B$9&gt;=14/24,B$9&lt;20/24)</formula>
    </cfRule>
    <cfRule type="expression" dxfId="3403" priority="265">
      <formula>AND(B$9&gt;=8/24,B$9&lt;14/24)</formula>
    </cfRule>
    <cfRule type="expression" dxfId="3402" priority="266">
      <formula>B$9&lt;8/24</formula>
    </cfRule>
  </conditionalFormatting>
  <conditionalFormatting sqref="S8">
    <cfRule type="expression" dxfId="3401" priority="19">
      <formula>U$9&gt;=20/24</formula>
    </cfRule>
    <cfRule type="expression" dxfId="3400" priority="20">
      <formula>AND(U$9&gt;=14/24,U$9&lt;20/24)</formula>
    </cfRule>
    <cfRule type="expression" dxfId="3399" priority="21">
      <formula>AND(U$9&gt;=8/24,U$9&lt;14/24)</formula>
    </cfRule>
    <cfRule type="expression" dxfId="3398" priority="22">
      <formula>U$9&lt;8/24</formula>
    </cfRule>
  </conditionalFormatting>
  <conditionalFormatting sqref="AB8">
    <cfRule type="expression" dxfId="3397" priority="15">
      <formula>AD$9&gt;=20/24</formula>
    </cfRule>
    <cfRule type="expression" dxfId="3396" priority="16">
      <formula>AND(AD$9&gt;=14/24,AD$9&lt;20/24)</formula>
    </cfRule>
    <cfRule type="expression" dxfId="3395" priority="17">
      <formula>AND(AD$9&gt;=8/24,AD$9&lt;14/24)</formula>
    </cfRule>
    <cfRule type="expression" dxfId="3394" priority="18">
      <formula>AD$9&lt;8/24</formula>
    </cfRule>
  </conditionalFormatting>
  <conditionalFormatting sqref="AH213:AX213">
    <cfRule type="expression" dxfId="3393" priority="267">
      <formula>AG$9&gt;=20/24</formula>
    </cfRule>
    <cfRule type="expression" dxfId="3392" priority="268">
      <formula>AND(AG$9&gt;=14/24,AG$9&lt;20/24)</formula>
    </cfRule>
    <cfRule type="expression" dxfId="3391" priority="269">
      <formula>AND(AG$9&gt;=8/24,AG$9&lt;14/24)</formula>
    </cfRule>
    <cfRule type="expression" dxfId="3390" priority="270">
      <formula>AG$9&lt;8/24</formula>
    </cfRule>
  </conditionalFormatting>
  <conditionalFormatting sqref="T213">
    <cfRule type="expression" dxfId="3389" priority="271">
      <formula>AX$9&gt;=20/24</formula>
    </cfRule>
    <cfRule type="expression" dxfId="3388" priority="272">
      <formula>AND(AX$9&gt;=14/24,AX$9&lt;20/24)</formula>
    </cfRule>
    <cfRule type="expression" dxfId="3387" priority="273">
      <formula>AND(AX$9&gt;=8/24,AX$9&lt;14/24)</formula>
    </cfRule>
    <cfRule type="expression" dxfId="3386" priority="274">
      <formula>AX$9&lt;8/24</formula>
    </cfRule>
  </conditionalFormatting>
  <conditionalFormatting sqref="A99:A100">
    <cfRule type="expression" dxfId="3385" priority="14">
      <formula>$AH99=0</formula>
    </cfRule>
  </conditionalFormatting>
  <conditionalFormatting sqref="R33:Y33">
    <cfRule type="expression" dxfId="3384" priority="10">
      <formula>R$9&gt;=20/24</formula>
    </cfRule>
    <cfRule type="expression" dxfId="3383" priority="11">
      <formula>AND(R$9&gt;=14/24,R$9&lt;20/24)</formula>
    </cfRule>
    <cfRule type="expression" dxfId="3382" priority="12">
      <formula>AND(R$9&gt;=8/24,R$9&lt;14/24)</formula>
    </cfRule>
    <cfRule type="expression" dxfId="3381" priority="13">
      <formula>R$9&lt;8/24</formula>
    </cfRule>
  </conditionalFormatting>
  <conditionalFormatting sqref="Z33:AF33">
    <cfRule type="expression" dxfId="3380" priority="6">
      <formula>Z$9&gt;=20/24</formula>
    </cfRule>
    <cfRule type="expression" dxfId="3379" priority="7">
      <formula>AND(Z$9&gt;=14/24,Z$9&lt;20/24)</formula>
    </cfRule>
    <cfRule type="expression" dxfId="3378" priority="8">
      <formula>AND(Z$9&gt;=8/24,Z$9&lt;14/24)</formula>
    </cfRule>
    <cfRule type="expression" dxfId="3377" priority="9">
      <formula>Z$9&lt;8/24</formula>
    </cfRule>
  </conditionalFormatting>
  <conditionalFormatting sqref="B33:AF33">
    <cfRule type="expression" dxfId="3376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436EB3BE-B26B-4288-B343-C072FCBB295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23" sqref="D2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2078/12/20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54.7</v>
      </c>
      <c r="C5" s="157">
        <f t="shared" si="0"/>
        <v>227.7</v>
      </c>
      <c r="D5" s="157">
        <f t="shared" si="0"/>
        <v>236.04</v>
      </c>
      <c r="E5" s="157">
        <f t="shared" si="0"/>
        <v>316.26</v>
      </c>
      <c r="F5" s="157">
        <f t="shared" si="0"/>
        <v>342.3</v>
      </c>
      <c r="G5" s="157">
        <f t="shared" si="0"/>
        <v>204.22</v>
      </c>
      <c r="H5" s="157">
        <f t="shared" si="0"/>
        <v>338</v>
      </c>
      <c r="I5" s="157">
        <f t="shared" si="0"/>
        <v>149</v>
      </c>
      <c r="J5" s="157">
        <f t="shared" si="0"/>
        <v>375</v>
      </c>
      <c r="K5" s="157">
        <f t="shared" si="0"/>
        <v>383.28</v>
      </c>
      <c r="L5" s="157">
        <f t="shared" si="0"/>
        <v>382</v>
      </c>
      <c r="M5" s="157">
        <f t="shared" si="0"/>
        <v>338.4</v>
      </c>
      <c r="N5" s="157">
        <f t="shared" si="0"/>
        <v>327.20000000000005</v>
      </c>
      <c r="O5" s="157">
        <f t="shared" si="0"/>
        <v>353.90000000000003</v>
      </c>
      <c r="P5" s="157">
        <f t="shared" si="0"/>
        <v>373.79999999999995</v>
      </c>
      <c r="Q5" s="157">
        <f t="shared" si="0"/>
        <v>375.6</v>
      </c>
      <c r="R5" s="157">
        <f t="shared" si="0"/>
        <v>365.8</v>
      </c>
      <c r="S5" s="157">
        <f t="shared" si="0"/>
        <v>491.5</v>
      </c>
      <c r="T5" s="157">
        <f t="shared" si="0"/>
        <v>483</v>
      </c>
      <c r="U5" s="157">
        <f t="shared" si="0"/>
        <v>502</v>
      </c>
      <c r="V5" s="157">
        <f t="shared" si="0"/>
        <v>395.90000000000003</v>
      </c>
      <c r="W5" s="157">
        <f t="shared" si="0"/>
        <v>353.7</v>
      </c>
      <c r="X5" s="157">
        <f t="shared" si="0"/>
        <v>504</v>
      </c>
      <c r="Y5" s="157">
        <f t="shared" si="0"/>
        <v>497</v>
      </c>
      <c r="Z5" s="157">
        <f t="shared" si="0"/>
        <v>211.89999999999998</v>
      </c>
      <c r="AA5" s="157">
        <f t="shared" si="0"/>
        <v>140.19999999999999</v>
      </c>
      <c r="AB5" s="157">
        <f t="shared" si="0"/>
        <v>314.3</v>
      </c>
      <c r="AC5" s="157">
        <f t="shared" si="0"/>
        <v>164.6</v>
      </c>
      <c r="AD5" s="157">
        <f t="shared" si="0"/>
        <v>368.59</v>
      </c>
      <c r="AE5" s="157">
        <f t="shared" si="0"/>
        <v>314.60000000000002</v>
      </c>
      <c r="AF5" s="157">
        <f>B68</f>
        <v>82.1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1384MW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Load=1052</v>
      </c>
      <c r="B7" s="146">
        <f>B75</f>
        <v>1220.6399999999999</v>
      </c>
      <c r="C7" s="146">
        <f t="shared" ref="C7:AF7" si="1">C75</f>
        <v>1075.54</v>
      </c>
      <c r="D7" s="146">
        <f t="shared" si="1"/>
        <v>1082.1399999999999</v>
      </c>
      <c r="E7" s="146">
        <f t="shared" si="1"/>
        <v>1052.18</v>
      </c>
      <c r="F7" s="146">
        <f t="shared" si="1"/>
        <v>1053.9000000000001</v>
      </c>
      <c r="G7" s="146">
        <f t="shared" si="1"/>
        <v>1099.94</v>
      </c>
      <c r="H7" s="146">
        <f t="shared" si="1"/>
        <v>1141.1600000000001</v>
      </c>
      <c r="I7" s="146">
        <f t="shared" si="1"/>
        <v>1186.2400000000002</v>
      </c>
      <c r="J7" s="146">
        <f t="shared" si="1"/>
        <v>1210.44</v>
      </c>
      <c r="K7" s="146">
        <f t="shared" si="1"/>
        <v>1312.2400000000002</v>
      </c>
      <c r="L7" s="146">
        <f t="shared" si="1"/>
        <v>1348.5200000000002</v>
      </c>
      <c r="M7" s="146">
        <f t="shared" si="1"/>
        <v>1384.24</v>
      </c>
      <c r="N7" s="146">
        <f t="shared" si="1"/>
        <v>1340.94</v>
      </c>
      <c r="O7" s="146">
        <f t="shared" si="1"/>
        <v>1349.54</v>
      </c>
      <c r="P7" s="146">
        <f t="shared" si="1"/>
        <v>1409.3400000000001</v>
      </c>
      <c r="Q7" s="146">
        <f t="shared" si="1"/>
        <v>1385.1399999999999</v>
      </c>
      <c r="R7" s="146">
        <f t="shared" si="1"/>
        <v>1380.0400000000002</v>
      </c>
      <c r="S7" s="146">
        <f t="shared" si="1"/>
        <v>1431.44</v>
      </c>
      <c r="T7" s="146">
        <f t="shared" si="1"/>
        <v>1410.3400000000001</v>
      </c>
      <c r="U7" s="146">
        <f t="shared" si="1"/>
        <v>1387.1399999999999</v>
      </c>
      <c r="V7" s="146">
        <f t="shared" si="1"/>
        <v>1433.94</v>
      </c>
      <c r="W7" s="146">
        <f t="shared" si="1"/>
        <v>1450.04</v>
      </c>
      <c r="X7" s="146">
        <f t="shared" si="1"/>
        <v>1384.94</v>
      </c>
      <c r="Y7" s="146">
        <f t="shared" si="1"/>
        <v>1448.24</v>
      </c>
      <c r="Z7" s="146">
        <f t="shared" si="1"/>
        <v>1575.7400000000002</v>
      </c>
      <c r="AA7" s="146">
        <f t="shared" si="1"/>
        <v>1500.8400000000001</v>
      </c>
      <c r="AB7" s="146">
        <f t="shared" si="1"/>
        <v>1468.1400000000003</v>
      </c>
      <c r="AC7" s="146">
        <f t="shared" si="1"/>
        <v>1462.54</v>
      </c>
      <c r="AD7" s="146">
        <f t="shared" si="1"/>
        <v>1307.74</v>
      </c>
      <c r="AE7" s="146">
        <f t="shared" si="1"/>
        <v>1266.03</v>
      </c>
      <c r="AF7" s="146">
        <f t="shared" si="1"/>
        <v>1140.6400000000001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210</v>
      </c>
      <c r="C11" s="127">
        <v>210</v>
      </c>
      <c r="D11" s="127">
        <v>100</v>
      </c>
      <c r="E11" s="127">
        <v>80</v>
      </c>
      <c r="F11" s="127">
        <v>15</v>
      </c>
      <c r="G11" s="127">
        <v>15</v>
      </c>
      <c r="H11" s="127">
        <v>150</v>
      </c>
      <c r="I11" s="127">
        <v>100</v>
      </c>
      <c r="J11" s="127">
        <v>280</v>
      </c>
      <c r="K11" s="127">
        <v>130</v>
      </c>
      <c r="L11" s="127">
        <v>130</v>
      </c>
      <c r="M11" s="103">
        <v>140</v>
      </c>
      <c r="N11" s="103">
        <v>160</v>
      </c>
      <c r="O11" s="103">
        <v>160</v>
      </c>
      <c r="P11" s="103">
        <v>160</v>
      </c>
      <c r="Q11" s="103">
        <v>160</v>
      </c>
      <c r="R11" s="103">
        <v>150</v>
      </c>
      <c r="S11" s="103">
        <v>186</v>
      </c>
      <c r="T11" s="103">
        <v>40</v>
      </c>
      <c r="U11" s="103">
        <v>35</v>
      </c>
      <c r="V11" s="103">
        <v>60</v>
      </c>
      <c r="W11" s="103">
        <v>160</v>
      </c>
      <c r="X11" s="103">
        <v>160</v>
      </c>
      <c r="Y11" s="103">
        <v>90</v>
      </c>
      <c r="Z11" s="179">
        <v>160</v>
      </c>
      <c r="AA11" s="179">
        <v>380</v>
      </c>
      <c r="AB11" s="103">
        <v>456</v>
      </c>
      <c r="AC11" s="103">
        <v>270</v>
      </c>
      <c r="AD11" s="103">
        <v>270</v>
      </c>
      <c r="AE11" s="103">
        <v>100</v>
      </c>
      <c r="AF11" s="127">
        <v>100</v>
      </c>
      <c r="AG11" s="54">
        <v>456</v>
      </c>
      <c r="AH11" s="21">
        <f>MAX(B11:AF11)</f>
        <v>456</v>
      </c>
      <c r="AI11" s="20">
        <f>MIN(B11:AF11)</f>
        <v>15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27.3</v>
      </c>
      <c r="C12" s="127">
        <v>27.3</v>
      </c>
      <c r="D12" s="127">
        <v>27.3</v>
      </c>
      <c r="E12" s="127">
        <v>28</v>
      </c>
      <c r="F12" s="127">
        <v>28</v>
      </c>
      <c r="G12" s="127">
        <v>28</v>
      </c>
      <c r="H12" s="127">
        <v>28</v>
      </c>
      <c r="I12" s="127">
        <v>28</v>
      </c>
      <c r="J12" s="127">
        <v>28</v>
      </c>
      <c r="K12" s="127">
        <v>28</v>
      </c>
      <c r="L12" s="127">
        <v>28</v>
      </c>
      <c r="M12" s="127">
        <v>28</v>
      </c>
      <c r="N12" s="127">
        <v>28</v>
      </c>
      <c r="O12" s="127">
        <v>28</v>
      </c>
      <c r="P12" s="127">
        <v>28</v>
      </c>
      <c r="Q12" s="127">
        <v>28</v>
      </c>
      <c r="R12" s="127">
        <v>28</v>
      </c>
      <c r="S12" s="77">
        <v>28</v>
      </c>
      <c r="T12" s="77">
        <v>28</v>
      </c>
      <c r="U12" s="77">
        <v>28</v>
      </c>
      <c r="V12" s="77">
        <v>28</v>
      </c>
      <c r="W12" s="77">
        <v>28</v>
      </c>
      <c r="X12" s="77">
        <v>28</v>
      </c>
      <c r="Y12" s="77">
        <v>28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27">
        <v>27</v>
      </c>
      <c r="AG12" s="134">
        <v>60</v>
      </c>
      <c r="AH12" s="21">
        <f t="shared" ref="AH12:AH75" si="2">MAX(B12:AF12)</f>
        <v>28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35</v>
      </c>
      <c r="C13" s="127">
        <v>35</v>
      </c>
      <c r="D13" s="127">
        <v>35</v>
      </c>
      <c r="E13" s="127">
        <v>25.8</v>
      </c>
      <c r="F13" s="127">
        <v>24.5</v>
      </c>
      <c r="G13" s="127">
        <v>25.2</v>
      </c>
      <c r="H13" s="127">
        <v>24.8</v>
      </c>
      <c r="I13" s="127">
        <v>24.8</v>
      </c>
      <c r="J13" s="127">
        <v>24.8</v>
      </c>
      <c r="K13" s="127">
        <v>13.9</v>
      </c>
      <c r="L13" s="127">
        <v>13.9</v>
      </c>
      <c r="M13" s="127">
        <v>20</v>
      </c>
      <c r="N13" s="127">
        <v>21</v>
      </c>
      <c r="O13" s="127">
        <v>24.1</v>
      </c>
      <c r="P13" s="127">
        <v>24.1</v>
      </c>
      <c r="Q13" s="127">
        <v>23.2</v>
      </c>
      <c r="R13" s="127">
        <v>21.2</v>
      </c>
      <c r="S13" s="77">
        <v>21.3</v>
      </c>
      <c r="T13" s="77">
        <v>21.3</v>
      </c>
      <c r="U13" s="77">
        <v>21.3</v>
      </c>
      <c r="V13" s="77">
        <v>21.3</v>
      </c>
      <c r="W13" s="77">
        <v>21.3</v>
      </c>
      <c r="X13" s="77">
        <v>21.3</v>
      </c>
      <c r="Y13" s="77">
        <v>21.3</v>
      </c>
      <c r="Z13" s="103">
        <v>20.9</v>
      </c>
      <c r="AA13" s="103">
        <v>20.9</v>
      </c>
      <c r="AB13" s="103">
        <v>15.3</v>
      </c>
      <c r="AC13" s="103">
        <v>21</v>
      </c>
      <c r="AD13" s="103">
        <v>21</v>
      </c>
      <c r="AE13" s="103">
        <v>21.8</v>
      </c>
      <c r="AF13" s="127">
        <v>17.8</v>
      </c>
      <c r="AG13" s="134">
        <v>52.4</v>
      </c>
      <c r="AH13" s="21">
        <f t="shared" si="2"/>
        <v>35</v>
      </c>
      <c r="AI13" s="20">
        <f t="shared" si="3"/>
        <v>13.9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25.4</v>
      </c>
      <c r="C14" s="127">
        <v>25.4</v>
      </c>
      <c r="D14" s="127">
        <v>25.4</v>
      </c>
      <c r="E14" s="127">
        <v>25.4</v>
      </c>
      <c r="F14" s="127">
        <v>25.4</v>
      </c>
      <c r="G14" s="127">
        <v>25.4</v>
      </c>
      <c r="H14" s="127">
        <v>25.4</v>
      </c>
      <c r="I14" s="127">
        <v>25.4</v>
      </c>
      <c r="J14" s="127">
        <v>25.4</v>
      </c>
      <c r="K14" s="127">
        <v>25.4</v>
      </c>
      <c r="L14" s="127">
        <v>25.4</v>
      </c>
      <c r="M14" s="103">
        <v>25.4</v>
      </c>
      <c r="N14" s="103">
        <v>25.4</v>
      </c>
      <c r="O14" s="103">
        <v>25.4</v>
      </c>
      <c r="P14" s="103">
        <v>25.4</v>
      </c>
      <c r="Q14" s="103">
        <v>25.3</v>
      </c>
      <c r="R14" s="103">
        <v>25.3</v>
      </c>
      <c r="S14" s="103">
        <v>25.3</v>
      </c>
      <c r="T14" s="103">
        <v>25.3</v>
      </c>
      <c r="U14" s="103">
        <v>25.3</v>
      </c>
      <c r="V14" s="103">
        <v>25.3</v>
      </c>
      <c r="W14" s="103">
        <v>25.3</v>
      </c>
      <c r="X14" s="103">
        <v>25.3</v>
      </c>
      <c r="Y14" s="103">
        <v>25.3</v>
      </c>
      <c r="Z14" s="103">
        <v>25.4</v>
      </c>
      <c r="AA14" s="103">
        <v>25.4</v>
      </c>
      <c r="AB14" s="103">
        <v>25.4</v>
      </c>
      <c r="AC14" s="103">
        <v>25.5</v>
      </c>
      <c r="AD14" s="103">
        <v>25.2</v>
      </c>
      <c r="AE14" s="103">
        <v>25.2</v>
      </c>
      <c r="AF14" s="127">
        <v>25.1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22.9</v>
      </c>
      <c r="C15" s="123">
        <v>22.9</v>
      </c>
      <c r="D15" s="123">
        <v>22.9</v>
      </c>
      <c r="E15" s="123">
        <v>22.9</v>
      </c>
      <c r="F15" s="123">
        <v>22.9</v>
      </c>
      <c r="G15" s="123">
        <v>22.9</v>
      </c>
      <c r="H15" s="123">
        <v>22.9</v>
      </c>
      <c r="I15" s="123">
        <v>22.9</v>
      </c>
      <c r="J15" s="123">
        <v>22.9</v>
      </c>
      <c r="K15" s="123">
        <v>22.8</v>
      </c>
      <c r="L15" s="123">
        <v>22.8</v>
      </c>
      <c r="M15" s="103">
        <v>22.8</v>
      </c>
      <c r="N15" s="103">
        <v>22.8</v>
      </c>
      <c r="O15" s="103">
        <v>22.8</v>
      </c>
      <c r="P15" s="103">
        <v>22.8</v>
      </c>
      <c r="Q15" s="103">
        <v>22.7</v>
      </c>
      <c r="R15" s="103">
        <v>22.8</v>
      </c>
      <c r="S15" s="103">
        <v>22.8</v>
      </c>
      <c r="T15" s="103">
        <v>22.8</v>
      </c>
      <c r="U15" s="103">
        <v>22.8</v>
      </c>
      <c r="V15" s="103">
        <v>22.8</v>
      </c>
      <c r="W15" s="103">
        <v>22.8</v>
      </c>
      <c r="X15" s="103">
        <v>22.8</v>
      </c>
      <c r="Y15" s="103">
        <v>22.8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22.7</v>
      </c>
      <c r="AE15" s="103">
        <v>22.7</v>
      </c>
      <c r="AF15" s="123">
        <v>22.7</v>
      </c>
      <c r="AG15" s="108">
        <v>45</v>
      </c>
      <c r="AH15" s="21">
        <f t="shared" si="2"/>
        <v>22.9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27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14</v>
      </c>
      <c r="E17" s="127">
        <v>14</v>
      </c>
      <c r="F17" s="127">
        <v>14</v>
      </c>
      <c r="G17" s="127">
        <v>14</v>
      </c>
      <c r="H17" s="127">
        <v>14</v>
      </c>
      <c r="I17" s="127">
        <v>14</v>
      </c>
      <c r="J17" s="127">
        <v>14</v>
      </c>
      <c r="K17" s="127">
        <v>14</v>
      </c>
      <c r="L17" s="127">
        <v>14</v>
      </c>
      <c r="M17" s="103">
        <v>14</v>
      </c>
      <c r="N17" s="103">
        <v>14</v>
      </c>
      <c r="O17" s="103">
        <v>14</v>
      </c>
      <c r="P17" s="103">
        <v>14</v>
      </c>
      <c r="Q17" s="103">
        <v>14</v>
      </c>
      <c r="R17" s="103">
        <v>14</v>
      </c>
      <c r="S17" s="103">
        <v>14</v>
      </c>
      <c r="T17" s="103">
        <v>14</v>
      </c>
      <c r="U17" s="103">
        <v>14</v>
      </c>
      <c r="V17" s="103">
        <v>14</v>
      </c>
      <c r="W17" s="103">
        <v>14</v>
      </c>
      <c r="X17" s="103">
        <v>14</v>
      </c>
      <c r="Y17" s="103">
        <v>14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27">
        <v>6.5</v>
      </c>
      <c r="AG17" s="134">
        <v>42</v>
      </c>
      <c r="AH17" s="21">
        <f t="shared" si="2"/>
        <v>14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27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13.3</v>
      </c>
      <c r="C19" s="127">
        <v>13.3</v>
      </c>
      <c r="D19" s="127">
        <v>13.3</v>
      </c>
      <c r="E19" s="127">
        <v>13.3</v>
      </c>
      <c r="F19" s="127">
        <v>13.3</v>
      </c>
      <c r="G19" s="127">
        <v>13.3</v>
      </c>
      <c r="H19" s="127">
        <v>13.3</v>
      </c>
      <c r="I19" s="127">
        <v>13.3</v>
      </c>
      <c r="J19" s="127">
        <v>13.3</v>
      </c>
      <c r="K19" s="127">
        <v>13.3</v>
      </c>
      <c r="L19" s="127">
        <v>13.3</v>
      </c>
      <c r="M19" s="103">
        <v>13.3</v>
      </c>
      <c r="N19" s="103">
        <v>13.3</v>
      </c>
      <c r="O19" s="103">
        <v>13.3</v>
      </c>
      <c r="P19" s="103">
        <v>13.3</v>
      </c>
      <c r="Q19" s="103">
        <v>13.3</v>
      </c>
      <c r="R19" s="103">
        <v>13.2</v>
      </c>
      <c r="S19" s="103">
        <v>13.2</v>
      </c>
      <c r="T19" s="103">
        <v>13.2</v>
      </c>
      <c r="U19" s="103">
        <v>13.2</v>
      </c>
      <c r="V19" s="103">
        <v>13.2</v>
      </c>
      <c r="W19" s="103">
        <v>13.2</v>
      </c>
      <c r="X19" s="103">
        <v>13.2</v>
      </c>
      <c r="Y19" s="103">
        <v>13.2</v>
      </c>
      <c r="Z19" s="103">
        <v>13.3</v>
      </c>
      <c r="AA19" s="103">
        <v>13.3</v>
      </c>
      <c r="AB19" s="103">
        <v>12.7</v>
      </c>
      <c r="AC19" s="103">
        <v>12.6</v>
      </c>
      <c r="AD19" s="103">
        <v>13.1</v>
      </c>
      <c r="AE19" s="103">
        <v>13.1</v>
      </c>
      <c r="AF19" s="127">
        <v>13.2</v>
      </c>
      <c r="AG19" s="134">
        <v>30</v>
      </c>
      <c r="AH19" s="21">
        <f t="shared" si="2"/>
        <v>13.3</v>
      </c>
      <c r="AI19" s="20">
        <f t="shared" si="3"/>
        <v>12.6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27">
        <v>6.2</v>
      </c>
      <c r="AG20" s="134">
        <v>27</v>
      </c>
      <c r="AH20" s="21">
        <f t="shared" si="2"/>
        <v>6.2</v>
      </c>
      <c r="AI20" s="20">
        <f t="shared" si="3"/>
        <v>0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27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22.6</v>
      </c>
      <c r="C22" s="127">
        <v>22.6</v>
      </c>
      <c r="D22" s="127">
        <v>22.6</v>
      </c>
      <c r="E22" s="127">
        <v>22.6</v>
      </c>
      <c r="F22" s="127">
        <v>22.6</v>
      </c>
      <c r="G22" s="127">
        <v>22.6</v>
      </c>
      <c r="H22" s="127">
        <v>22.6</v>
      </c>
      <c r="I22" s="127">
        <v>22.6</v>
      </c>
      <c r="J22" s="127">
        <v>22.6</v>
      </c>
      <c r="K22" s="127">
        <v>22.6</v>
      </c>
      <c r="L22" s="127">
        <v>22.6</v>
      </c>
      <c r="M22" s="103">
        <v>22.6</v>
      </c>
      <c r="N22" s="103">
        <v>22.6</v>
      </c>
      <c r="O22" s="103">
        <v>22.6</v>
      </c>
      <c r="P22" s="103">
        <v>22.6</v>
      </c>
      <c r="Q22" s="103">
        <v>22.7</v>
      </c>
      <c r="R22" s="103">
        <v>22.8</v>
      </c>
      <c r="S22" s="103">
        <v>22.8</v>
      </c>
      <c r="T22" s="103">
        <v>22.8</v>
      </c>
      <c r="U22" s="103">
        <v>22.8</v>
      </c>
      <c r="V22" s="103">
        <v>22.8</v>
      </c>
      <c r="W22" s="103">
        <v>22.8</v>
      </c>
      <c r="X22" s="103">
        <v>22.8</v>
      </c>
      <c r="Y22" s="103">
        <v>22.8</v>
      </c>
      <c r="Z22" s="103">
        <v>22.6</v>
      </c>
      <c r="AA22" s="103">
        <v>22.6</v>
      </c>
      <c r="AB22" s="103">
        <v>22</v>
      </c>
      <c r="AC22" s="103">
        <v>22</v>
      </c>
      <c r="AD22" s="103">
        <v>22</v>
      </c>
      <c r="AE22" s="103">
        <v>22</v>
      </c>
      <c r="AF22" s="127">
        <v>22</v>
      </c>
      <c r="AG22" s="134">
        <v>25</v>
      </c>
      <c r="AH22" s="21">
        <f t="shared" si="2"/>
        <v>22.8</v>
      </c>
      <c r="AI22" s="20">
        <f t="shared" si="3"/>
        <v>22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4.9000000000000004</v>
      </c>
      <c r="C23" s="127">
        <v>4.9000000000000004</v>
      </c>
      <c r="D23" s="127">
        <v>8</v>
      </c>
      <c r="E23" s="127">
        <v>8</v>
      </c>
      <c r="F23" s="127">
        <v>8</v>
      </c>
      <c r="G23" s="127">
        <v>8</v>
      </c>
      <c r="H23" s="127">
        <v>8</v>
      </c>
      <c r="I23" s="127">
        <v>8</v>
      </c>
      <c r="J23" s="127">
        <v>8</v>
      </c>
      <c r="K23" s="127">
        <v>8</v>
      </c>
      <c r="L23" s="127">
        <v>8</v>
      </c>
      <c r="M23" s="103">
        <v>8</v>
      </c>
      <c r="N23" s="103">
        <v>8</v>
      </c>
      <c r="O23" s="103">
        <v>8</v>
      </c>
      <c r="P23" s="103">
        <v>8</v>
      </c>
      <c r="Q23" s="103">
        <v>8</v>
      </c>
      <c r="R23" s="103">
        <v>8</v>
      </c>
      <c r="S23" s="103">
        <v>8</v>
      </c>
      <c r="T23" s="103">
        <v>8</v>
      </c>
      <c r="U23" s="103">
        <v>8</v>
      </c>
      <c r="V23" s="103">
        <v>8</v>
      </c>
      <c r="W23" s="103">
        <v>8</v>
      </c>
      <c r="X23" s="103">
        <v>8</v>
      </c>
      <c r="Y23" s="103">
        <v>8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8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10.4</v>
      </c>
      <c r="C24" s="127">
        <v>10.4</v>
      </c>
      <c r="D24" s="127">
        <v>10.4</v>
      </c>
      <c r="E24" s="127">
        <v>10.1</v>
      </c>
      <c r="F24" s="127">
        <v>10.1</v>
      </c>
      <c r="G24" s="127">
        <v>9.6999999999999993</v>
      </c>
      <c r="H24" s="127">
        <v>9.6999999999999993</v>
      </c>
      <c r="I24" s="127">
        <v>9.6999999999999993</v>
      </c>
      <c r="J24" s="127">
        <v>9.6999999999999993</v>
      </c>
      <c r="K24" s="127">
        <v>9.6999999999999993</v>
      </c>
      <c r="L24" s="127">
        <v>9.6999999999999993</v>
      </c>
      <c r="M24" s="103">
        <v>9.6999999999999993</v>
      </c>
      <c r="N24" s="103">
        <v>9.6999999999999993</v>
      </c>
      <c r="O24" s="103">
        <v>9.6999999999999993</v>
      </c>
      <c r="P24" s="103">
        <v>9.6999999999999993</v>
      </c>
      <c r="Q24" s="103">
        <v>7</v>
      </c>
      <c r="R24" s="103">
        <v>7</v>
      </c>
      <c r="S24" s="103">
        <v>7</v>
      </c>
      <c r="T24" s="103">
        <v>7</v>
      </c>
      <c r="U24" s="103">
        <v>7</v>
      </c>
      <c r="V24" s="103">
        <v>7</v>
      </c>
      <c r="W24" s="103">
        <v>7</v>
      </c>
      <c r="X24" s="103">
        <v>7</v>
      </c>
      <c r="Y24" s="103">
        <v>7</v>
      </c>
      <c r="Z24" s="103">
        <v>4.7</v>
      </c>
      <c r="AA24" s="103">
        <v>4.7</v>
      </c>
      <c r="AB24" s="103">
        <v>4.7</v>
      </c>
      <c r="AC24" s="103">
        <v>4.7</v>
      </c>
      <c r="AD24" s="103">
        <v>4.7</v>
      </c>
      <c r="AE24" s="103">
        <v>4.7</v>
      </c>
      <c r="AF24" s="103">
        <v>4.7</v>
      </c>
      <c r="AG24" s="134">
        <v>25</v>
      </c>
      <c r="AH24" s="21">
        <f t="shared" si="2"/>
        <v>10.4</v>
      </c>
      <c r="AI24" s="20">
        <f t="shared" si="3"/>
        <v>4.7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10</v>
      </c>
      <c r="C26" s="127">
        <v>10</v>
      </c>
      <c r="D26" s="127">
        <v>10</v>
      </c>
      <c r="E26" s="127">
        <v>10</v>
      </c>
      <c r="F26" s="127">
        <v>10</v>
      </c>
      <c r="G26" s="127">
        <v>10</v>
      </c>
      <c r="H26" s="127">
        <v>10</v>
      </c>
      <c r="I26" s="127">
        <v>10</v>
      </c>
      <c r="J26" s="127">
        <v>10</v>
      </c>
      <c r="K26" s="127">
        <v>10</v>
      </c>
      <c r="L26" s="127">
        <v>10</v>
      </c>
      <c r="M26" s="127">
        <v>10</v>
      </c>
      <c r="N26" s="127">
        <v>10</v>
      </c>
      <c r="O26" s="127">
        <v>10</v>
      </c>
      <c r="P26" s="127">
        <v>10</v>
      </c>
      <c r="Q26" s="127">
        <v>10</v>
      </c>
      <c r="R26" s="127">
        <v>10</v>
      </c>
      <c r="S26" s="127">
        <v>10</v>
      </c>
      <c r="T26" s="103">
        <v>10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10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27">
        <v>2.5</v>
      </c>
      <c r="AC27" s="127">
        <v>2.5</v>
      </c>
      <c r="AD27" s="127">
        <v>2.5</v>
      </c>
      <c r="AE27" s="127">
        <v>2.5</v>
      </c>
      <c r="AF27" s="127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5</v>
      </c>
      <c r="C35" s="123">
        <v>5</v>
      </c>
      <c r="D35" s="123">
        <v>5</v>
      </c>
      <c r="E35" s="123">
        <v>5</v>
      </c>
      <c r="F35" s="123">
        <v>5</v>
      </c>
      <c r="G35" s="123">
        <v>5</v>
      </c>
      <c r="H35" s="123">
        <v>5</v>
      </c>
      <c r="I35" s="123">
        <v>5</v>
      </c>
      <c r="J35" s="123">
        <v>5</v>
      </c>
      <c r="K35" s="123">
        <v>5</v>
      </c>
      <c r="L35" s="123">
        <v>5</v>
      </c>
      <c r="M35" s="103">
        <v>5</v>
      </c>
      <c r="N35" s="103">
        <v>5</v>
      </c>
      <c r="O35" s="103">
        <v>5</v>
      </c>
      <c r="P35" s="103">
        <v>5</v>
      </c>
      <c r="Q35" s="103">
        <v>5</v>
      </c>
      <c r="R35" s="103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5</v>
      </c>
      <c r="AA35" s="103">
        <v>5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161</v>
      </c>
      <c r="C36" s="123">
        <v>161</v>
      </c>
      <c r="D36" s="123">
        <v>161</v>
      </c>
      <c r="E36" s="123">
        <v>161</v>
      </c>
      <c r="F36" s="123">
        <v>161</v>
      </c>
      <c r="G36" s="123">
        <v>161</v>
      </c>
      <c r="H36" s="123">
        <v>161</v>
      </c>
      <c r="I36" s="123">
        <v>161</v>
      </c>
      <c r="J36" s="123">
        <v>161</v>
      </c>
      <c r="K36" s="123">
        <v>161</v>
      </c>
      <c r="L36" s="123">
        <v>161</v>
      </c>
      <c r="M36" s="123">
        <v>161</v>
      </c>
      <c r="N36" s="123">
        <v>161</v>
      </c>
      <c r="O36" s="123">
        <v>161</v>
      </c>
      <c r="P36" s="123">
        <v>161</v>
      </c>
      <c r="Q36" s="123">
        <v>161</v>
      </c>
      <c r="R36" s="123">
        <v>161</v>
      </c>
      <c r="S36" s="123">
        <v>161</v>
      </c>
      <c r="T36" s="123">
        <v>161</v>
      </c>
      <c r="U36" s="123">
        <v>161</v>
      </c>
      <c r="V36" s="123">
        <v>161</v>
      </c>
      <c r="W36" s="123">
        <v>161</v>
      </c>
      <c r="X36" s="123">
        <v>161</v>
      </c>
      <c r="Y36" s="123">
        <v>161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161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52.599999999999994</v>
      </c>
      <c r="C37" s="123">
        <v>52.599999999999994</v>
      </c>
      <c r="D37" s="123">
        <f>50.1+24</f>
        <v>74.099999999999994</v>
      </c>
      <c r="E37" s="123">
        <f>51.2+26.5</f>
        <v>77.7</v>
      </c>
      <c r="F37" s="123">
        <f>51.1+27.5</f>
        <v>78.599999999999994</v>
      </c>
      <c r="G37" s="123">
        <f>48.6+27.3</f>
        <v>75.900000000000006</v>
      </c>
      <c r="H37" s="123">
        <f>48.1+24.3</f>
        <v>72.400000000000006</v>
      </c>
      <c r="I37" s="123">
        <f>47.9+23.2</f>
        <v>71.099999999999994</v>
      </c>
      <c r="J37" s="123">
        <f>47.4+22.1</f>
        <v>69.5</v>
      </c>
      <c r="K37" s="123">
        <f>47.3+21.1</f>
        <v>68.400000000000006</v>
      </c>
      <c r="L37" s="123">
        <f>41.3+22</f>
        <v>63.3</v>
      </c>
      <c r="M37" s="128">
        <f>45+25.4</f>
        <v>70.400000000000006</v>
      </c>
      <c r="N37" s="128">
        <f>42.7+25.2</f>
        <v>67.900000000000006</v>
      </c>
      <c r="O37" s="128">
        <f>40.7+23.9</f>
        <v>64.599999999999994</v>
      </c>
      <c r="P37" s="128">
        <f>35+22.3</f>
        <v>57.3</v>
      </c>
      <c r="Q37" s="128">
        <f>35+23</f>
        <v>58</v>
      </c>
      <c r="R37" s="128">
        <f>42.9+25.5</f>
        <v>68.400000000000006</v>
      </c>
      <c r="S37" s="128">
        <f>42.9+25.5</f>
        <v>68.400000000000006</v>
      </c>
      <c r="T37" s="128">
        <v>65</v>
      </c>
      <c r="U37" s="128">
        <v>64</v>
      </c>
      <c r="V37" s="128">
        <v>64</v>
      </c>
      <c r="W37" s="128">
        <f>41.6+21.6</f>
        <v>63.2</v>
      </c>
      <c r="X37" s="128">
        <f>40.3+20.4</f>
        <v>60.699999999999996</v>
      </c>
      <c r="Y37" s="128">
        <v>58</v>
      </c>
      <c r="Z37" s="128">
        <v>60</v>
      </c>
      <c r="AA37" s="128">
        <v>60</v>
      </c>
      <c r="AB37" s="128">
        <v>62</v>
      </c>
      <c r="AC37" s="128">
        <v>53.8</v>
      </c>
      <c r="AD37" s="128">
        <v>72.2</v>
      </c>
      <c r="AE37" s="128">
        <v>67.599999999999994</v>
      </c>
      <c r="AF37" s="123">
        <v>70.8</v>
      </c>
      <c r="AG37" s="106">
        <v>240</v>
      </c>
      <c r="AH37" s="21">
        <f t="shared" si="2"/>
        <v>78.599999999999994</v>
      </c>
      <c r="AI37" s="20">
        <f t="shared" si="3"/>
        <v>52.599999999999994</v>
      </c>
      <c r="AK37" s="42"/>
    </row>
    <row r="38" spans="1:88" ht="15.75" thickBot="1" x14ac:dyDescent="0.3">
      <c r="A38" s="100" t="s">
        <v>173</v>
      </c>
      <c r="B38" s="99">
        <v>722.2</v>
      </c>
      <c r="C38" s="99">
        <f t="shared" ref="C38:AF38" si="4">SUM(C11:C36)</f>
        <v>630.9</v>
      </c>
      <c r="D38" s="99">
        <f t="shared" si="4"/>
        <v>531.5</v>
      </c>
      <c r="E38" s="99">
        <f t="shared" si="4"/>
        <v>502.7000000000001</v>
      </c>
      <c r="F38" s="99">
        <f t="shared" si="4"/>
        <v>436.4</v>
      </c>
      <c r="G38" s="99">
        <f t="shared" si="4"/>
        <v>436.7</v>
      </c>
      <c r="H38" s="99">
        <f t="shared" si="4"/>
        <v>571.30000000000007</v>
      </c>
      <c r="I38" s="99">
        <f t="shared" si="4"/>
        <v>521.30000000000007</v>
      </c>
      <c r="J38" s="99">
        <f t="shared" si="4"/>
        <v>701.30000000000007</v>
      </c>
      <c r="K38" s="99">
        <f t="shared" si="4"/>
        <v>540.30000000000007</v>
      </c>
      <c r="L38" s="99">
        <f t="shared" si="4"/>
        <v>534.10000000000014</v>
      </c>
      <c r="M38" s="99">
        <f t="shared" si="4"/>
        <v>550.20000000000005</v>
      </c>
      <c r="N38" s="99">
        <f t="shared" si="4"/>
        <v>571.20000000000005</v>
      </c>
      <c r="O38" s="99">
        <f t="shared" si="4"/>
        <v>574.30000000000007</v>
      </c>
      <c r="P38" s="99">
        <f t="shared" si="4"/>
        <v>574.30000000000007</v>
      </c>
      <c r="Q38" s="99">
        <f t="shared" si="4"/>
        <v>570.6</v>
      </c>
      <c r="R38" s="99">
        <f t="shared" si="4"/>
        <v>558.70000000000005</v>
      </c>
      <c r="S38" s="99">
        <f t="shared" si="4"/>
        <v>594.80000000000007</v>
      </c>
      <c r="T38" s="99">
        <f t="shared" si="4"/>
        <v>448.8</v>
      </c>
      <c r="U38" s="99">
        <f t="shared" si="4"/>
        <v>444.8</v>
      </c>
      <c r="V38" s="99">
        <f t="shared" si="4"/>
        <v>469.8</v>
      </c>
      <c r="W38" s="99">
        <f t="shared" si="4"/>
        <v>569.80000000000007</v>
      </c>
      <c r="X38" s="99">
        <f t="shared" si="4"/>
        <v>569.80000000000007</v>
      </c>
      <c r="Y38" s="99">
        <f t="shared" si="4"/>
        <v>499.80000000000007</v>
      </c>
      <c r="Z38" s="99">
        <f t="shared" si="4"/>
        <v>560.6</v>
      </c>
      <c r="AA38" s="99">
        <f t="shared" si="4"/>
        <v>780.60000000000014</v>
      </c>
      <c r="AB38" s="99">
        <f t="shared" si="4"/>
        <v>844.8000000000003</v>
      </c>
      <c r="AC38" s="99">
        <f t="shared" si="4"/>
        <v>664.5</v>
      </c>
      <c r="AD38" s="99">
        <f t="shared" si="4"/>
        <v>664.7</v>
      </c>
      <c r="AE38" s="99">
        <f t="shared" si="4"/>
        <v>495.5</v>
      </c>
      <c r="AF38" s="99">
        <f t="shared" si="4"/>
        <v>491.5</v>
      </c>
      <c r="AG38" s="106">
        <f>SUM(AG11:AG37)</f>
        <v>1492.8299999999997</v>
      </c>
      <c r="AH38" s="21">
        <f t="shared" si="2"/>
        <v>844.8000000000003</v>
      </c>
      <c r="AI38" s="20">
        <f t="shared" si="3"/>
        <v>436.4</v>
      </c>
      <c r="AK38" s="42"/>
    </row>
    <row r="39" spans="1:88" x14ac:dyDescent="0.25">
      <c r="A39" s="109" t="s">
        <v>172</v>
      </c>
      <c r="B39" s="127">
        <v>144.6</v>
      </c>
      <c r="C39" s="127">
        <v>135</v>
      </c>
      <c r="D39" s="127">
        <v>110</v>
      </c>
      <c r="E39" s="123">
        <v>113.3</v>
      </c>
      <c r="F39" s="123">
        <v>91.1</v>
      </c>
      <c r="G39" s="123">
        <v>91.3</v>
      </c>
      <c r="H39" s="123">
        <v>97</v>
      </c>
      <c r="I39" s="123">
        <v>91.1</v>
      </c>
      <c r="J39" s="123">
        <v>97.1</v>
      </c>
      <c r="K39" s="123">
        <v>116.3</v>
      </c>
      <c r="L39" s="123">
        <v>126.4</v>
      </c>
      <c r="M39" s="103">
        <v>121.2</v>
      </c>
      <c r="N39" s="103">
        <v>121.3</v>
      </c>
      <c r="O39" s="103">
        <v>123.1</v>
      </c>
      <c r="P39" s="103">
        <v>121.5</v>
      </c>
      <c r="Q39" s="103">
        <v>121.3</v>
      </c>
      <c r="R39" s="103">
        <v>121.2</v>
      </c>
      <c r="S39" s="103">
        <v>145.30000000000001</v>
      </c>
      <c r="T39" s="103">
        <v>145.30000000000001</v>
      </c>
      <c r="U39" s="103">
        <v>145.9</v>
      </c>
      <c r="V39" s="103">
        <v>145.9</v>
      </c>
      <c r="W39" s="103">
        <v>145.1</v>
      </c>
      <c r="X39" s="103">
        <v>141.6</v>
      </c>
      <c r="Y39" s="103">
        <v>132</v>
      </c>
      <c r="Z39" s="103">
        <v>145</v>
      </c>
      <c r="AA39" s="103">
        <v>145</v>
      </c>
      <c r="AB39" s="103">
        <v>144.5</v>
      </c>
      <c r="AC39" s="103">
        <v>144.6</v>
      </c>
      <c r="AD39" s="103">
        <v>144.19999999999999</v>
      </c>
      <c r="AE39" s="103">
        <v>114.2</v>
      </c>
      <c r="AF39" s="127">
        <v>101.3</v>
      </c>
      <c r="AG39" s="108">
        <v>144</v>
      </c>
      <c r="AH39" s="21">
        <f t="shared" si="2"/>
        <v>145.9</v>
      </c>
      <c r="AI39" s="20">
        <f t="shared" si="3"/>
        <v>91.1</v>
      </c>
      <c r="AK39" s="42"/>
    </row>
    <row r="40" spans="1:88" x14ac:dyDescent="0.25">
      <c r="A40" s="107" t="s">
        <v>171</v>
      </c>
      <c r="B40" s="123">
        <v>69.7</v>
      </c>
      <c r="C40" s="123">
        <v>60</v>
      </c>
      <c r="D40" s="123">
        <v>30</v>
      </c>
      <c r="E40" s="123">
        <v>24.1</v>
      </c>
      <c r="F40" s="123">
        <v>23.9</v>
      </c>
      <c r="G40" s="123">
        <v>40.9</v>
      </c>
      <c r="H40" s="123">
        <v>60</v>
      </c>
      <c r="I40" s="123">
        <v>43.1</v>
      </c>
      <c r="J40" s="123">
        <v>69.900000000000006</v>
      </c>
      <c r="K40" s="123">
        <v>70</v>
      </c>
      <c r="L40" s="123">
        <v>70.2</v>
      </c>
      <c r="M40" s="73">
        <v>70.099999999999994</v>
      </c>
      <c r="N40" s="73">
        <v>70</v>
      </c>
      <c r="O40" s="73">
        <v>70.2</v>
      </c>
      <c r="P40" s="73">
        <v>71.3</v>
      </c>
      <c r="Q40" s="73">
        <v>70.900000000000006</v>
      </c>
      <c r="R40" s="73">
        <v>70.400000000000006</v>
      </c>
      <c r="S40" s="73">
        <v>70.3</v>
      </c>
      <c r="T40" s="73">
        <v>70.900000000000006</v>
      </c>
      <c r="U40" s="73">
        <v>60</v>
      </c>
      <c r="V40" s="73">
        <v>60</v>
      </c>
      <c r="W40" s="73">
        <v>69.2</v>
      </c>
      <c r="X40" s="73">
        <v>69.8</v>
      </c>
      <c r="Y40" s="73">
        <v>67</v>
      </c>
      <c r="Z40" s="73">
        <v>70</v>
      </c>
      <c r="AA40" s="73">
        <v>70</v>
      </c>
      <c r="AB40" s="73">
        <v>70.3</v>
      </c>
      <c r="AC40" s="73">
        <v>71.599999999999994</v>
      </c>
      <c r="AD40" s="73">
        <v>71.400000000000006</v>
      </c>
      <c r="AE40" s="73">
        <v>51.3</v>
      </c>
      <c r="AF40" s="123">
        <v>44.1</v>
      </c>
      <c r="AG40" s="106">
        <v>70</v>
      </c>
      <c r="AH40" s="21">
        <f t="shared" si="2"/>
        <v>71.599999999999994</v>
      </c>
      <c r="AI40" s="20">
        <f t="shared" si="3"/>
        <v>23.9</v>
      </c>
      <c r="AK40" s="42"/>
    </row>
    <row r="41" spans="1:88" x14ac:dyDescent="0.25">
      <c r="A41" s="107" t="s">
        <v>170</v>
      </c>
      <c r="B41" s="123">
        <v>60.2</v>
      </c>
      <c r="C41" s="123">
        <v>65</v>
      </c>
      <c r="D41" s="123">
        <v>53</v>
      </c>
      <c r="E41" s="123">
        <v>46.1</v>
      </c>
      <c r="F41" s="123">
        <v>46.3</v>
      </c>
      <c r="G41" s="123">
        <v>48.8</v>
      </c>
      <c r="H41" s="123">
        <v>68.7</v>
      </c>
      <c r="I41" s="123">
        <v>52.8</v>
      </c>
      <c r="J41" s="123">
        <v>68.2</v>
      </c>
      <c r="K41" s="123">
        <v>68.599999999999994</v>
      </c>
      <c r="L41" s="123">
        <v>68.5</v>
      </c>
      <c r="M41" s="73">
        <v>68.5</v>
      </c>
      <c r="N41" s="73">
        <v>68.5</v>
      </c>
      <c r="O41" s="73">
        <v>63.7</v>
      </c>
      <c r="P41" s="73">
        <v>62.7</v>
      </c>
      <c r="Q41" s="73">
        <v>62.7</v>
      </c>
      <c r="R41" s="73">
        <v>62.9</v>
      </c>
      <c r="S41" s="73">
        <v>62.7</v>
      </c>
      <c r="T41" s="73">
        <v>68</v>
      </c>
      <c r="U41" s="73">
        <v>67.900000000000006</v>
      </c>
      <c r="V41" s="73">
        <v>67.900000000000006</v>
      </c>
      <c r="W41" s="73">
        <v>67.599999999999994</v>
      </c>
      <c r="X41" s="73">
        <v>67.099999999999994</v>
      </c>
      <c r="Y41" s="73">
        <v>67</v>
      </c>
      <c r="Z41" s="73">
        <v>67</v>
      </c>
      <c r="AA41" s="73">
        <v>67</v>
      </c>
      <c r="AB41" s="73">
        <v>67.099999999999994</v>
      </c>
      <c r="AC41" s="73">
        <v>67.099999999999994</v>
      </c>
      <c r="AD41" s="73">
        <v>62.2</v>
      </c>
      <c r="AE41" s="73">
        <v>62.4</v>
      </c>
      <c r="AF41" s="123">
        <v>62.6</v>
      </c>
      <c r="AG41" s="106">
        <v>69</v>
      </c>
      <c r="AH41" s="21">
        <f t="shared" si="2"/>
        <v>68.7</v>
      </c>
      <c r="AI41" s="20">
        <f t="shared" si="3"/>
        <v>46.1</v>
      </c>
      <c r="AK41" s="42"/>
    </row>
    <row r="42" spans="1:88" x14ac:dyDescent="0.25">
      <c r="A42" s="107" t="s">
        <v>169</v>
      </c>
      <c r="B42" s="123">
        <v>23.2</v>
      </c>
      <c r="C42" s="12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73">
        <v>60.9</v>
      </c>
      <c r="N42" s="73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123">
        <v>60.9</v>
      </c>
      <c r="AG42" s="106">
        <v>60</v>
      </c>
      <c r="AH42" s="21">
        <f t="shared" si="2"/>
        <v>60.9</v>
      </c>
      <c r="AI42" s="20">
        <f t="shared" si="3"/>
        <v>23.2</v>
      </c>
      <c r="AK42" s="42"/>
    </row>
    <row r="43" spans="1:88" x14ac:dyDescent="0.25">
      <c r="A43" s="107" t="s">
        <v>168</v>
      </c>
      <c r="B43" s="123">
        <v>24</v>
      </c>
      <c r="C43" s="123">
        <v>20</v>
      </c>
      <c r="D43" s="123">
        <v>20</v>
      </c>
      <c r="E43" s="123">
        <v>20</v>
      </c>
      <c r="F43" s="123">
        <v>10</v>
      </c>
      <c r="G43" s="123">
        <v>10</v>
      </c>
      <c r="H43" s="123">
        <v>10</v>
      </c>
      <c r="I43" s="123">
        <v>10</v>
      </c>
      <c r="J43" s="123">
        <v>15</v>
      </c>
      <c r="K43" s="123">
        <v>15</v>
      </c>
      <c r="L43" s="123">
        <v>15</v>
      </c>
      <c r="M43" s="103">
        <v>19</v>
      </c>
      <c r="N43" s="103">
        <v>19</v>
      </c>
      <c r="O43" s="103">
        <v>17</v>
      </c>
      <c r="P43" s="103">
        <v>17</v>
      </c>
      <c r="Q43" s="103">
        <v>15.1</v>
      </c>
      <c r="R43" s="103">
        <v>15.1</v>
      </c>
      <c r="S43" s="103">
        <v>20</v>
      </c>
      <c r="T43" s="103">
        <v>19</v>
      </c>
      <c r="U43" s="103">
        <v>20</v>
      </c>
      <c r="V43" s="103">
        <v>15</v>
      </c>
      <c r="W43" s="103">
        <v>15</v>
      </c>
      <c r="X43" s="103">
        <v>15</v>
      </c>
      <c r="Y43" s="103">
        <v>15</v>
      </c>
      <c r="Z43" s="73">
        <v>28</v>
      </c>
      <c r="AA43" s="73">
        <v>28</v>
      </c>
      <c r="AB43" s="73">
        <v>27.6</v>
      </c>
      <c r="AC43" s="73">
        <v>27.2</v>
      </c>
      <c r="AD43" s="73">
        <v>27</v>
      </c>
      <c r="AE43" s="73">
        <v>20</v>
      </c>
      <c r="AF43" s="123">
        <v>16</v>
      </c>
      <c r="AG43" s="106">
        <v>30</v>
      </c>
      <c r="AH43" s="21">
        <f t="shared" si="2"/>
        <v>28</v>
      </c>
      <c r="AI43" s="20">
        <f t="shared" si="3"/>
        <v>10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2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17.2</v>
      </c>
      <c r="C45" s="123">
        <v>17.2</v>
      </c>
      <c r="D45" s="123">
        <v>17.2</v>
      </c>
      <c r="E45" s="120">
        <v>17.2</v>
      </c>
      <c r="F45" s="120">
        <v>17.2</v>
      </c>
      <c r="G45" s="120">
        <v>17.2</v>
      </c>
      <c r="H45" s="120">
        <v>17.2</v>
      </c>
      <c r="I45" s="120">
        <v>17.2</v>
      </c>
      <c r="J45" s="120">
        <v>17.2</v>
      </c>
      <c r="K45" s="120">
        <v>17.2</v>
      </c>
      <c r="L45" s="120">
        <v>17.2</v>
      </c>
      <c r="M45" s="120">
        <v>17.2</v>
      </c>
      <c r="N45" s="120">
        <v>17.2</v>
      </c>
      <c r="O45" s="120">
        <v>17.399999999999999</v>
      </c>
      <c r="P45" s="120">
        <v>17.399999999999999</v>
      </c>
      <c r="Q45" s="103">
        <v>17.399999999999999</v>
      </c>
      <c r="R45" s="103">
        <v>17.399999999999999</v>
      </c>
      <c r="S45" s="103">
        <v>17.399999999999999</v>
      </c>
      <c r="T45" s="103">
        <v>17.399999999999999</v>
      </c>
      <c r="U45" s="103">
        <v>17.399999999999999</v>
      </c>
      <c r="V45" s="103">
        <v>17.399999999999999</v>
      </c>
      <c r="W45" s="103">
        <v>17.399999999999999</v>
      </c>
      <c r="X45" s="103">
        <v>17.399999999999999</v>
      </c>
      <c r="Y45" s="103">
        <v>17.399999999999999</v>
      </c>
      <c r="Z45" s="103">
        <v>17.2</v>
      </c>
      <c r="AA45" s="103">
        <v>17.2</v>
      </c>
      <c r="AB45" s="103">
        <v>17.3</v>
      </c>
      <c r="AC45" s="103">
        <v>17.3</v>
      </c>
      <c r="AD45" s="103">
        <v>17.7</v>
      </c>
      <c r="AE45" s="103">
        <v>17.7</v>
      </c>
      <c r="AF45" s="123">
        <v>17.8</v>
      </c>
      <c r="AG45" s="106">
        <v>24</v>
      </c>
      <c r="AH45" s="21">
        <f t="shared" si="2"/>
        <v>17.8</v>
      </c>
      <c r="AI45" s="20">
        <f t="shared" si="3"/>
        <v>17.2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2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7.2</v>
      </c>
      <c r="C48" s="123">
        <v>7.2</v>
      </c>
      <c r="D48" s="123">
        <v>7.2</v>
      </c>
      <c r="E48" s="123">
        <v>7.2</v>
      </c>
      <c r="F48" s="123">
        <v>7.2</v>
      </c>
      <c r="G48" s="123">
        <v>7.2</v>
      </c>
      <c r="H48" s="123">
        <v>7.2</v>
      </c>
      <c r="I48" s="123">
        <v>7.2</v>
      </c>
      <c r="J48" s="123">
        <v>7.2</v>
      </c>
      <c r="K48" s="123">
        <v>7.2</v>
      </c>
      <c r="L48" s="123">
        <v>7.2</v>
      </c>
      <c r="M48" s="123">
        <v>7.2</v>
      </c>
      <c r="N48" s="123">
        <v>7.2</v>
      </c>
      <c r="O48" s="123">
        <v>7.2</v>
      </c>
      <c r="P48" s="123">
        <v>7.2</v>
      </c>
      <c r="Q48" s="123">
        <v>7.2</v>
      </c>
      <c r="R48" s="123">
        <v>7.2</v>
      </c>
      <c r="S48" s="123">
        <v>7.2</v>
      </c>
      <c r="T48" s="123">
        <v>7.2</v>
      </c>
      <c r="U48" s="123">
        <v>7.2</v>
      </c>
      <c r="V48" s="123">
        <v>7.2</v>
      </c>
      <c r="W48" s="123">
        <v>7.2</v>
      </c>
      <c r="X48" s="123">
        <v>7.2</v>
      </c>
      <c r="Y48" s="12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23">
        <v>6.6</v>
      </c>
      <c r="C49" s="123">
        <v>6.6</v>
      </c>
      <c r="D49" s="123">
        <v>6.6</v>
      </c>
      <c r="E49" s="123">
        <v>6.6</v>
      </c>
      <c r="F49" s="123">
        <v>6.6</v>
      </c>
      <c r="G49" s="123">
        <v>6.6</v>
      </c>
      <c r="H49" s="123">
        <v>6.6</v>
      </c>
      <c r="I49" s="123">
        <v>6.6</v>
      </c>
      <c r="J49" s="123">
        <v>6.6</v>
      </c>
      <c r="K49" s="123">
        <v>6.6</v>
      </c>
      <c r="L49" s="123">
        <v>6.6</v>
      </c>
      <c r="M49" s="123">
        <v>6.6</v>
      </c>
      <c r="N49" s="123">
        <v>6.6</v>
      </c>
      <c r="O49" s="123">
        <v>6.6</v>
      </c>
      <c r="P49" s="123">
        <v>6.6</v>
      </c>
      <c r="Q49" s="123">
        <v>6.6</v>
      </c>
      <c r="R49" s="123">
        <v>6.6</v>
      </c>
      <c r="S49" s="123">
        <v>6.6</v>
      </c>
      <c r="T49" s="123">
        <v>6.6</v>
      </c>
      <c r="U49" s="123">
        <v>6.6</v>
      </c>
      <c r="V49" s="123">
        <v>6.6</v>
      </c>
      <c r="W49" s="123">
        <v>6.6</v>
      </c>
      <c r="X49" s="123">
        <v>6.6</v>
      </c>
      <c r="Y49" s="123">
        <v>6.6</v>
      </c>
      <c r="Z49" s="103">
        <v>6.6</v>
      </c>
      <c r="AA49" s="103">
        <v>6.6</v>
      </c>
      <c r="AB49" s="103">
        <v>6.6</v>
      </c>
      <c r="AC49" s="103">
        <v>6.6</v>
      </c>
      <c r="AD49" s="103">
        <v>6.6</v>
      </c>
      <c r="AE49" s="103">
        <v>6.6</v>
      </c>
      <c r="AF49" s="103">
        <v>6.6</v>
      </c>
      <c r="AG49" s="106">
        <v>10.050000000000001</v>
      </c>
      <c r="AH49" s="21">
        <f t="shared" si="2"/>
        <v>6.6</v>
      </c>
      <c r="AI49" s="20">
        <f t="shared" si="3"/>
        <v>6.6</v>
      </c>
      <c r="AK49" s="42"/>
    </row>
    <row r="50" spans="1:37" x14ac:dyDescent="0.25">
      <c r="A50" s="107" t="s">
        <v>161</v>
      </c>
      <c r="B50" s="12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v>416.34</v>
      </c>
      <c r="C52" s="99">
        <f t="shared" ref="C52:AF52" si="6">SUM(C39:C51)</f>
        <v>389.94</v>
      </c>
      <c r="D52" s="99">
        <f t="shared" si="6"/>
        <v>322.94</v>
      </c>
      <c r="E52" s="99">
        <f t="shared" si="6"/>
        <v>313.44</v>
      </c>
      <c r="F52" s="99">
        <f t="shared" si="6"/>
        <v>281.24</v>
      </c>
      <c r="G52" s="99">
        <f t="shared" si="6"/>
        <v>300.94000000000005</v>
      </c>
      <c r="H52" s="99">
        <f t="shared" si="6"/>
        <v>345.64</v>
      </c>
      <c r="I52" s="99">
        <f t="shared" si="6"/>
        <v>306.94</v>
      </c>
      <c r="J52" s="99">
        <f t="shared" si="6"/>
        <v>360.14</v>
      </c>
      <c r="K52" s="99">
        <f t="shared" si="6"/>
        <v>379.84000000000003</v>
      </c>
      <c r="L52" s="99">
        <f t="shared" si="6"/>
        <v>390.04</v>
      </c>
      <c r="M52" s="99">
        <f t="shared" si="6"/>
        <v>388.74</v>
      </c>
      <c r="N52" s="99">
        <f t="shared" si="6"/>
        <v>388.74</v>
      </c>
      <c r="O52" s="99">
        <f t="shared" si="6"/>
        <v>384.14</v>
      </c>
      <c r="P52" s="99">
        <f t="shared" si="6"/>
        <v>382.64</v>
      </c>
      <c r="Q52" s="99">
        <f t="shared" si="6"/>
        <v>380.14</v>
      </c>
      <c r="R52" s="99">
        <f t="shared" si="6"/>
        <v>379.74000000000007</v>
      </c>
      <c r="S52" s="99">
        <f t="shared" si="6"/>
        <v>408.44</v>
      </c>
      <c r="T52" s="99">
        <f t="shared" si="6"/>
        <v>413.34000000000003</v>
      </c>
      <c r="U52" s="99">
        <f t="shared" si="6"/>
        <v>403.94</v>
      </c>
      <c r="V52" s="99">
        <f t="shared" si="6"/>
        <v>398.94</v>
      </c>
      <c r="W52" s="99">
        <f t="shared" si="6"/>
        <v>407.03999999999996</v>
      </c>
      <c r="X52" s="99">
        <f t="shared" si="6"/>
        <v>403.64</v>
      </c>
      <c r="Y52" s="99">
        <f t="shared" si="6"/>
        <v>391.14</v>
      </c>
      <c r="Z52" s="99">
        <f t="shared" si="6"/>
        <v>419.94</v>
      </c>
      <c r="AA52" s="99">
        <f t="shared" si="6"/>
        <v>419.94</v>
      </c>
      <c r="AB52" s="99">
        <f t="shared" si="6"/>
        <v>419.54</v>
      </c>
      <c r="AC52" s="99">
        <f t="shared" si="6"/>
        <v>420.53999999999996</v>
      </c>
      <c r="AD52" s="99">
        <f t="shared" si="6"/>
        <v>415.24</v>
      </c>
      <c r="AE52" s="99">
        <f t="shared" si="6"/>
        <v>358.34000000000003</v>
      </c>
      <c r="AF52" s="99">
        <f t="shared" si="6"/>
        <v>334.54</v>
      </c>
      <c r="AG52" s="98">
        <f>SUM(AG39:AG51)</f>
        <v>489.91</v>
      </c>
      <c r="AH52" s="21">
        <f t="shared" si="2"/>
        <v>420.53999999999996</v>
      </c>
      <c r="AI52" s="20">
        <f t="shared" si="3"/>
        <v>281.24</v>
      </c>
      <c r="AK52" s="42"/>
    </row>
    <row r="53" spans="1:37" x14ac:dyDescent="0.25">
      <c r="A53" s="109" t="s">
        <v>159</v>
      </c>
      <c r="B53" s="103">
        <v>0</v>
      </c>
      <c r="C53" s="123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10</v>
      </c>
      <c r="L53" s="123">
        <v>24</v>
      </c>
      <c r="M53" s="122">
        <v>40.6</v>
      </c>
      <c r="N53" s="122">
        <v>25.4</v>
      </c>
      <c r="O53" s="122">
        <v>41.5</v>
      </c>
      <c r="P53" s="122">
        <v>59.6</v>
      </c>
      <c r="Q53" s="103">
        <v>40</v>
      </c>
      <c r="R53" s="103">
        <v>41.1</v>
      </c>
      <c r="S53" s="103">
        <v>39.1</v>
      </c>
      <c r="T53" s="103">
        <v>35</v>
      </c>
      <c r="U53" s="103">
        <v>35</v>
      </c>
      <c r="V53" s="103">
        <v>40</v>
      </c>
      <c r="W53" s="103">
        <v>50</v>
      </c>
      <c r="X53" s="103">
        <v>34</v>
      </c>
      <c r="Y53" s="103">
        <v>30</v>
      </c>
      <c r="Z53" s="103">
        <v>40</v>
      </c>
      <c r="AA53" s="103">
        <v>60</v>
      </c>
      <c r="AB53" s="103">
        <v>39.200000000000003</v>
      </c>
      <c r="AC53" s="103">
        <v>39.200000000000003</v>
      </c>
      <c r="AD53" s="103">
        <v>39.200000000000003</v>
      </c>
      <c r="AE53" s="103">
        <v>0</v>
      </c>
      <c r="AF53" s="103">
        <v>0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0</v>
      </c>
      <c r="C54" s="123">
        <v>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5.2</v>
      </c>
      <c r="L54" s="123">
        <v>12.5</v>
      </c>
      <c r="M54" s="122">
        <v>16.600000000000001</v>
      </c>
      <c r="N54" s="122">
        <v>12.6</v>
      </c>
      <c r="O54" s="122">
        <v>16.399999999999999</v>
      </c>
      <c r="P54" s="122">
        <v>28.5</v>
      </c>
      <c r="Q54" s="73">
        <v>15.1</v>
      </c>
      <c r="R54" s="73">
        <v>18.2</v>
      </c>
      <c r="S54" s="103">
        <v>17.100000000000001</v>
      </c>
      <c r="T54" s="103">
        <v>16</v>
      </c>
      <c r="U54" s="103">
        <v>15</v>
      </c>
      <c r="V54" s="73">
        <v>17</v>
      </c>
      <c r="W54" s="73">
        <v>20</v>
      </c>
      <c r="X54" s="73">
        <v>17.5</v>
      </c>
      <c r="Y54" s="73">
        <v>17</v>
      </c>
      <c r="Z54" s="73">
        <v>17</v>
      </c>
      <c r="AA54" s="73">
        <v>20.8</v>
      </c>
      <c r="AB54" s="73">
        <v>17.899999999999999</v>
      </c>
      <c r="AC54" s="73">
        <v>17.600000000000001</v>
      </c>
      <c r="AD54" s="73">
        <v>17.600000000000001</v>
      </c>
      <c r="AE54" s="73">
        <v>13.6</v>
      </c>
      <c r="AF54" s="73">
        <v>0</v>
      </c>
      <c r="AG54" s="106">
        <v>32</v>
      </c>
      <c r="AH54" s="21">
        <f t="shared" si="2"/>
        <v>28.5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0</v>
      </c>
      <c r="C55" s="120">
        <v>0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1.9</v>
      </c>
      <c r="L55" s="120">
        <v>4.5999999999999996</v>
      </c>
      <c r="M55" s="119">
        <v>6.1</v>
      </c>
      <c r="N55" s="119">
        <v>4.5999999999999996</v>
      </c>
      <c r="O55" s="119">
        <v>6</v>
      </c>
      <c r="P55" s="119">
        <v>10.4</v>
      </c>
      <c r="Q55" s="118">
        <v>5.5</v>
      </c>
      <c r="R55" s="118">
        <v>6.7</v>
      </c>
      <c r="S55" s="103">
        <v>6.2</v>
      </c>
      <c r="T55" s="103">
        <v>5.7</v>
      </c>
      <c r="U55" s="103">
        <v>5.4</v>
      </c>
      <c r="V55" s="118">
        <v>6.2</v>
      </c>
      <c r="W55" s="118">
        <v>7.3</v>
      </c>
      <c r="X55" s="118">
        <v>6.3</v>
      </c>
      <c r="Y55" s="118">
        <v>6.3</v>
      </c>
      <c r="Z55" s="118">
        <v>6.2</v>
      </c>
      <c r="AA55" s="118">
        <v>7.6</v>
      </c>
      <c r="AB55" s="118">
        <v>6.5</v>
      </c>
      <c r="AC55" s="118">
        <v>6.4</v>
      </c>
      <c r="AD55" s="118">
        <v>6.4</v>
      </c>
      <c r="AE55" s="118">
        <v>5</v>
      </c>
      <c r="AF55" s="118">
        <v>0</v>
      </c>
      <c r="AG55" s="117">
        <v>14</v>
      </c>
      <c r="AH55" s="21">
        <f t="shared" si="2"/>
        <v>10.4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v>0</v>
      </c>
      <c r="C56" s="99">
        <f>SUM(C53:C55)</f>
        <v>0</v>
      </c>
      <c r="D56" s="99">
        <f t="shared" ref="D56:AF56" si="7">SUM(D53:D55)</f>
        <v>0</v>
      </c>
      <c r="E56" s="99">
        <f t="shared" si="7"/>
        <v>0</v>
      </c>
      <c r="F56" s="99">
        <f t="shared" si="7"/>
        <v>0</v>
      </c>
      <c r="G56" s="99">
        <f t="shared" si="7"/>
        <v>0</v>
      </c>
      <c r="H56" s="99">
        <f t="shared" si="7"/>
        <v>0</v>
      </c>
      <c r="I56" s="99">
        <f t="shared" si="7"/>
        <v>0</v>
      </c>
      <c r="J56" s="99">
        <f t="shared" si="7"/>
        <v>0</v>
      </c>
      <c r="K56" s="99">
        <f t="shared" si="7"/>
        <v>17.099999999999998</v>
      </c>
      <c r="L56" s="99">
        <f t="shared" si="7"/>
        <v>41.1</v>
      </c>
      <c r="M56" s="99">
        <f t="shared" si="7"/>
        <v>63.300000000000004</v>
      </c>
      <c r="N56" s="99">
        <f t="shared" si="7"/>
        <v>42.6</v>
      </c>
      <c r="O56" s="99">
        <f t="shared" si="7"/>
        <v>63.9</v>
      </c>
      <c r="P56" s="99">
        <f t="shared" si="7"/>
        <v>98.5</v>
      </c>
      <c r="Q56" s="99">
        <f t="shared" si="7"/>
        <v>60.6</v>
      </c>
      <c r="R56" s="99">
        <f t="shared" si="7"/>
        <v>66</v>
      </c>
      <c r="S56" s="99">
        <f t="shared" si="7"/>
        <v>62.400000000000006</v>
      </c>
      <c r="T56" s="99">
        <f t="shared" si="7"/>
        <v>56.7</v>
      </c>
      <c r="U56" s="99">
        <f t="shared" si="7"/>
        <v>55.4</v>
      </c>
      <c r="V56" s="99">
        <f t="shared" si="7"/>
        <v>63.2</v>
      </c>
      <c r="W56" s="99">
        <f t="shared" si="7"/>
        <v>77.3</v>
      </c>
      <c r="X56" s="99">
        <f t="shared" si="7"/>
        <v>57.8</v>
      </c>
      <c r="Y56" s="99">
        <f t="shared" si="7"/>
        <v>53.3</v>
      </c>
      <c r="Z56" s="99">
        <f t="shared" si="7"/>
        <v>63.2</v>
      </c>
      <c r="AA56" s="99">
        <f t="shared" si="7"/>
        <v>88.399999999999991</v>
      </c>
      <c r="AB56" s="99">
        <f t="shared" si="7"/>
        <v>63.6</v>
      </c>
      <c r="AC56" s="99">
        <f t="shared" si="7"/>
        <v>63.2</v>
      </c>
      <c r="AD56" s="99">
        <f t="shared" si="7"/>
        <v>63.2</v>
      </c>
      <c r="AE56" s="99">
        <f t="shared" si="7"/>
        <v>18.600000000000001</v>
      </c>
      <c r="AF56" s="99">
        <f t="shared" si="7"/>
        <v>0</v>
      </c>
      <c r="AG56" s="98">
        <f>SUM(AG53:AG55)</f>
        <v>106</v>
      </c>
      <c r="AH56" s="21">
        <f t="shared" si="2"/>
        <v>98.5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21</v>
      </c>
      <c r="C57" s="103">
        <v>18.8</v>
      </c>
      <c r="D57" s="103">
        <v>17.7</v>
      </c>
      <c r="E57" s="103">
        <v>17.04</v>
      </c>
      <c r="F57" s="103">
        <v>25.26</v>
      </c>
      <c r="G57" s="103">
        <v>24.3</v>
      </c>
      <c r="H57" s="103">
        <v>26.22</v>
      </c>
      <c r="I57" s="103">
        <v>40</v>
      </c>
      <c r="J57" s="103">
        <v>36</v>
      </c>
      <c r="K57" s="103">
        <v>20</v>
      </c>
      <c r="L57" s="103">
        <v>20.28</v>
      </c>
      <c r="M57" s="103">
        <v>21</v>
      </c>
      <c r="N57" s="103">
        <v>22.4</v>
      </c>
      <c r="O57" s="103">
        <v>25.1</v>
      </c>
      <c r="P57" s="103">
        <v>27.2</v>
      </c>
      <c r="Q57" s="103">
        <v>24.9</v>
      </c>
      <c r="R57" s="103">
        <v>30.6</v>
      </c>
      <c r="S57" s="103">
        <v>29</v>
      </c>
      <c r="T57" s="103">
        <v>26</v>
      </c>
      <c r="U57" s="103">
        <v>23</v>
      </c>
      <c r="V57" s="103">
        <v>50</v>
      </c>
      <c r="W57" s="103">
        <v>50.1</v>
      </c>
      <c r="X57" s="103">
        <v>41.7</v>
      </c>
      <c r="Y57" s="103">
        <v>38</v>
      </c>
      <c r="Z57" s="103">
        <v>41</v>
      </c>
      <c r="AA57" s="103">
        <v>48.6</v>
      </c>
      <c r="AB57" s="103">
        <v>47.4</v>
      </c>
      <c r="AC57" s="103">
        <v>46.3</v>
      </c>
      <c r="AD57" s="103">
        <v>44.6</v>
      </c>
      <c r="AE57" s="103">
        <v>44.69</v>
      </c>
      <c r="AF57" s="103">
        <v>44</v>
      </c>
      <c r="AG57" s="108"/>
      <c r="AH57" s="21">
        <f t="shared" si="2"/>
        <v>50.1</v>
      </c>
      <c r="AI57" s="20">
        <f t="shared" si="3"/>
        <v>17.04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103">
        <v>0</v>
      </c>
      <c r="N58" s="103">
        <v>0</v>
      </c>
      <c r="O58" s="103">
        <v>0</v>
      </c>
      <c r="P58" s="103">
        <v>0</v>
      </c>
      <c r="Q58" s="103">
        <v>0</v>
      </c>
      <c r="R58" s="103">
        <v>0</v>
      </c>
      <c r="S58" s="103">
        <v>0</v>
      </c>
      <c r="T58" s="103">
        <v>120</v>
      </c>
      <c r="U58" s="103">
        <v>124</v>
      </c>
      <c r="V58" s="103">
        <v>120</v>
      </c>
      <c r="W58" s="103">
        <v>0</v>
      </c>
      <c r="X58" s="116">
        <v>0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124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10</v>
      </c>
      <c r="C59" s="73">
        <v>9.9</v>
      </c>
      <c r="D59" s="73">
        <v>184</v>
      </c>
      <c r="E59" s="73">
        <v>193</v>
      </c>
      <c r="F59" s="73">
        <v>273</v>
      </c>
      <c r="G59" s="73">
        <v>300</v>
      </c>
      <c r="H59" s="103">
        <v>160</v>
      </c>
      <c r="I59" s="103">
        <v>280</v>
      </c>
      <c r="J59" s="103">
        <v>40</v>
      </c>
      <c r="K59" s="103">
        <v>287</v>
      </c>
      <c r="L59" s="103">
        <v>290</v>
      </c>
      <c r="M59" s="73">
        <v>289</v>
      </c>
      <c r="N59" s="73">
        <v>241</v>
      </c>
      <c r="O59" s="73">
        <v>245</v>
      </c>
      <c r="P59" s="73">
        <v>259.10000000000002</v>
      </c>
      <c r="Q59" s="73">
        <v>245</v>
      </c>
      <c r="R59" s="73">
        <v>260</v>
      </c>
      <c r="S59" s="73">
        <v>249</v>
      </c>
      <c r="T59" s="73">
        <v>258</v>
      </c>
      <c r="U59" s="73">
        <v>249</v>
      </c>
      <c r="V59" s="73">
        <v>260</v>
      </c>
      <c r="W59" s="73">
        <v>274</v>
      </c>
      <c r="X59" s="115">
        <v>246</v>
      </c>
      <c r="Y59" s="115">
        <v>350</v>
      </c>
      <c r="Z59" s="115">
        <v>340</v>
      </c>
      <c r="AA59" s="115">
        <v>45</v>
      </c>
      <c r="AB59" s="73">
        <v>47.3</v>
      </c>
      <c r="AC59" s="73">
        <v>220</v>
      </c>
      <c r="AD59" s="73">
        <v>90</v>
      </c>
      <c r="AE59" s="73">
        <v>280.5</v>
      </c>
      <c r="AF59" s="73">
        <v>229.6</v>
      </c>
      <c r="AG59" s="113"/>
      <c r="AH59" s="21">
        <f t="shared" si="2"/>
        <v>350</v>
      </c>
      <c r="AI59" s="20">
        <f t="shared" si="3"/>
        <v>9.9</v>
      </c>
      <c r="AK59" s="42"/>
    </row>
    <row r="60" spans="1:37" x14ac:dyDescent="0.25">
      <c r="A60" s="107" t="s">
        <v>139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55</v>
      </c>
      <c r="K60" s="77">
        <v>50</v>
      </c>
      <c r="L60" s="77">
        <v>55</v>
      </c>
      <c r="M60" s="73">
        <v>54</v>
      </c>
      <c r="N60" s="73">
        <v>57</v>
      </c>
      <c r="O60" s="73">
        <v>47.1</v>
      </c>
      <c r="P60" s="73">
        <v>49.6</v>
      </c>
      <c r="Q60" s="73">
        <v>46.2</v>
      </c>
      <c r="R60" s="73">
        <v>44.4</v>
      </c>
      <c r="S60" s="73">
        <v>46.7</v>
      </c>
      <c r="T60" s="73">
        <v>44</v>
      </c>
      <c r="U60" s="73">
        <v>45</v>
      </c>
      <c r="V60" s="73">
        <v>40</v>
      </c>
      <c r="W60" s="73">
        <v>40</v>
      </c>
      <c r="X60" s="73">
        <v>37.9</v>
      </c>
      <c r="Y60" s="73">
        <v>41</v>
      </c>
      <c r="Z60" s="73">
        <v>42</v>
      </c>
      <c r="AA60" s="73">
        <v>43.6</v>
      </c>
      <c r="AB60" s="73">
        <v>45.5</v>
      </c>
      <c r="AC60" s="73">
        <v>48</v>
      </c>
      <c r="AD60" s="73">
        <v>30</v>
      </c>
      <c r="AE60" s="73">
        <v>35.4</v>
      </c>
      <c r="AF60" s="77">
        <v>33</v>
      </c>
      <c r="AG60" s="113"/>
      <c r="AH60" s="21">
        <f t="shared" si="2"/>
        <v>57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103">
        <v>0</v>
      </c>
      <c r="P61" s="103">
        <v>0</v>
      </c>
      <c r="Q61" s="103">
        <v>39.700000000000003</v>
      </c>
      <c r="R61" s="103">
        <v>40.6</v>
      </c>
      <c r="S61" s="103">
        <v>41.1</v>
      </c>
      <c r="T61" s="103">
        <v>43.5</v>
      </c>
      <c r="U61" s="103">
        <v>42</v>
      </c>
      <c r="V61" s="103">
        <v>32</v>
      </c>
      <c r="W61" s="103">
        <v>31.8</v>
      </c>
      <c r="X61" s="103">
        <v>28.1</v>
      </c>
      <c r="Y61" s="103">
        <v>75</v>
      </c>
      <c r="Z61" s="103">
        <v>74</v>
      </c>
      <c r="AA61" s="103">
        <v>74.7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75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73">
        <v>8</v>
      </c>
      <c r="E62" s="73">
        <v>8</v>
      </c>
      <c r="F62" s="73">
        <v>8</v>
      </c>
      <c r="G62" s="73">
        <v>8</v>
      </c>
      <c r="H62" s="73">
        <v>8</v>
      </c>
      <c r="I62" s="73">
        <v>8</v>
      </c>
      <c r="J62" s="73">
        <v>8</v>
      </c>
      <c r="K62" s="73">
        <v>8</v>
      </c>
      <c r="L62" s="73">
        <v>8</v>
      </c>
      <c r="M62" s="73">
        <v>8</v>
      </c>
      <c r="N62" s="73">
        <v>8</v>
      </c>
      <c r="O62" s="67">
        <v>0</v>
      </c>
      <c r="P62" s="67">
        <v>8</v>
      </c>
      <c r="Q62" s="67">
        <v>8</v>
      </c>
      <c r="R62" s="67">
        <v>0</v>
      </c>
      <c r="S62" s="67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67">
        <v>0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8</v>
      </c>
      <c r="C64" s="77">
        <v>8</v>
      </c>
      <c r="D64" s="77">
        <v>8</v>
      </c>
      <c r="E64" s="77">
        <v>8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8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10</v>
      </c>
      <c r="C66" s="70">
        <v>10</v>
      </c>
      <c r="D66" s="70">
        <v>10</v>
      </c>
      <c r="E66" s="70">
        <v>10</v>
      </c>
      <c r="F66" s="77">
        <v>10</v>
      </c>
      <c r="G66" s="77">
        <v>10</v>
      </c>
      <c r="H66" s="77">
        <v>10</v>
      </c>
      <c r="I66" s="77">
        <v>10</v>
      </c>
      <c r="J66" s="77">
        <v>10</v>
      </c>
      <c r="K66" s="77">
        <v>10</v>
      </c>
      <c r="L66" s="77">
        <v>10</v>
      </c>
      <c r="M66" s="77">
        <v>10</v>
      </c>
      <c r="N66" s="77">
        <v>10</v>
      </c>
      <c r="O66" s="70">
        <v>10</v>
      </c>
      <c r="P66" s="70">
        <v>10</v>
      </c>
      <c r="Q66" s="70">
        <v>10</v>
      </c>
      <c r="R66" s="70">
        <v>0</v>
      </c>
      <c r="S66" s="70">
        <v>0</v>
      </c>
      <c r="T66" s="70">
        <v>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102"/>
      <c r="AH66" s="21">
        <f t="shared" si="2"/>
        <v>10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v>82.1</v>
      </c>
      <c r="C68" s="99">
        <f>SUM(C57:C67)</f>
        <v>54.7</v>
      </c>
      <c r="D68" s="99">
        <f t="shared" ref="D68:AF68" si="8">SUM(D57:D67)</f>
        <v>227.7</v>
      </c>
      <c r="E68" s="99">
        <f t="shared" si="8"/>
        <v>236.04</v>
      </c>
      <c r="F68" s="99">
        <f t="shared" si="8"/>
        <v>316.26</v>
      </c>
      <c r="G68" s="99">
        <f t="shared" si="8"/>
        <v>342.3</v>
      </c>
      <c r="H68" s="99">
        <f t="shared" si="8"/>
        <v>204.22</v>
      </c>
      <c r="I68" s="99">
        <f t="shared" si="8"/>
        <v>338</v>
      </c>
      <c r="J68" s="99">
        <f t="shared" si="8"/>
        <v>149</v>
      </c>
      <c r="K68" s="99">
        <f t="shared" si="8"/>
        <v>375</v>
      </c>
      <c r="L68" s="99">
        <f t="shared" si="8"/>
        <v>383.28</v>
      </c>
      <c r="M68" s="99">
        <f t="shared" si="8"/>
        <v>382</v>
      </c>
      <c r="N68" s="99">
        <f t="shared" si="8"/>
        <v>338.4</v>
      </c>
      <c r="O68" s="99">
        <f t="shared" si="8"/>
        <v>327.20000000000005</v>
      </c>
      <c r="P68" s="99">
        <f t="shared" si="8"/>
        <v>353.90000000000003</v>
      </c>
      <c r="Q68" s="99">
        <f t="shared" si="8"/>
        <v>373.79999999999995</v>
      </c>
      <c r="R68" s="99">
        <f t="shared" si="8"/>
        <v>375.6</v>
      </c>
      <c r="S68" s="99">
        <f t="shared" si="8"/>
        <v>365.8</v>
      </c>
      <c r="T68" s="99">
        <f t="shared" si="8"/>
        <v>491.5</v>
      </c>
      <c r="U68" s="99">
        <f t="shared" si="8"/>
        <v>483</v>
      </c>
      <c r="V68" s="99">
        <f t="shared" si="8"/>
        <v>502</v>
      </c>
      <c r="W68" s="99">
        <f t="shared" si="8"/>
        <v>395.90000000000003</v>
      </c>
      <c r="X68" s="99">
        <f t="shared" si="8"/>
        <v>353.7</v>
      </c>
      <c r="Y68" s="99">
        <f t="shared" si="8"/>
        <v>504</v>
      </c>
      <c r="Z68" s="99">
        <f t="shared" si="8"/>
        <v>497</v>
      </c>
      <c r="AA68" s="99">
        <f t="shared" si="8"/>
        <v>211.89999999999998</v>
      </c>
      <c r="AB68" s="99">
        <f t="shared" si="8"/>
        <v>140.19999999999999</v>
      </c>
      <c r="AC68" s="99">
        <f t="shared" si="8"/>
        <v>314.3</v>
      </c>
      <c r="AD68" s="99">
        <f t="shared" si="8"/>
        <v>164.6</v>
      </c>
      <c r="AE68" s="99">
        <f t="shared" si="8"/>
        <v>368.59</v>
      </c>
      <c r="AF68" s="99">
        <f t="shared" si="8"/>
        <v>314.60000000000002</v>
      </c>
      <c r="AG68" s="98">
        <f>SUM(AG57:AG67)</f>
        <v>0</v>
      </c>
      <c r="AH68" s="21">
        <f t="shared" si="2"/>
        <v>504</v>
      </c>
      <c r="AI68" s="20">
        <f t="shared" si="3"/>
        <v>54.7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v>1220.6399999999999</v>
      </c>
      <c r="C73" s="110">
        <f>C68+C56+C52+C38+C72</f>
        <v>1075.54</v>
      </c>
      <c r="D73" s="110">
        <f t="shared" ref="D73:AG73" si="10">D68+D56+D52+D38+D72</f>
        <v>1082.1399999999999</v>
      </c>
      <c r="E73" s="110">
        <f t="shared" si="10"/>
        <v>1052.18</v>
      </c>
      <c r="F73" s="110">
        <f t="shared" si="10"/>
        <v>1033.9000000000001</v>
      </c>
      <c r="G73" s="110">
        <f t="shared" si="10"/>
        <v>1079.94</v>
      </c>
      <c r="H73" s="110">
        <f t="shared" si="10"/>
        <v>1121.1600000000001</v>
      </c>
      <c r="I73" s="110">
        <f t="shared" si="10"/>
        <v>1166.2400000000002</v>
      </c>
      <c r="J73" s="110">
        <f t="shared" si="10"/>
        <v>1210.44</v>
      </c>
      <c r="K73" s="110">
        <f t="shared" si="10"/>
        <v>1312.2400000000002</v>
      </c>
      <c r="L73" s="110">
        <f t="shared" si="10"/>
        <v>1348.5200000000002</v>
      </c>
      <c r="M73" s="110">
        <f t="shared" si="10"/>
        <v>1384.24</v>
      </c>
      <c r="N73" s="110">
        <f t="shared" si="10"/>
        <v>1340.94</v>
      </c>
      <c r="O73" s="110">
        <f t="shared" si="10"/>
        <v>1349.54</v>
      </c>
      <c r="P73" s="110">
        <f t="shared" si="10"/>
        <v>1409.3400000000001</v>
      </c>
      <c r="Q73" s="110">
        <f t="shared" si="10"/>
        <v>1385.1399999999999</v>
      </c>
      <c r="R73" s="110">
        <f t="shared" si="10"/>
        <v>1380.0400000000002</v>
      </c>
      <c r="S73" s="110">
        <f t="shared" si="10"/>
        <v>1431.44</v>
      </c>
      <c r="T73" s="110">
        <f t="shared" si="10"/>
        <v>1410.3400000000001</v>
      </c>
      <c r="U73" s="110">
        <f t="shared" si="10"/>
        <v>1387.1399999999999</v>
      </c>
      <c r="V73" s="110">
        <f t="shared" si="10"/>
        <v>1433.94</v>
      </c>
      <c r="W73" s="110">
        <f t="shared" si="10"/>
        <v>1450.04</v>
      </c>
      <c r="X73" s="110">
        <f t="shared" si="10"/>
        <v>1384.94</v>
      </c>
      <c r="Y73" s="110">
        <f t="shared" si="10"/>
        <v>1448.24</v>
      </c>
      <c r="Z73" s="110">
        <f t="shared" si="10"/>
        <v>1540.7400000000002</v>
      </c>
      <c r="AA73" s="110">
        <f t="shared" si="10"/>
        <v>1500.8400000000001</v>
      </c>
      <c r="AB73" s="110">
        <f t="shared" si="10"/>
        <v>1468.1400000000003</v>
      </c>
      <c r="AC73" s="110">
        <f t="shared" si="10"/>
        <v>1462.54</v>
      </c>
      <c r="AD73" s="110">
        <f t="shared" si="10"/>
        <v>1307.74</v>
      </c>
      <c r="AE73" s="110">
        <f t="shared" si="10"/>
        <v>1241.03</v>
      </c>
      <c r="AF73" s="110">
        <f t="shared" si="10"/>
        <v>1140.6400000000001</v>
      </c>
      <c r="AG73" s="110">
        <f t="shared" si="10"/>
        <v>2144.14</v>
      </c>
      <c r="AH73" s="21">
        <f t="shared" si="2"/>
        <v>1540.7400000000002</v>
      </c>
      <c r="AI73" s="20">
        <f t="shared" si="3"/>
        <v>1033.9000000000001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>
        <v>20</v>
      </c>
      <c r="G74" s="111">
        <v>20</v>
      </c>
      <c r="H74" s="111">
        <v>20</v>
      </c>
      <c r="I74" s="111">
        <v>20</v>
      </c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>
        <v>35</v>
      </c>
      <c r="AA74" s="111"/>
      <c r="AB74" s="111"/>
      <c r="AC74" s="111"/>
      <c r="AD74" s="111"/>
      <c r="AE74" s="111">
        <v>25</v>
      </c>
      <c r="AF74" s="111"/>
      <c r="AG74" s="98"/>
      <c r="AH74" s="21">
        <f t="shared" si="2"/>
        <v>35</v>
      </c>
      <c r="AI74" s="20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v>1220.6399999999999</v>
      </c>
      <c r="C75" s="110">
        <f>C73+C74</f>
        <v>1075.54</v>
      </c>
      <c r="D75" s="110">
        <f t="shared" ref="D75:AF75" si="11">D72+D68+D56+D52+D38+D74</f>
        <v>1082.1399999999999</v>
      </c>
      <c r="E75" s="110">
        <f t="shared" si="11"/>
        <v>1052.18</v>
      </c>
      <c r="F75" s="110">
        <f t="shared" si="11"/>
        <v>1053.9000000000001</v>
      </c>
      <c r="G75" s="110">
        <f t="shared" si="11"/>
        <v>1099.94</v>
      </c>
      <c r="H75" s="110">
        <f t="shared" si="11"/>
        <v>1141.1600000000001</v>
      </c>
      <c r="I75" s="110">
        <f t="shared" si="11"/>
        <v>1186.2400000000002</v>
      </c>
      <c r="J75" s="110">
        <f t="shared" si="11"/>
        <v>1210.44</v>
      </c>
      <c r="K75" s="110">
        <f t="shared" si="11"/>
        <v>1312.2400000000002</v>
      </c>
      <c r="L75" s="110">
        <f t="shared" si="11"/>
        <v>1348.5200000000002</v>
      </c>
      <c r="M75" s="110">
        <f t="shared" si="11"/>
        <v>1384.24</v>
      </c>
      <c r="N75" s="110">
        <f t="shared" si="11"/>
        <v>1340.94</v>
      </c>
      <c r="O75" s="110">
        <f t="shared" si="11"/>
        <v>1349.54</v>
      </c>
      <c r="P75" s="110">
        <f t="shared" si="11"/>
        <v>1409.3400000000001</v>
      </c>
      <c r="Q75" s="110">
        <f t="shared" si="11"/>
        <v>1385.1399999999999</v>
      </c>
      <c r="R75" s="110">
        <f t="shared" si="11"/>
        <v>1380.0400000000002</v>
      </c>
      <c r="S75" s="110">
        <f t="shared" si="11"/>
        <v>1431.44</v>
      </c>
      <c r="T75" s="110">
        <f t="shared" si="11"/>
        <v>1410.3400000000001</v>
      </c>
      <c r="U75" s="110">
        <f t="shared" si="11"/>
        <v>1387.1399999999999</v>
      </c>
      <c r="V75" s="110">
        <f t="shared" si="11"/>
        <v>1433.94</v>
      </c>
      <c r="W75" s="110">
        <f t="shared" si="11"/>
        <v>1450.04</v>
      </c>
      <c r="X75" s="110">
        <f t="shared" si="11"/>
        <v>1384.94</v>
      </c>
      <c r="Y75" s="110">
        <f t="shared" si="11"/>
        <v>1448.24</v>
      </c>
      <c r="Z75" s="110">
        <f t="shared" si="11"/>
        <v>1575.7400000000002</v>
      </c>
      <c r="AA75" s="110">
        <f t="shared" si="11"/>
        <v>1500.8400000000001</v>
      </c>
      <c r="AB75" s="110">
        <f t="shared" si="11"/>
        <v>1468.1400000000003</v>
      </c>
      <c r="AC75" s="110">
        <f t="shared" si="11"/>
        <v>1462.54</v>
      </c>
      <c r="AD75" s="110">
        <f t="shared" si="11"/>
        <v>1307.74</v>
      </c>
      <c r="AE75" s="110">
        <f t="shared" si="11"/>
        <v>1266.03</v>
      </c>
      <c r="AF75" s="110">
        <f t="shared" si="11"/>
        <v>1140.6400000000001</v>
      </c>
      <c r="AG75" s="98">
        <f>AG72+AG68+AG56+AG52+AG38+AG74</f>
        <v>2144.14</v>
      </c>
      <c r="AH75" s="21">
        <f t="shared" si="2"/>
        <v>1575.7400000000002</v>
      </c>
      <c r="AI75" s="20">
        <f t="shared" si="3"/>
        <v>1052.18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v>2441.2799999999997</v>
      </c>
      <c r="C83" s="99">
        <f t="shared" ref="C83:AG83" si="20">SUM(C70:C82)</f>
        <v>2151.08</v>
      </c>
      <c r="D83" s="99">
        <f t="shared" si="20"/>
        <v>2164.2799999999997</v>
      </c>
      <c r="E83" s="99">
        <f t="shared" si="20"/>
        <v>2104.36</v>
      </c>
      <c r="F83" s="99">
        <f t="shared" si="20"/>
        <v>2107.8000000000002</v>
      </c>
      <c r="G83" s="99">
        <f t="shared" si="20"/>
        <v>2199.88</v>
      </c>
      <c r="H83" s="99">
        <f t="shared" si="20"/>
        <v>2282.3200000000002</v>
      </c>
      <c r="I83" s="99">
        <f t="shared" si="20"/>
        <v>2372.4800000000005</v>
      </c>
      <c r="J83" s="99">
        <f t="shared" si="20"/>
        <v>2420.88</v>
      </c>
      <c r="K83" s="99">
        <f t="shared" si="20"/>
        <v>2624.4800000000005</v>
      </c>
      <c r="L83" s="99">
        <f t="shared" si="20"/>
        <v>2697.0400000000004</v>
      </c>
      <c r="M83" s="99">
        <f t="shared" si="20"/>
        <v>2768.48</v>
      </c>
      <c r="N83" s="99">
        <f t="shared" si="20"/>
        <v>2681.88</v>
      </c>
      <c r="O83" s="99">
        <f t="shared" si="20"/>
        <v>2699.08</v>
      </c>
      <c r="P83" s="99">
        <f t="shared" si="20"/>
        <v>2818.6800000000003</v>
      </c>
      <c r="Q83" s="99">
        <f t="shared" si="20"/>
        <v>2770.2799999999997</v>
      </c>
      <c r="R83" s="99">
        <f t="shared" si="20"/>
        <v>2760.0800000000004</v>
      </c>
      <c r="S83" s="99">
        <f t="shared" si="20"/>
        <v>2862.88</v>
      </c>
      <c r="T83" s="99">
        <f t="shared" si="20"/>
        <v>2820.6800000000003</v>
      </c>
      <c r="U83" s="99">
        <f t="shared" si="20"/>
        <v>2774.2799999999997</v>
      </c>
      <c r="V83" s="99">
        <f t="shared" si="20"/>
        <v>2867.88</v>
      </c>
      <c r="W83" s="99">
        <f t="shared" si="20"/>
        <v>2900.08</v>
      </c>
      <c r="X83" s="99">
        <f t="shared" si="20"/>
        <v>2769.88</v>
      </c>
      <c r="Y83" s="99">
        <f t="shared" si="20"/>
        <v>2896.48</v>
      </c>
      <c r="Z83" s="99">
        <f t="shared" si="20"/>
        <v>3151.4800000000005</v>
      </c>
      <c r="AA83" s="99">
        <f t="shared" si="20"/>
        <v>3001.6800000000003</v>
      </c>
      <c r="AB83" s="99">
        <f t="shared" si="20"/>
        <v>2936.2800000000007</v>
      </c>
      <c r="AC83" s="99">
        <f t="shared" si="20"/>
        <v>2925.08</v>
      </c>
      <c r="AD83" s="99">
        <f t="shared" si="20"/>
        <v>2615.48</v>
      </c>
      <c r="AE83" s="99">
        <f t="shared" si="20"/>
        <v>2532.06</v>
      </c>
      <c r="AF83" s="99">
        <f t="shared" si="20"/>
        <v>2281.2800000000002</v>
      </c>
      <c r="AG83" s="98">
        <f t="shared" si="20"/>
        <v>4360.08</v>
      </c>
      <c r="AH83" s="21">
        <f t="shared" si="13"/>
        <v>3151.4800000000005</v>
      </c>
      <c r="AI83" s="20">
        <f t="shared" si="14"/>
        <v>2104.36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49.85</v>
      </c>
      <c r="C84" s="96">
        <v>50</v>
      </c>
      <c r="D84" s="96"/>
      <c r="E84" s="96">
        <v>49.914999999999999</v>
      </c>
      <c r="F84" s="96">
        <v>50.01</v>
      </c>
      <c r="G84" s="96">
        <v>49.976999999999997</v>
      </c>
      <c r="H84" s="96">
        <v>49.994999999999997</v>
      </c>
      <c r="I84" s="96">
        <v>49.966999999999999</v>
      </c>
      <c r="J84" s="96">
        <v>50.031999999999996</v>
      </c>
      <c r="K84" s="96">
        <v>49.976999999999997</v>
      </c>
      <c r="L84" s="96">
        <v>50.042000000000002</v>
      </c>
      <c r="M84" s="96">
        <v>50.113999999999997</v>
      </c>
      <c r="N84" s="96">
        <v>50.048000000000002</v>
      </c>
      <c r="O84" s="96">
        <v>50.037999999999997</v>
      </c>
      <c r="P84" s="96">
        <v>49.991</v>
      </c>
      <c r="Q84" s="96">
        <v>49.8</v>
      </c>
      <c r="R84" s="96">
        <v>49.99</v>
      </c>
      <c r="S84" s="96">
        <v>50.042999999999999</v>
      </c>
      <c r="T84" s="96">
        <v>50.03</v>
      </c>
      <c r="U84" s="96">
        <v>50.01</v>
      </c>
      <c r="V84" s="96">
        <v>49.98</v>
      </c>
      <c r="W84" s="96">
        <v>50.031999999999996</v>
      </c>
      <c r="X84" s="96">
        <v>50.031999999999996</v>
      </c>
      <c r="Y84" s="96">
        <v>50</v>
      </c>
      <c r="Z84" s="96">
        <v>50.02</v>
      </c>
      <c r="AA84" s="96">
        <v>49.965000000000003</v>
      </c>
      <c r="AB84" s="96">
        <v>49.933999999999997</v>
      </c>
      <c r="AC84" s="96">
        <v>49.896999999999998</v>
      </c>
      <c r="AD84" s="96">
        <v>49.962000000000003</v>
      </c>
      <c r="AE84" s="96">
        <v>49.97</v>
      </c>
      <c r="AF84" s="96">
        <v>50.033999999999999</v>
      </c>
      <c r="AG84" s="95"/>
      <c r="AH84" s="21">
        <f t="shared" si="13"/>
        <v>50.113999999999997</v>
      </c>
      <c r="AI84" s="20">
        <f t="shared" si="14"/>
        <v>49.8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125.5</v>
      </c>
      <c r="C85" s="73">
        <v>125.4</v>
      </c>
      <c r="D85" s="73"/>
      <c r="E85" s="73">
        <v>124.4</v>
      </c>
      <c r="F85" s="73">
        <v>124.7</v>
      </c>
      <c r="G85" s="73">
        <v>124.1</v>
      </c>
      <c r="H85" s="73">
        <v>124.3</v>
      </c>
      <c r="I85" s="73">
        <v>123.5</v>
      </c>
      <c r="J85" s="73">
        <v>124.5</v>
      </c>
      <c r="K85" s="73">
        <v>122.2</v>
      </c>
      <c r="L85" s="73">
        <v>122.6</v>
      </c>
      <c r="M85" s="73">
        <v>123.2</v>
      </c>
      <c r="N85" s="73">
        <v>123.2</v>
      </c>
      <c r="O85" s="73">
        <v>121.7</v>
      </c>
      <c r="P85" s="73">
        <v>122.4</v>
      </c>
      <c r="Q85" s="73">
        <v>124.9</v>
      </c>
      <c r="R85" s="73">
        <v>124.4</v>
      </c>
      <c r="S85" s="73">
        <v>124.4</v>
      </c>
      <c r="T85" s="73">
        <v>123</v>
      </c>
      <c r="U85" s="94">
        <v>124.5</v>
      </c>
      <c r="V85" s="94">
        <v>124.5</v>
      </c>
      <c r="W85" s="94">
        <v>123.3</v>
      </c>
      <c r="X85" s="94">
        <v>123.3</v>
      </c>
      <c r="Y85" s="94">
        <v>125</v>
      </c>
      <c r="Z85" s="94">
        <v>124.8</v>
      </c>
      <c r="AA85" s="94">
        <v>127.7</v>
      </c>
      <c r="AB85" s="73">
        <v>123.6</v>
      </c>
      <c r="AC85" s="73">
        <v>126.8</v>
      </c>
      <c r="AD85" s="73">
        <v>126.5</v>
      </c>
      <c r="AE85" s="73">
        <v>124.6</v>
      </c>
      <c r="AF85" s="73">
        <v>122.6</v>
      </c>
      <c r="AG85" s="89"/>
      <c r="AH85" s="21">
        <f t="shared" si="13"/>
        <v>127.7</v>
      </c>
      <c r="AI85" s="20">
        <f t="shared" si="14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130.30000000000001</v>
      </c>
      <c r="C86" s="73">
        <v>129.9</v>
      </c>
      <c r="D86" s="73"/>
      <c r="E86" s="73">
        <v>128.80000000000001</v>
      </c>
      <c r="F86" s="73">
        <v>129.19999999999999</v>
      </c>
      <c r="G86" s="73">
        <v>128.80000000000001</v>
      </c>
      <c r="H86" s="73">
        <v>128.30000000000001</v>
      </c>
      <c r="I86" s="73">
        <v>128</v>
      </c>
      <c r="J86" s="73">
        <v>128.5</v>
      </c>
      <c r="K86" s="73">
        <v>126.3</v>
      </c>
      <c r="L86" s="73">
        <v>126.1</v>
      </c>
      <c r="M86" s="73">
        <v>126.8</v>
      </c>
      <c r="N86" s="73">
        <v>126.8</v>
      </c>
      <c r="O86" s="73">
        <v>125.7</v>
      </c>
      <c r="P86" s="73">
        <v>126.5</v>
      </c>
      <c r="Q86" s="73">
        <v>128.19999999999999</v>
      </c>
      <c r="R86" s="73">
        <v>127.8</v>
      </c>
      <c r="S86" s="73">
        <v>127.7</v>
      </c>
      <c r="T86" s="73">
        <v>127</v>
      </c>
      <c r="U86" s="94">
        <v>128.19999999999999</v>
      </c>
      <c r="V86" s="94">
        <v>128.19999999999999</v>
      </c>
      <c r="W86" s="94">
        <v>127.8</v>
      </c>
      <c r="X86" s="94">
        <v>127.8</v>
      </c>
      <c r="Y86" s="94">
        <v>128</v>
      </c>
      <c r="Z86" s="94">
        <v>128</v>
      </c>
      <c r="AA86" s="94">
        <v>130.69999999999999</v>
      </c>
      <c r="AB86" s="73">
        <v>128.19999999999999</v>
      </c>
      <c r="AC86" s="73">
        <v>129.9</v>
      </c>
      <c r="AD86" s="73">
        <v>130</v>
      </c>
      <c r="AE86" s="73">
        <v>128.6</v>
      </c>
      <c r="AF86" s="73">
        <v>127.5</v>
      </c>
      <c r="AG86" s="89"/>
      <c r="AH86" s="21">
        <f t="shared" si="13"/>
        <v>130.69999999999999</v>
      </c>
      <c r="AI86" s="20">
        <f t="shared" si="14"/>
        <v>125.7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132.6</v>
      </c>
      <c r="C87" s="73">
        <v>134</v>
      </c>
      <c r="D87" s="73"/>
      <c r="E87" s="73">
        <v>130.6</v>
      </c>
      <c r="F87" s="73">
        <v>130.4</v>
      </c>
      <c r="G87" s="73">
        <v>128.69999999999999</v>
      </c>
      <c r="H87" s="73">
        <v>129.9</v>
      </c>
      <c r="I87" s="73">
        <v>129.9</v>
      </c>
      <c r="J87" s="73">
        <v>128.80000000000001</v>
      </c>
      <c r="K87" s="73">
        <v>130.9</v>
      </c>
      <c r="L87" s="73">
        <v>129.69999999999999</v>
      </c>
      <c r="M87" s="73">
        <v>130.6</v>
      </c>
      <c r="N87" s="73">
        <v>130.6</v>
      </c>
      <c r="O87" s="73">
        <v>126.6</v>
      </c>
      <c r="P87" s="73">
        <v>127.6</v>
      </c>
      <c r="Q87" s="73">
        <v>129.30000000000001</v>
      </c>
      <c r="R87" s="73">
        <v>127.5</v>
      </c>
      <c r="S87" s="73">
        <v>125.3</v>
      </c>
      <c r="T87" s="73">
        <v>130.69999999999999</v>
      </c>
      <c r="U87" s="73">
        <v>130.6</v>
      </c>
      <c r="V87" s="73">
        <v>130.6</v>
      </c>
      <c r="W87" s="73">
        <v>126</v>
      </c>
      <c r="X87" s="73">
        <v>126</v>
      </c>
      <c r="Y87" s="94">
        <v>127</v>
      </c>
      <c r="Z87" s="94">
        <v>126</v>
      </c>
      <c r="AA87" s="94">
        <v>127.4</v>
      </c>
      <c r="AB87" s="73">
        <v>125.3</v>
      </c>
      <c r="AC87" s="73">
        <v>128.5</v>
      </c>
      <c r="AD87" s="73">
        <v>130.6</v>
      </c>
      <c r="AE87" s="73">
        <v>131.30000000000001</v>
      </c>
      <c r="AF87" s="73">
        <v>129.9</v>
      </c>
      <c r="AG87" s="89"/>
      <c r="AH87" s="21">
        <f t="shared" si="13"/>
        <v>134</v>
      </c>
      <c r="AI87" s="20">
        <f t="shared" si="14"/>
        <v>125.3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133.80000000000001</v>
      </c>
      <c r="C88" s="73">
        <v>135.30000000000001</v>
      </c>
      <c r="D88" s="73"/>
      <c r="E88" s="73">
        <v>133.30000000000001</v>
      </c>
      <c r="F88" s="73">
        <v>133.4</v>
      </c>
      <c r="G88" s="73">
        <v>131.5</v>
      </c>
      <c r="H88" s="73">
        <v>132.4</v>
      </c>
      <c r="I88" s="73">
        <v>133.69999999999999</v>
      </c>
      <c r="J88" s="73">
        <v>131.80000000000001</v>
      </c>
      <c r="K88" s="73">
        <v>131.9</v>
      </c>
      <c r="L88" s="73">
        <v>131.9</v>
      </c>
      <c r="M88" s="73">
        <v>131.69999999999999</v>
      </c>
      <c r="N88" s="73">
        <v>131.69999999999999</v>
      </c>
      <c r="O88" s="73">
        <v>130.19999999999999</v>
      </c>
      <c r="P88" s="73">
        <v>129.80000000000001</v>
      </c>
      <c r="Q88" s="73">
        <v>130.69999999999999</v>
      </c>
      <c r="R88" s="73">
        <v>130.5</v>
      </c>
      <c r="S88" s="73">
        <v>126.3</v>
      </c>
      <c r="T88" s="73">
        <v>132</v>
      </c>
      <c r="U88" s="73">
        <v>131</v>
      </c>
      <c r="V88" s="73">
        <v>131</v>
      </c>
      <c r="W88" s="73">
        <v>128.80000000000001</v>
      </c>
      <c r="X88" s="73">
        <v>128.80000000000001</v>
      </c>
      <c r="Y88" s="94">
        <v>129</v>
      </c>
      <c r="Z88" s="94">
        <v>127.3</v>
      </c>
      <c r="AA88" s="94">
        <v>130.4</v>
      </c>
      <c r="AB88" s="73">
        <v>129.1</v>
      </c>
      <c r="AC88" s="73">
        <v>129.1</v>
      </c>
      <c r="AD88" s="73">
        <v>133.80000000000001</v>
      </c>
      <c r="AE88" s="73">
        <v>135.1</v>
      </c>
      <c r="AF88" s="73">
        <v>133.19999999999999</v>
      </c>
      <c r="AG88" s="89"/>
      <c r="AH88" s="21">
        <f t="shared" si="13"/>
        <v>135.30000000000001</v>
      </c>
      <c r="AI88" s="20">
        <f t="shared" si="14"/>
        <v>126.3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136</v>
      </c>
      <c r="C89" s="66">
        <v>133.6</v>
      </c>
      <c r="D89" s="66"/>
      <c r="E89" s="66">
        <v>130.30000000000001</v>
      </c>
      <c r="F89" s="66">
        <v>132.9</v>
      </c>
      <c r="G89" s="66">
        <v>133.5</v>
      </c>
      <c r="H89" s="66">
        <v>129.6</v>
      </c>
      <c r="I89" s="66">
        <v>132.19999999999999</v>
      </c>
      <c r="J89" s="66">
        <v>129.80000000000001</v>
      </c>
      <c r="K89" s="66">
        <v>131.4</v>
      </c>
      <c r="L89" s="66">
        <v>135.19999999999999</v>
      </c>
      <c r="M89" s="66">
        <v>132.69999999999999</v>
      </c>
      <c r="N89" s="66">
        <v>132.69999999999999</v>
      </c>
      <c r="O89" s="66">
        <v>129.1</v>
      </c>
      <c r="P89" s="66">
        <v>131.80000000000001</v>
      </c>
      <c r="Q89" s="66">
        <v>134.69999999999999</v>
      </c>
      <c r="R89" s="66">
        <v>133.1</v>
      </c>
      <c r="S89" s="66">
        <v>129.4</v>
      </c>
      <c r="T89" s="66">
        <v>131</v>
      </c>
      <c r="U89" s="66">
        <v>136.69999999999999</v>
      </c>
      <c r="V89" s="66">
        <v>136.69999999999999</v>
      </c>
      <c r="W89" s="66">
        <v>137.4</v>
      </c>
      <c r="X89" s="66">
        <v>137.4</v>
      </c>
      <c r="Y89" s="94">
        <v>132</v>
      </c>
      <c r="Z89" s="94">
        <v>134.6</v>
      </c>
      <c r="AA89" s="94">
        <v>134.80000000000001</v>
      </c>
      <c r="AB89" s="66">
        <v>131.30000000000001</v>
      </c>
      <c r="AC89" s="66">
        <v>131.30000000000001</v>
      </c>
      <c r="AD89" s="66">
        <v>134.6</v>
      </c>
      <c r="AE89" s="66">
        <v>131.9</v>
      </c>
      <c r="AF89" s="66">
        <v>133</v>
      </c>
      <c r="AG89" s="91"/>
      <c r="AH89" s="21">
        <f t="shared" si="13"/>
        <v>137.4</v>
      </c>
      <c r="AI89" s="20">
        <f t="shared" si="14"/>
        <v>129.1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134.80000000000001</v>
      </c>
      <c r="C90" s="73">
        <v>134.1</v>
      </c>
      <c r="D90" s="73"/>
      <c r="E90" s="73">
        <v>124.5</v>
      </c>
      <c r="F90" s="73">
        <v>132.80000000000001</v>
      </c>
      <c r="G90" s="73">
        <v>133</v>
      </c>
      <c r="H90" s="73">
        <v>127.7</v>
      </c>
      <c r="I90" s="73">
        <v>135.19999999999999</v>
      </c>
      <c r="J90" s="73">
        <v>134.19999999999999</v>
      </c>
      <c r="K90" s="73">
        <v>129.1</v>
      </c>
      <c r="L90" s="73">
        <v>132.80000000000001</v>
      </c>
      <c r="M90" s="73">
        <v>133.4</v>
      </c>
      <c r="N90" s="73">
        <v>133.4</v>
      </c>
      <c r="O90" s="73">
        <v>122.2</v>
      </c>
      <c r="P90" s="73">
        <v>132.6</v>
      </c>
      <c r="Q90" s="73">
        <v>135.30000000000001</v>
      </c>
      <c r="R90" s="73">
        <v>128.5</v>
      </c>
      <c r="S90" s="73">
        <v>121</v>
      </c>
      <c r="T90" s="73">
        <v>122</v>
      </c>
      <c r="U90" s="73">
        <v>134</v>
      </c>
      <c r="V90" s="73">
        <v>134</v>
      </c>
      <c r="W90" s="73">
        <v>134.4</v>
      </c>
      <c r="X90" s="73">
        <v>134.4</v>
      </c>
      <c r="Y90" s="94">
        <v>129.4</v>
      </c>
      <c r="Z90" s="94">
        <v>128.5</v>
      </c>
      <c r="AA90" s="94">
        <v>133.69999999999999</v>
      </c>
      <c r="AB90" s="73">
        <v>130.6</v>
      </c>
      <c r="AC90" s="73">
        <v>130.6</v>
      </c>
      <c r="AD90" s="73">
        <v>131</v>
      </c>
      <c r="AE90" s="73">
        <v>133.1</v>
      </c>
      <c r="AF90" s="73">
        <v>135.5</v>
      </c>
      <c r="AG90" s="89"/>
      <c r="AH90" s="21">
        <f t="shared" si="13"/>
        <v>135.5</v>
      </c>
      <c r="AI90" s="20">
        <f t="shared" si="14"/>
        <v>121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65.5</v>
      </c>
      <c r="C91" s="87">
        <v>65.7</v>
      </c>
      <c r="D91" s="87"/>
      <c r="E91" s="87">
        <v>65.3</v>
      </c>
      <c r="F91" s="87">
        <v>65.3</v>
      </c>
      <c r="G91" s="87">
        <v>65</v>
      </c>
      <c r="H91" s="87">
        <v>64.8</v>
      </c>
      <c r="I91" s="87">
        <v>64.900000000000006</v>
      </c>
      <c r="J91" s="87">
        <v>65.3</v>
      </c>
      <c r="K91" s="87">
        <v>63.9</v>
      </c>
      <c r="L91" s="87">
        <v>64.099999999999994</v>
      </c>
      <c r="M91" s="87">
        <v>64.3</v>
      </c>
      <c r="N91" s="87">
        <v>64.3</v>
      </c>
      <c r="O91" s="87">
        <v>63.9</v>
      </c>
      <c r="P91" s="87">
        <v>64.3</v>
      </c>
      <c r="Q91" s="87">
        <v>64.8</v>
      </c>
      <c r="R91" s="87">
        <v>64.400000000000006</v>
      </c>
      <c r="S91" s="87">
        <v>64.400000000000006</v>
      </c>
      <c r="T91" s="87">
        <v>64.099999999999994</v>
      </c>
      <c r="U91" s="87">
        <v>64.5</v>
      </c>
      <c r="V91" s="87">
        <v>64.5</v>
      </c>
      <c r="W91" s="87">
        <v>64.5</v>
      </c>
      <c r="X91" s="87">
        <v>64.5</v>
      </c>
      <c r="Y91" s="87">
        <v>64.599999999999994</v>
      </c>
      <c r="Z91" s="87">
        <v>64.400000000000006</v>
      </c>
      <c r="AA91" s="87">
        <v>65.900000000000006</v>
      </c>
      <c r="AB91" s="87">
        <v>65</v>
      </c>
      <c r="AC91" s="87">
        <v>65</v>
      </c>
      <c r="AD91" s="87">
        <v>66.099999999999994</v>
      </c>
      <c r="AE91" s="87">
        <v>64.400000000000006</v>
      </c>
      <c r="AF91" s="87">
        <v>64.2</v>
      </c>
      <c r="AG91" s="86"/>
      <c r="AH91" s="21">
        <f t="shared" si="13"/>
        <v>66.099999999999994</v>
      </c>
      <c r="AI91" s="20">
        <f t="shared" si="14"/>
        <v>63.9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v>170.03999999999994</v>
      </c>
      <c r="C93" s="82">
        <f t="shared" ref="C93:AF93" si="21">SUM(C15,C18,C21:C22,C42,C44:C45,C47,C49,C94:C97,C103,C109,C115,C124,C126,C138,C145,C148:C149,C156,C158,C160,C164:C166,C168:C170,C175,C181:C182,C184:C186,C194,C199)</f>
        <v>147.83999999999997</v>
      </c>
      <c r="D93" s="82">
        <f t="shared" si="21"/>
        <v>188.53999999999996</v>
      </c>
      <c r="E93" s="82">
        <f t="shared" si="21"/>
        <v>147.43999999999997</v>
      </c>
      <c r="F93" s="82">
        <f t="shared" si="21"/>
        <v>147.43999999999997</v>
      </c>
      <c r="G93" s="80">
        <f t="shared" si="21"/>
        <v>172.33999999999997</v>
      </c>
      <c r="H93" s="80">
        <f t="shared" si="21"/>
        <v>198.44</v>
      </c>
      <c r="I93" s="80">
        <f t="shared" si="21"/>
        <v>224.33999999999997</v>
      </c>
      <c r="J93" s="80">
        <f t="shared" si="21"/>
        <v>261.14000000000004</v>
      </c>
      <c r="K93" s="80">
        <f t="shared" si="21"/>
        <v>290.24</v>
      </c>
      <c r="L93" s="80">
        <f t="shared" si="21"/>
        <v>318.34000000000003</v>
      </c>
      <c r="M93" s="80">
        <f t="shared" si="21"/>
        <v>320.84000000000003</v>
      </c>
      <c r="N93" s="80">
        <f t="shared" si="21"/>
        <v>309.94</v>
      </c>
      <c r="O93" s="80">
        <f t="shared" si="21"/>
        <v>307.94</v>
      </c>
      <c r="P93" s="80">
        <f t="shared" si="21"/>
        <v>306.64</v>
      </c>
      <c r="Q93" s="80">
        <f t="shared" si="21"/>
        <v>298.14000000000004</v>
      </c>
      <c r="R93" s="80">
        <f t="shared" si="21"/>
        <v>295.54000000000002</v>
      </c>
      <c r="S93" s="80">
        <f t="shared" si="21"/>
        <v>301.14000000000004</v>
      </c>
      <c r="T93" s="80">
        <f t="shared" si="21"/>
        <v>298.84000000000003</v>
      </c>
      <c r="U93" s="80">
        <f t="shared" si="21"/>
        <v>302.94000000000005</v>
      </c>
      <c r="V93" s="80">
        <f t="shared" si="21"/>
        <v>306.84000000000003</v>
      </c>
      <c r="W93" s="80">
        <f t="shared" si="21"/>
        <v>309.44000000000005</v>
      </c>
      <c r="X93" s="80">
        <f t="shared" si="21"/>
        <v>309.44000000000005</v>
      </c>
      <c r="Y93" s="80">
        <f t="shared" si="21"/>
        <v>349.84000000000003</v>
      </c>
      <c r="Z93" s="80">
        <f t="shared" si="21"/>
        <v>361.34000000000003</v>
      </c>
      <c r="AA93" s="80">
        <f t="shared" si="21"/>
        <v>356.04000000000008</v>
      </c>
      <c r="AB93" s="80">
        <f t="shared" si="21"/>
        <v>330.64000000000004</v>
      </c>
      <c r="AC93" s="80">
        <f t="shared" si="21"/>
        <v>330.64000000000004</v>
      </c>
      <c r="AD93" s="80">
        <f t="shared" si="21"/>
        <v>261.94</v>
      </c>
      <c r="AE93" s="80">
        <f t="shared" si="21"/>
        <v>234.33999999999995</v>
      </c>
      <c r="AF93" s="80">
        <f t="shared" si="21"/>
        <v>190.14</v>
      </c>
      <c r="AG93" s="79"/>
      <c r="AH93" s="21">
        <f>MAX(C93:AF93)</f>
        <v>361.34000000000003</v>
      </c>
      <c r="AI93" s="20">
        <f>MIN(C93:AF93)</f>
        <v>147.43999999999997</v>
      </c>
    </row>
    <row r="94" spans="1:88" x14ac:dyDescent="0.25">
      <c r="A94" s="48" t="s">
        <v>122</v>
      </c>
      <c r="B94" s="78">
        <v>31.7</v>
      </c>
      <c r="C94" s="77">
        <v>26.6</v>
      </c>
      <c r="D94" s="77"/>
      <c r="E94" s="77">
        <v>-17.2</v>
      </c>
      <c r="F94" s="77">
        <v>-18.600000000000001</v>
      </c>
      <c r="G94" s="76">
        <v>-7.6</v>
      </c>
      <c r="H94" s="76">
        <v>8.8000000000000007</v>
      </c>
      <c r="I94" s="76">
        <v>-6.8</v>
      </c>
      <c r="J94" s="76">
        <v>25</v>
      </c>
      <c r="K94" s="76">
        <v>24.8</v>
      </c>
      <c r="L94" s="76">
        <v>31.9</v>
      </c>
      <c r="M94" s="75">
        <v>24.5</v>
      </c>
      <c r="N94" s="76">
        <v>30.7</v>
      </c>
      <c r="O94" s="76">
        <v>20.5</v>
      </c>
      <c r="P94" s="76">
        <v>14.1</v>
      </c>
      <c r="Q94" s="76">
        <v>11.2</v>
      </c>
      <c r="R94" s="76">
        <v>7.6</v>
      </c>
      <c r="S94" s="76">
        <v>17.899999999999999</v>
      </c>
      <c r="T94" s="76">
        <v>26</v>
      </c>
      <c r="U94" s="75">
        <v>22.5</v>
      </c>
      <c r="V94" s="75">
        <v>31</v>
      </c>
      <c r="W94" s="75">
        <v>27.8</v>
      </c>
      <c r="X94" s="75">
        <v>27.8</v>
      </c>
      <c r="Y94" s="76">
        <v>26</v>
      </c>
      <c r="Z94" s="76">
        <v>24</v>
      </c>
      <c r="AA94" s="76">
        <v>38.799999999999997</v>
      </c>
      <c r="AB94" s="75">
        <v>39.299999999999997</v>
      </c>
      <c r="AC94" s="75">
        <v>39.299999999999997</v>
      </c>
      <c r="AD94" s="75">
        <v>19</v>
      </c>
      <c r="AE94" s="75">
        <v>15.3</v>
      </c>
      <c r="AF94" s="75">
        <v>15</v>
      </c>
      <c r="AG94" s="3">
        <v>75</v>
      </c>
      <c r="AH94" s="21">
        <f t="shared" ref="AH94:AH100" si="22">IF(ABS(MAX(C94:AF94))&gt;ABS(MIN(C94:AF94)),MAX(C94:AF94),MIN(C94:AF94))</f>
        <v>39.299999999999997</v>
      </c>
      <c r="AI94" s="64">
        <f t="shared" ref="AI94:AI100" si="23">INDEX($C$9:$AF$9,1,MATCH(AH94,C94:AF94,0))</f>
        <v>0.83333333333333337</v>
      </c>
    </row>
    <row r="95" spans="1:88" x14ac:dyDescent="0.25">
      <c r="A95" s="45" t="s">
        <v>121</v>
      </c>
      <c r="B95" s="74">
        <f>-43.3-47.4</f>
        <v>-90.699999999999989</v>
      </c>
      <c r="C95" s="67">
        <f>-43.6-48.4</f>
        <v>-92</v>
      </c>
      <c r="D95" s="67"/>
      <c r="E95" s="67">
        <v>-75</v>
      </c>
      <c r="F95" s="67">
        <v>-74</v>
      </c>
      <c r="G95" s="67">
        <v>-68</v>
      </c>
      <c r="H95" s="67">
        <v>-60</v>
      </c>
      <c r="I95" s="67">
        <v>-45</v>
      </c>
      <c r="J95" s="67">
        <v>-45</v>
      </c>
      <c r="K95" s="67">
        <v>-26</v>
      </c>
      <c r="L95" s="67">
        <v>-20</v>
      </c>
      <c r="M95" s="67">
        <v>-10.8</v>
      </c>
      <c r="N95" s="67">
        <v>-22.8</v>
      </c>
      <c r="O95" s="67">
        <v>-22</v>
      </c>
      <c r="P95" s="67">
        <v>-21.2</v>
      </c>
      <c r="Q95" s="67">
        <f>-5.2-11</f>
        <v>-16.2</v>
      </c>
      <c r="R95" s="67">
        <f>-7.6-14.3</f>
        <v>-21.9</v>
      </c>
      <c r="S95" s="67">
        <v>-21</v>
      </c>
      <c r="T95" s="67">
        <v>-24</v>
      </c>
      <c r="U95" s="67">
        <v>-20</v>
      </c>
      <c r="V95" s="67">
        <v>-14</v>
      </c>
      <c r="W95" s="67">
        <v>-11</v>
      </c>
      <c r="X95" s="67">
        <v>-11</v>
      </c>
      <c r="Y95" s="67">
        <v>20</v>
      </c>
      <c r="Z95" s="67">
        <v>15</v>
      </c>
      <c r="AA95" s="67">
        <v>1.3</v>
      </c>
      <c r="AB95" s="73">
        <v>-2</v>
      </c>
      <c r="AC95" s="73">
        <v>-2</v>
      </c>
      <c r="AD95" s="73">
        <v>-35.799999999999997</v>
      </c>
      <c r="AE95" s="73">
        <v>-48.4</v>
      </c>
      <c r="AF95" s="73">
        <v>-65</v>
      </c>
      <c r="AG95" s="3">
        <v>240</v>
      </c>
      <c r="AH95" s="21">
        <f t="shared" si="22"/>
        <v>-92</v>
      </c>
      <c r="AI95" s="64">
        <f t="shared" si="23"/>
        <v>4.1666666666666664E-2</v>
      </c>
    </row>
    <row r="96" spans="1:88" x14ac:dyDescent="0.25">
      <c r="A96" s="45" t="s">
        <v>120</v>
      </c>
      <c r="B96" s="74">
        <v>-16.7</v>
      </c>
      <c r="C96" s="67">
        <v>-14.1</v>
      </c>
      <c r="D96" s="67"/>
      <c r="E96" s="67">
        <v>-16.7</v>
      </c>
      <c r="F96" s="67">
        <v>-16.8</v>
      </c>
      <c r="G96" s="67">
        <v>-15.9</v>
      </c>
      <c r="H96" s="67">
        <v>-13.8</v>
      </c>
      <c r="I96" s="67">
        <v>-9.8000000000000007</v>
      </c>
      <c r="J96" s="67">
        <v>12.4</v>
      </c>
      <c r="K96" s="67">
        <v>0</v>
      </c>
      <c r="L96" s="67">
        <v>10</v>
      </c>
      <c r="M96" s="67">
        <v>19.8</v>
      </c>
      <c r="N96" s="67">
        <v>8.8000000000000007</v>
      </c>
      <c r="O96" s="67">
        <v>16.600000000000001</v>
      </c>
      <c r="P96" s="67">
        <v>25.7</v>
      </c>
      <c r="Q96" s="67">
        <v>15.2</v>
      </c>
      <c r="R96" s="67">
        <v>25.8</v>
      </c>
      <c r="S96" s="67">
        <v>23.8</v>
      </c>
      <c r="T96" s="67">
        <v>26</v>
      </c>
      <c r="U96" s="67">
        <v>35</v>
      </c>
      <c r="V96" s="67">
        <v>22</v>
      </c>
      <c r="W96" s="67">
        <v>24.2</v>
      </c>
      <c r="X96" s="67">
        <v>24.2</v>
      </c>
      <c r="Y96" s="67">
        <v>25</v>
      </c>
      <c r="Z96" s="67">
        <v>31</v>
      </c>
      <c r="AA96" s="67">
        <v>33.4</v>
      </c>
      <c r="AB96" s="73">
        <v>23.1</v>
      </c>
      <c r="AC96" s="73">
        <v>23.1</v>
      </c>
      <c r="AD96" s="73">
        <v>20.6</v>
      </c>
      <c r="AE96" s="73">
        <v>8.1</v>
      </c>
      <c r="AF96" s="73">
        <v>-13.3</v>
      </c>
      <c r="AG96" s="3">
        <v>60</v>
      </c>
      <c r="AH96" s="21">
        <f t="shared" si="22"/>
        <v>35</v>
      </c>
      <c r="AI96" s="64">
        <f t="shared" si="23"/>
        <v>0.66666666666666696</v>
      </c>
    </row>
    <row r="97" spans="1:37" x14ac:dyDescent="0.25">
      <c r="A97" s="41" t="s">
        <v>119</v>
      </c>
      <c r="B97" s="71">
        <v>40.700000000000003</v>
      </c>
      <c r="C97" s="70">
        <v>38.799999999999997</v>
      </c>
      <c r="D97" s="70"/>
      <c r="E97" s="70">
        <v>67.8</v>
      </c>
      <c r="F97" s="70">
        <v>68.3</v>
      </c>
      <c r="G97" s="70">
        <v>75.3</v>
      </c>
      <c r="H97" s="70">
        <v>74.900000000000006</v>
      </c>
      <c r="I97" s="70">
        <v>97.4</v>
      </c>
      <c r="J97" s="70">
        <v>80.2</v>
      </c>
      <c r="K97" s="70">
        <v>103</v>
      </c>
      <c r="L97" s="70">
        <v>108</v>
      </c>
      <c r="M97" s="70">
        <v>98.9</v>
      </c>
      <c r="N97" s="70">
        <v>104.8</v>
      </c>
      <c r="O97" s="70">
        <v>104.2</v>
      </c>
      <c r="P97" s="70">
        <v>99.4</v>
      </c>
      <c r="Q97" s="70">
        <v>99.3</v>
      </c>
      <c r="R97" s="70">
        <v>95.2</v>
      </c>
      <c r="S97" s="70">
        <v>91.6</v>
      </c>
      <c r="T97" s="70">
        <v>82</v>
      </c>
      <c r="U97" s="70">
        <v>76.599999999999994</v>
      </c>
      <c r="V97" s="70">
        <v>79</v>
      </c>
      <c r="W97" s="70">
        <v>79.599999999999994</v>
      </c>
      <c r="X97" s="70">
        <v>79.599999999999994</v>
      </c>
      <c r="Y97" s="70">
        <v>90</v>
      </c>
      <c r="Z97" s="70">
        <v>103</v>
      </c>
      <c r="AA97" s="70">
        <v>94.2</v>
      </c>
      <c r="AB97" s="69">
        <v>82.4</v>
      </c>
      <c r="AC97" s="69">
        <v>82.4</v>
      </c>
      <c r="AD97" s="69">
        <v>69.900000000000006</v>
      </c>
      <c r="AE97" s="69">
        <v>71.099999999999994</v>
      </c>
      <c r="AF97" s="69">
        <v>65.099999999999994</v>
      </c>
      <c r="AG97" s="72">
        <v>120</v>
      </c>
      <c r="AH97" s="21">
        <f t="shared" si="22"/>
        <v>108</v>
      </c>
      <c r="AI97" s="64">
        <f t="shared" si="23"/>
        <v>0.3125</v>
      </c>
    </row>
    <row r="98" spans="1:37" x14ac:dyDescent="0.25">
      <c r="A98" s="41" t="s">
        <v>118</v>
      </c>
      <c r="B98" s="71">
        <v>49.6</v>
      </c>
      <c r="C98" s="70">
        <v>52.8</v>
      </c>
      <c r="D98" s="70"/>
      <c r="E98" s="70">
        <v>91</v>
      </c>
      <c r="F98" s="70">
        <v>90.8</v>
      </c>
      <c r="G98" s="70">
        <v>92.9</v>
      </c>
      <c r="H98" s="70">
        <v>79.8</v>
      </c>
      <c r="I98" s="70">
        <v>102</v>
      </c>
      <c r="J98" s="70">
        <v>70.3</v>
      </c>
      <c r="K98" s="70">
        <v>100.3</v>
      </c>
      <c r="L98" s="70">
        <v>98</v>
      </c>
      <c r="M98" s="70">
        <v>93.2</v>
      </c>
      <c r="N98" s="70">
        <v>99.4</v>
      </c>
      <c r="O98" s="70">
        <v>92.9</v>
      </c>
      <c r="P98" s="70">
        <v>92</v>
      </c>
      <c r="Q98" s="70">
        <v>89.5</v>
      </c>
      <c r="R98" s="70">
        <v>89</v>
      </c>
      <c r="S98" s="70">
        <v>79</v>
      </c>
      <c r="T98" s="70">
        <v>90</v>
      </c>
      <c r="U98" s="70">
        <v>83</v>
      </c>
      <c r="V98" s="70">
        <v>89</v>
      </c>
      <c r="W98" s="70">
        <v>94</v>
      </c>
      <c r="X98" s="70">
        <v>94</v>
      </c>
      <c r="Y98" s="70">
        <v>87</v>
      </c>
      <c r="Z98" s="70">
        <v>96</v>
      </c>
      <c r="AA98" s="70">
        <v>56.5</v>
      </c>
      <c r="AB98" s="69">
        <v>106.8</v>
      </c>
      <c r="AC98" s="69">
        <v>106.8</v>
      </c>
      <c r="AD98" s="69">
        <v>49</v>
      </c>
      <c r="AE98" s="69">
        <v>70.2</v>
      </c>
      <c r="AF98" s="69">
        <v>75.5</v>
      </c>
      <c r="AG98" s="72"/>
      <c r="AH98" s="21">
        <f t="shared" si="22"/>
        <v>106.8</v>
      </c>
      <c r="AI98" s="64">
        <f t="shared" si="23"/>
        <v>0.83333333333333337</v>
      </c>
    </row>
    <row r="99" spans="1:37" x14ac:dyDescent="0.25">
      <c r="A99" s="41" t="s">
        <v>117</v>
      </c>
      <c r="B99" s="71">
        <v>62.8</v>
      </c>
      <c r="C99" s="70">
        <v>65</v>
      </c>
      <c r="D99" s="70"/>
      <c r="E99" s="70">
        <v>89</v>
      </c>
      <c r="F99" s="70">
        <v>80.3</v>
      </c>
      <c r="G99" s="70">
        <v>81.7</v>
      </c>
      <c r="H99" s="70">
        <v>81.599999999999994</v>
      </c>
      <c r="I99" s="70">
        <v>79</v>
      </c>
      <c r="J99" s="70">
        <v>62.1</v>
      </c>
      <c r="K99" s="70">
        <v>59.7</v>
      </c>
      <c r="L99" s="70">
        <v>50</v>
      </c>
      <c r="M99" s="70">
        <v>59.2</v>
      </c>
      <c r="N99" s="70">
        <v>57.7</v>
      </c>
      <c r="O99" s="70">
        <v>65.900000000000006</v>
      </c>
      <c r="P99" s="70">
        <v>74.8</v>
      </c>
      <c r="Q99" s="70">
        <v>76.099999999999994</v>
      </c>
      <c r="R99" s="70">
        <v>76.599999999999994</v>
      </c>
      <c r="S99" s="70">
        <v>71.900000000000006</v>
      </c>
      <c r="T99" s="70">
        <v>68</v>
      </c>
      <c r="U99" s="70">
        <v>62.9</v>
      </c>
      <c r="V99" s="70">
        <v>59</v>
      </c>
      <c r="W99" s="70">
        <v>59.2</v>
      </c>
      <c r="X99" s="70">
        <v>59.2</v>
      </c>
      <c r="Y99" s="70">
        <v>59</v>
      </c>
      <c r="Z99" s="70">
        <v>70.599999999999994</v>
      </c>
      <c r="AA99" s="70">
        <v>60.4</v>
      </c>
      <c r="AB99" s="69">
        <v>61</v>
      </c>
      <c r="AC99" s="69">
        <v>61</v>
      </c>
      <c r="AD99" s="69">
        <v>83.2</v>
      </c>
      <c r="AE99" s="69">
        <v>67.2</v>
      </c>
      <c r="AF99" s="69">
        <v>65.2</v>
      </c>
      <c r="AG99" s="65"/>
      <c r="AH99" s="21">
        <f t="shared" si="22"/>
        <v>89</v>
      </c>
      <c r="AI99" s="64">
        <f t="shared" si="23"/>
        <v>0.125</v>
      </c>
    </row>
    <row r="100" spans="1:37" ht="15.75" thickBot="1" x14ac:dyDescent="0.3">
      <c r="A100" s="68" t="s">
        <v>116</v>
      </c>
      <c r="B100" s="66">
        <v>55</v>
      </c>
      <c r="C100" s="67">
        <v>39.700000000000003</v>
      </c>
      <c r="D100" s="67"/>
      <c r="E100" s="67">
        <v>28.3</v>
      </c>
      <c r="F100" s="67">
        <v>27.8</v>
      </c>
      <c r="G100" s="67">
        <v>37.5</v>
      </c>
      <c r="H100" s="67">
        <v>43.7</v>
      </c>
      <c r="I100" s="67">
        <v>47</v>
      </c>
      <c r="J100" s="67">
        <v>60</v>
      </c>
      <c r="K100" s="67">
        <v>72</v>
      </c>
      <c r="L100" s="67">
        <v>67</v>
      </c>
      <c r="M100" s="67">
        <v>62</v>
      </c>
      <c r="N100" s="67">
        <v>67</v>
      </c>
      <c r="O100" s="67">
        <v>72.2</v>
      </c>
      <c r="P100" s="67">
        <v>83.2</v>
      </c>
      <c r="Q100" s="67">
        <v>81.599999999999994</v>
      </c>
      <c r="R100" s="67">
        <v>82.2</v>
      </c>
      <c r="S100" s="67">
        <v>98</v>
      </c>
      <c r="T100" s="67">
        <v>29</v>
      </c>
      <c r="U100" s="67">
        <v>30</v>
      </c>
      <c r="V100" s="67">
        <v>85</v>
      </c>
      <c r="W100" s="67">
        <v>83.5</v>
      </c>
      <c r="X100" s="67">
        <v>83.5</v>
      </c>
      <c r="Y100" s="67">
        <v>100</v>
      </c>
      <c r="Z100" s="67">
        <v>105</v>
      </c>
      <c r="AA100" s="67">
        <v>103.2</v>
      </c>
      <c r="AB100" s="66">
        <v>99</v>
      </c>
      <c r="AC100" s="66">
        <v>99</v>
      </c>
      <c r="AD100" s="66">
        <v>91.3</v>
      </c>
      <c r="AE100" s="66">
        <v>83.5</v>
      </c>
      <c r="AF100" s="66">
        <v>66.099999999999994</v>
      </c>
      <c r="AG100" s="65"/>
      <c r="AH100" s="21">
        <f t="shared" si="22"/>
        <v>105</v>
      </c>
      <c r="AI100" s="64">
        <f t="shared" si="23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1384.24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20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2078/12/20)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2078/12/20)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1220.6399999999999</v>
      </c>
      <c r="U214" s="9">
        <f t="shared" si="60"/>
        <v>1075.54</v>
      </c>
      <c r="V214" s="9">
        <f t="shared" si="60"/>
        <v>1082.1399999999999</v>
      </c>
      <c r="W214" s="9">
        <f t="shared" si="60"/>
        <v>1052.18</v>
      </c>
      <c r="X214" s="9">
        <f t="shared" si="60"/>
        <v>1053.9000000000001</v>
      </c>
      <c r="Y214" s="9">
        <f t="shared" si="60"/>
        <v>1099.94</v>
      </c>
      <c r="Z214" s="9">
        <f t="shared" si="60"/>
        <v>1141.1600000000001</v>
      </c>
      <c r="AA214" s="9">
        <f t="shared" si="60"/>
        <v>1186.2400000000002</v>
      </c>
      <c r="AB214" s="9">
        <f t="shared" si="60"/>
        <v>1210.44</v>
      </c>
      <c r="AC214" s="9">
        <f t="shared" si="60"/>
        <v>1312.2400000000002</v>
      </c>
      <c r="AD214" s="9">
        <f t="shared" si="60"/>
        <v>1348.5200000000002</v>
      </c>
      <c r="AE214" s="9">
        <f t="shared" si="60"/>
        <v>1384.24</v>
      </c>
      <c r="AF214" s="9">
        <f t="shared" si="60"/>
        <v>1340.94</v>
      </c>
      <c r="AG214" s="9">
        <f t="shared" si="60"/>
        <v>1349.54</v>
      </c>
      <c r="AH214" s="9">
        <f t="shared" si="60"/>
        <v>1409.3400000000001</v>
      </c>
      <c r="AI214" s="9">
        <f t="shared" si="60"/>
        <v>1385.1399999999999</v>
      </c>
      <c r="AJ214" s="9">
        <f t="shared" si="60"/>
        <v>1380.0400000000002</v>
      </c>
      <c r="AK214" s="9">
        <f t="shared" si="60"/>
        <v>1431.44</v>
      </c>
      <c r="AL214" s="9">
        <f t="shared" si="60"/>
        <v>1410.3400000000001</v>
      </c>
      <c r="AM214" s="9">
        <f t="shared" si="60"/>
        <v>1387.1399999999999</v>
      </c>
      <c r="AN214" s="9">
        <f t="shared" si="60"/>
        <v>1433.94</v>
      </c>
      <c r="AO214" s="9">
        <f t="shared" si="60"/>
        <v>1450.04</v>
      </c>
      <c r="AP214" s="9">
        <f t="shared" si="60"/>
        <v>1384.94</v>
      </c>
      <c r="AQ214" s="9">
        <f t="shared" si="60"/>
        <v>1448.24</v>
      </c>
      <c r="AR214" s="9">
        <f t="shared" si="60"/>
        <v>1575.7400000000002</v>
      </c>
      <c r="AS214" s="9">
        <f t="shared" si="60"/>
        <v>1500.8400000000001</v>
      </c>
      <c r="AT214" s="9">
        <f t="shared" si="60"/>
        <v>1468.1400000000003</v>
      </c>
      <c r="AU214" s="9">
        <f t="shared" si="60"/>
        <v>1462.54</v>
      </c>
      <c r="AV214" s="9">
        <f t="shared" si="60"/>
        <v>1307.74</v>
      </c>
      <c r="AW214" s="9">
        <f t="shared" si="60"/>
        <v>1266.03</v>
      </c>
      <c r="AX214" s="9">
        <f t="shared" si="60"/>
        <v>1140.6400000000001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P37 D57:L59 D60:O60 P39:R39 P40:Q42 R42 R40:T41 M58:W59 Y85:AA91 AB81:AF81 B81:R81 C56:AF56 B82:AF83 D194:AF200 B194:B200 C68:AF72 B84:B91 B73:AF80 B9:AF10 B192:AF192 AF57:AF67 B53:B72 AG73 B94:B100 U213:AF213 C57:C64 D63:E64 C65:E67 O61:O67 M39:O42 D61:N61 B36:P36 M11:R14 N45:R48 P60:R67 Q36:V37 S14:Y14 U40:Y42 S48:Y48 M16:Y25 M27:Y32 T26:Y26 Z16:AA31 S11:AE11 Z40:AE43 AB84:AF91 AB94:AF100 W36:AF36 M53:AF55 AB16:AE26 Z12:AE14 AB28:AF31 AF23:AF26">
    <cfRule type="expression" dxfId="3374" priority="251">
      <formula>B$9&gt;=20/24</formula>
    </cfRule>
    <cfRule type="expression" dxfId="3373" priority="252">
      <formula>AND(B$9&gt;=14/24,B$9&lt;20/24)</formula>
    </cfRule>
    <cfRule type="expression" dxfId="3372" priority="253">
      <formula>AND(B$9&gt;=8/24,B$9&lt;14/24)</formula>
    </cfRule>
    <cfRule type="expression" dxfId="3371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370" priority="246">
      <formula>M$9&gt;=20/24</formula>
    </cfRule>
    <cfRule type="expression" dxfId="3369" priority="247">
      <formula>AND(M$9&gt;=14/24,M$9&lt;20/24)</formula>
    </cfRule>
    <cfRule type="expression" dxfId="3368" priority="248">
      <formula>AND(M$9&gt;=8/24,M$9&lt;14/24)</formula>
    </cfRule>
    <cfRule type="expression" dxfId="3367" priority="249">
      <formula>M$9&lt;8/24</formula>
    </cfRule>
  </conditionalFormatting>
  <conditionalFormatting sqref="M43:R43">
    <cfRule type="expression" dxfId="3366" priority="242">
      <formula>M$9&gt;=20/24</formula>
    </cfRule>
    <cfRule type="expression" dxfId="3365" priority="243">
      <formula>AND(M$9&gt;=14/24,M$9&lt;20/24)</formula>
    </cfRule>
    <cfRule type="expression" dxfId="3364" priority="244">
      <formula>AND(M$9&gt;=8/24,M$9&lt;14/24)</formula>
    </cfRule>
    <cfRule type="expression" dxfId="3363" priority="245">
      <formula>M$9&lt;8/24</formula>
    </cfRule>
  </conditionalFormatting>
  <conditionalFormatting sqref="Z32:AF32">
    <cfRule type="expression" dxfId="3362" priority="238">
      <formula>Z$9&gt;=20/24</formula>
    </cfRule>
    <cfRule type="expression" dxfId="3361" priority="239">
      <formula>AND(Z$9&gt;=14/24,Z$9&lt;20/24)</formula>
    </cfRule>
    <cfRule type="expression" dxfId="3360" priority="240">
      <formula>AND(Z$9&gt;=8/24,Z$9&lt;14/24)</formula>
    </cfRule>
    <cfRule type="expression" dxfId="3359" priority="241">
      <formula>Z$9&lt;8/24</formula>
    </cfRule>
  </conditionalFormatting>
  <conditionalFormatting sqref="S39:AE39">
    <cfRule type="expression" dxfId="3358" priority="234">
      <formula>S$9&gt;=20/24</formula>
    </cfRule>
    <cfRule type="expression" dxfId="3357" priority="235">
      <formula>AND(S$9&gt;=14/24,S$9&lt;20/24)</formula>
    </cfRule>
    <cfRule type="expression" dxfId="3356" priority="236">
      <formula>AND(S$9&gt;=8/24,S$9&lt;14/24)</formula>
    </cfRule>
    <cfRule type="expression" dxfId="3355" priority="237">
      <formula>S$9&lt;8/24</formula>
    </cfRule>
  </conditionalFormatting>
  <conditionalFormatting sqref="S57:AE57">
    <cfRule type="expression" dxfId="3354" priority="230">
      <formula>S$9&gt;=20/24</formula>
    </cfRule>
    <cfRule type="expression" dxfId="3353" priority="231">
      <formula>AND(S$9&gt;=14/24,S$9&lt;20/24)</formula>
    </cfRule>
    <cfRule type="expression" dxfId="3352" priority="232">
      <formula>AND(S$9&gt;=8/24,S$9&lt;14/24)</formula>
    </cfRule>
    <cfRule type="expression" dxfId="3351" priority="233">
      <formula>S$9&lt;8/24</formula>
    </cfRule>
  </conditionalFormatting>
  <conditionalFormatting sqref="S81:AA81">
    <cfRule type="expression" dxfId="3350" priority="226">
      <formula>S$9&gt;=20/24</formula>
    </cfRule>
    <cfRule type="expression" dxfId="3349" priority="227">
      <formula>AND(S$9&gt;=14/24,S$9&lt;20/24)</formula>
    </cfRule>
    <cfRule type="expression" dxfId="3348" priority="228">
      <formula>AND(S$9&gt;=8/24,S$9&lt;14/24)</formula>
    </cfRule>
    <cfRule type="expression" dxfId="3347" priority="229">
      <formula>S$9&lt;8/24</formula>
    </cfRule>
  </conditionalFormatting>
  <conditionalFormatting sqref="U84:AA84">
    <cfRule type="expression" dxfId="3346" priority="222">
      <formula>U$9&gt;=20/24</formula>
    </cfRule>
    <cfRule type="expression" dxfId="3345" priority="223">
      <formula>AND(U$9&gt;=14/24,U$9&lt;20/24)</formula>
    </cfRule>
    <cfRule type="expression" dxfId="3344" priority="224">
      <formula>AND(U$9&gt;=8/24,U$9&lt;14/24)</formula>
    </cfRule>
    <cfRule type="expression" dxfId="3343" priority="225">
      <formula>U$9&lt;8/24</formula>
    </cfRule>
  </conditionalFormatting>
  <conditionalFormatting sqref="M35:Y35">
    <cfRule type="expression" dxfId="3342" priority="218">
      <formula>M$9&gt;=20/24</formula>
    </cfRule>
    <cfRule type="expression" dxfId="3341" priority="219">
      <formula>AND(M$9&gt;=14/24,M$9&lt;20/24)</formula>
    </cfRule>
    <cfRule type="expression" dxfId="3340" priority="220">
      <formula>AND(M$9&gt;=8/24,M$9&lt;14/24)</formula>
    </cfRule>
    <cfRule type="expression" dxfId="3339" priority="221">
      <formula>M$9&lt;8/24</formula>
    </cfRule>
  </conditionalFormatting>
  <conditionalFormatting sqref="M49:Y49">
    <cfRule type="expression" dxfId="3338" priority="214">
      <formula>M$9&gt;=20/24</formula>
    </cfRule>
    <cfRule type="expression" dxfId="3337" priority="215">
      <formula>AND(M$9&gt;=14/24,M$9&lt;20/24)</formula>
    </cfRule>
    <cfRule type="expression" dxfId="3336" priority="216">
      <formula>AND(M$9&gt;=8/24,M$9&lt;14/24)</formula>
    </cfRule>
    <cfRule type="expression" dxfId="3335" priority="217">
      <formula>M$9&lt;8/24</formula>
    </cfRule>
  </conditionalFormatting>
  <conditionalFormatting sqref="M50:Y50">
    <cfRule type="expression" dxfId="3334" priority="210">
      <formula>M$9&gt;=20/24</formula>
    </cfRule>
    <cfRule type="expression" dxfId="3333" priority="211">
      <formula>AND(M$9&gt;=14/24,M$9&lt;20/24)</formula>
    </cfRule>
    <cfRule type="expression" dxfId="3332" priority="212">
      <formula>AND(M$9&gt;=8/24,M$9&lt;14/24)</formula>
    </cfRule>
    <cfRule type="expression" dxfId="3331" priority="213">
      <formula>M$9&lt;8/24</formula>
    </cfRule>
  </conditionalFormatting>
  <conditionalFormatting sqref="M45:R48 S48:Y48">
    <cfRule type="expression" dxfId="3330" priority="206">
      <formula>M$9&gt;=20/24</formula>
    </cfRule>
    <cfRule type="expression" dxfId="3329" priority="207">
      <formula>AND(M$9&gt;=14/24,M$9&lt;20/24)</formula>
    </cfRule>
    <cfRule type="expression" dxfId="3328" priority="208">
      <formula>AND(M$9&gt;=8/24,M$9&lt;14/24)</formula>
    </cfRule>
    <cfRule type="expression" dxfId="3327" priority="209">
      <formula>M$9&lt;8/24</formula>
    </cfRule>
  </conditionalFormatting>
  <conditionalFormatting sqref="W37:AE37">
    <cfRule type="expression" dxfId="3326" priority="202">
      <formula>W$9&gt;=20/24</formula>
    </cfRule>
    <cfRule type="expression" dxfId="3325" priority="203">
      <formula>AND(W$9&gt;=14/24,W$9&lt;20/24)</formula>
    </cfRule>
    <cfRule type="expression" dxfId="3324" priority="204">
      <formula>AND(W$9&gt;=8/24,W$9&lt;14/24)</formula>
    </cfRule>
    <cfRule type="expression" dxfId="3323" priority="205">
      <formula>W$9&lt;8/24</formula>
    </cfRule>
  </conditionalFormatting>
  <conditionalFormatting sqref="Z35:AF35">
    <cfRule type="expression" dxfId="3322" priority="198">
      <formula>Z$9&gt;=20/24</formula>
    </cfRule>
    <cfRule type="expression" dxfId="3321" priority="199">
      <formula>AND(Z$9&gt;=14/24,Z$9&lt;20/24)</formula>
    </cfRule>
    <cfRule type="expression" dxfId="3320" priority="200">
      <formula>AND(Z$9&gt;=8/24,Z$9&lt;14/24)</formula>
    </cfRule>
    <cfRule type="expression" dxfId="3319" priority="201">
      <formula>Z$9&lt;8/24</formula>
    </cfRule>
  </conditionalFormatting>
  <conditionalFormatting sqref="S42:T43 U43:Y43 S45:AE48 AF47:AF48">
    <cfRule type="expression" dxfId="3318" priority="194">
      <formula>S$9&gt;=20/24</formula>
    </cfRule>
    <cfRule type="expression" dxfId="3317" priority="195">
      <formula>AND(S$9&gt;=14/24,S$9&lt;20/24)</formula>
    </cfRule>
    <cfRule type="expression" dxfId="3316" priority="196">
      <formula>AND(S$9&gt;=8/24,S$9&lt;14/24)</formula>
    </cfRule>
    <cfRule type="expression" dxfId="3315" priority="197">
      <formula>S$9&lt;8/24</formula>
    </cfRule>
  </conditionalFormatting>
  <conditionalFormatting sqref="S49:AF49">
    <cfRule type="expression" dxfId="3314" priority="190">
      <formula>S$9&gt;=20/24</formula>
    </cfRule>
    <cfRule type="expression" dxfId="3313" priority="191">
      <formula>AND(S$9&gt;=14/24,S$9&lt;20/24)</formula>
    </cfRule>
    <cfRule type="expression" dxfId="3312" priority="192">
      <formula>AND(S$9&gt;=8/24,S$9&lt;14/24)</formula>
    </cfRule>
    <cfRule type="expression" dxfId="3311" priority="193">
      <formula>S$9&lt;8/24</formula>
    </cfRule>
  </conditionalFormatting>
  <conditionalFormatting sqref="S50:AF50">
    <cfRule type="expression" dxfId="3310" priority="186">
      <formula>S$9&gt;=20/24</formula>
    </cfRule>
    <cfRule type="expression" dxfId="3309" priority="187">
      <formula>AND(S$9&gt;=14/24,S$9&lt;20/24)</formula>
    </cfRule>
    <cfRule type="expression" dxfId="3308" priority="188">
      <formula>AND(S$9&gt;=8/24,S$9&lt;14/24)</formula>
    </cfRule>
    <cfRule type="expression" dxfId="3307" priority="189">
      <formula>S$9&lt;8/24</formula>
    </cfRule>
  </conditionalFormatting>
  <conditionalFormatting sqref="X60:AE60 S60:T67 U62:AC67 X61:AC61 AD61:AE67">
    <cfRule type="expression" dxfId="3306" priority="182">
      <formula>S$9&gt;=20/24</formula>
    </cfRule>
    <cfRule type="expression" dxfId="3305" priority="183">
      <formula>AND(S$9&gt;=14/24,S$9&lt;20/24)</formula>
    </cfRule>
    <cfRule type="expression" dxfId="3304" priority="184">
      <formula>AND(S$9&gt;=8/24,S$9&lt;14/24)</formula>
    </cfRule>
    <cfRule type="expression" dxfId="3303" priority="185">
      <formula>S$9&lt;8/24</formula>
    </cfRule>
  </conditionalFormatting>
  <conditionalFormatting sqref="D62:N62">
    <cfRule type="expression" dxfId="3302" priority="178">
      <formula>D$9&gt;=20/24</formula>
    </cfRule>
    <cfRule type="expression" dxfId="3301" priority="179">
      <formula>AND(D$9&gt;=14/24,D$9&lt;20/24)</formula>
    </cfRule>
    <cfRule type="expression" dxfId="3300" priority="180">
      <formula>AND(D$9&gt;=8/24,D$9&lt;14/24)</formula>
    </cfRule>
    <cfRule type="expression" dxfId="3299" priority="181">
      <formula>D$9&lt;8/24</formula>
    </cfRule>
  </conditionalFormatting>
  <conditionalFormatting sqref="U94:AA97">
    <cfRule type="expression" dxfId="3298" priority="174">
      <formula>U$9&gt;=20/24</formula>
    </cfRule>
    <cfRule type="expression" dxfId="3297" priority="175">
      <formula>AND(U$9&gt;=14/24,U$9&lt;20/24)</formula>
    </cfRule>
    <cfRule type="expression" dxfId="3296" priority="176">
      <formula>AND(U$9&gt;=8/24,U$9&lt;14/24)</formula>
    </cfRule>
    <cfRule type="expression" dxfId="3295" priority="177">
      <formula>U$9&lt;8/24</formula>
    </cfRule>
  </conditionalFormatting>
  <conditionalFormatting sqref="AG51 K16 H11:K11 B11:G16 K12:K14 H12:J16 B17:K25 L11:R14 S14:Y14 L16:Y25 B26:Y32 S11:AF11 Z12:AF32 B34:AF56">
    <cfRule type="expression" dxfId="3294" priority="173">
      <formula>B11&gt;$AG11</formula>
    </cfRule>
  </conditionalFormatting>
  <conditionalFormatting sqref="A101:A157 A84:A97 A11:A14 A16:A32 A45:A72 A80:A82 A74:A78 A35:A43 A170:A200">
    <cfRule type="expression" dxfId="3293" priority="172">
      <formula>$AH11=0</formula>
    </cfRule>
  </conditionalFormatting>
  <conditionalFormatting sqref="U98:AA98">
    <cfRule type="expression" dxfId="3292" priority="168">
      <formula>U$9&gt;=20/24</formula>
    </cfRule>
    <cfRule type="expression" dxfId="3291" priority="169">
      <formula>AND(U$9&gt;=14/24,U$9&lt;20/24)</formula>
    </cfRule>
    <cfRule type="expression" dxfId="3290" priority="170">
      <formula>AND(U$9&gt;=8/24,U$9&lt;14/24)</formula>
    </cfRule>
    <cfRule type="expression" dxfId="3289" priority="171">
      <formula>U$9&lt;8/24</formula>
    </cfRule>
  </conditionalFormatting>
  <conditionalFormatting sqref="A98">
    <cfRule type="expression" dxfId="3288" priority="167">
      <formula>$AH98=0</formula>
    </cfRule>
  </conditionalFormatting>
  <conditionalFormatting sqref="F63:N67">
    <cfRule type="expression" dxfId="3287" priority="159">
      <formula>F$9&gt;=20/24</formula>
    </cfRule>
    <cfRule type="expression" dxfId="3286" priority="160">
      <formula>AND(F$9&gt;=14/24,F$9&lt;20/24)</formula>
    </cfRule>
    <cfRule type="expression" dxfId="3285" priority="161">
      <formula>AND(F$9&gt;=8/24,F$9&lt;14/24)</formula>
    </cfRule>
    <cfRule type="expression" dxfId="3284" priority="162">
      <formula>F$9&lt;8/24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3283" priority="150">
      <formula>Z$9&gt;=20/24</formula>
    </cfRule>
    <cfRule type="expression" dxfId="3282" priority="151">
      <formula>AND(Z$9&gt;=14/24,Z$9&lt;20/24)</formula>
    </cfRule>
    <cfRule type="expression" dxfId="3281" priority="152">
      <formula>AND(Z$9&gt;=8/24,Z$9&lt;14/24)</formula>
    </cfRule>
    <cfRule type="expression" dxfId="3280" priority="153">
      <formula>Z$9&lt;8/24</formula>
    </cfRule>
  </conditionalFormatting>
  <conditionalFormatting sqref="M34:Y34">
    <cfRule type="expression" dxfId="3279" priority="146">
      <formula>M$9&gt;=20/24</formula>
    </cfRule>
    <cfRule type="expression" dxfId="3278" priority="147">
      <formula>AND(M$9&gt;=14/24,M$9&lt;20/24)</formula>
    </cfRule>
    <cfRule type="expression" dxfId="3277" priority="148">
      <formula>AND(M$9&gt;=8/24,M$9&lt;14/24)</formula>
    </cfRule>
    <cfRule type="expression" dxfId="3276" priority="149">
      <formula>M$9&lt;8/24</formula>
    </cfRule>
  </conditionalFormatting>
  <conditionalFormatting sqref="A34">
    <cfRule type="expression" dxfId="3275" priority="141">
      <formula>$AH34=0</formula>
    </cfRule>
  </conditionalFormatting>
  <conditionalFormatting sqref="A83">
    <cfRule type="expression" dxfId="3274" priority="140">
      <formula>$AH83=0</formula>
    </cfRule>
  </conditionalFormatting>
  <conditionalFormatting sqref="Z15:AE15">
    <cfRule type="expression" dxfId="3273" priority="136">
      <formula>Z$9&gt;=20/24</formula>
    </cfRule>
    <cfRule type="expression" dxfId="3272" priority="137">
      <formula>AND(Z$9&gt;=14/24,Z$9&lt;20/24)</formula>
    </cfRule>
    <cfRule type="expression" dxfId="3271" priority="138">
      <formula>AND(Z$9&gt;=8/24,Z$9&lt;14/24)</formula>
    </cfRule>
    <cfRule type="expression" dxfId="3270" priority="139">
      <formula>Z$9&lt;8/24</formula>
    </cfRule>
  </conditionalFormatting>
  <conditionalFormatting sqref="M15:Y15">
    <cfRule type="expression" dxfId="3269" priority="132">
      <formula>M$9&gt;=20/24</formula>
    </cfRule>
    <cfRule type="expression" dxfId="3268" priority="133">
      <formula>AND(M$9&gt;=14/24,M$9&lt;20/24)</formula>
    </cfRule>
    <cfRule type="expression" dxfId="3267" priority="134">
      <formula>AND(M$9&gt;=8/24,M$9&lt;14/24)</formula>
    </cfRule>
    <cfRule type="expression" dxfId="3266" priority="135">
      <formula>M$9&lt;8/24</formula>
    </cfRule>
  </conditionalFormatting>
  <conditionalFormatting sqref="K15:Y15">
    <cfRule type="expression" dxfId="3265" priority="131">
      <formula>K15&gt;$AG15</formula>
    </cfRule>
  </conditionalFormatting>
  <conditionalFormatting sqref="A15">
    <cfRule type="expression" dxfId="3264" priority="130">
      <formula>$AH15=0</formula>
    </cfRule>
  </conditionalFormatting>
  <conditionalFormatting sqref="A164:A169">
    <cfRule type="expression" dxfId="3263" priority="129">
      <formula>$AH164=0</formula>
    </cfRule>
  </conditionalFormatting>
  <conditionalFormatting sqref="A158:A163">
    <cfRule type="expression" dxfId="3262" priority="128">
      <formula>$AH158=0</formula>
    </cfRule>
  </conditionalFormatting>
  <conditionalFormatting sqref="Z44:AE44">
    <cfRule type="expression" dxfId="3261" priority="124">
      <formula>Z$9&gt;=20/24</formula>
    </cfRule>
    <cfRule type="expression" dxfId="3260" priority="125">
      <formula>AND(Z$9&gt;=14/24,Z$9&lt;20/24)</formula>
    </cfRule>
    <cfRule type="expression" dxfId="3259" priority="126">
      <formula>AND(Z$9&gt;=8/24,Z$9&lt;14/24)</formula>
    </cfRule>
    <cfRule type="expression" dxfId="3258" priority="127">
      <formula>Z$9&lt;8/24</formula>
    </cfRule>
  </conditionalFormatting>
  <conditionalFormatting sqref="M44:R44">
    <cfRule type="expression" dxfId="3257" priority="120">
      <formula>M$9&gt;=20/24</formula>
    </cfRule>
    <cfRule type="expression" dxfId="3256" priority="121">
      <formula>AND(M$9&gt;=14/24,M$9&lt;20/24)</formula>
    </cfRule>
    <cfRule type="expression" dxfId="3255" priority="122">
      <formula>AND(M$9&gt;=8/24,M$9&lt;14/24)</formula>
    </cfRule>
    <cfRule type="expression" dxfId="3254" priority="123">
      <formula>M$9&lt;8/24</formula>
    </cfRule>
  </conditionalFormatting>
  <conditionalFormatting sqref="S44:Y44">
    <cfRule type="expression" dxfId="3253" priority="116">
      <formula>S$9&gt;=20/24</formula>
    </cfRule>
    <cfRule type="expression" dxfId="3252" priority="117">
      <formula>AND(S$9&gt;=14/24,S$9&lt;20/24)</formula>
    </cfRule>
    <cfRule type="expression" dxfId="3251" priority="118">
      <formula>AND(S$9&gt;=8/24,S$9&lt;14/24)</formula>
    </cfRule>
    <cfRule type="expression" dxfId="3250" priority="119">
      <formula>S$9&lt;8/24</formula>
    </cfRule>
  </conditionalFormatting>
  <conditionalFormatting sqref="A44">
    <cfRule type="expression" dxfId="3249" priority="115">
      <formula>$AH44=0</formula>
    </cfRule>
  </conditionalFormatting>
  <conditionalFormatting sqref="A79">
    <cfRule type="expression" dxfId="3248" priority="114">
      <formula>$AH79=0</formula>
    </cfRule>
  </conditionalFormatting>
  <conditionalFormatting sqref="A73">
    <cfRule type="expression" dxfId="3247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3246" priority="109">
      <formula>U$9&gt;=20/24</formula>
    </cfRule>
    <cfRule type="expression" dxfId="3245" priority="110">
      <formula>AND(U$9&gt;=14/24,U$9&lt;20/24)</formula>
    </cfRule>
    <cfRule type="expression" dxfId="3244" priority="111">
      <formula>AND(U$9&gt;=8/24,U$9&lt;14/24)</formula>
    </cfRule>
    <cfRule type="expression" dxfId="3243" priority="112">
      <formula>U$9&lt;8/24</formula>
    </cfRule>
  </conditionalFormatting>
  <conditionalFormatting sqref="U85:X91">
    <cfRule type="expression" dxfId="3242" priority="105">
      <formula>U$9&gt;=20/24</formula>
    </cfRule>
    <cfRule type="expression" dxfId="3241" priority="106">
      <formula>AND(U$9&gt;=14/24,U$9&lt;20/24)</formula>
    </cfRule>
    <cfRule type="expression" dxfId="3240" priority="107">
      <formula>AND(U$9&gt;=8/24,U$9&lt;14/24)</formula>
    </cfRule>
    <cfRule type="expression" dxfId="3239" priority="108">
      <formula>U$9&lt;8/24</formula>
    </cfRule>
  </conditionalFormatting>
  <conditionalFormatting sqref="S85:T91 C84:R91">
    <cfRule type="expression" dxfId="3238" priority="101">
      <formula>C$9&gt;=20/24</formula>
    </cfRule>
    <cfRule type="expression" dxfId="3237" priority="102">
      <formula>AND(C$9&gt;=14/24,C$9&lt;20/24)</formula>
    </cfRule>
    <cfRule type="expression" dxfId="3236" priority="103">
      <formula>AND(C$9&gt;=8/24,C$9&lt;14/24)</formula>
    </cfRule>
    <cfRule type="expression" dxfId="3235" priority="104">
      <formula>C$9&lt;8/24</formula>
    </cfRule>
  </conditionalFormatting>
  <conditionalFormatting sqref="S84:T84">
    <cfRule type="expression" dxfId="3234" priority="97">
      <formula>S$9&gt;=20/24</formula>
    </cfRule>
    <cfRule type="expression" dxfId="3233" priority="98">
      <formula>AND(S$9&gt;=14/24,S$9&lt;20/24)</formula>
    </cfRule>
    <cfRule type="expression" dxfId="3232" priority="99">
      <formula>AND(S$9&gt;=8/24,S$9&lt;14/24)</formula>
    </cfRule>
    <cfRule type="expression" dxfId="3231" priority="100">
      <formula>S$9&lt;8/24</formula>
    </cfRule>
  </conditionalFormatting>
  <conditionalFormatting sqref="C95:M97 C94:F94">
    <cfRule type="expression" dxfId="3230" priority="93">
      <formula>C$9&gt;=20/24</formula>
    </cfRule>
    <cfRule type="expression" dxfId="3229" priority="94">
      <formula>AND(C$9&gt;=14/24,C$9&lt;20/24)</formula>
    </cfRule>
    <cfRule type="expression" dxfId="3228" priority="95">
      <formula>AND(C$9&gt;=8/24,C$9&lt;14/24)</formula>
    </cfRule>
    <cfRule type="expression" dxfId="3227" priority="96">
      <formula>C$9&lt;8/24</formula>
    </cfRule>
  </conditionalFormatting>
  <conditionalFormatting sqref="N95:R97 O94:R94">
    <cfRule type="expression" dxfId="3226" priority="89">
      <formula>N$9&gt;=20/24</formula>
    </cfRule>
    <cfRule type="expression" dxfId="3225" priority="90">
      <formula>AND(N$9&gt;=14/24,N$9&lt;20/24)</formula>
    </cfRule>
    <cfRule type="expression" dxfId="3224" priority="91">
      <formula>AND(N$9&gt;=8/24,N$9&lt;14/24)</formula>
    </cfRule>
    <cfRule type="expression" dxfId="3223" priority="92">
      <formula>N$9&lt;8/24</formula>
    </cfRule>
  </conditionalFormatting>
  <conditionalFormatting sqref="S94:T97">
    <cfRule type="expression" dxfId="3222" priority="85">
      <formula>S$9&gt;=20/24</formula>
    </cfRule>
    <cfRule type="expression" dxfId="3221" priority="86">
      <formula>AND(S$9&gt;=14/24,S$9&lt;20/24)</formula>
    </cfRule>
    <cfRule type="expression" dxfId="3220" priority="87">
      <formula>AND(S$9&gt;=8/24,S$9&lt;14/24)</formula>
    </cfRule>
    <cfRule type="expression" dxfId="3219" priority="88">
      <formula>S$9&lt;8/24</formula>
    </cfRule>
  </conditionalFormatting>
  <conditionalFormatting sqref="C98:M98">
    <cfRule type="expression" dxfId="3218" priority="81">
      <formula>C$9&gt;=20/24</formula>
    </cfRule>
    <cfRule type="expression" dxfId="3217" priority="82">
      <formula>AND(C$9&gt;=14/24,C$9&lt;20/24)</formula>
    </cfRule>
    <cfRule type="expression" dxfId="3216" priority="83">
      <formula>AND(C$9&gt;=8/24,C$9&lt;14/24)</formula>
    </cfRule>
    <cfRule type="expression" dxfId="3215" priority="84">
      <formula>C$9&lt;8/24</formula>
    </cfRule>
  </conditionalFormatting>
  <conditionalFormatting sqref="N98:R98">
    <cfRule type="expression" dxfId="3214" priority="77">
      <formula>N$9&gt;=20/24</formula>
    </cfRule>
    <cfRule type="expression" dxfId="3213" priority="78">
      <formula>AND(N$9&gt;=14/24,N$9&lt;20/24)</formula>
    </cfRule>
    <cfRule type="expression" dxfId="3212" priority="79">
      <formula>AND(N$9&gt;=8/24,N$9&lt;14/24)</formula>
    </cfRule>
    <cfRule type="expression" dxfId="3211" priority="80">
      <formula>N$9&lt;8/24</formula>
    </cfRule>
  </conditionalFormatting>
  <conditionalFormatting sqref="S98:T98">
    <cfRule type="expression" dxfId="3210" priority="73">
      <formula>S$9&gt;=20/24</formula>
    </cfRule>
    <cfRule type="expression" dxfId="3209" priority="74">
      <formula>AND(S$9&gt;=14/24,S$9&lt;20/24)</formula>
    </cfRule>
    <cfRule type="expression" dxfId="3208" priority="75">
      <formula>AND(S$9&gt;=8/24,S$9&lt;14/24)</formula>
    </cfRule>
    <cfRule type="expression" dxfId="3207" priority="76">
      <formula>S$9&lt;8/24</formula>
    </cfRule>
  </conditionalFormatting>
  <conditionalFormatting sqref="M94:N94">
    <cfRule type="expression" dxfId="3206" priority="69">
      <formula>M$9&gt;=20/24</formula>
    </cfRule>
    <cfRule type="expression" dxfId="3205" priority="70">
      <formula>AND(M$9&gt;=14/24,M$9&lt;20/24)</formula>
    </cfRule>
    <cfRule type="expression" dxfId="3204" priority="71">
      <formula>AND(M$9&gt;=8/24,M$9&lt;14/24)</formula>
    </cfRule>
    <cfRule type="expression" dxfId="3203" priority="72">
      <formula>M$9&lt;8/24</formula>
    </cfRule>
  </conditionalFormatting>
  <conditionalFormatting sqref="G94:L94">
    <cfRule type="expression" dxfId="3202" priority="65">
      <formula>G$9&gt;=20/24</formula>
    </cfRule>
    <cfRule type="expression" dxfId="3201" priority="66">
      <formula>AND(G$9&gt;=14/24,G$9&lt;20/24)</formula>
    </cfRule>
    <cfRule type="expression" dxfId="3200" priority="67">
      <formula>AND(G$9&gt;=8/24,G$9&lt;14/24)</formula>
    </cfRule>
    <cfRule type="expression" dxfId="3199" priority="68">
      <formula>G$9&lt;8/24</formula>
    </cfRule>
  </conditionalFormatting>
  <conditionalFormatting sqref="U94:X94">
    <cfRule type="expression" dxfId="3198" priority="61">
      <formula>U$9&gt;=20/24</formula>
    </cfRule>
    <cfRule type="expression" dxfId="3197" priority="62">
      <formula>AND(U$9&gt;=14/24,U$9&lt;20/24)</formula>
    </cfRule>
    <cfRule type="expression" dxfId="3196" priority="63">
      <formula>AND(U$9&gt;=8/24,U$9&lt;14/24)</formula>
    </cfRule>
    <cfRule type="expression" dxfId="3195" priority="64">
      <formula>U$9&lt;8/24</formula>
    </cfRule>
  </conditionalFormatting>
  <conditionalFormatting sqref="N94:T94">
    <cfRule type="expression" dxfId="3194" priority="57">
      <formula>N$9&gt;=20/24</formula>
    </cfRule>
    <cfRule type="expression" dxfId="3193" priority="58">
      <formula>AND(N$9&gt;=14/24,N$9&lt;20/24)</formula>
    </cfRule>
    <cfRule type="expression" dxfId="3192" priority="59">
      <formula>AND(N$9&gt;=8/24,N$9&lt;14/24)</formula>
    </cfRule>
    <cfRule type="expression" dxfId="3191" priority="60">
      <formula>N$9&lt;8/24</formula>
    </cfRule>
  </conditionalFormatting>
  <conditionalFormatting sqref="U99:AA100">
    <cfRule type="expression" dxfId="3190" priority="53">
      <formula>U$9&gt;=20/24</formula>
    </cfRule>
    <cfRule type="expression" dxfId="3189" priority="54">
      <formula>AND(U$9&gt;=14/24,U$9&lt;20/24)</formula>
    </cfRule>
    <cfRule type="expression" dxfId="3188" priority="55">
      <formula>AND(U$9&gt;=8/24,U$9&lt;14/24)</formula>
    </cfRule>
    <cfRule type="expression" dxfId="3187" priority="56">
      <formula>U$9&lt;8/24</formula>
    </cfRule>
  </conditionalFormatting>
  <conditionalFormatting sqref="C99:M100">
    <cfRule type="expression" dxfId="3186" priority="49">
      <formula>C$9&gt;=20/24</formula>
    </cfRule>
    <cfRule type="expression" dxfId="3185" priority="50">
      <formula>AND(C$9&gt;=14/24,C$9&lt;20/24)</formula>
    </cfRule>
    <cfRule type="expression" dxfId="3184" priority="51">
      <formula>AND(C$9&gt;=8/24,C$9&lt;14/24)</formula>
    </cfRule>
    <cfRule type="expression" dxfId="3183" priority="52">
      <formula>C$9&lt;8/24</formula>
    </cfRule>
  </conditionalFormatting>
  <conditionalFormatting sqref="N99:R100">
    <cfRule type="expression" dxfId="3182" priority="45">
      <formula>N$9&gt;=20/24</formula>
    </cfRule>
    <cfRule type="expression" dxfId="3181" priority="46">
      <formula>AND(N$9&gt;=14/24,N$9&lt;20/24)</formula>
    </cfRule>
    <cfRule type="expression" dxfId="3180" priority="47">
      <formula>AND(N$9&gt;=8/24,N$9&lt;14/24)</formula>
    </cfRule>
    <cfRule type="expression" dxfId="3179" priority="48">
      <formula>N$9&lt;8/24</formula>
    </cfRule>
  </conditionalFormatting>
  <conditionalFormatting sqref="S99:T100">
    <cfRule type="expression" dxfId="3178" priority="41">
      <formula>S$9&gt;=20/24</formula>
    </cfRule>
    <cfRule type="expression" dxfId="3177" priority="42">
      <formula>AND(S$9&gt;=14/24,S$9&lt;20/24)</formula>
    </cfRule>
    <cfRule type="expression" dxfId="3176" priority="43">
      <formula>AND(S$9&gt;=8/24,S$9&lt;14/24)</formula>
    </cfRule>
    <cfRule type="expression" dxfId="3175" priority="44">
      <formula>S$9&lt;8/24</formula>
    </cfRule>
  </conditionalFormatting>
  <conditionalFormatting sqref="S12:Y13">
    <cfRule type="expression" dxfId="3174" priority="37">
      <formula>S$9&gt;=20/24</formula>
    </cfRule>
    <cfRule type="expression" dxfId="3173" priority="38">
      <formula>AND(S$9&gt;=14/24,S$9&lt;20/24)</formula>
    </cfRule>
    <cfRule type="expression" dxfId="3172" priority="39">
      <formula>AND(S$9&gt;=8/24,S$9&lt;14/24)</formula>
    </cfRule>
    <cfRule type="expression" dxfId="3171" priority="40">
      <formula>S$9&lt;8/24</formula>
    </cfRule>
  </conditionalFormatting>
  <conditionalFormatting sqref="S12:Y13">
    <cfRule type="expression" dxfId="3170" priority="29">
      <formula>S$9&gt;=20/24</formula>
    </cfRule>
    <cfRule type="expression" dxfId="3169" priority="30">
      <formula>AND(S$9&gt;=14/24,S$9&lt;20/24)</formula>
    </cfRule>
    <cfRule type="expression" dxfId="3168" priority="31">
      <formula>AND(S$9&gt;=8/24,S$9&lt;14/24)</formula>
    </cfRule>
    <cfRule type="expression" dxfId="3167" priority="32">
      <formula>S$9&lt;8/24</formula>
    </cfRule>
  </conditionalFormatting>
  <conditionalFormatting sqref="AB58:AE59">
    <cfRule type="expression" dxfId="3166" priority="25">
      <formula>AB$9&gt;=20/24</formula>
    </cfRule>
    <cfRule type="expression" dxfId="3165" priority="26">
      <formula>AND(AB$9&gt;=14/24,AB$9&lt;20/24)</formula>
    </cfRule>
    <cfRule type="expression" dxfId="3164" priority="27">
      <formula>AND(AB$9&gt;=8/24,AB$9&lt;14/24)</formula>
    </cfRule>
    <cfRule type="expression" dxfId="3163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62" priority="258">
      <formula>C$9&gt;=20/24</formula>
    </cfRule>
    <cfRule type="expression" dxfId="3161" priority="259">
      <formula>AND(C$9&gt;=14/24,C$9&lt;20/24)</formula>
    </cfRule>
    <cfRule type="expression" dxfId="3160" priority="260">
      <formula>AND(C$9&gt;=8/24,C$9&lt;14/24)</formula>
    </cfRule>
    <cfRule type="expression" dxfId="3159" priority="261">
      <formula>C$9&lt;8/24</formula>
    </cfRule>
  </conditionalFormatting>
  <conditionalFormatting sqref="A201">
    <cfRule type="expression" dxfId="3158" priority="262">
      <formula>$AH201=0</formula>
    </cfRule>
  </conditionalFormatting>
  <conditionalFormatting sqref="AG213">
    <cfRule type="expression" dxfId="3157" priority="263">
      <formula>B$9&gt;=20/24</formula>
    </cfRule>
    <cfRule type="expression" dxfId="3156" priority="264">
      <formula>AND(B$9&gt;=14/24,B$9&lt;20/24)</formula>
    </cfRule>
    <cfRule type="expression" dxfId="3155" priority="265">
      <formula>AND(B$9&gt;=8/24,B$9&lt;14/24)</formula>
    </cfRule>
    <cfRule type="expression" dxfId="3154" priority="266">
      <formula>B$9&lt;8/24</formula>
    </cfRule>
  </conditionalFormatting>
  <conditionalFormatting sqref="S8">
    <cfRule type="expression" dxfId="3153" priority="19">
      <formula>U$9&gt;=20/24</formula>
    </cfRule>
    <cfRule type="expression" dxfId="3152" priority="20">
      <formula>AND(U$9&gt;=14/24,U$9&lt;20/24)</formula>
    </cfRule>
    <cfRule type="expression" dxfId="3151" priority="21">
      <formula>AND(U$9&gt;=8/24,U$9&lt;14/24)</formula>
    </cfRule>
    <cfRule type="expression" dxfId="3150" priority="22">
      <formula>U$9&lt;8/24</formula>
    </cfRule>
  </conditionalFormatting>
  <conditionalFormatting sqref="AB8">
    <cfRule type="expression" dxfId="3149" priority="15">
      <formula>AD$9&gt;=20/24</formula>
    </cfRule>
    <cfRule type="expression" dxfId="3148" priority="16">
      <formula>AND(AD$9&gt;=14/24,AD$9&lt;20/24)</formula>
    </cfRule>
    <cfRule type="expression" dxfId="3147" priority="17">
      <formula>AND(AD$9&gt;=8/24,AD$9&lt;14/24)</formula>
    </cfRule>
    <cfRule type="expression" dxfId="3146" priority="18">
      <formula>AD$9&lt;8/24</formula>
    </cfRule>
  </conditionalFormatting>
  <conditionalFormatting sqref="AH213:AX213">
    <cfRule type="expression" dxfId="3145" priority="267">
      <formula>AG$9&gt;=20/24</formula>
    </cfRule>
    <cfRule type="expression" dxfId="3144" priority="268">
      <formula>AND(AG$9&gt;=14/24,AG$9&lt;20/24)</formula>
    </cfRule>
    <cfRule type="expression" dxfId="3143" priority="269">
      <formula>AND(AG$9&gt;=8/24,AG$9&lt;14/24)</formula>
    </cfRule>
    <cfRule type="expression" dxfId="3142" priority="270">
      <formula>AG$9&lt;8/24</formula>
    </cfRule>
  </conditionalFormatting>
  <conditionalFormatting sqref="T213">
    <cfRule type="expression" dxfId="3141" priority="271">
      <formula>AX$9&gt;=20/24</formula>
    </cfRule>
    <cfRule type="expression" dxfId="3140" priority="272">
      <formula>AND(AX$9&gt;=14/24,AX$9&lt;20/24)</formula>
    </cfRule>
    <cfRule type="expression" dxfId="3139" priority="273">
      <formula>AND(AX$9&gt;=8/24,AX$9&lt;14/24)</formula>
    </cfRule>
    <cfRule type="expression" dxfId="3138" priority="274">
      <formula>AX$9&lt;8/24</formula>
    </cfRule>
  </conditionalFormatting>
  <conditionalFormatting sqref="A99:A100">
    <cfRule type="expression" dxfId="3137" priority="14">
      <formula>$AH99=0</formula>
    </cfRule>
  </conditionalFormatting>
  <conditionalFormatting sqref="M33:Y33">
    <cfRule type="expression" dxfId="3136" priority="10">
      <formula>M$9&gt;=20/24</formula>
    </cfRule>
    <cfRule type="expression" dxfId="3135" priority="11">
      <formula>AND(M$9&gt;=14/24,M$9&lt;20/24)</formula>
    </cfRule>
    <cfRule type="expression" dxfId="3134" priority="12">
      <formula>AND(M$9&gt;=8/24,M$9&lt;14/24)</formula>
    </cfRule>
    <cfRule type="expression" dxfId="3133" priority="13">
      <formula>M$9&lt;8/24</formula>
    </cfRule>
  </conditionalFormatting>
  <conditionalFormatting sqref="Z33:AF33">
    <cfRule type="expression" dxfId="3132" priority="6">
      <formula>Z$9&gt;=20/24</formula>
    </cfRule>
    <cfRule type="expression" dxfId="3131" priority="7">
      <formula>AND(Z$9&gt;=14/24,Z$9&lt;20/24)</formula>
    </cfRule>
    <cfRule type="expression" dxfId="3130" priority="8">
      <formula>AND(Z$9&gt;=8/24,Z$9&lt;14/24)</formula>
    </cfRule>
    <cfRule type="expression" dxfId="3129" priority="9">
      <formula>Z$9&lt;8/24</formula>
    </cfRule>
  </conditionalFormatting>
  <conditionalFormatting sqref="B33:AF33">
    <cfRule type="expression" dxfId="3128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45058DFF-C6BF-4EC0-ACD2-EEE177A7572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CJ472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U55" sqref="U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2078/12/21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93</v>
      </c>
      <c r="C5" s="157">
        <f t="shared" si="0"/>
        <v>326.7</v>
      </c>
      <c r="D5" s="157">
        <f t="shared" si="0"/>
        <v>334</v>
      </c>
      <c r="E5" s="157">
        <f t="shared" si="0"/>
        <v>383.29999999999995</v>
      </c>
      <c r="F5" s="157">
        <f t="shared" si="0"/>
        <v>304.89999999999998</v>
      </c>
      <c r="G5" s="157">
        <f t="shared" si="0"/>
        <v>156</v>
      </c>
      <c r="H5" s="157">
        <f t="shared" si="0"/>
        <v>123.6</v>
      </c>
      <c r="I5" s="157">
        <f t="shared" si="0"/>
        <v>233.3</v>
      </c>
      <c r="J5" s="157">
        <f t="shared" si="0"/>
        <v>240.8</v>
      </c>
      <c r="K5" s="157">
        <f t="shared" si="0"/>
        <v>222.1</v>
      </c>
      <c r="L5" s="157">
        <f t="shared" si="0"/>
        <v>176.5</v>
      </c>
      <c r="M5" s="157">
        <f t="shared" si="0"/>
        <v>442.5</v>
      </c>
      <c r="N5" s="157">
        <f t="shared" si="0"/>
        <v>354.29999999999995</v>
      </c>
      <c r="O5" s="157">
        <f t="shared" si="0"/>
        <v>489.1</v>
      </c>
      <c r="P5" s="157">
        <f t="shared" si="0"/>
        <v>555.20000000000005</v>
      </c>
      <c r="Q5" s="157">
        <f t="shared" si="0"/>
        <v>538.1</v>
      </c>
      <c r="R5" s="157">
        <f t="shared" si="0"/>
        <v>514.20000000000005</v>
      </c>
      <c r="S5" s="157">
        <f t="shared" si="0"/>
        <v>555.92000000000007</v>
      </c>
      <c r="T5" s="157">
        <f t="shared" si="0"/>
        <v>266.5</v>
      </c>
      <c r="U5" s="157">
        <f t="shared" si="0"/>
        <v>254.57</v>
      </c>
      <c r="V5" s="157">
        <f t="shared" si="0"/>
        <v>298.5</v>
      </c>
      <c r="W5" s="157">
        <f t="shared" si="0"/>
        <v>400.90000000000003</v>
      </c>
      <c r="X5" s="157">
        <f t="shared" si="0"/>
        <v>190.3</v>
      </c>
      <c r="Y5" s="157">
        <f t="shared" si="0"/>
        <v>202</v>
      </c>
      <c r="Z5" s="157">
        <f t="shared" si="0"/>
        <v>167</v>
      </c>
      <c r="AA5" s="157">
        <f t="shared" si="0"/>
        <v>146.5</v>
      </c>
      <c r="AB5" s="157">
        <f t="shared" si="0"/>
        <v>162.19999999999999</v>
      </c>
      <c r="AC5" s="157">
        <f t="shared" si="0"/>
        <v>149.69999999999999</v>
      </c>
      <c r="AD5" s="157">
        <f t="shared" si="0"/>
        <v>172.2</v>
      </c>
      <c r="AE5" s="157">
        <f t="shared" si="0"/>
        <v>122.8</v>
      </c>
      <c r="AF5" s="157">
        <f>B68</f>
        <v>249.3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1392MW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Load=1122</v>
      </c>
      <c r="B7" s="146">
        <f>B75</f>
        <v>1148.1399999999999</v>
      </c>
      <c r="C7" s="146">
        <f t="shared" ref="C7:AF7" si="1">C75</f>
        <v>1172.3400000000001</v>
      </c>
      <c r="D7" s="146">
        <f t="shared" si="1"/>
        <v>1174.1399999999999</v>
      </c>
      <c r="E7" s="146">
        <f t="shared" si="1"/>
        <v>1176.1400000000001</v>
      </c>
      <c r="F7" s="146">
        <f t="shared" si="1"/>
        <v>1129.3399999999999</v>
      </c>
      <c r="G7" s="146">
        <f t="shared" si="1"/>
        <v>1122.44</v>
      </c>
      <c r="H7" s="146">
        <f t="shared" si="1"/>
        <v>1175.94</v>
      </c>
      <c r="I7" s="146">
        <f t="shared" si="1"/>
        <v>1211.8400000000001</v>
      </c>
      <c r="J7" s="146">
        <f t="shared" si="1"/>
        <v>1260.6399999999999</v>
      </c>
      <c r="K7" s="146">
        <f t="shared" si="1"/>
        <v>1337.04</v>
      </c>
      <c r="L7" s="146">
        <f t="shared" si="1"/>
        <v>1392.24</v>
      </c>
      <c r="M7" s="146">
        <f t="shared" si="1"/>
        <v>1331.3400000000001</v>
      </c>
      <c r="N7" s="146">
        <f t="shared" si="1"/>
        <v>1337.84</v>
      </c>
      <c r="O7" s="146">
        <f t="shared" si="1"/>
        <v>1358.74</v>
      </c>
      <c r="P7" s="146">
        <f t="shared" si="1"/>
        <v>1376.74</v>
      </c>
      <c r="Q7" s="146">
        <f t="shared" si="1"/>
        <v>1357.44</v>
      </c>
      <c r="R7" s="146">
        <f t="shared" si="1"/>
        <v>1397.14</v>
      </c>
      <c r="S7" s="146">
        <f t="shared" si="1"/>
        <v>1373.24</v>
      </c>
      <c r="T7" s="146">
        <f t="shared" si="1"/>
        <v>1423.16</v>
      </c>
      <c r="U7" s="146">
        <f t="shared" si="1"/>
        <v>1445.24</v>
      </c>
      <c r="V7" s="146">
        <f t="shared" si="1"/>
        <v>1330.81</v>
      </c>
      <c r="W7" s="146">
        <f t="shared" si="1"/>
        <v>1356.14</v>
      </c>
      <c r="X7" s="146">
        <f t="shared" si="1"/>
        <v>1375.74</v>
      </c>
      <c r="Y7" s="146">
        <f t="shared" si="1"/>
        <v>1492.5400000000002</v>
      </c>
      <c r="Z7" s="146">
        <f t="shared" si="1"/>
        <v>1564.9400000000003</v>
      </c>
      <c r="AA7" s="146">
        <f t="shared" si="1"/>
        <v>1529.9400000000003</v>
      </c>
      <c r="AB7" s="146">
        <f t="shared" si="1"/>
        <v>1562.4400000000003</v>
      </c>
      <c r="AC7" s="146">
        <f t="shared" si="1"/>
        <v>1570.2400000000002</v>
      </c>
      <c r="AD7" s="146">
        <f t="shared" si="1"/>
        <v>1476.94</v>
      </c>
      <c r="AE7" s="146">
        <f t="shared" si="1"/>
        <v>1399.94</v>
      </c>
      <c r="AF7" s="146">
        <f t="shared" si="1"/>
        <v>1318.94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150</v>
      </c>
      <c r="C11" s="127">
        <v>360</v>
      </c>
      <c r="D11" s="127">
        <v>100</v>
      </c>
      <c r="E11" s="127">
        <v>80</v>
      </c>
      <c r="F11" s="127">
        <v>15</v>
      </c>
      <c r="G11" s="127">
        <v>52</v>
      </c>
      <c r="H11" s="127">
        <v>250</v>
      </c>
      <c r="I11" s="127">
        <v>285</v>
      </c>
      <c r="J11" s="127">
        <v>200</v>
      </c>
      <c r="K11" s="127">
        <v>300</v>
      </c>
      <c r="L11" s="127">
        <v>320</v>
      </c>
      <c r="M11" s="103">
        <v>300</v>
      </c>
      <c r="N11" s="103">
        <v>100</v>
      </c>
      <c r="O11" s="103">
        <v>160</v>
      </c>
      <c r="P11" s="103">
        <v>60</v>
      </c>
      <c r="Q11" s="103">
        <v>15</v>
      </c>
      <c r="R11" s="103">
        <v>40</v>
      </c>
      <c r="S11" s="103">
        <v>40</v>
      </c>
      <c r="T11" s="103">
        <v>60</v>
      </c>
      <c r="U11" s="103">
        <v>310</v>
      </c>
      <c r="V11" s="103">
        <v>280</v>
      </c>
      <c r="W11" s="103">
        <v>260</v>
      </c>
      <c r="X11" s="103">
        <v>150</v>
      </c>
      <c r="Y11" s="103">
        <v>400</v>
      </c>
      <c r="Z11" s="179">
        <v>456</v>
      </c>
      <c r="AA11" s="179">
        <v>456</v>
      </c>
      <c r="AB11" s="103">
        <v>450</v>
      </c>
      <c r="AC11" s="103">
        <v>450</v>
      </c>
      <c r="AD11" s="103">
        <v>375</v>
      </c>
      <c r="AE11" s="103">
        <v>280</v>
      </c>
      <c r="AF11" s="103">
        <v>250</v>
      </c>
      <c r="AG11" s="54">
        <v>456</v>
      </c>
      <c r="AH11" s="21">
        <f>MAX(B11:AF11)</f>
        <v>456</v>
      </c>
      <c r="AI11" s="20">
        <f>MIN(B11:AF11)</f>
        <v>15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20.5</v>
      </c>
      <c r="C13" s="127">
        <v>19.100000000000001</v>
      </c>
      <c r="D13" s="127">
        <v>20.399999999999999</v>
      </c>
      <c r="E13" s="127">
        <v>20.399999999999999</v>
      </c>
      <c r="F13" s="127">
        <v>21.2</v>
      </c>
      <c r="G13" s="127">
        <v>21.2</v>
      </c>
      <c r="H13" s="127">
        <v>21.2</v>
      </c>
      <c r="I13" s="127">
        <v>21.2</v>
      </c>
      <c r="J13" s="127">
        <v>21.2</v>
      </c>
      <c r="K13" s="127">
        <v>21.2</v>
      </c>
      <c r="L13" s="127">
        <v>21.2</v>
      </c>
      <c r="M13" s="127">
        <v>21.2</v>
      </c>
      <c r="N13" s="127">
        <v>21.2</v>
      </c>
      <c r="O13" s="127">
        <v>21.2</v>
      </c>
      <c r="P13" s="127">
        <v>19.2</v>
      </c>
      <c r="Q13" s="127">
        <v>19.2</v>
      </c>
      <c r="R13" s="127">
        <v>19.2</v>
      </c>
      <c r="S13" s="127">
        <v>19.2</v>
      </c>
      <c r="T13" s="127">
        <v>19.2</v>
      </c>
      <c r="U13" s="127">
        <v>19.2</v>
      </c>
      <c r="V13" s="127">
        <v>19.2</v>
      </c>
      <c r="W13" s="127">
        <v>19.2</v>
      </c>
      <c r="X13" s="127">
        <v>19.2</v>
      </c>
      <c r="Y13" s="127">
        <v>19.2</v>
      </c>
      <c r="Z13" s="103">
        <v>19.2</v>
      </c>
      <c r="AA13" s="103">
        <v>19.2</v>
      </c>
      <c r="AB13" s="103">
        <v>19.2</v>
      </c>
      <c r="AC13" s="103">
        <v>19.2</v>
      </c>
      <c r="AD13" s="103">
        <v>19.2</v>
      </c>
      <c r="AE13" s="103">
        <v>19.3</v>
      </c>
      <c r="AF13" s="103">
        <v>17.7</v>
      </c>
      <c r="AG13" s="134">
        <v>52.4</v>
      </c>
      <c r="AH13" s="21">
        <f t="shared" si="2"/>
        <v>21.2</v>
      </c>
      <c r="AI13" s="20">
        <f t="shared" si="3"/>
        <v>17.7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25.4</v>
      </c>
      <c r="C14" s="127">
        <v>25.3</v>
      </c>
      <c r="D14" s="127">
        <v>25.3</v>
      </c>
      <c r="E14" s="127">
        <v>25.3</v>
      </c>
      <c r="F14" s="127">
        <v>25.2</v>
      </c>
      <c r="G14" s="127">
        <v>25.2</v>
      </c>
      <c r="H14" s="127">
        <v>25.2</v>
      </c>
      <c r="I14" s="127">
        <v>25.2</v>
      </c>
      <c r="J14" s="127">
        <v>25.2</v>
      </c>
      <c r="K14" s="127">
        <v>25.2</v>
      </c>
      <c r="L14" s="127">
        <v>25.2</v>
      </c>
      <c r="M14" s="103">
        <v>25.2</v>
      </c>
      <c r="N14" s="103">
        <v>25.2</v>
      </c>
      <c r="O14" s="103">
        <v>25.2</v>
      </c>
      <c r="P14" s="103">
        <v>25.5</v>
      </c>
      <c r="Q14" s="103">
        <v>25.5</v>
      </c>
      <c r="R14" s="103">
        <v>25.5</v>
      </c>
      <c r="S14" s="103">
        <v>25.5</v>
      </c>
      <c r="T14" s="103">
        <v>25.5</v>
      </c>
      <c r="U14" s="103">
        <v>25.5</v>
      </c>
      <c r="V14" s="103">
        <v>25.5</v>
      </c>
      <c r="W14" s="103">
        <v>25.5</v>
      </c>
      <c r="X14" s="103">
        <v>25.5</v>
      </c>
      <c r="Y14" s="103">
        <v>25.5</v>
      </c>
      <c r="Z14" s="103">
        <v>25.5</v>
      </c>
      <c r="AA14" s="103">
        <v>25.5</v>
      </c>
      <c r="AB14" s="103">
        <v>25.5</v>
      </c>
      <c r="AC14" s="103">
        <v>25.5</v>
      </c>
      <c r="AD14" s="103">
        <v>25.5</v>
      </c>
      <c r="AE14" s="103">
        <v>25.4</v>
      </c>
      <c r="AF14" s="103">
        <v>25.3</v>
      </c>
      <c r="AG14" s="134">
        <v>50</v>
      </c>
      <c r="AH14" s="21">
        <f t="shared" si="2"/>
        <v>25.5</v>
      </c>
      <c r="AI14" s="20">
        <f t="shared" si="3"/>
        <v>25.2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22.7</v>
      </c>
      <c r="C15" s="123">
        <v>22.7</v>
      </c>
      <c r="D15" s="123">
        <v>22.7</v>
      </c>
      <c r="E15" s="123">
        <v>22.7</v>
      </c>
      <c r="F15" s="123">
        <v>22.7</v>
      </c>
      <c r="G15" s="123">
        <v>22.7</v>
      </c>
      <c r="H15" s="123">
        <v>22.8</v>
      </c>
      <c r="I15" s="123">
        <v>22.8</v>
      </c>
      <c r="J15" s="123">
        <v>22.8</v>
      </c>
      <c r="K15" s="123">
        <v>22.7</v>
      </c>
      <c r="L15" s="123">
        <v>22.7</v>
      </c>
      <c r="M15" s="103">
        <v>22.7</v>
      </c>
      <c r="N15" s="103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103">
        <v>22.7</v>
      </c>
      <c r="V15" s="103">
        <v>22.7</v>
      </c>
      <c r="W15" s="103">
        <v>22.7</v>
      </c>
      <c r="X15" s="103">
        <v>22.7</v>
      </c>
      <c r="Y15" s="103">
        <v>22.7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22.7</v>
      </c>
      <c r="AE15" s="103">
        <v>22.7</v>
      </c>
      <c r="AF15" s="103">
        <v>22.7</v>
      </c>
      <c r="AG15" s="108">
        <v>45</v>
      </c>
      <c r="AH15" s="21">
        <f t="shared" si="2"/>
        <v>22.8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10</v>
      </c>
      <c r="F16" s="127">
        <v>10</v>
      </c>
      <c r="G16" s="127">
        <v>10</v>
      </c>
      <c r="H16" s="127">
        <v>12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10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6.5</v>
      </c>
      <c r="C17" s="127">
        <v>6.5</v>
      </c>
      <c r="D17" s="127">
        <v>6.5</v>
      </c>
      <c r="E17" s="127">
        <v>6.5</v>
      </c>
      <c r="F17" s="127">
        <v>6.5</v>
      </c>
      <c r="G17" s="127">
        <v>6.5</v>
      </c>
      <c r="H17" s="127">
        <v>6.5</v>
      </c>
      <c r="I17" s="127">
        <v>6.5</v>
      </c>
      <c r="J17" s="127">
        <v>6.5</v>
      </c>
      <c r="K17" s="127">
        <v>6.5</v>
      </c>
      <c r="L17" s="127">
        <v>6.5</v>
      </c>
      <c r="M17" s="103">
        <v>6.5</v>
      </c>
      <c r="N17" s="103">
        <v>6.5</v>
      </c>
      <c r="O17" s="103">
        <v>6.5</v>
      </c>
      <c r="P17" s="103">
        <v>6.5</v>
      </c>
      <c r="Q17" s="103">
        <v>6.5</v>
      </c>
      <c r="R17" s="103">
        <v>6.5</v>
      </c>
      <c r="S17" s="103">
        <v>6.5</v>
      </c>
      <c r="T17" s="103">
        <v>6.5</v>
      </c>
      <c r="U17" s="103">
        <v>6.5</v>
      </c>
      <c r="V17" s="103">
        <v>6.5</v>
      </c>
      <c r="W17" s="103">
        <v>6.5</v>
      </c>
      <c r="X17" s="103">
        <v>6.5</v>
      </c>
      <c r="Y17" s="103">
        <v>6.5</v>
      </c>
      <c r="Z17" s="103">
        <v>6.5</v>
      </c>
      <c r="AA17" s="103">
        <v>6.5</v>
      </c>
      <c r="AB17" s="103">
        <v>6.5</v>
      </c>
      <c r="AC17" s="103">
        <v>6.5</v>
      </c>
      <c r="AD17" s="103">
        <v>6.5</v>
      </c>
      <c r="AE17" s="103">
        <v>6.5</v>
      </c>
      <c r="AF17" s="103">
        <v>6.5</v>
      </c>
      <c r="AG17" s="134">
        <v>42</v>
      </c>
      <c r="AH17" s="21">
        <f t="shared" si="2"/>
        <v>6.5</v>
      </c>
      <c r="AI17" s="20">
        <f t="shared" si="3"/>
        <v>6.5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13.2</v>
      </c>
      <c r="C19" s="127">
        <v>13.2</v>
      </c>
      <c r="D19" s="127">
        <v>13.2</v>
      </c>
      <c r="E19" s="127">
        <v>13.2</v>
      </c>
      <c r="F19" s="127">
        <v>13.2</v>
      </c>
      <c r="G19" s="127">
        <v>13.2</v>
      </c>
      <c r="H19" s="127">
        <v>13.2</v>
      </c>
      <c r="I19" s="127">
        <v>13.2</v>
      </c>
      <c r="J19" s="127">
        <v>13.2</v>
      </c>
      <c r="K19" s="127">
        <v>13.2</v>
      </c>
      <c r="L19" s="127">
        <v>13.2</v>
      </c>
      <c r="M19" s="103">
        <v>13.2</v>
      </c>
      <c r="N19" s="103">
        <v>13.2</v>
      </c>
      <c r="O19" s="103">
        <v>13.2</v>
      </c>
      <c r="P19" s="103">
        <v>11.5</v>
      </c>
      <c r="Q19" s="103">
        <v>11.7</v>
      </c>
      <c r="R19" s="103">
        <v>11.7</v>
      </c>
      <c r="S19" s="103">
        <v>11.7</v>
      </c>
      <c r="T19" s="103">
        <v>11.7</v>
      </c>
      <c r="U19" s="103">
        <v>11.7</v>
      </c>
      <c r="V19" s="103">
        <v>11.7</v>
      </c>
      <c r="W19" s="103">
        <v>11.7</v>
      </c>
      <c r="X19" s="103">
        <v>11.7</v>
      </c>
      <c r="Y19" s="103">
        <v>11.7</v>
      </c>
      <c r="Z19" s="103">
        <v>11.7</v>
      </c>
      <c r="AA19" s="103">
        <v>11.7</v>
      </c>
      <c r="AB19" s="103">
        <v>11.7</v>
      </c>
      <c r="AC19" s="103">
        <v>11.7</v>
      </c>
      <c r="AD19" s="103">
        <v>11.7</v>
      </c>
      <c r="AE19" s="103">
        <v>13.3</v>
      </c>
      <c r="AF19" s="103">
        <v>13.3</v>
      </c>
      <c r="AG19" s="134">
        <v>30</v>
      </c>
      <c r="AH19" s="21">
        <f t="shared" si="2"/>
        <v>13.3</v>
      </c>
      <c r="AI19" s="20">
        <f t="shared" si="3"/>
        <v>11.5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</v>
      </c>
      <c r="C22" s="127">
        <v>22</v>
      </c>
      <c r="D22" s="127">
        <v>22</v>
      </c>
      <c r="E22" s="127">
        <v>22</v>
      </c>
      <c r="F22" s="127">
        <v>22</v>
      </c>
      <c r="G22" s="127">
        <v>23</v>
      </c>
      <c r="H22" s="127">
        <v>23</v>
      </c>
      <c r="I22" s="127">
        <v>23</v>
      </c>
      <c r="J22" s="127">
        <v>23</v>
      </c>
      <c r="K22" s="127">
        <v>23</v>
      </c>
      <c r="L22" s="127">
        <v>23</v>
      </c>
      <c r="M22" s="103">
        <v>23</v>
      </c>
      <c r="N22" s="103">
        <v>23</v>
      </c>
      <c r="O22" s="103">
        <v>23</v>
      </c>
      <c r="P22" s="103">
        <v>22.6</v>
      </c>
      <c r="Q22" s="103">
        <v>23.2</v>
      </c>
      <c r="R22" s="103">
        <v>23.2</v>
      </c>
      <c r="S22" s="103">
        <v>23.2</v>
      </c>
      <c r="T22" s="103">
        <v>23.2</v>
      </c>
      <c r="U22" s="103">
        <v>23.2</v>
      </c>
      <c r="V22" s="103">
        <v>23.2</v>
      </c>
      <c r="W22" s="103">
        <v>23.2</v>
      </c>
      <c r="X22" s="103">
        <v>23.2</v>
      </c>
      <c r="Y22" s="103">
        <v>23.2</v>
      </c>
      <c r="Z22" s="103">
        <v>22.9</v>
      </c>
      <c r="AA22" s="103">
        <v>22.9</v>
      </c>
      <c r="AB22" s="103">
        <v>22.9</v>
      </c>
      <c r="AC22" s="103">
        <v>22.9</v>
      </c>
      <c r="AD22" s="103">
        <v>22.9</v>
      </c>
      <c r="AE22" s="103">
        <v>23</v>
      </c>
      <c r="AF22" s="103">
        <v>23.2</v>
      </c>
      <c r="AG22" s="134">
        <v>25</v>
      </c>
      <c r="AH22" s="21">
        <f t="shared" si="2"/>
        <v>23.2</v>
      </c>
      <c r="AI22" s="20">
        <f t="shared" si="3"/>
        <v>22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4.9000000000000004</v>
      </c>
      <c r="C23" s="127">
        <v>4.9000000000000004</v>
      </c>
      <c r="D23" s="127">
        <v>4.9000000000000004</v>
      </c>
      <c r="E23" s="127">
        <v>4.9000000000000004</v>
      </c>
      <c r="F23" s="127">
        <v>4.9000000000000004</v>
      </c>
      <c r="G23" s="127">
        <v>4.9000000000000004</v>
      </c>
      <c r="H23" s="127">
        <v>4.9000000000000004</v>
      </c>
      <c r="I23" s="127">
        <v>4.9000000000000004</v>
      </c>
      <c r="J23" s="127">
        <v>4.9000000000000004</v>
      </c>
      <c r="K23" s="127">
        <v>4.9000000000000004</v>
      </c>
      <c r="L23" s="127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9.3000000000000007</v>
      </c>
      <c r="C24" s="127">
        <v>8.1999999999999993</v>
      </c>
      <c r="D24" s="127">
        <v>8.1999999999999993</v>
      </c>
      <c r="E24" s="127">
        <v>8.1999999999999993</v>
      </c>
      <c r="F24" s="127">
        <v>8.1999999999999993</v>
      </c>
      <c r="G24" s="127">
        <v>8.1999999999999993</v>
      </c>
      <c r="H24" s="127">
        <v>8.1999999999999993</v>
      </c>
      <c r="I24" s="127">
        <v>8.1999999999999993</v>
      </c>
      <c r="J24" s="127">
        <v>8.1999999999999993</v>
      </c>
      <c r="K24" s="127">
        <v>8.1999999999999993</v>
      </c>
      <c r="L24" s="127">
        <v>8.1999999999999993</v>
      </c>
      <c r="M24" s="103">
        <v>8.1999999999999993</v>
      </c>
      <c r="N24" s="103">
        <v>8.1999999999999993</v>
      </c>
      <c r="O24" s="103">
        <v>8.1999999999999993</v>
      </c>
      <c r="P24" s="103">
        <v>7.3</v>
      </c>
      <c r="Q24" s="103">
        <v>6.7</v>
      </c>
      <c r="R24" s="103">
        <v>6.7</v>
      </c>
      <c r="S24" s="103">
        <v>6.7</v>
      </c>
      <c r="T24" s="103">
        <v>6.7</v>
      </c>
      <c r="U24" s="103">
        <v>6.7</v>
      </c>
      <c r="V24" s="103">
        <v>6.7</v>
      </c>
      <c r="W24" s="103">
        <v>6.7</v>
      </c>
      <c r="X24" s="103">
        <v>6.7</v>
      </c>
      <c r="Y24" s="103">
        <v>6.7</v>
      </c>
      <c r="Z24" s="103">
        <v>6.7</v>
      </c>
      <c r="AA24" s="103">
        <v>6.7</v>
      </c>
      <c r="AB24" s="103">
        <v>6.7</v>
      </c>
      <c r="AC24" s="103">
        <v>6.7</v>
      </c>
      <c r="AD24" s="103">
        <v>6.7</v>
      </c>
      <c r="AE24" s="103">
        <v>8.1999999999999993</v>
      </c>
      <c r="AF24" s="103">
        <v>8.3000000000000007</v>
      </c>
      <c r="AG24" s="134">
        <v>25</v>
      </c>
      <c r="AH24" s="21">
        <f t="shared" si="2"/>
        <v>9.3000000000000007</v>
      </c>
      <c r="AI24" s="20">
        <f t="shared" si="3"/>
        <v>6.7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11</v>
      </c>
      <c r="C26" s="127">
        <v>11</v>
      </c>
      <c r="D26" s="127">
        <v>11</v>
      </c>
      <c r="E26" s="127">
        <v>11</v>
      </c>
      <c r="F26" s="127">
        <v>11</v>
      </c>
      <c r="G26" s="127">
        <v>11</v>
      </c>
      <c r="H26" s="127">
        <v>11</v>
      </c>
      <c r="I26" s="127">
        <v>11</v>
      </c>
      <c r="J26" s="127">
        <v>11</v>
      </c>
      <c r="K26" s="127">
        <v>11</v>
      </c>
      <c r="L26" s="127">
        <v>11</v>
      </c>
      <c r="M26" s="181">
        <v>11</v>
      </c>
      <c r="N26" s="181">
        <v>11</v>
      </c>
      <c r="O26" s="181">
        <v>11</v>
      </c>
      <c r="P26" s="181">
        <v>11</v>
      </c>
      <c r="Q26" s="181">
        <v>11</v>
      </c>
      <c r="R26" s="181">
        <v>11</v>
      </c>
      <c r="S26" s="181">
        <v>11</v>
      </c>
      <c r="T26" s="181">
        <v>11</v>
      </c>
      <c r="U26" s="181">
        <v>11</v>
      </c>
      <c r="V26" s="181">
        <v>11</v>
      </c>
      <c r="W26" s="181">
        <v>11</v>
      </c>
      <c r="X26" s="181">
        <v>11</v>
      </c>
      <c r="Y26" s="181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81">
        <v>2.5</v>
      </c>
      <c r="N27" s="181">
        <v>2.5</v>
      </c>
      <c r="O27" s="181">
        <v>2.5</v>
      </c>
      <c r="P27" s="181">
        <v>2.5</v>
      </c>
      <c r="Q27" s="181">
        <v>2.5</v>
      </c>
      <c r="R27" s="181">
        <v>2.5</v>
      </c>
      <c r="S27" s="181">
        <v>2.5</v>
      </c>
      <c r="T27" s="181">
        <v>2.5</v>
      </c>
      <c r="U27" s="181">
        <v>2.5</v>
      </c>
      <c r="V27" s="181">
        <v>2.5</v>
      </c>
      <c r="W27" s="181">
        <v>2.5</v>
      </c>
      <c r="X27" s="181">
        <v>2.5</v>
      </c>
      <c r="Y27" s="181">
        <v>2.5</v>
      </c>
      <c r="Z27" s="103">
        <v>2.5</v>
      </c>
      <c r="AA27" s="103">
        <v>2.5</v>
      </c>
      <c r="AB27" s="127">
        <v>2.5</v>
      </c>
      <c r="AC27" s="127">
        <v>2.5</v>
      </c>
      <c r="AD27" s="127">
        <v>2.5</v>
      </c>
      <c r="AE27" s="127">
        <v>2.5</v>
      </c>
      <c r="AF27" s="127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81">
        <v>5.6</v>
      </c>
      <c r="N28" s="181">
        <v>5.6</v>
      </c>
      <c r="O28" s="181">
        <v>5.6</v>
      </c>
      <c r="P28" s="181">
        <v>5.6</v>
      </c>
      <c r="Q28" s="181">
        <v>5.6</v>
      </c>
      <c r="R28" s="181">
        <v>5.6</v>
      </c>
      <c r="S28" s="181">
        <v>5.6</v>
      </c>
      <c r="T28" s="181">
        <v>5.6</v>
      </c>
      <c r="U28" s="181">
        <v>5.6</v>
      </c>
      <c r="V28" s="181">
        <v>5.6</v>
      </c>
      <c r="W28" s="181">
        <v>5.6</v>
      </c>
      <c r="X28" s="181">
        <v>5.6</v>
      </c>
      <c r="Y28" s="181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67.5</v>
      </c>
      <c r="C37" s="123">
        <v>70.3</v>
      </c>
      <c r="D37" s="123">
        <v>55.6</v>
      </c>
      <c r="E37" s="123">
        <v>38.799999999999997</v>
      </c>
      <c r="F37" s="123">
        <v>45.4</v>
      </c>
      <c r="G37" s="123">
        <v>53.4</v>
      </c>
      <c r="H37" s="123">
        <v>53.4</v>
      </c>
      <c r="I37" s="123">
        <v>53.7</v>
      </c>
      <c r="J37" s="123">
        <v>53.6</v>
      </c>
      <c r="K37" s="123">
        <v>63.2</v>
      </c>
      <c r="L37" s="123">
        <v>66.8</v>
      </c>
      <c r="M37" s="128">
        <f>45.7+21</f>
        <v>66.7</v>
      </c>
      <c r="N37" s="128">
        <v>67</v>
      </c>
      <c r="O37" s="128">
        <f>47.6+19.3</f>
        <v>66.900000000000006</v>
      </c>
      <c r="P37" s="128">
        <f>46.8+18.9</f>
        <v>65.699999999999989</v>
      </c>
      <c r="Q37" s="128">
        <f>48.8+21.3</f>
        <v>70.099999999999994</v>
      </c>
      <c r="R37" s="128">
        <f>34.4+22.7</f>
        <v>57.099999999999994</v>
      </c>
      <c r="S37" s="128">
        <f>34.4+22.7</f>
        <v>57.099999999999994</v>
      </c>
      <c r="T37" s="128">
        <f>34.4+22.7</f>
        <v>57.099999999999994</v>
      </c>
      <c r="U37" s="128">
        <v>55.9</v>
      </c>
      <c r="V37" s="128">
        <v>56.8</v>
      </c>
      <c r="W37" s="128">
        <v>55.3</v>
      </c>
      <c r="X37" s="128">
        <v>52</v>
      </c>
      <c r="Y37" s="128">
        <v>50</v>
      </c>
      <c r="Z37" s="128">
        <v>48.8</v>
      </c>
      <c r="AA37" s="128">
        <v>48.8</v>
      </c>
      <c r="AB37" s="128">
        <v>48.6</v>
      </c>
      <c r="AC37" s="128">
        <v>48.6</v>
      </c>
      <c r="AD37" s="128">
        <v>48.6</v>
      </c>
      <c r="AE37" s="128">
        <f>44.1+22.6</f>
        <v>66.7</v>
      </c>
      <c r="AF37" s="128">
        <f>33.9+23.1</f>
        <v>57</v>
      </c>
      <c r="AG37" s="106">
        <v>240</v>
      </c>
      <c r="AH37" s="21">
        <f t="shared" si="2"/>
        <v>70.3</v>
      </c>
      <c r="AI37" s="20">
        <f t="shared" si="3"/>
        <v>38.799999999999997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549.1</v>
      </c>
      <c r="C38" s="99">
        <f t="shared" ref="C38:AF38" si="5">SUM(C11:C36)</f>
        <v>756.50000000000011</v>
      </c>
      <c r="D38" s="99">
        <f t="shared" si="5"/>
        <v>497.79999999999995</v>
      </c>
      <c r="E38" s="99">
        <f t="shared" si="5"/>
        <v>473.8</v>
      </c>
      <c r="F38" s="99">
        <f t="shared" si="5"/>
        <v>409.5</v>
      </c>
      <c r="G38" s="99">
        <f t="shared" si="5"/>
        <v>447.49999999999994</v>
      </c>
      <c r="H38" s="99">
        <f t="shared" si="5"/>
        <v>647.59999999999991</v>
      </c>
      <c r="I38" s="99">
        <f t="shared" si="5"/>
        <v>684.6</v>
      </c>
      <c r="J38" s="99">
        <f t="shared" si="5"/>
        <v>599.59999999999991</v>
      </c>
      <c r="K38" s="99">
        <f t="shared" si="5"/>
        <v>699.5</v>
      </c>
      <c r="L38" s="99">
        <f t="shared" si="5"/>
        <v>719.5</v>
      </c>
      <c r="M38" s="99">
        <f t="shared" si="5"/>
        <v>699.5</v>
      </c>
      <c r="N38" s="99">
        <f t="shared" si="5"/>
        <v>499.49999999999994</v>
      </c>
      <c r="O38" s="99">
        <f t="shared" si="5"/>
        <v>559.5</v>
      </c>
      <c r="P38" s="99">
        <f t="shared" si="5"/>
        <v>454.8</v>
      </c>
      <c r="Q38" s="99">
        <f t="shared" si="5"/>
        <v>409.99999999999994</v>
      </c>
      <c r="R38" s="99">
        <f t="shared" si="5"/>
        <v>434.99999999999994</v>
      </c>
      <c r="S38" s="99">
        <f t="shared" si="5"/>
        <v>434.99999999999994</v>
      </c>
      <c r="T38" s="99">
        <f t="shared" si="5"/>
        <v>454.99999999999994</v>
      </c>
      <c r="U38" s="99">
        <f t="shared" si="5"/>
        <v>705</v>
      </c>
      <c r="V38" s="99">
        <f t="shared" si="5"/>
        <v>675</v>
      </c>
      <c r="W38" s="99">
        <f t="shared" si="5"/>
        <v>655</v>
      </c>
      <c r="X38" s="99">
        <f t="shared" si="5"/>
        <v>545</v>
      </c>
      <c r="Y38" s="99">
        <f t="shared" si="5"/>
        <v>795.00000000000023</v>
      </c>
      <c r="Z38" s="99">
        <f t="shared" si="5"/>
        <v>850.70000000000027</v>
      </c>
      <c r="AA38" s="99">
        <f t="shared" si="5"/>
        <v>850.70000000000027</v>
      </c>
      <c r="AB38" s="99">
        <f t="shared" si="5"/>
        <v>844.70000000000027</v>
      </c>
      <c r="AC38" s="99">
        <f t="shared" si="5"/>
        <v>844.70000000000027</v>
      </c>
      <c r="AD38" s="99">
        <f t="shared" si="5"/>
        <v>769.7</v>
      </c>
      <c r="AE38" s="99">
        <f t="shared" si="5"/>
        <v>677.9</v>
      </c>
      <c r="AF38" s="99">
        <f t="shared" si="5"/>
        <v>646.5</v>
      </c>
      <c r="AG38" s="106">
        <f>SUM(AG11:AG37)</f>
        <v>1492.8299999999997</v>
      </c>
      <c r="AH38" s="21">
        <f t="shared" si="2"/>
        <v>850.70000000000027</v>
      </c>
      <c r="AI38" s="20">
        <f t="shared" si="3"/>
        <v>409.5</v>
      </c>
      <c r="AK38" s="42"/>
    </row>
    <row r="39" spans="1:88" x14ac:dyDescent="0.25">
      <c r="A39" s="109" t="s">
        <v>172</v>
      </c>
      <c r="B39" s="127">
        <v>111.6</v>
      </c>
      <c r="C39" s="127">
        <v>91.2</v>
      </c>
      <c r="D39" s="127">
        <v>98</v>
      </c>
      <c r="E39" s="123">
        <v>98</v>
      </c>
      <c r="F39" s="123">
        <v>65.7</v>
      </c>
      <c r="G39" s="123">
        <v>65.7</v>
      </c>
      <c r="H39" s="123">
        <v>66.099999999999994</v>
      </c>
      <c r="I39" s="123">
        <v>71.5</v>
      </c>
      <c r="J39" s="123">
        <v>77</v>
      </c>
      <c r="K39" s="123">
        <v>71.099999999999994</v>
      </c>
      <c r="L39" s="123">
        <v>71.099999999999994</v>
      </c>
      <c r="M39" s="103">
        <v>96.8</v>
      </c>
      <c r="N39" s="103">
        <v>97</v>
      </c>
      <c r="O39" s="103">
        <v>97</v>
      </c>
      <c r="P39" s="103">
        <v>105.6</v>
      </c>
      <c r="Q39" s="103">
        <v>69.900000000000006</v>
      </c>
      <c r="R39" s="103">
        <v>90</v>
      </c>
      <c r="S39" s="103">
        <v>90</v>
      </c>
      <c r="T39" s="103">
        <v>88.9</v>
      </c>
      <c r="U39" s="103">
        <v>106.5</v>
      </c>
      <c r="V39" s="103">
        <v>106.5</v>
      </c>
      <c r="W39" s="103">
        <v>106.5</v>
      </c>
      <c r="X39" s="103">
        <v>106.5</v>
      </c>
      <c r="Y39" s="103">
        <v>145.30000000000001</v>
      </c>
      <c r="Z39" s="103">
        <v>145.30000000000001</v>
      </c>
      <c r="AA39" s="103">
        <v>145.30000000000001</v>
      </c>
      <c r="AB39" s="103">
        <v>145.6</v>
      </c>
      <c r="AC39" s="103">
        <v>145.69999999999999</v>
      </c>
      <c r="AD39" s="103">
        <v>145.5</v>
      </c>
      <c r="AE39" s="103">
        <v>145.5</v>
      </c>
      <c r="AF39" s="103">
        <v>144.80000000000001</v>
      </c>
      <c r="AG39" s="108">
        <v>144</v>
      </c>
      <c r="AH39" s="21">
        <f t="shared" si="2"/>
        <v>145.69999999999999</v>
      </c>
      <c r="AI39" s="20">
        <f t="shared" si="3"/>
        <v>65.7</v>
      </c>
      <c r="AK39" s="42"/>
    </row>
    <row r="40" spans="1:88" x14ac:dyDescent="0.25">
      <c r="A40" s="107" t="s">
        <v>171</v>
      </c>
      <c r="B40" s="123">
        <v>44.8</v>
      </c>
      <c r="C40" s="123">
        <v>45</v>
      </c>
      <c r="D40" s="123">
        <v>45</v>
      </c>
      <c r="E40" s="123">
        <v>22.7</v>
      </c>
      <c r="F40" s="123">
        <v>22.7</v>
      </c>
      <c r="G40" s="123">
        <v>69.8</v>
      </c>
      <c r="H40" s="123">
        <v>71.7</v>
      </c>
      <c r="I40" s="123">
        <v>70.099999999999994</v>
      </c>
      <c r="J40" s="123">
        <v>71.8</v>
      </c>
      <c r="K40" s="123">
        <v>71.099999999999994</v>
      </c>
      <c r="L40" s="123">
        <v>71.099999999999994</v>
      </c>
      <c r="M40" s="73">
        <v>70</v>
      </c>
      <c r="N40" s="73">
        <v>70</v>
      </c>
      <c r="O40" s="73">
        <v>70</v>
      </c>
      <c r="P40" s="73">
        <v>56.5</v>
      </c>
      <c r="Q40" s="73">
        <v>70.099999999999994</v>
      </c>
      <c r="R40" s="73">
        <v>70.3</v>
      </c>
      <c r="S40" s="73">
        <v>70.3</v>
      </c>
      <c r="T40" s="73">
        <v>59.1</v>
      </c>
      <c r="U40" s="73">
        <v>57.4</v>
      </c>
      <c r="V40" s="73">
        <v>57.4</v>
      </c>
      <c r="W40" s="73">
        <v>57.4</v>
      </c>
      <c r="X40" s="73">
        <v>57.4</v>
      </c>
      <c r="Y40" s="73">
        <v>70.900000000000006</v>
      </c>
      <c r="Z40" s="73">
        <v>70.900000000000006</v>
      </c>
      <c r="AA40" s="73">
        <v>70.900000000000006</v>
      </c>
      <c r="AB40" s="73">
        <v>70</v>
      </c>
      <c r="AC40" s="73">
        <v>70.8</v>
      </c>
      <c r="AD40" s="73">
        <v>71.8</v>
      </c>
      <c r="AE40" s="73">
        <v>71.7</v>
      </c>
      <c r="AF40" s="73">
        <v>70.599999999999994</v>
      </c>
      <c r="AG40" s="106">
        <v>70</v>
      </c>
      <c r="AH40" s="21">
        <f t="shared" si="2"/>
        <v>71.8</v>
      </c>
      <c r="AI40" s="20">
        <f t="shared" si="3"/>
        <v>22.7</v>
      </c>
      <c r="AK40" s="42"/>
    </row>
    <row r="41" spans="1:88" x14ac:dyDescent="0.25">
      <c r="A41" s="107" t="s">
        <v>170</v>
      </c>
      <c r="B41" s="123">
        <v>66.8</v>
      </c>
      <c r="C41" s="123">
        <v>66.2</v>
      </c>
      <c r="D41" s="123">
        <v>66.2</v>
      </c>
      <c r="E41" s="123">
        <v>67.2</v>
      </c>
      <c r="F41" s="123">
        <v>52.7</v>
      </c>
      <c r="G41" s="123">
        <v>49.1</v>
      </c>
      <c r="H41" s="123">
        <v>49.1</v>
      </c>
      <c r="I41" s="123">
        <v>48.9</v>
      </c>
      <c r="J41" s="123">
        <v>49.1</v>
      </c>
      <c r="K41" s="123">
        <v>49.1</v>
      </c>
      <c r="L41" s="123">
        <v>66.400000000000006</v>
      </c>
      <c r="M41" s="73">
        <v>66.5</v>
      </c>
      <c r="N41" s="73">
        <v>65</v>
      </c>
      <c r="O41" s="73">
        <v>65</v>
      </c>
      <c r="P41" s="73">
        <v>51.9</v>
      </c>
      <c r="Q41" s="73">
        <v>52</v>
      </c>
      <c r="R41" s="73">
        <v>52.1</v>
      </c>
      <c r="S41" s="73">
        <v>52.1</v>
      </c>
      <c r="T41" s="73">
        <v>66.5</v>
      </c>
      <c r="U41" s="73">
        <v>66.5</v>
      </c>
      <c r="V41" s="73">
        <v>34.700000000000003</v>
      </c>
      <c r="W41" s="73">
        <v>34.700000000000003</v>
      </c>
      <c r="X41" s="73">
        <v>58.1</v>
      </c>
      <c r="Y41" s="73">
        <v>67.400000000000006</v>
      </c>
      <c r="Z41" s="73">
        <v>67.400000000000006</v>
      </c>
      <c r="AA41" s="73">
        <v>67.400000000000006</v>
      </c>
      <c r="AB41" s="73">
        <v>66.3</v>
      </c>
      <c r="AC41" s="73">
        <v>66</v>
      </c>
      <c r="AD41" s="73">
        <v>66</v>
      </c>
      <c r="AE41" s="73">
        <v>59.1</v>
      </c>
      <c r="AF41" s="73">
        <v>59.2</v>
      </c>
      <c r="AG41" s="106">
        <v>69</v>
      </c>
      <c r="AH41" s="21">
        <f t="shared" si="2"/>
        <v>67.400000000000006</v>
      </c>
      <c r="AI41" s="20">
        <f t="shared" si="3"/>
        <v>34.700000000000003</v>
      </c>
      <c r="AK41" s="42"/>
    </row>
    <row r="42" spans="1:88" x14ac:dyDescent="0.25">
      <c r="A42" s="107" t="s">
        <v>169</v>
      </c>
      <c r="B42" s="123">
        <v>60.9</v>
      </c>
      <c r="C42" s="12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73">
        <v>60.9</v>
      </c>
      <c r="N42" s="73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73">
        <v>60.9</v>
      </c>
      <c r="AG42" s="106">
        <v>60</v>
      </c>
      <c r="AH42" s="21">
        <f t="shared" si="2"/>
        <v>60.9</v>
      </c>
      <c r="AI42" s="20">
        <f t="shared" si="3"/>
        <v>60.9</v>
      </c>
      <c r="AK42" s="42"/>
    </row>
    <row r="43" spans="1:88" x14ac:dyDescent="0.25">
      <c r="A43" s="107" t="s">
        <v>168</v>
      </c>
      <c r="B43" s="123">
        <v>16</v>
      </c>
      <c r="C43" s="123">
        <v>10</v>
      </c>
      <c r="D43" s="123">
        <v>0</v>
      </c>
      <c r="E43" s="123">
        <v>0</v>
      </c>
      <c r="F43" s="123">
        <v>10</v>
      </c>
      <c r="G43" s="123">
        <v>10</v>
      </c>
      <c r="H43" s="123">
        <v>10</v>
      </c>
      <c r="I43" s="123">
        <v>15</v>
      </c>
      <c r="J43" s="123">
        <v>15</v>
      </c>
      <c r="K43" s="123">
        <v>15</v>
      </c>
      <c r="L43" s="123">
        <v>30</v>
      </c>
      <c r="M43" s="103">
        <v>30</v>
      </c>
      <c r="N43" s="103">
        <v>30</v>
      </c>
      <c r="O43" s="103">
        <v>30</v>
      </c>
      <c r="P43" s="103">
        <v>16.600000000000001</v>
      </c>
      <c r="Q43" s="103">
        <v>16.899999999999999</v>
      </c>
      <c r="R43" s="103">
        <v>17</v>
      </c>
      <c r="S43" s="103">
        <v>17</v>
      </c>
      <c r="T43" s="103">
        <v>10</v>
      </c>
      <c r="U43" s="103">
        <v>10</v>
      </c>
      <c r="V43" s="103">
        <v>10</v>
      </c>
      <c r="W43" s="103">
        <v>10</v>
      </c>
      <c r="X43" s="103">
        <v>15</v>
      </c>
      <c r="Y43" s="103">
        <v>15</v>
      </c>
      <c r="Z43" s="73">
        <v>20</v>
      </c>
      <c r="AA43" s="73">
        <v>20</v>
      </c>
      <c r="AB43" s="73">
        <v>30</v>
      </c>
      <c r="AC43" s="73">
        <v>22</v>
      </c>
      <c r="AD43" s="73">
        <v>15</v>
      </c>
      <c r="AE43" s="73">
        <v>15</v>
      </c>
      <c r="AF43" s="73">
        <v>15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0</v>
      </c>
      <c r="O44" s="12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17.8</v>
      </c>
      <c r="C45" s="123">
        <v>17.8</v>
      </c>
      <c r="D45" s="123">
        <v>17.8</v>
      </c>
      <c r="E45" s="123">
        <v>17.8</v>
      </c>
      <c r="F45" s="123">
        <v>17.8</v>
      </c>
      <c r="G45" s="123">
        <v>17.8</v>
      </c>
      <c r="H45" s="123">
        <v>17.8</v>
      </c>
      <c r="I45" s="123">
        <v>17.8</v>
      </c>
      <c r="J45" s="123">
        <v>17.8</v>
      </c>
      <c r="K45" s="123">
        <v>17.8</v>
      </c>
      <c r="L45" s="123">
        <v>17.8</v>
      </c>
      <c r="M45" s="120">
        <v>17.8</v>
      </c>
      <c r="N45" s="120">
        <v>17.8</v>
      </c>
      <c r="O45" s="120">
        <v>17.8</v>
      </c>
      <c r="P45" s="120">
        <v>17.600000000000001</v>
      </c>
      <c r="Q45" s="103">
        <v>17.7</v>
      </c>
      <c r="R45" s="103">
        <v>17.8</v>
      </c>
      <c r="S45" s="103">
        <v>17.8</v>
      </c>
      <c r="T45" s="103">
        <v>17.8</v>
      </c>
      <c r="U45" s="103">
        <v>17.8</v>
      </c>
      <c r="V45" s="103">
        <v>17.8</v>
      </c>
      <c r="W45" s="103">
        <v>17.8</v>
      </c>
      <c r="X45" s="103">
        <v>17.8</v>
      </c>
      <c r="Y45" s="103">
        <v>17.8</v>
      </c>
      <c r="Z45" s="103">
        <v>17.8</v>
      </c>
      <c r="AA45" s="103">
        <v>17.8</v>
      </c>
      <c r="AB45" s="103">
        <v>17.600000000000001</v>
      </c>
      <c r="AC45" s="103">
        <v>17.600000000000001</v>
      </c>
      <c r="AD45" s="103">
        <v>17.600000000000001</v>
      </c>
      <c r="AE45" s="103">
        <v>17.600000000000001</v>
      </c>
      <c r="AF45" s="103">
        <v>17.600000000000001</v>
      </c>
      <c r="AG45" s="106">
        <v>24</v>
      </c>
      <c r="AH45" s="21">
        <f t="shared" si="2"/>
        <v>17.8</v>
      </c>
      <c r="AI45" s="20">
        <f t="shared" si="3"/>
        <v>17.600000000000001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7.2</v>
      </c>
      <c r="C48" s="123">
        <v>7.2</v>
      </c>
      <c r="D48" s="123">
        <v>7.2</v>
      </c>
      <c r="E48" s="123">
        <v>7.2</v>
      </c>
      <c r="F48" s="123">
        <v>7.2</v>
      </c>
      <c r="G48" s="123">
        <v>7.2</v>
      </c>
      <c r="H48" s="123">
        <v>7.2</v>
      </c>
      <c r="I48" s="123">
        <v>7.2</v>
      </c>
      <c r="J48" s="123">
        <v>7.2</v>
      </c>
      <c r="K48" s="123">
        <v>7.2</v>
      </c>
      <c r="L48" s="123">
        <v>7.2</v>
      </c>
      <c r="M48" s="123">
        <v>7.2</v>
      </c>
      <c r="N48" s="123">
        <v>7.2</v>
      </c>
      <c r="O48" s="123">
        <v>7.2</v>
      </c>
      <c r="P48" s="123">
        <v>7.2</v>
      </c>
      <c r="Q48" s="123">
        <v>7.2</v>
      </c>
      <c r="R48" s="123">
        <v>7.2</v>
      </c>
      <c r="S48" s="123">
        <v>7.2</v>
      </c>
      <c r="T48" s="123">
        <v>7.2</v>
      </c>
      <c r="U48" s="123">
        <v>7.2</v>
      </c>
      <c r="V48" s="123">
        <v>7.2</v>
      </c>
      <c r="W48" s="123">
        <v>7.2</v>
      </c>
      <c r="X48" s="123">
        <v>7.2</v>
      </c>
      <c r="Y48" s="12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03">
        <v>6.6</v>
      </c>
      <c r="C49" s="123">
        <v>6.5</v>
      </c>
      <c r="D49" s="123">
        <v>6.5</v>
      </c>
      <c r="E49" s="123">
        <v>6.5</v>
      </c>
      <c r="F49" s="123">
        <v>6.5</v>
      </c>
      <c r="G49" s="123">
        <v>6.5</v>
      </c>
      <c r="H49" s="123">
        <v>6.5</v>
      </c>
      <c r="I49" s="123">
        <v>6.5</v>
      </c>
      <c r="J49" s="123">
        <v>6.5</v>
      </c>
      <c r="K49" s="123">
        <v>6.5</v>
      </c>
      <c r="L49" s="123">
        <v>6.5</v>
      </c>
      <c r="M49" s="123">
        <v>6.5</v>
      </c>
      <c r="N49" s="123">
        <v>6.5</v>
      </c>
      <c r="O49" s="123">
        <v>6.5</v>
      </c>
      <c r="P49" s="123">
        <v>6.5</v>
      </c>
      <c r="Q49" s="123">
        <v>6.5</v>
      </c>
      <c r="R49" s="123">
        <v>6.5</v>
      </c>
      <c r="S49" s="123">
        <v>6.5</v>
      </c>
      <c r="T49" s="123">
        <v>6.5</v>
      </c>
      <c r="U49" s="123">
        <v>6.5</v>
      </c>
      <c r="V49" s="123">
        <v>6.5</v>
      </c>
      <c r="W49" s="123">
        <v>6.5</v>
      </c>
      <c r="X49" s="123">
        <v>6.5</v>
      </c>
      <c r="Y49" s="123">
        <v>6.5</v>
      </c>
      <c r="Z49" s="103">
        <v>6.5</v>
      </c>
      <c r="AA49" s="103">
        <v>6.5</v>
      </c>
      <c r="AB49" s="103">
        <v>6.5</v>
      </c>
      <c r="AC49" s="103">
        <v>6.5</v>
      </c>
      <c r="AD49" s="103">
        <v>6.5</v>
      </c>
      <c r="AE49" s="103">
        <v>6.5</v>
      </c>
      <c r="AF49" s="103">
        <v>6.5</v>
      </c>
      <c r="AG49" s="106">
        <v>10.050000000000001</v>
      </c>
      <c r="AH49" s="21">
        <f t="shared" si="2"/>
        <v>6.6</v>
      </c>
      <c r="AI49" s="20">
        <f t="shared" si="3"/>
        <v>6.5</v>
      </c>
      <c r="AK49" s="42"/>
    </row>
    <row r="50" spans="1:37" x14ac:dyDescent="0.25">
      <c r="A50" s="107" t="s">
        <v>161</v>
      </c>
      <c r="B50" s="103">
        <v>2.5</v>
      </c>
      <c r="C50" s="123">
        <v>2.5</v>
      </c>
      <c r="D50" s="123">
        <v>2.5</v>
      </c>
      <c r="E50" s="123">
        <v>2.5</v>
      </c>
      <c r="F50" s="123">
        <v>2.5</v>
      </c>
      <c r="G50" s="123">
        <v>2.5</v>
      </c>
      <c r="H50" s="123">
        <v>2.5</v>
      </c>
      <c r="I50" s="123">
        <v>2.5</v>
      </c>
      <c r="J50" s="123">
        <v>2.5</v>
      </c>
      <c r="K50" s="123">
        <v>2.5</v>
      </c>
      <c r="L50" s="123">
        <v>2.5</v>
      </c>
      <c r="M50" s="123">
        <v>2.5</v>
      </c>
      <c r="N50" s="123">
        <v>2.5</v>
      </c>
      <c r="O50" s="123">
        <v>2.5</v>
      </c>
      <c r="P50" s="123">
        <v>2.5</v>
      </c>
      <c r="Q50" s="123">
        <v>2.5</v>
      </c>
      <c r="R50" s="123">
        <v>2.5</v>
      </c>
      <c r="S50" s="123">
        <v>2.5</v>
      </c>
      <c r="T50" s="123">
        <v>2.5</v>
      </c>
      <c r="U50" s="123">
        <v>2.5</v>
      </c>
      <c r="V50" s="123">
        <v>2.5</v>
      </c>
      <c r="W50" s="123">
        <v>2.5</v>
      </c>
      <c r="X50" s="123">
        <v>2.5</v>
      </c>
      <c r="Y50" s="12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349.74</v>
      </c>
      <c r="C52" s="99">
        <f t="shared" ref="C52:AF52" si="9">SUM(C39:C51)</f>
        <v>322.83999999999997</v>
      </c>
      <c r="D52" s="99">
        <f t="shared" si="9"/>
        <v>319.64</v>
      </c>
      <c r="E52" s="99">
        <f t="shared" si="9"/>
        <v>298.34000000000003</v>
      </c>
      <c r="F52" s="99">
        <f t="shared" si="9"/>
        <v>261.54000000000002</v>
      </c>
      <c r="G52" s="99">
        <f t="shared" si="9"/>
        <v>305.04000000000002</v>
      </c>
      <c r="H52" s="99">
        <f t="shared" si="9"/>
        <v>307.34000000000003</v>
      </c>
      <c r="I52" s="99">
        <f t="shared" si="9"/>
        <v>315.94</v>
      </c>
      <c r="J52" s="99">
        <f t="shared" si="9"/>
        <v>323.34000000000003</v>
      </c>
      <c r="K52" s="99">
        <f t="shared" si="9"/>
        <v>316.74</v>
      </c>
      <c r="L52" s="99">
        <f t="shared" si="9"/>
        <v>349.04</v>
      </c>
      <c r="M52" s="99">
        <f t="shared" si="9"/>
        <v>373.74</v>
      </c>
      <c r="N52" s="99">
        <f t="shared" si="9"/>
        <v>372.44</v>
      </c>
      <c r="O52" s="99">
        <f t="shared" si="9"/>
        <v>372.44</v>
      </c>
      <c r="P52" s="99">
        <f t="shared" si="9"/>
        <v>340.84000000000003</v>
      </c>
      <c r="Q52" s="99">
        <f t="shared" si="9"/>
        <v>319.24</v>
      </c>
      <c r="R52" s="99">
        <f t="shared" si="9"/>
        <v>339.84000000000003</v>
      </c>
      <c r="S52" s="99">
        <f t="shared" si="9"/>
        <v>339.84000000000003</v>
      </c>
      <c r="T52" s="99">
        <f t="shared" si="9"/>
        <v>334.94</v>
      </c>
      <c r="U52" s="99">
        <f t="shared" si="9"/>
        <v>350.84000000000003</v>
      </c>
      <c r="V52" s="99">
        <f t="shared" si="9"/>
        <v>319.04000000000002</v>
      </c>
      <c r="W52" s="99">
        <f t="shared" si="9"/>
        <v>319.04000000000002</v>
      </c>
      <c r="X52" s="99">
        <f t="shared" si="9"/>
        <v>347.44</v>
      </c>
      <c r="Y52" s="99">
        <f t="shared" si="9"/>
        <v>409.04</v>
      </c>
      <c r="Z52" s="99">
        <f t="shared" si="9"/>
        <v>414.04</v>
      </c>
      <c r="AA52" s="99">
        <f t="shared" si="9"/>
        <v>414.04</v>
      </c>
      <c r="AB52" s="99">
        <f t="shared" si="9"/>
        <v>422.14</v>
      </c>
      <c r="AC52" s="99">
        <f t="shared" si="9"/>
        <v>414.74</v>
      </c>
      <c r="AD52" s="99">
        <f t="shared" si="9"/>
        <v>408.54</v>
      </c>
      <c r="AE52" s="99">
        <f t="shared" si="9"/>
        <v>401.54</v>
      </c>
      <c r="AF52" s="99">
        <f t="shared" si="9"/>
        <v>399.84000000000003</v>
      </c>
      <c r="AG52" s="98">
        <f>SUM(AG39:AG51)</f>
        <v>489.91</v>
      </c>
      <c r="AH52" s="21">
        <f t="shared" si="2"/>
        <v>422.14</v>
      </c>
      <c r="AI52" s="20">
        <f t="shared" si="3"/>
        <v>261.54000000000002</v>
      </c>
      <c r="AK52" s="42"/>
    </row>
    <row r="53" spans="1:37" x14ac:dyDescent="0.25">
      <c r="A53" s="109" t="s">
        <v>159</v>
      </c>
      <c r="B53" s="103">
        <v>0</v>
      </c>
      <c r="C53" s="123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14</v>
      </c>
      <c r="J53" s="123">
        <v>20</v>
      </c>
      <c r="K53" s="123">
        <v>0</v>
      </c>
      <c r="L53" s="123">
        <v>13.7</v>
      </c>
      <c r="M53" s="122">
        <v>14.9</v>
      </c>
      <c r="N53" s="122">
        <v>14.9</v>
      </c>
      <c r="O53" s="122">
        <v>45</v>
      </c>
      <c r="P53" s="122">
        <v>54.8</v>
      </c>
      <c r="Q53" s="103">
        <v>41.2</v>
      </c>
      <c r="R53" s="103">
        <v>49.7</v>
      </c>
      <c r="S53" s="103">
        <v>49.7</v>
      </c>
      <c r="T53" s="103">
        <v>45.2</v>
      </c>
      <c r="U53" s="103">
        <v>49.7</v>
      </c>
      <c r="V53" s="103">
        <v>49.2</v>
      </c>
      <c r="W53" s="103">
        <v>49.6</v>
      </c>
      <c r="X53" s="103">
        <v>49.9</v>
      </c>
      <c r="Y53" s="103">
        <v>59.2</v>
      </c>
      <c r="Z53" s="103">
        <v>59.2</v>
      </c>
      <c r="AA53" s="103">
        <v>59.2</v>
      </c>
      <c r="AB53" s="103">
        <v>59.2</v>
      </c>
      <c r="AC53" s="103">
        <v>59</v>
      </c>
      <c r="AD53" s="103">
        <v>59</v>
      </c>
      <c r="AE53" s="103">
        <v>59.4</v>
      </c>
      <c r="AF53" s="103">
        <v>59.8</v>
      </c>
      <c r="AG53" s="108">
        <v>60</v>
      </c>
      <c r="AH53" s="21">
        <f t="shared" si="2"/>
        <v>59.8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0</v>
      </c>
      <c r="C54" s="123">
        <v>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6.5</v>
      </c>
      <c r="J54" s="123">
        <v>10.199999999999999</v>
      </c>
      <c r="K54" s="123">
        <v>0</v>
      </c>
      <c r="L54" s="123">
        <v>5.8</v>
      </c>
      <c r="M54" s="122">
        <v>12.2</v>
      </c>
      <c r="N54" s="122">
        <v>6.2</v>
      </c>
      <c r="O54" s="122">
        <v>20</v>
      </c>
      <c r="P54" s="122">
        <v>27.3</v>
      </c>
      <c r="Q54" s="73">
        <v>23.3</v>
      </c>
      <c r="R54" s="73">
        <v>25.3</v>
      </c>
      <c r="S54" s="73">
        <v>25.3</v>
      </c>
      <c r="T54" s="103">
        <v>23.5</v>
      </c>
      <c r="U54" s="103">
        <v>24.3</v>
      </c>
      <c r="V54" s="73">
        <v>24.2</v>
      </c>
      <c r="W54" s="73">
        <v>24.9</v>
      </c>
      <c r="X54" s="73">
        <v>23.8</v>
      </c>
      <c r="Y54" s="73">
        <v>28.6</v>
      </c>
      <c r="Z54" s="73">
        <v>28.6</v>
      </c>
      <c r="AA54" s="73">
        <v>28.6</v>
      </c>
      <c r="AB54" s="73">
        <v>29.2</v>
      </c>
      <c r="AC54" s="73">
        <v>29</v>
      </c>
      <c r="AD54" s="73">
        <v>29.3</v>
      </c>
      <c r="AE54" s="73">
        <v>28.5</v>
      </c>
      <c r="AF54" s="73">
        <v>29.3</v>
      </c>
      <c r="AG54" s="106">
        <v>32</v>
      </c>
      <c r="AH54" s="21">
        <f t="shared" si="2"/>
        <v>29.3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0</v>
      </c>
      <c r="C55" s="120">
        <v>0</v>
      </c>
      <c r="D55" s="120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2.2000000000000002</v>
      </c>
      <c r="J55" s="120">
        <v>4.2</v>
      </c>
      <c r="K55" s="120">
        <v>0</v>
      </c>
      <c r="L55" s="120">
        <v>2.1</v>
      </c>
      <c r="M55" s="119">
        <v>4.5</v>
      </c>
      <c r="N55" s="119">
        <v>2.2999999999999998</v>
      </c>
      <c r="O55" s="119">
        <v>7.5</v>
      </c>
      <c r="P55" s="119">
        <v>9.9</v>
      </c>
      <c r="Q55" s="118">
        <v>8.5</v>
      </c>
      <c r="R55" s="118">
        <v>9.1999999999999993</v>
      </c>
      <c r="S55" s="118">
        <v>9.1999999999999993</v>
      </c>
      <c r="T55" s="103">
        <v>8.6</v>
      </c>
      <c r="U55" s="103">
        <v>8.9</v>
      </c>
      <c r="V55" s="118">
        <v>8.8000000000000007</v>
      </c>
      <c r="W55" s="118">
        <v>9.1</v>
      </c>
      <c r="X55" s="118">
        <v>8.6999999999999993</v>
      </c>
      <c r="Y55" s="118">
        <v>10.4</v>
      </c>
      <c r="Z55" s="118">
        <v>10.4</v>
      </c>
      <c r="AA55" s="118">
        <v>10.4</v>
      </c>
      <c r="AB55" s="118">
        <v>10.7</v>
      </c>
      <c r="AC55" s="118">
        <v>10.6</v>
      </c>
      <c r="AD55" s="118">
        <v>10.7</v>
      </c>
      <c r="AE55" s="118">
        <v>10.4</v>
      </c>
      <c r="AF55" s="118">
        <v>10.7</v>
      </c>
      <c r="AG55" s="117">
        <v>14</v>
      </c>
      <c r="AH55" s="21">
        <f t="shared" si="2"/>
        <v>10.7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0</v>
      </c>
      <c r="C56" s="99">
        <f>SUM(C53:C55)</f>
        <v>0</v>
      </c>
      <c r="D56" s="99">
        <f t="shared" ref="D56:AF56" si="11">SUM(D53:D55)</f>
        <v>0</v>
      </c>
      <c r="E56" s="99">
        <f t="shared" si="11"/>
        <v>0</v>
      </c>
      <c r="F56" s="99">
        <f t="shared" si="11"/>
        <v>0</v>
      </c>
      <c r="G56" s="99">
        <f t="shared" si="11"/>
        <v>0</v>
      </c>
      <c r="H56" s="99">
        <f t="shared" si="11"/>
        <v>0</v>
      </c>
      <c r="I56" s="99">
        <f t="shared" si="11"/>
        <v>22.7</v>
      </c>
      <c r="J56" s="99">
        <f t="shared" si="11"/>
        <v>34.4</v>
      </c>
      <c r="K56" s="99">
        <f t="shared" si="11"/>
        <v>0</v>
      </c>
      <c r="L56" s="99">
        <f t="shared" si="11"/>
        <v>21.6</v>
      </c>
      <c r="M56" s="99">
        <f t="shared" si="11"/>
        <v>31.6</v>
      </c>
      <c r="N56" s="99">
        <f t="shared" si="11"/>
        <v>23.400000000000002</v>
      </c>
      <c r="O56" s="99">
        <f t="shared" si="11"/>
        <v>72.5</v>
      </c>
      <c r="P56" s="99">
        <f t="shared" si="11"/>
        <v>92</v>
      </c>
      <c r="Q56" s="99">
        <f t="shared" si="11"/>
        <v>73</v>
      </c>
      <c r="R56" s="99">
        <f t="shared" si="11"/>
        <v>84.2</v>
      </c>
      <c r="S56" s="99">
        <f t="shared" si="11"/>
        <v>84.2</v>
      </c>
      <c r="T56" s="99">
        <f t="shared" si="11"/>
        <v>77.3</v>
      </c>
      <c r="U56" s="99">
        <f t="shared" si="11"/>
        <v>82.9</v>
      </c>
      <c r="V56" s="99">
        <f t="shared" si="11"/>
        <v>82.2</v>
      </c>
      <c r="W56" s="99">
        <f t="shared" si="11"/>
        <v>83.6</v>
      </c>
      <c r="X56" s="99">
        <f t="shared" si="11"/>
        <v>82.4</v>
      </c>
      <c r="Y56" s="99">
        <f t="shared" si="11"/>
        <v>98.200000000000017</v>
      </c>
      <c r="Z56" s="99">
        <f t="shared" si="11"/>
        <v>98.200000000000017</v>
      </c>
      <c r="AA56" s="99">
        <f t="shared" si="11"/>
        <v>98.200000000000017</v>
      </c>
      <c r="AB56" s="99">
        <f t="shared" si="11"/>
        <v>99.100000000000009</v>
      </c>
      <c r="AC56" s="99">
        <f t="shared" si="11"/>
        <v>98.6</v>
      </c>
      <c r="AD56" s="99">
        <f t="shared" si="11"/>
        <v>99</v>
      </c>
      <c r="AE56" s="99">
        <f t="shared" si="11"/>
        <v>98.300000000000011</v>
      </c>
      <c r="AF56" s="99">
        <f t="shared" si="11"/>
        <v>99.8</v>
      </c>
      <c r="AG56" s="98">
        <f>SUM(AG53:AG55)</f>
        <v>106</v>
      </c>
      <c r="AH56" s="21">
        <f t="shared" si="2"/>
        <v>99.8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25</v>
      </c>
      <c r="C57" s="103">
        <v>33</v>
      </c>
      <c r="D57" s="103">
        <v>34.5</v>
      </c>
      <c r="E57" s="103">
        <v>34.700000000000003</v>
      </c>
      <c r="F57" s="103">
        <v>41.2</v>
      </c>
      <c r="G57" s="103">
        <v>43.2</v>
      </c>
      <c r="H57" s="103">
        <v>43.3</v>
      </c>
      <c r="I57" s="103">
        <v>37.799999999999997</v>
      </c>
      <c r="J57" s="103">
        <v>36.6</v>
      </c>
      <c r="K57" s="103">
        <v>44.1</v>
      </c>
      <c r="L57" s="103">
        <v>44.7</v>
      </c>
      <c r="M57" s="103">
        <v>46</v>
      </c>
      <c r="N57" s="103">
        <v>46.9</v>
      </c>
      <c r="O57" s="103">
        <v>32.700000000000003</v>
      </c>
      <c r="P57" s="103">
        <v>42</v>
      </c>
      <c r="Q57" s="103">
        <v>45.9</v>
      </c>
      <c r="R57" s="103">
        <v>44</v>
      </c>
      <c r="S57" s="103">
        <v>44</v>
      </c>
      <c r="T57" s="103">
        <v>41.42</v>
      </c>
      <c r="U57" s="103">
        <v>54.3</v>
      </c>
      <c r="V57" s="103">
        <v>58.17</v>
      </c>
      <c r="W57" s="103">
        <v>61.7</v>
      </c>
      <c r="X57" s="103">
        <v>55.8</v>
      </c>
      <c r="Y57" s="103">
        <v>52.3</v>
      </c>
      <c r="Z57" s="103">
        <v>53</v>
      </c>
      <c r="AA57" s="103">
        <v>58</v>
      </c>
      <c r="AB57" s="103">
        <v>59</v>
      </c>
      <c r="AC57" s="103">
        <v>65</v>
      </c>
      <c r="AD57" s="103">
        <v>61.5</v>
      </c>
      <c r="AE57" s="103">
        <v>53</v>
      </c>
      <c r="AF57" s="103">
        <v>51</v>
      </c>
      <c r="AG57" s="108"/>
      <c r="AH57" s="21">
        <f t="shared" si="2"/>
        <v>65</v>
      </c>
      <c r="AI57" s="20">
        <f t="shared" si="3"/>
        <v>25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103">
        <v>0</v>
      </c>
      <c r="N58" s="103">
        <v>0</v>
      </c>
      <c r="O58" s="103">
        <v>45</v>
      </c>
      <c r="P58" s="103">
        <v>50.2</v>
      </c>
      <c r="Q58" s="103">
        <f>94.3+16</f>
        <v>110.3</v>
      </c>
      <c r="R58" s="103">
        <v>109</v>
      </c>
      <c r="S58" s="103">
        <v>109</v>
      </c>
      <c r="T58" s="103">
        <f>105.4+20</f>
        <v>125.4</v>
      </c>
      <c r="U58" s="103">
        <f>98.9+5</f>
        <v>103.9</v>
      </c>
      <c r="V58" s="103">
        <f>97.4+13</f>
        <v>110.4</v>
      </c>
      <c r="W58" s="103">
        <f>97.6+13</f>
        <v>110.6</v>
      </c>
      <c r="X58" s="116">
        <f>99.3+15</f>
        <v>114.3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125.4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191.3</v>
      </c>
      <c r="C59" s="73">
        <v>8</v>
      </c>
      <c r="D59" s="73">
        <v>240</v>
      </c>
      <c r="E59" s="73">
        <v>240.1</v>
      </c>
      <c r="F59" s="73">
        <v>281.89999999999998</v>
      </c>
      <c r="G59" s="73">
        <v>201.2</v>
      </c>
      <c r="H59" s="103">
        <v>50.2</v>
      </c>
      <c r="I59" s="103">
        <v>35.200000000000003</v>
      </c>
      <c r="J59" s="103">
        <v>50.2</v>
      </c>
      <c r="K59" s="103">
        <v>50.2</v>
      </c>
      <c r="L59" s="103">
        <v>46.3</v>
      </c>
      <c r="M59" s="73">
        <v>9.8000000000000007</v>
      </c>
      <c r="N59" s="73">
        <v>261</v>
      </c>
      <c r="O59" s="73">
        <v>135</v>
      </c>
      <c r="P59" s="73">
        <v>252</v>
      </c>
      <c r="Q59" s="73">
        <v>261</v>
      </c>
      <c r="R59" s="73">
        <v>243.9</v>
      </c>
      <c r="S59" s="73">
        <v>220</v>
      </c>
      <c r="T59" s="73">
        <v>240.8</v>
      </c>
      <c r="U59" s="73">
        <v>9.1999999999999993</v>
      </c>
      <c r="V59" s="73">
        <v>9.4</v>
      </c>
      <c r="W59" s="73">
        <v>49.6</v>
      </c>
      <c r="X59" s="115">
        <v>108.5</v>
      </c>
      <c r="Y59" s="115">
        <v>117</v>
      </c>
      <c r="Z59" s="115">
        <v>128</v>
      </c>
      <c r="AA59" s="115">
        <v>88</v>
      </c>
      <c r="AB59" s="73">
        <v>66.5</v>
      </c>
      <c r="AC59" s="73">
        <v>76.2</v>
      </c>
      <c r="AD59" s="73">
        <v>67.2</v>
      </c>
      <c r="AE59" s="73">
        <v>57.6</v>
      </c>
      <c r="AF59" s="73">
        <v>35.799999999999997</v>
      </c>
      <c r="AG59" s="113"/>
      <c r="AH59" s="21">
        <f t="shared" si="2"/>
        <v>281.89999999999998</v>
      </c>
      <c r="AI59" s="20">
        <f t="shared" si="3"/>
        <v>8</v>
      </c>
      <c r="AK59" s="42"/>
    </row>
    <row r="60" spans="1:37" x14ac:dyDescent="0.25">
      <c r="A60" s="107" t="s">
        <v>139</v>
      </c>
      <c r="B60" s="77">
        <v>33</v>
      </c>
      <c r="C60" s="77">
        <v>52</v>
      </c>
      <c r="D60" s="77">
        <v>52.2</v>
      </c>
      <c r="E60" s="77">
        <v>51.2</v>
      </c>
      <c r="F60" s="77">
        <v>52.2</v>
      </c>
      <c r="G60" s="77">
        <v>52.5</v>
      </c>
      <c r="H60" s="77">
        <v>54.5</v>
      </c>
      <c r="I60" s="77">
        <v>42.6</v>
      </c>
      <c r="J60" s="77">
        <v>53.5</v>
      </c>
      <c r="K60" s="77">
        <v>53.5</v>
      </c>
      <c r="L60" s="77">
        <v>41.1</v>
      </c>
      <c r="M60" s="73">
        <v>45.5</v>
      </c>
      <c r="N60" s="73">
        <v>48.6</v>
      </c>
      <c r="O60" s="73">
        <v>51.7</v>
      </c>
      <c r="P60" s="73">
        <v>51.3</v>
      </c>
      <c r="Q60" s="73">
        <v>51.1</v>
      </c>
      <c r="R60" s="73">
        <v>47.3</v>
      </c>
      <c r="S60" s="73">
        <v>47.3</v>
      </c>
      <c r="T60" s="73">
        <v>47.3</v>
      </c>
      <c r="U60" s="73">
        <v>0</v>
      </c>
      <c r="V60" s="73">
        <v>38.4</v>
      </c>
      <c r="W60" s="73">
        <v>38.4</v>
      </c>
      <c r="X60" s="73">
        <v>39.6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15</v>
      </c>
      <c r="AF60" s="77">
        <v>15</v>
      </c>
      <c r="AG60" s="113"/>
      <c r="AH60" s="21">
        <f t="shared" si="2"/>
        <v>54.5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77">
        <v>0</v>
      </c>
      <c r="J61" s="77">
        <v>85</v>
      </c>
      <c r="K61" s="77">
        <v>85</v>
      </c>
      <c r="L61" s="77">
        <v>82</v>
      </c>
      <c r="M61" s="77">
        <v>67.2</v>
      </c>
      <c r="N61" s="77">
        <v>78</v>
      </c>
      <c r="O61" s="103">
        <v>81.900000000000006</v>
      </c>
      <c r="P61" s="103">
        <v>85.6</v>
      </c>
      <c r="Q61" s="103">
        <v>78.900000000000006</v>
      </c>
      <c r="R61" s="103">
        <v>72.900000000000006</v>
      </c>
      <c r="S61" s="103">
        <v>72.900000000000006</v>
      </c>
      <c r="T61" s="103">
        <v>80</v>
      </c>
      <c r="U61" s="103">
        <v>78.099999999999994</v>
      </c>
      <c r="V61" s="103">
        <v>17.2</v>
      </c>
      <c r="W61" s="103">
        <v>17.2</v>
      </c>
      <c r="X61" s="103">
        <v>61.7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25.6</v>
      </c>
      <c r="AF61" s="103">
        <v>0</v>
      </c>
      <c r="AG61" s="113"/>
      <c r="AH61" s="21">
        <f t="shared" si="2"/>
        <v>85.6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0</v>
      </c>
      <c r="C62" s="67">
        <v>0</v>
      </c>
      <c r="D62" s="67">
        <v>0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73">
        <v>8</v>
      </c>
      <c r="N62" s="73">
        <v>8</v>
      </c>
      <c r="O62" s="73">
        <v>8</v>
      </c>
      <c r="P62" s="73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0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0">
        <v>13</v>
      </c>
      <c r="S66" s="70">
        <v>13</v>
      </c>
      <c r="T66" s="70">
        <v>13</v>
      </c>
      <c r="U66" s="70">
        <v>13</v>
      </c>
      <c r="V66" s="70">
        <v>13</v>
      </c>
      <c r="W66" s="70">
        <v>13</v>
      </c>
      <c r="X66" s="70">
        <v>13</v>
      </c>
      <c r="Y66" s="70">
        <v>13</v>
      </c>
      <c r="Z66" s="70">
        <v>13</v>
      </c>
      <c r="AA66" s="70">
        <v>13</v>
      </c>
      <c r="AB66" s="70">
        <v>13</v>
      </c>
      <c r="AC66" s="70">
        <v>13</v>
      </c>
      <c r="AD66" s="70">
        <v>13</v>
      </c>
      <c r="AE66" s="70">
        <v>13</v>
      </c>
      <c r="AF66" s="70">
        <v>13</v>
      </c>
      <c r="AG66" s="102"/>
      <c r="AH66" s="21">
        <f t="shared" si="2"/>
        <v>13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249.3</v>
      </c>
      <c r="C68" s="99">
        <f>SUM(C57:C67)</f>
        <v>93</v>
      </c>
      <c r="D68" s="99">
        <f t="shared" ref="D68:AF68" si="13">SUM(D57:D67)</f>
        <v>326.7</v>
      </c>
      <c r="E68" s="99">
        <f t="shared" si="13"/>
        <v>334</v>
      </c>
      <c r="F68" s="99">
        <f t="shared" si="13"/>
        <v>383.29999999999995</v>
      </c>
      <c r="G68" s="99">
        <f t="shared" si="13"/>
        <v>304.89999999999998</v>
      </c>
      <c r="H68" s="99">
        <f t="shared" si="13"/>
        <v>156</v>
      </c>
      <c r="I68" s="99">
        <f t="shared" si="13"/>
        <v>123.6</v>
      </c>
      <c r="J68" s="99">
        <f t="shared" si="13"/>
        <v>233.3</v>
      </c>
      <c r="K68" s="99">
        <f t="shared" si="13"/>
        <v>240.8</v>
      </c>
      <c r="L68" s="99">
        <f t="shared" si="13"/>
        <v>222.1</v>
      </c>
      <c r="M68" s="99">
        <f t="shared" si="13"/>
        <v>176.5</v>
      </c>
      <c r="N68" s="99">
        <f t="shared" si="13"/>
        <v>442.5</v>
      </c>
      <c r="O68" s="99">
        <f t="shared" si="13"/>
        <v>354.29999999999995</v>
      </c>
      <c r="P68" s="99">
        <f t="shared" si="13"/>
        <v>489.1</v>
      </c>
      <c r="Q68" s="99">
        <f t="shared" si="13"/>
        <v>555.20000000000005</v>
      </c>
      <c r="R68" s="99">
        <f t="shared" si="13"/>
        <v>538.1</v>
      </c>
      <c r="S68" s="99">
        <f t="shared" si="13"/>
        <v>514.20000000000005</v>
      </c>
      <c r="T68" s="99">
        <f t="shared" si="13"/>
        <v>555.92000000000007</v>
      </c>
      <c r="U68" s="99">
        <f t="shared" si="13"/>
        <v>266.5</v>
      </c>
      <c r="V68" s="99">
        <f t="shared" si="13"/>
        <v>254.57</v>
      </c>
      <c r="W68" s="99">
        <f t="shared" si="13"/>
        <v>298.5</v>
      </c>
      <c r="X68" s="99">
        <f t="shared" si="13"/>
        <v>400.90000000000003</v>
      </c>
      <c r="Y68" s="99">
        <f t="shared" si="13"/>
        <v>190.3</v>
      </c>
      <c r="Z68" s="99">
        <f t="shared" si="13"/>
        <v>202</v>
      </c>
      <c r="AA68" s="99">
        <f t="shared" si="13"/>
        <v>167</v>
      </c>
      <c r="AB68" s="99">
        <f t="shared" si="13"/>
        <v>146.5</v>
      </c>
      <c r="AC68" s="99">
        <f t="shared" si="13"/>
        <v>162.19999999999999</v>
      </c>
      <c r="AD68" s="99">
        <f t="shared" si="13"/>
        <v>149.69999999999999</v>
      </c>
      <c r="AE68" s="99">
        <f t="shared" si="13"/>
        <v>172.2</v>
      </c>
      <c r="AF68" s="99">
        <f t="shared" si="13"/>
        <v>122.8</v>
      </c>
      <c r="AG68" s="98">
        <f>SUM(AG57:AG67)</f>
        <v>0</v>
      </c>
      <c r="AH68" s="21">
        <f t="shared" si="2"/>
        <v>555.92000000000007</v>
      </c>
      <c r="AI68" s="20">
        <f t="shared" si="3"/>
        <v>93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f t="shared" si="15"/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1148.1399999999999</v>
      </c>
      <c r="C73" s="110">
        <f>C68+C56+C52+C38+C72</f>
        <v>1172.3400000000001</v>
      </c>
      <c r="D73" s="110">
        <f t="shared" ref="D73:AG73" si="17">D68+D56+D52+D38+D72</f>
        <v>1144.1399999999999</v>
      </c>
      <c r="E73" s="110">
        <f t="shared" si="17"/>
        <v>1106.1400000000001</v>
      </c>
      <c r="F73" s="110">
        <f t="shared" si="17"/>
        <v>1054.3399999999999</v>
      </c>
      <c r="G73" s="110">
        <f t="shared" si="17"/>
        <v>1057.44</v>
      </c>
      <c r="H73" s="110">
        <f t="shared" si="17"/>
        <v>1110.94</v>
      </c>
      <c r="I73" s="110">
        <f t="shared" si="17"/>
        <v>1146.8400000000001</v>
      </c>
      <c r="J73" s="110">
        <f t="shared" si="17"/>
        <v>1190.6399999999999</v>
      </c>
      <c r="K73" s="110">
        <f t="shared" si="17"/>
        <v>1257.04</v>
      </c>
      <c r="L73" s="110">
        <f t="shared" si="17"/>
        <v>1312.24</v>
      </c>
      <c r="M73" s="110">
        <f t="shared" si="17"/>
        <v>1281.3400000000001</v>
      </c>
      <c r="N73" s="110">
        <f t="shared" si="17"/>
        <v>1337.84</v>
      </c>
      <c r="O73" s="110">
        <f t="shared" si="17"/>
        <v>1358.74</v>
      </c>
      <c r="P73" s="110">
        <f t="shared" si="17"/>
        <v>1376.74</v>
      </c>
      <c r="Q73" s="110">
        <f t="shared" si="17"/>
        <v>1357.44</v>
      </c>
      <c r="R73" s="110">
        <f t="shared" si="17"/>
        <v>1397.14</v>
      </c>
      <c r="S73" s="110">
        <f t="shared" si="17"/>
        <v>1373.24</v>
      </c>
      <c r="T73" s="110">
        <f t="shared" si="17"/>
        <v>1423.16</v>
      </c>
      <c r="U73" s="110">
        <f t="shared" si="17"/>
        <v>1405.24</v>
      </c>
      <c r="V73" s="110">
        <f t="shared" si="17"/>
        <v>1330.81</v>
      </c>
      <c r="W73" s="110">
        <f t="shared" si="17"/>
        <v>1356.14</v>
      </c>
      <c r="X73" s="110">
        <f t="shared" si="17"/>
        <v>1375.74</v>
      </c>
      <c r="Y73" s="110">
        <f t="shared" si="17"/>
        <v>1492.5400000000002</v>
      </c>
      <c r="Z73" s="110">
        <f t="shared" si="17"/>
        <v>1564.9400000000003</v>
      </c>
      <c r="AA73" s="110">
        <f t="shared" si="17"/>
        <v>1529.9400000000003</v>
      </c>
      <c r="AB73" s="110">
        <f t="shared" si="17"/>
        <v>1512.4400000000003</v>
      </c>
      <c r="AC73" s="110">
        <f t="shared" si="17"/>
        <v>1520.2400000000002</v>
      </c>
      <c r="AD73" s="110">
        <f t="shared" si="17"/>
        <v>1426.94</v>
      </c>
      <c r="AE73" s="110">
        <f t="shared" si="17"/>
        <v>1349.94</v>
      </c>
      <c r="AF73" s="110">
        <f t="shared" si="17"/>
        <v>1268.94</v>
      </c>
      <c r="AG73" s="110">
        <f t="shared" si="17"/>
        <v>2144.14</v>
      </c>
      <c r="AH73" s="21">
        <f t="shared" si="2"/>
        <v>1564.9400000000003</v>
      </c>
      <c r="AI73" s="20">
        <f t="shared" si="3"/>
        <v>1054.3399999999999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>
        <v>30</v>
      </c>
      <c r="E74" s="111">
        <v>70</v>
      </c>
      <c r="F74" s="111">
        <v>75</v>
      </c>
      <c r="G74" s="111">
        <v>65</v>
      </c>
      <c r="H74" s="111">
        <v>65</v>
      </c>
      <c r="I74" s="111">
        <v>65</v>
      </c>
      <c r="J74" s="111">
        <v>70</v>
      </c>
      <c r="K74" s="111">
        <v>80</v>
      </c>
      <c r="L74" s="111">
        <v>80</v>
      </c>
      <c r="M74" s="111">
        <v>50</v>
      </c>
      <c r="N74" s="111"/>
      <c r="O74" s="111"/>
      <c r="P74" s="111"/>
      <c r="Q74" s="111"/>
      <c r="R74" s="111"/>
      <c r="S74" s="111"/>
      <c r="T74" s="111"/>
      <c r="U74" s="111">
        <v>40</v>
      </c>
      <c r="V74" s="111"/>
      <c r="W74" s="111"/>
      <c r="X74" s="111"/>
      <c r="Y74" s="111"/>
      <c r="Z74" s="111"/>
      <c r="AA74" s="111"/>
      <c r="AB74" s="111">
        <v>50</v>
      </c>
      <c r="AC74" s="111">
        <v>50</v>
      </c>
      <c r="AD74" s="111">
        <v>50</v>
      </c>
      <c r="AE74" s="111">
        <v>50</v>
      </c>
      <c r="AF74" s="111">
        <v>50</v>
      </c>
      <c r="AG74" s="98"/>
      <c r="AH74" s="21">
        <f t="shared" si="2"/>
        <v>80</v>
      </c>
      <c r="AI74" s="20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1148.1399999999999</v>
      </c>
      <c r="C75" s="110">
        <f>C73+C74</f>
        <v>1172.3400000000001</v>
      </c>
      <c r="D75" s="110">
        <f t="shared" ref="D75:AF75" si="19">D72+D68+D56+D52+D38+D74</f>
        <v>1174.1399999999999</v>
      </c>
      <c r="E75" s="110">
        <f t="shared" si="19"/>
        <v>1176.1400000000001</v>
      </c>
      <c r="F75" s="110">
        <f t="shared" si="19"/>
        <v>1129.3399999999999</v>
      </c>
      <c r="G75" s="110">
        <f t="shared" si="19"/>
        <v>1122.44</v>
      </c>
      <c r="H75" s="110">
        <f t="shared" si="19"/>
        <v>1175.94</v>
      </c>
      <c r="I75" s="110">
        <f t="shared" si="19"/>
        <v>1211.8400000000001</v>
      </c>
      <c r="J75" s="110">
        <f t="shared" si="19"/>
        <v>1260.6399999999999</v>
      </c>
      <c r="K75" s="110">
        <f t="shared" si="19"/>
        <v>1337.04</v>
      </c>
      <c r="L75" s="110">
        <f t="shared" si="19"/>
        <v>1392.24</v>
      </c>
      <c r="M75" s="110">
        <f t="shared" si="19"/>
        <v>1331.3400000000001</v>
      </c>
      <c r="N75" s="110">
        <f t="shared" si="19"/>
        <v>1337.84</v>
      </c>
      <c r="O75" s="110">
        <f t="shared" si="19"/>
        <v>1358.74</v>
      </c>
      <c r="P75" s="110">
        <f t="shared" si="19"/>
        <v>1376.74</v>
      </c>
      <c r="Q75" s="110">
        <f t="shared" si="19"/>
        <v>1357.44</v>
      </c>
      <c r="R75" s="110">
        <f t="shared" si="19"/>
        <v>1397.14</v>
      </c>
      <c r="S75" s="110">
        <f t="shared" si="19"/>
        <v>1373.24</v>
      </c>
      <c r="T75" s="110">
        <f t="shared" si="19"/>
        <v>1423.16</v>
      </c>
      <c r="U75" s="110">
        <f t="shared" si="19"/>
        <v>1445.24</v>
      </c>
      <c r="V75" s="110">
        <f t="shared" si="19"/>
        <v>1330.81</v>
      </c>
      <c r="W75" s="110">
        <f t="shared" si="19"/>
        <v>1356.14</v>
      </c>
      <c r="X75" s="110">
        <f t="shared" si="19"/>
        <v>1375.74</v>
      </c>
      <c r="Y75" s="110">
        <f t="shared" si="19"/>
        <v>1492.5400000000002</v>
      </c>
      <c r="Z75" s="110">
        <f t="shared" si="19"/>
        <v>1564.9400000000003</v>
      </c>
      <c r="AA75" s="110">
        <f t="shared" si="19"/>
        <v>1529.9400000000003</v>
      </c>
      <c r="AB75" s="110">
        <f t="shared" si="19"/>
        <v>1562.4400000000003</v>
      </c>
      <c r="AC75" s="110">
        <f t="shared" si="19"/>
        <v>1570.2400000000002</v>
      </c>
      <c r="AD75" s="110">
        <f t="shared" si="19"/>
        <v>1476.94</v>
      </c>
      <c r="AE75" s="110">
        <f t="shared" si="19"/>
        <v>1399.94</v>
      </c>
      <c r="AF75" s="110">
        <f t="shared" si="19"/>
        <v>1318.94</v>
      </c>
      <c r="AG75" s="98">
        <f>AG72+AG68+AG56+AG52+AG38+AG74</f>
        <v>2144.14</v>
      </c>
      <c r="AH75" s="21">
        <f t="shared" si="2"/>
        <v>1570.2400000000002</v>
      </c>
      <c r="AI75" s="20">
        <f t="shared" si="3"/>
        <v>1122.44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>
        <f t="shared" si="21"/>
        <v>0</v>
      </c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f t="shared" si="25"/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f t="shared" si="27"/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f t="shared" si="29"/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f t="shared" si="31"/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f t="shared" si="33"/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2296.2799999999997</v>
      </c>
      <c r="C83" s="99">
        <f t="shared" ref="C83:AG83" si="35">SUM(C70:C82)</f>
        <v>2344.6800000000003</v>
      </c>
      <c r="D83" s="99">
        <f t="shared" si="35"/>
        <v>2348.2799999999997</v>
      </c>
      <c r="E83" s="99">
        <f t="shared" si="35"/>
        <v>2352.2800000000002</v>
      </c>
      <c r="F83" s="99">
        <f t="shared" si="35"/>
        <v>2258.6799999999998</v>
      </c>
      <c r="G83" s="99">
        <f t="shared" si="35"/>
        <v>2244.88</v>
      </c>
      <c r="H83" s="99">
        <f t="shared" si="35"/>
        <v>2351.88</v>
      </c>
      <c r="I83" s="99">
        <f t="shared" si="35"/>
        <v>2423.6800000000003</v>
      </c>
      <c r="J83" s="99">
        <f t="shared" si="35"/>
        <v>2521.2799999999997</v>
      </c>
      <c r="K83" s="99">
        <f t="shared" si="35"/>
        <v>2674.08</v>
      </c>
      <c r="L83" s="99">
        <f t="shared" si="35"/>
        <v>2784.48</v>
      </c>
      <c r="M83" s="99">
        <f t="shared" si="35"/>
        <v>2662.6800000000003</v>
      </c>
      <c r="N83" s="99">
        <f t="shared" si="35"/>
        <v>2675.68</v>
      </c>
      <c r="O83" s="99">
        <f t="shared" si="35"/>
        <v>2717.48</v>
      </c>
      <c r="P83" s="99">
        <f t="shared" si="35"/>
        <v>2753.48</v>
      </c>
      <c r="Q83" s="99">
        <f t="shared" si="35"/>
        <v>2714.88</v>
      </c>
      <c r="R83" s="99">
        <f t="shared" si="35"/>
        <v>2794.28</v>
      </c>
      <c r="S83" s="99">
        <f t="shared" si="35"/>
        <v>2746.48</v>
      </c>
      <c r="T83" s="99">
        <f t="shared" si="35"/>
        <v>2846.32</v>
      </c>
      <c r="U83" s="99">
        <f t="shared" si="35"/>
        <v>2890.48</v>
      </c>
      <c r="V83" s="99">
        <f t="shared" si="35"/>
        <v>2661.62</v>
      </c>
      <c r="W83" s="99">
        <f t="shared" si="35"/>
        <v>2712.28</v>
      </c>
      <c r="X83" s="99">
        <f t="shared" si="35"/>
        <v>2751.48</v>
      </c>
      <c r="Y83" s="99">
        <f t="shared" si="35"/>
        <v>2985.0800000000004</v>
      </c>
      <c r="Z83" s="99">
        <f t="shared" si="35"/>
        <v>3129.8800000000006</v>
      </c>
      <c r="AA83" s="99">
        <f t="shared" si="35"/>
        <v>3059.8800000000006</v>
      </c>
      <c r="AB83" s="99">
        <f t="shared" si="35"/>
        <v>3124.8800000000006</v>
      </c>
      <c r="AC83" s="99">
        <f t="shared" si="35"/>
        <v>3140.4800000000005</v>
      </c>
      <c r="AD83" s="99">
        <f t="shared" si="35"/>
        <v>2953.88</v>
      </c>
      <c r="AE83" s="99">
        <f t="shared" si="35"/>
        <v>2799.88</v>
      </c>
      <c r="AF83" s="99">
        <f t="shared" si="35"/>
        <v>2637.88</v>
      </c>
      <c r="AG83" s="98">
        <f t="shared" si="35"/>
        <v>4360.08</v>
      </c>
      <c r="AH83" s="21">
        <f t="shared" si="22"/>
        <v>3140.4800000000005</v>
      </c>
      <c r="AI83" s="20">
        <f t="shared" si="23"/>
        <v>2244.88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50.015000000000001</v>
      </c>
      <c r="C84" s="96">
        <v>49.997999999999998</v>
      </c>
      <c r="D84" s="96">
        <v>50.015000000000001</v>
      </c>
      <c r="E84" s="96">
        <v>49.982999999999997</v>
      </c>
      <c r="F84" s="96">
        <v>50.015999999999998</v>
      </c>
      <c r="G84" s="96">
        <v>50.005000000000003</v>
      </c>
      <c r="H84" s="96">
        <v>50.040999999999997</v>
      </c>
      <c r="I84" s="96">
        <v>50.000999999999998</v>
      </c>
      <c r="J84" s="96">
        <v>49.997999999999998</v>
      </c>
      <c r="K84" s="96">
        <v>50.05</v>
      </c>
      <c r="L84" s="96">
        <v>50.045999999999999</v>
      </c>
      <c r="M84" s="96">
        <v>50.033999999999999</v>
      </c>
      <c r="N84" s="96">
        <v>50.029000000000003</v>
      </c>
      <c r="O84" s="96">
        <v>50.017000000000003</v>
      </c>
      <c r="P84" s="96">
        <v>50.02</v>
      </c>
      <c r="Q84" s="96">
        <v>50</v>
      </c>
      <c r="R84" s="96">
        <v>49.99</v>
      </c>
      <c r="S84" s="96">
        <v>49.99</v>
      </c>
      <c r="T84" s="96">
        <v>49.671999999999997</v>
      </c>
      <c r="U84" s="96">
        <v>49.917000000000002</v>
      </c>
      <c r="V84" s="96">
        <v>49.783999999999999</v>
      </c>
      <c r="W84" s="96">
        <v>49.938000000000002</v>
      </c>
      <c r="X84" s="96">
        <v>49.968000000000004</v>
      </c>
      <c r="Y84" s="96">
        <v>49.978000000000002</v>
      </c>
      <c r="Z84" s="96">
        <v>49.783999999999999</v>
      </c>
      <c r="AA84" s="96">
        <v>49.588999999999999</v>
      </c>
      <c r="AB84" s="96">
        <v>50.06</v>
      </c>
      <c r="AC84" s="96">
        <v>50.03</v>
      </c>
      <c r="AD84" s="96">
        <v>50</v>
      </c>
      <c r="AE84" s="96">
        <v>49.8</v>
      </c>
      <c r="AF84" s="96">
        <v>49.86</v>
      </c>
      <c r="AG84" s="95"/>
      <c r="AH84" s="21">
        <f t="shared" si="22"/>
        <v>50.06</v>
      </c>
      <c r="AI84" s="20">
        <f t="shared" si="23"/>
        <v>49.588999999999999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120.8</v>
      </c>
      <c r="C85" s="73">
        <v>121.3</v>
      </c>
      <c r="D85" s="73">
        <v>120.8</v>
      </c>
      <c r="E85" s="73">
        <v>124.3</v>
      </c>
      <c r="F85" s="73">
        <v>124.4</v>
      </c>
      <c r="G85" s="73">
        <v>123.5</v>
      </c>
      <c r="H85" s="73">
        <v>122.8</v>
      </c>
      <c r="I85" s="73">
        <v>126.1</v>
      </c>
      <c r="J85" s="73">
        <v>124.3</v>
      </c>
      <c r="K85" s="73">
        <v>125.3</v>
      </c>
      <c r="L85" s="73">
        <v>125.3</v>
      </c>
      <c r="M85" s="73">
        <v>125.8</v>
      </c>
      <c r="N85" s="73">
        <v>123.8</v>
      </c>
      <c r="O85" s="73">
        <v>124.9</v>
      </c>
      <c r="P85" s="73">
        <v>123.9</v>
      </c>
      <c r="Q85" s="73">
        <v>123.2</v>
      </c>
      <c r="R85" s="73">
        <v>124.7</v>
      </c>
      <c r="S85" s="73">
        <v>124.7</v>
      </c>
      <c r="T85" s="73">
        <v>123.6</v>
      </c>
      <c r="U85" s="94">
        <v>125.5</v>
      </c>
      <c r="V85" s="94">
        <v>125.8</v>
      </c>
      <c r="W85" s="94">
        <v>126.3</v>
      </c>
      <c r="X85" s="94">
        <v>127.6</v>
      </c>
      <c r="Y85" s="94">
        <v>123.2</v>
      </c>
      <c r="Z85" s="94">
        <v>123</v>
      </c>
      <c r="AA85" s="94">
        <v>123.7</v>
      </c>
      <c r="AB85" s="73">
        <v>125.7</v>
      </c>
      <c r="AC85" s="73">
        <v>125</v>
      </c>
      <c r="AD85" s="73">
        <v>126</v>
      </c>
      <c r="AE85" s="73">
        <v>126.4</v>
      </c>
      <c r="AF85" s="73">
        <v>125.9</v>
      </c>
      <c r="AG85" s="89"/>
      <c r="AH85" s="21">
        <f t="shared" si="22"/>
        <v>127.6</v>
      </c>
      <c r="AI85" s="20">
        <f t="shared" si="23"/>
        <v>120.8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126.4</v>
      </c>
      <c r="C86" s="73">
        <v>127</v>
      </c>
      <c r="D86" s="73">
        <v>126.4</v>
      </c>
      <c r="E86" s="73">
        <v>129.1</v>
      </c>
      <c r="F86" s="73">
        <v>129.19999999999999</v>
      </c>
      <c r="G86" s="73">
        <v>128.1</v>
      </c>
      <c r="H86" s="73">
        <v>127.3</v>
      </c>
      <c r="I86" s="73">
        <v>128.9</v>
      </c>
      <c r="J86" s="73">
        <v>127.1</v>
      </c>
      <c r="K86" s="73">
        <v>128</v>
      </c>
      <c r="L86" s="73">
        <v>127.7</v>
      </c>
      <c r="M86" s="73">
        <v>128.6</v>
      </c>
      <c r="N86" s="73">
        <v>127.1</v>
      </c>
      <c r="O86" s="73">
        <v>128.1</v>
      </c>
      <c r="P86" s="73">
        <v>126.8</v>
      </c>
      <c r="Q86" s="73">
        <v>126.7</v>
      </c>
      <c r="R86" s="73">
        <v>128.19999999999999</v>
      </c>
      <c r="S86" s="73">
        <v>128.19999999999999</v>
      </c>
      <c r="T86" s="73">
        <v>127.3</v>
      </c>
      <c r="U86" s="94">
        <v>128.80000000000001</v>
      </c>
      <c r="V86" s="94">
        <v>129</v>
      </c>
      <c r="W86" s="94">
        <v>129.5</v>
      </c>
      <c r="X86" s="94">
        <v>130.19999999999999</v>
      </c>
      <c r="Y86" s="94">
        <v>127.4</v>
      </c>
      <c r="Z86" s="94">
        <v>126.4</v>
      </c>
      <c r="AA86" s="94">
        <v>127.4</v>
      </c>
      <c r="AB86" s="73">
        <v>129</v>
      </c>
      <c r="AC86" s="73">
        <v>129</v>
      </c>
      <c r="AD86" s="73">
        <v>129</v>
      </c>
      <c r="AE86" s="73">
        <v>130.1</v>
      </c>
      <c r="AF86" s="73">
        <v>130</v>
      </c>
      <c r="AG86" s="89"/>
      <c r="AH86" s="21">
        <f t="shared" si="22"/>
        <v>130.19999999999999</v>
      </c>
      <c r="AI86" s="20">
        <f t="shared" si="23"/>
        <v>126.4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127.8</v>
      </c>
      <c r="C87" s="73">
        <v>129.4</v>
      </c>
      <c r="D87" s="73">
        <v>127.8</v>
      </c>
      <c r="E87" s="73">
        <v>132.30000000000001</v>
      </c>
      <c r="F87" s="73">
        <v>133.1</v>
      </c>
      <c r="G87" s="73">
        <v>129.9</v>
      </c>
      <c r="H87" s="73">
        <v>128.6</v>
      </c>
      <c r="I87" s="73">
        <v>126.3</v>
      </c>
      <c r="J87" s="73">
        <v>132.30000000000001</v>
      </c>
      <c r="K87" s="73">
        <v>129.1</v>
      </c>
      <c r="L87" s="73">
        <v>127.7</v>
      </c>
      <c r="M87" s="73">
        <v>126.7</v>
      </c>
      <c r="N87" s="73">
        <v>124.3</v>
      </c>
      <c r="O87" s="73">
        <v>129</v>
      </c>
      <c r="P87" s="73">
        <v>126.1</v>
      </c>
      <c r="Q87" s="73">
        <v>128.19999999999999</v>
      </c>
      <c r="R87" s="73">
        <v>127</v>
      </c>
      <c r="S87" s="73">
        <v>127</v>
      </c>
      <c r="T87" s="73">
        <v>128.19999999999999</v>
      </c>
      <c r="U87" s="73">
        <v>128.6</v>
      </c>
      <c r="V87" s="73">
        <v>128.5</v>
      </c>
      <c r="W87" s="73">
        <v>129</v>
      </c>
      <c r="X87" s="73">
        <v>129.69999999999999</v>
      </c>
      <c r="Y87" s="94">
        <v>124.3</v>
      </c>
      <c r="Z87" s="94">
        <v>120.1</v>
      </c>
      <c r="AA87" s="94">
        <v>122.7</v>
      </c>
      <c r="AB87" s="73">
        <v>127</v>
      </c>
      <c r="AC87" s="73">
        <v>125</v>
      </c>
      <c r="AD87" s="73">
        <v>128</v>
      </c>
      <c r="AE87" s="73">
        <v>130.1</v>
      </c>
      <c r="AF87" s="73">
        <v>126.3</v>
      </c>
      <c r="AG87" s="89"/>
      <c r="AH87" s="21">
        <f t="shared" si="22"/>
        <v>133.1</v>
      </c>
      <c r="AI87" s="20">
        <f t="shared" si="23"/>
        <v>120.1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131</v>
      </c>
      <c r="C88" s="73">
        <v>133</v>
      </c>
      <c r="D88" s="73">
        <v>131</v>
      </c>
      <c r="E88" s="73">
        <v>133.19999999999999</v>
      </c>
      <c r="F88" s="73">
        <v>135.6</v>
      </c>
      <c r="G88" s="73">
        <v>132.30000000000001</v>
      </c>
      <c r="H88" s="73">
        <v>130.9</v>
      </c>
      <c r="I88" s="73">
        <v>129.9</v>
      </c>
      <c r="J88" s="73">
        <v>134.80000000000001</v>
      </c>
      <c r="K88" s="73">
        <v>131.1</v>
      </c>
      <c r="L88" s="73">
        <v>130.4</v>
      </c>
      <c r="M88" s="73">
        <v>128.9</v>
      </c>
      <c r="N88" s="73">
        <v>126</v>
      </c>
      <c r="O88" s="73">
        <v>124.4</v>
      </c>
      <c r="P88" s="73">
        <v>125.4</v>
      </c>
      <c r="Q88" s="73">
        <v>128.69999999999999</v>
      </c>
      <c r="R88" s="73">
        <v>128.5</v>
      </c>
      <c r="S88" s="73">
        <v>128.5</v>
      </c>
      <c r="T88" s="73">
        <v>129.69999999999999</v>
      </c>
      <c r="U88" s="73">
        <v>129.19999999999999</v>
      </c>
      <c r="V88" s="73">
        <v>129.80000000000001</v>
      </c>
      <c r="W88" s="73">
        <v>130.9</v>
      </c>
      <c r="X88" s="73">
        <v>131.1</v>
      </c>
      <c r="Y88" s="94">
        <v>125.7</v>
      </c>
      <c r="Z88" s="94">
        <v>121.5</v>
      </c>
      <c r="AA88" s="94">
        <v>125.1</v>
      </c>
      <c r="AB88" s="73">
        <v>129</v>
      </c>
      <c r="AC88" s="73">
        <v>128.5</v>
      </c>
      <c r="AD88" s="73">
        <v>128</v>
      </c>
      <c r="AE88" s="73">
        <v>133.80000000000001</v>
      </c>
      <c r="AF88" s="73">
        <v>130.9</v>
      </c>
      <c r="AG88" s="89"/>
      <c r="AH88" s="21">
        <f t="shared" si="22"/>
        <v>135.6</v>
      </c>
      <c r="AI88" s="20">
        <f t="shared" si="23"/>
        <v>121.5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129.1</v>
      </c>
      <c r="C89" s="66">
        <v>132.4</v>
      </c>
      <c r="D89" s="66">
        <v>129.1</v>
      </c>
      <c r="E89" s="66">
        <v>130</v>
      </c>
      <c r="F89" s="66">
        <v>130.30000000000001</v>
      </c>
      <c r="G89" s="66">
        <v>129.9</v>
      </c>
      <c r="H89" s="66">
        <v>128.80000000000001</v>
      </c>
      <c r="I89" s="66">
        <v>131.4</v>
      </c>
      <c r="J89" s="66">
        <v>135.5</v>
      </c>
      <c r="K89" s="66">
        <v>70.900000000000006</v>
      </c>
      <c r="L89" s="66">
        <v>130.4</v>
      </c>
      <c r="M89" s="66">
        <v>138.1</v>
      </c>
      <c r="N89" s="66">
        <v>135.9</v>
      </c>
      <c r="O89" s="66">
        <v>132.4</v>
      </c>
      <c r="P89" s="66">
        <v>130.6</v>
      </c>
      <c r="Q89" s="66">
        <v>129.9</v>
      </c>
      <c r="R89" s="66">
        <v>131.9</v>
      </c>
      <c r="S89" s="66">
        <v>131.9</v>
      </c>
      <c r="T89" s="66">
        <v>126.2</v>
      </c>
      <c r="U89" s="66">
        <v>133.69999999999999</v>
      </c>
      <c r="V89" s="66">
        <v>132.69999999999999</v>
      </c>
      <c r="W89" s="66">
        <v>133.6</v>
      </c>
      <c r="X89" s="66">
        <v>134.9</v>
      </c>
      <c r="Y89" s="94">
        <v>134.5</v>
      </c>
      <c r="Z89" s="94">
        <v>135.4</v>
      </c>
      <c r="AA89" s="94">
        <v>131.80000000000001</v>
      </c>
      <c r="AB89" s="66">
        <v>135</v>
      </c>
      <c r="AC89" s="66">
        <v>135</v>
      </c>
      <c r="AD89" s="66">
        <v>134</v>
      </c>
      <c r="AE89" s="66">
        <v>133.1</v>
      </c>
      <c r="AF89" s="66">
        <v>133.4</v>
      </c>
      <c r="AG89" s="91"/>
      <c r="AH89" s="21">
        <f t="shared" si="22"/>
        <v>138.1</v>
      </c>
      <c r="AI89" s="20">
        <f t="shared" si="23"/>
        <v>70.900000000000006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124.4</v>
      </c>
      <c r="C90" s="73">
        <v>129.5</v>
      </c>
      <c r="D90" s="73">
        <v>124.4</v>
      </c>
      <c r="E90" s="73">
        <v>132.80000000000001</v>
      </c>
      <c r="F90" s="73">
        <v>137.9</v>
      </c>
      <c r="G90" s="73">
        <v>137.30000000000001</v>
      </c>
      <c r="H90" s="73">
        <v>136.9</v>
      </c>
      <c r="I90" s="73">
        <v>135.80000000000001</v>
      </c>
      <c r="J90" s="73">
        <v>135.1</v>
      </c>
      <c r="K90" s="73">
        <v>133.80000000000001</v>
      </c>
      <c r="L90" s="73">
        <v>132.9</v>
      </c>
      <c r="M90" s="73">
        <v>131.4</v>
      </c>
      <c r="N90" s="73">
        <v>131.1</v>
      </c>
      <c r="O90" s="73">
        <v>128.19999999999999</v>
      </c>
      <c r="P90" s="73">
        <v>130.4</v>
      </c>
      <c r="Q90" s="73">
        <v>129.80000000000001</v>
      </c>
      <c r="R90" s="73">
        <v>131</v>
      </c>
      <c r="S90" s="73">
        <v>131</v>
      </c>
      <c r="T90" s="73">
        <v>132.1</v>
      </c>
      <c r="U90" s="73">
        <v>129.19999999999999</v>
      </c>
      <c r="V90" s="73">
        <v>131</v>
      </c>
      <c r="W90" s="73">
        <v>130.69999999999999</v>
      </c>
      <c r="X90" s="73">
        <v>131.69999999999999</v>
      </c>
      <c r="Y90" s="94">
        <v>130.9</v>
      </c>
      <c r="Z90" s="94">
        <v>127.8</v>
      </c>
      <c r="AA90" s="94">
        <v>130</v>
      </c>
      <c r="AB90" s="73">
        <v>135</v>
      </c>
      <c r="AC90" s="73">
        <v>134</v>
      </c>
      <c r="AD90" s="73">
        <v>128</v>
      </c>
      <c r="AE90" s="73">
        <v>129.30000000000001</v>
      </c>
      <c r="AF90" s="73">
        <v>130.30000000000001</v>
      </c>
      <c r="AG90" s="89"/>
      <c r="AH90" s="21">
        <f t="shared" si="22"/>
        <v>137.9</v>
      </c>
      <c r="AI90" s="20">
        <f t="shared" si="23"/>
        <v>124.4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63.5</v>
      </c>
      <c r="C91" s="87">
        <v>63.8</v>
      </c>
      <c r="D91" s="87">
        <v>63.5</v>
      </c>
      <c r="E91" s="87">
        <v>64.8</v>
      </c>
      <c r="F91" s="87">
        <v>65.099999999999994</v>
      </c>
      <c r="G91" s="87">
        <v>64.400000000000006</v>
      </c>
      <c r="H91" s="87">
        <v>63.9</v>
      </c>
      <c r="I91" s="87">
        <v>65.099999999999994</v>
      </c>
      <c r="J91" s="87">
        <v>63.9</v>
      </c>
      <c r="K91" s="87">
        <v>64.5</v>
      </c>
      <c r="L91" s="87">
        <v>64.5</v>
      </c>
      <c r="M91" s="87">
        <v>64.8</v>
      </c>
      <c r="N91" s="87">
        <v>63.9</v>
      </c>
      <c r="O91" s="87">
        <v>64.3</v>
      </c>
      <c r="P91" s="87">
        <v>64.099999999999994</v>
      </c>
      <c r="Q91" s="87">
        <v>63.9</v>
      </c>
      <c r="R91" s="87">
        <v>64.7</v>
      </c>
      <c r="S91" s="87">
        <v>64.7</v>
      </c>
      <c r="T91" s="87">
        <v>64.5</v>
      </c>
      <c r="U91" s="87">
        <v>64.7</v>
      </c>
      <c r="V91" s="87">
        <v>64.7</v>
      </c>
      <c r="W91" s="87">
        <v>65</v>
      </c>
      <c r="X91" s="87">
        <v>65.400000000000006</v>
      </c>
      <c r="Y91" s="87">
        <v>64.099999999999994</v>
      </c>
      <c r="Z91" s="87">
        <v>63.8</v>
      </c>
      <c r="AA91" s="87">
        <v>64.3</v>
      </c>
      <c r="AB91" s="87">
        <v>65.400000000000006</v>
      </c>
      <c r="AC91" s="87">
        <v>65.400000000000006</v>
      </c>
      <c r="AD91" s="87">
        <v>65.599999999999994</v>
      </c>
      <c r="AE91" s="87">
        <v>65.599999999999994</v>
      </c>
      <c r="AF91" s="87">
        <v>65.599999999999994</v>
      </c>
      <c r="AG91" s="86"/>
      <c r="AH91" s="21">
        <f t="shared" si="22"/>
        <v>65.599999999999994</v>
      </c>
      <c r="AI91" s="20">
        <f t="shared" si="23"/>
        <v>63.5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6">SUM(B15,B18,B21:B22,B42,B44:B45,B47,B49,B94:B97,B103,B109,B115,B124,B126,B138,B145,B148:B149,B156,B158,B160,B164:B166,B168:B170,B175,B181:B182,B184:B186,B194,B199)</f>
        <v>170.23999999999995</v>
      </c>
      <c r="C93" s="82">
        <f t="shared" ref="C93:AF93" si="37">SUM(C15,C18,C21:C22,C42,C44:C45,C47,C49,C94:C97,C103,C109,C115,C124,C126,C138,C145,C148:C149,C156,C158,C160,C164:C166,C168:C170,C175,C181:C182,C184:C186,C194,C199)</f>
        <v>165.64</v>
      </c>
      <c r="D93" s="82">
        <f t="shared" si="37"/>
        <v>165.64</v>
      </c>
      <c r="E93" s="82">
        <f t="shared" si="37"/>
        <v>157.83999999999997</v>
      </c>
      <c r="F93" s="82">
        <f t="shared" si="37"/>
        <v>160.83999999999997</v>
      </c>
      <c r="G93" s="80">
        <f t="shared" si="37"/>
        <v>198.33999999999997</v>
      </c>
      <c r="H93" s="80">
        <f t="shared" si="37"/>
        <v>220.93999999999997</v>
      </c>
      <c r="I93" s="80">
        <f t="shared" si="37"/>
        <v>263.04000000000002</v>
      </c>
      <c r="J93" s="80">
        <f t="shared" si="37"/>
        <v>263.04000000000002</v>
      </c>
      <c r="K93" s="80">
        <f t="shared" si="37"/>
        <v>318.44000000000005</v>
      </c>
      <c r="L93" s="80">
        <f t="shared" si="37"/>
        <v>323.74000000000007</v>
      </c>
      <c r="M93" s="80">
        <f t="shared" si="37"/>
        <v>320.34000000000003</v>
      </c>
      <c r="N93" s="80">
        <f t="shared" si="37"/>
        <v>310.64</v>
      </c>
      <c r="O93" s="80">
        <f t="shared" si="37"/>
        <v>315.74</v>
      </c>
      <c r="P93" s="80">
        <f t="shared" si="37"/>
        <v>296.44000000000005</v>
      </c>
      <c r="Q93" s="80">
        <f t="shared" si="37"/>
        <v>297.14000000000004</v>
      </c>
      <c r="R93" s="80">
        <f t="shared" si="37"/>
        <v>297.34000000000003</v>
      </c>
      <c r="S93" s="80">
        <f t="shared" si="37"/>
        <v>297.34000000000003</v>
      </c>
      <c r="T93" s="80">
        <f t="shared" si="37"/>
        <v>306.74</v>
      </c>
      <c r="U93" s="80">
        <f t="shared" si="37"/>
        <v>314.44000000000005</v>
      </c>
      <c r="V93" s="80">
        <f t="shared" si="37"/>
        <v>312.04000000000002</v>
      </c>
      <c r="W93" s="80">
        <f t="shared" si="37"/>
        <v>316.94000000000005</v>
      </c>
      <c r="X93" s="80">
        <f t="shared" si="37"/>
        <v>325.74</v>
      </c>
      <c r="Y93" s="80">
        <f t="shared" si="37"/>
        <v>352.54000000000008</v>
      </c>
      <c r="Z93" s="80">
        <f t="shared" si="37"/>
        <v>387.04000000000008</v>
      </c>
      <c r="AA93" s="80">
        <f t="shared" si="37"/>
        <v>373.74</v>
      </c>
      <c r="AB93" s="80">
        <f t="shared" si="37"/>
        <v>335.74</v>
      </c>
      <c r="AC93" s="80">
        <f t="shared" si="37"/>
        <v>324.24</v>
      </c>
      <c r="AD93" s="80">
        <f t="shared" si="37"/>
        <v>286.24</v>
      </c>
      <c r="AE93" s="80">
        <f t="shared" si="37"/>
        <v>234.23999999999995</v>
      </c>
      <c r="AF93" s="80">
        <f t="shared" si="37"/>
        <v>193.54</v>
      </c>
      <c r="AG93" s="79"/>
      <c r="AH93" s="21">
        <f>MAX(C93:AF93)</f>
        <v>387.04000000000008</v>
      </c>
      <c r="AI93" s="20">
        <f>MIN(C93:AF93)</f>
        <v>157.83999999999997</v>
      </c>
    </row>
    <row r="94" spans="1:88" x14ac:dyDescent="0.25">
      <c r="A94" s="48" t="s">
        <v>122</v>
      </c>
      <c r="B94" s="75">
        <v>7.1</v>
      </c>
      <c r="C94" s="77">
        <v>-1</v>
      </c>
      <c r="D94" s="77">
        <v>-1</v>
      </c>
      <c r="E94" s="77">
        <v>26.2</v>
      </c>
      <c r="F94" s="77">
        <v>20</v>
      </c>
      <c r="G94" s="76">
        <v>38.799999999999997</v>
      </c>
      <c r="H94" s="76">
        <v>35.9</v>
      </c>
      <c r="I94" s="76">
        <v>32.6</v>
      </c>
      <c r="J94" s="76">
        <v>32.6</v>
      </c>
      <c r="K94" s="76">
        <v>42.2</v>
      </c>
      <c r="L94" s="76">
        <v>38.9</v>
      </c>
      <c r="M94" s="75">
        <v>52.4</v>
      </c>
      <c r="N94" s="76">
        <v>44.1</v>
      </c>
      <c r="O94" s="76">
        <v>37.1</v>
      </c>
      <c r="P94" s="76">
        <v>15.2</v>
      </c>
      <c r="Q94" s="76">
        <v>4.9000000000000004</v>
      </c>
      <c r="R94" s="76">
        <v>6.2</v>
      </c>
      <c r="S94" s="76">
        <v>6.2</v>
      </c>
      <c r="T94" s="76">
        <v>9.6</v>
      </c>
      <c r="U94" s="75">
        <v>11.7</v>
      </c>
      <c r="V94" s="75">
        <v>1.2</v>
      </c>
      <c r="W94" s="75">
        <v>-1</v>
      </c>
      <c r="X94" s="75">
        <v>21.7</v>
      </c>
      <c r="Y94" s="76">
        <v>18.3</v>
      </c>
      <c r="Z94" s="76">
        <v>17.8</v>
      </c>
      <c r="AA94" s="76">
        <v>17</v>
      </c>
      <c r="AB94" s="75">
        <v>15.3</v>
      </c>
      <c r="AC94" s="75">
        <v>12.6</v>
      </c>
      <c r="AD94" s="75">
        <v>23.6</v>
      </c>
      <c r="AE94" s="75">
        <v>26.4</v>
      </c>
      <c r="AF94" s="75">
        <v>31.1</v>
      </c>
      <c r="AG94" s="3">
        <v>75</v>
      </c>
      <c r="AH94" s="21">
        <f t="shared" ref="AH94:AH100" si="38">IF(ABS(MAX(C94:AF94))&gt;ABS(MIN(C94:AF94)),MAX(C94:AF94),MIN(C94:AF94))</f>
        <v>52.4</v>
      </c>
      <c r="AI94" s="64">
        <f t="shared" ref="AI94:AI100" si="39">INDEX($C$9:$AF$9,1,MATCH(AH94,C94:AF94,0))</f>
        <v>0.33333333333333331</v>
      </c>
    </row>
    <row r="95" spans="1:88" x14ac:dyDescent="0.25">
      <c r="A95" s="45" t="s">
        <v>121</v>
      </c>
      <c r="B95" s="73">
        <v>-76</v>
      </c>
      <c r="C95" s="67">
        <v>-83</v>
      </c>
      <c r="D95" s="67">
        <v>-83</v>
      </c>
      <c r="E95" s="67">
        <v>-80</v>
      </c>
      <c r="F95" s="67">
        <v>-77.599999999999994</v>
      </c>
      <c r="G95" s="67">
        <v>-72.900000000000006</v>
      </c>
      <c r="H95" s="67">
        <v>-64.7</v>
      </c>
      <c r="I95" s="67">
        <v>-25.2</v>
      </c>
      <c r="J95" s="67">
        <v>-25.2</v>
      </c>
      <c r="K95" s="67">
        <v>-9.3000000000000007</v>
      </c>
      <c r="L95" s="67">
        <v>-8.1</v>
      </c>
      <c r="M95" s="67">
        <v>-21</v>
      </c>
      <c r="N95" s="67">
        <v>-15</v>
      </c>
      <c r="O95" s="67">
        <v>-18.600000000000001</v>
      </c>
      <c r="P95" s="67">
        <v>5.2</v>
      </c>
      <c r="Q95" s="67">
        <f>10.5+4.2</f>
        <v>14.7</v>
      </c>
      <c r="R95" s="67">
        <v>6.7</v>
      </c>
      <c r="S95" s="67">
        <v>6.7</v>
      </c>
      <c r="T95" s="67">
        <v>6.2</v>
      </c>
      <c r="U95" s="67">
        <v>8.3000000000000007</v>
      </c>
      <c r="V95" s="67">
        <v>11</v>
      </c>
      <c r="W95" s="67">
        <v>16.2</v>
      </c>
      <c r="X95" s="67">
        <v>-4</v>
      </c>
      <c r="Y95" s="67">
        <v>13.3</v>
      </c>
      <c r="Z95" s="67">
        <v>28</v>
      </c>
      <c r="AA95" s="67">
        <v>18</v>
      </c>
      <c r="AB95" s="73">
        <v>8.1</v>
      </c>
      <c r="AC95" s="73">
        <v>6.2</v>
      </c>
      <c r="AD95" s="73">
        <v>-17</v>
      </c>
      <c r="AE95" s="73">
        <f>-13.3-23.9</f>
        <v>-37.200000000000003</v>
      </c>
      <c r="AF95" s="73">
        <f>-21.9-33.1</f>
        <v>-55</v>
      </c>
      <c r="AG95" s="3">
        <v>240</v>
      </c>
      <c r="AH95" s="21">
        <f t="shared" si="38"/>
        <v>-83</v>
      </c>
      <c r="AI95" s="64">
        <f t="shared" si="39"/>
        <v>4.1666666666666664E-2</v>
      </c>
    </row>
    <row r="96" spans="1:88" x14ac:dyDescent="0.25">
      <c r="A96" s="45" t="s">
        <v>120</v>
      </c>
      <c r="B96" s="73">
        <v>-15.3</v>
      </c>
      <c r="C96" s="67">
        <v>-19.899999999999999</v>
      </c>
      <c r="D96" s="67">
        <v>-19.899999999999999</v>
      </c>
      <c r="E96" s="67">
        <v>-13.4</v>
      </c>
      <c r="F96" s="67">
        <v>-16.899999999999999</v>
      </c>
      <c r="G96" s="67">
        <v>-9.3000000000000007</v>
      </c>
      <c r="H96" s="67">
        <v>-4.9000000000000004</v>
      </c>
      <c r="I96" s="67">
        <v>-4.5</v>
      </c>
      <c r="J96" s="67">
        <v>-4.5</v>
      </c>
      <c r="K96" s="67">
        <v>12.1</v>
      </c>
      <c r="L96" s="67">
        <v>15.3</v>
      </c>
      <c r="M96" s="67">
        <v>11.7</v>
      </c>
      <c r="N96" s="67">
        <v>12.7</v>
      </c>
      <c r="O96" s="67">
        <v>31.7</v>
      </c>
      <c r="P96" s="67">
        <v>21.3</v>
      </c>
      <c r="Q96" s="67">
        <v>25.4</v>
      </c>
      <c r="R96" s="67">
        <v>30.8</v>
      </c>
      <c r="S96" s="67">
        <v>30.8</v>
      </c>
      <c r="T96" s="67">
        <v>31</v>
      </c>
      <c r="U96" s="67">
        <v>27.6</v>
      </c>
      <c r="V96" s="67">
        <v>31.7</v>
      </c>
      <c r="W96" s="67">
        <v>27.1</v>
      </c>
      <c r="X96" s="67">
        <v>26.6</v>
      </c>
      <c r="Y96" s="67">
        <v>37.6</v>
      </c>
      <c r="Z96" s="67">
        <v>40</v>
      </c>
      <c r="AA96" s="67">
        <v>39.1</v>
      </c>
      <c r="AB96" s="73">
        <v>35.6</v>
      </c>
      <c r="AC96" s="73">
        <v>35.299999999999997</v>
      </c>
      <c r="AD96" s="73">
        <v>28.7</v>
      </c>
      <c r="AE96" s="73">
        <v>21.6</v>
      </c>
      <c r="AF96" s="73">
        <v>15.9</v>
      </c>
      <c r="AG96" s="3">
        <v>60</v>
      </c>
      <c r="AH96" s="21">
        <f t="shared" si="38"/>
        <v>40</v>
      </c>
      <c r="AI96" s="64">
        <f t="shared" si="39"/>
        <v>0.79166666666666663</v>
      </c>
    </row>
    <row r="97" spans="1:37" x14ac:dyDescent="0.25">
      <c r="A97" s="41" t="s">
        <v>119</v>
      </c>
      <c r="B97" s="69">
        <v>66.099999999999994</v>
      </c>
      <c r="C97" s="70">
        <v>81.3</v>
      </c>
      <c r="D97" s="70">
        <v>81.3</v>
      </c>
      <c r="E97" s="70">
        <v>36.799999999999997</v>
      </c>
      <c r="F97" s="70">
        <v>47.1</v>
      </c>
      <c r="G97" s="70">
        <v>52.5</v>
      </c>
      <c r="H97" s="70">
        <v>65.3</v>
      </c>
      <c r="I97" s="70">
        <v>70.8</v>
      </c>
      <c r="J97" s="70">
        <v>70.8</v>
      </c>
      <c r="K97" s="70">
        <v>84.2</v>
      </c>
      <c r="L97" s="70">
        <v>88.4</v>
      </c>
      <c r="M97" s="70">
        <v>88</v>
      </c>
      <c r="N97" s="70">
        <v>79.599999999999994</v>
      </c>
      <c r="O97" s="70">
        <v>76.3</v>
      </c>
      <c r="P97" s="70">
        <v>66.099999999999994</v>
      </c>
      <c r="Q97" s="70">
        <v>62.8</v>
      </c>
      <c r="R97" s="70">
        <v>64.2</v>
      </c>
      <c r="S97" s="70">
        <v>64.2</v>
      </c>
      <c r="T97" s="70">
        <v>70.5</v>
      </c>
      <c r="U97" s="70">
        <v>77.400000000000006</v>
      </c>
      <c r="V97" s="70">
        <v>78.7</v>
      </c>
      <c r="W97" s="70">
        <v>85.2</v>
      </c>
      <c r="X97" s="70">
        <v>92</v>
      </c>
      <c r="Y97" s="70">
        <v>93.9</v>
      </c>
      <c r="Z97" s="70">
        <v>112.1</v>
      </c>
      <c r="AA97" s="70">
        <v>110.5</v>
      </c>
      <c r="AB97" s="69">
        <v>87.8</v>
      </c>
      <c r="AC97" s="69">
        <v>81.2</v>
      </c>
      <c r="AD97" s="69">
        <v>62</v>
      </c>
      <c r="AE97" s="69">
        <v>34.4</v>
      </c>
      <c r="AF97" s="69">
        <v>12.3</v>
      </c>
      <c r="AG97" s="72">
        <v>120</v>
      </c>
      <c r="AH97" s="21">
        <f t="shared" si="38"/>
        <v>112.1</v>
      </c>
      <c r="AI97" s="64">
        <f t="shared" si="39"/>
        <v>0.79166666666666663</v>
      </c>
    </row>
    <row r="98" spans="1:37" x14ac:dyDescent="0.25">
      <c r="A98" s="41" t="s">
        <v>118</v>
      </c>
      <c r="B98" s="69">
        <v>77.5</v>
      </c>
      <c r="C98" s="70">
        <v>79.8</v>
      </c>
      <c r="D98" s="70">
        <v>79.8</v>
      </c>
      <c r="E98" s="70">
        <v>55.3</v>
      </c>
      <c r="F98" s="70">
        <v>68.5</v>
      </c>
      <c r="G98" s="70">
        <v>63.8</v>
      </c>
      <c r="H98" s="70">
        <v>62.6</v>
      </c>
      <c r="I98" s="70">
        <v>51.1</v>
      </c>
      <c r="J98" s="70">
        <v>51.1</v>
      </c>
      <c r="K98" s="70">
        <v>54.4</v>
      </c>
      <c r="L98" s="70">
        <v>56.9</v>
      </c>
      <c r="M98" s="70">
        <v>37.9</v>
      </c>
      <c r="N98" s="70">
        <v>56.7</v>
      </c>
      <c r="O98" s="70">
        <v>35.1</v>
      </c>
      <c r="P98" s="70">
        <v>87.6</v>
      </c>
      <c r="Q98" s="70">
        <v>92.1</v>
      </c>
      <c r="R98" s="70">
        <v>79.5</v>
      </c>
      <c r="S98" s="70">
        <v>79.5</v>
      </c>
      <c r="T98" s="70">
        <v>78.099999999999994</v>
      </c>
      <c r="U98" s="70">
        <v>82.7</v>
      </c>
      <c r="V98" s="70">
        <v>76</v>
      </c>
      <c r="W98" s="70">
        <v>81.900000000000006</v>
      </c>
      <c r="X98" s="70">
        <v>52.2</v>
      </c>
      <c r="Y98" s="70">
        <v>96</v>
      </c>
      <c r="Z98" s="70">
        <v>105</v>
      </c>
      <c r="AA98" s="70">
        <v>97.6</v>
      </c>
      <c r="AB98" s="69">
        <v>89.8</v>
      </c>
      <c r="AC98" s="69">
        <v>97.6</v>
      </c>
      <c r="AD98" s="69">
        <v>72.900000000000006</v>
      </c>
      <c r="AE98" s="69">
        <v>44.4</v>
      </c>
      <c r="AF98" s="69">
        <v>45.7</v>
      </c>
      <c r="AG98" s="72"/>
      <c r="AH98" s="21">
        <f t="shared" si="38"/>
        <v>105</v>
      </c>
      <c r="AI98" s="64">
        <f t="shared" si="39"/>
        <v>0.79166666666666663</v>
      </c>
    </row>
    <row r="99" spans="1:37" x14ac:dyDescent="0.25">
      <c r="A99" s="41" t="s">
        <v>117</v>
      </c>
      <c r="B99" s="69">
        <v>76.599999999999994</v>
      </c>
      <c r="C99" s="70">
        <v>81.5</v>
      </c>
      <c r="D99" s="70">
        <v>81.5</v>
      </c>
      <c r="E99" s="70">
        <v>82</v>
      </c>
      <c r="F99" s="70">
        <v>79.400000000000006</v>
      </c>
      <c r="G99" s="70">
        <v>76.2</v>
      </c>
      <c r="H99" s="70">
        <v>82.5</v>
      </c>
      <c r="I99" s="70">
        <v>67.2</v>
      </c>
      <c r="J99" s="70">
        <v>67.2</v>
      </c>
      <c r="K99" s="70">
        <v>73.5</v>
      </c>
      <c r="L99" s="70">
        <v>80.2</v>
      </c>
      <c r="M99" s="70">
        <v>48</v>
      </c>
      <c r="N99" s="70">
        <v>73.3</v>
      </c>
      <c r="O99" s="70">
        <v>66.3</v>
      </c>
      <c r="P99" s="70">
        <v>60.6</v>
      </c>
      <c r="Q99" s="70">
        <v>77.7</v>
      </c>
      <c r="R99" s="70">
        <v>75.900000000000006</v>
      </c>
      <c r="S99" s="70">
        <v>75.900000000000006</v>
      </c>
      <c r="T99" s="70">
        <v>77.400000000000006</v>
      </c>
      <c r="U99" s="70">
        <v>76.900000000000006</v>
      </c>
      <c r="V99" s="70">
        <v>74.2</v>
      </c>
      <c r="W99" s="70">
        <v>67.2</v>
      </c>
      <c r="X99" s="70">
        <v>58.9</v>
      </c>
      <c r="Y99" s="70">
        <v>63</v>
      </c>
      <c r="Z99" s="70">
        <v>71</v>
      </c>
      <c r="AA99" s="70">
        <v>76.3</v>
      </c>
      <c r="AB99" s="69">
        <v>82.2</v>
      </c>
      <c r="AC99" s="69">
        <v>83.9</v>
      </c>
      <c r="AD99" s="69">
        <v>73</v>
      </c>
      <c r="AE99" s="69">
        <v>66.2</v>
      </c>
      <c r="AF99" s="69">
        <v>60.4</v>
      </c>
      <c r="AG99" s="65"/>
      <c r="AH99" s="21">
        <f t="shared" si="38"/>
        <v>83.9</v>
      </c>
      <c r="AI99" s="64">
        <f t="shared" si="39"/>
        <v>0.85416666666666663</v>
      </c>
    </row>
    <row r="100" spans="1:37" ht="15.75" thickBot="1" x14ac:dyDescent="0.3">
      <c r="A100" s="68" t="s">
        <v>116</v>
      </c>
      <c r="B100" s="66">
        <v>66.5</v>
      </c>
      <c r="C100" s="67">
        <v>67.5</v>
      </c>
      <c r="D100" s="67">
        <v>67.5</v>
      </c>
      <c r="E100" s="67">
        <v>77.3</v>
      </c>
      <c r="F100" s="67">
        <v>71.7</v>
      </c>
      <c r="G100" s="67">
        <v>73.2</v>
      </c>
      <c r="H100" s="67">
        <v>76.099999999999994</v>
      </c>
      <c r="I100" s="67">
        <v>80</v>
      </c>
      <c r="J100" s="67">
        <v>80</v>
      </c>
      <c r="K100" s="67">
        <v>85.8</v>
      </c>
      <c r="L100" s="67">
        <v>82.4</v>
      </c>
      <c r="M100" s="67">
        <v>84.4</v>
      </c>
      <c r="N100" s="67">
        <v>37</v>
      </c>
      <c r="O100" s="67">
        <v>48</v>
      </c>
      <c r="P100" s="67">
        <v>36.299999999999997</v>
      </c>
      <c r="Q100" s="67">
        <v>34.4</v>
      </c>
      <c r="R100" s="67">
        <v>44.1</v>
      </c>
      <c r="S100" s="67">
        <v>44.1</v>
      </c>
      <c r="T100" s="67">
        <v>38</v>
      </c>
      <c r="U100" s="67">
        <v>43</v>
      </c>
      <c r="V100" s="67">
        <v>35</v>
      </c>
      <c r="W100" s="67">
        <v>35.6</v>
      </c>
      <c r="X100" s="67">
        <v>35.6</v>
      </c>
      <c r="Y100" s="67">
        <v>109</v>
      </c>
      <c r="Z100" s="67">
        <v>115</v>
      </c>
      <c r="AA100" s="67">
        <v>111</v>
      </c>
      <c r="AB100" s="66">
        <v>114.9</v>
      </c>
      <c r="AC100" s="66">
        <v>112</v>
      </c>
      <c r="AD100" s="66">
        <v>104</v>
      </c>
      <c r="AE100" s="66">
        <v>91.2</v>
      </c>
      <c r="AF100" s="66">
        <v>85.8</v>
      </c>
      <c r="AG100" s="65"/>
      <c r="AH100" s="21">
        <f t="shared" si="38"/>
        <v>115</v>
      </c>
      <c r="AI100" s="64">
        <f t="shared" si="39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0">AF102</f>
        <v>9.9</v>
      </c>
      <c r="C102" s="54">
        <v>9.9</v>
      </c>
      <c r="D102" s="58">
        <f t="shared" ref="D102:S107" si="41">C102</f>
        <v>9.9</v>
      </c>
      <c r="E102" s="58">
        <f t="shared" si="41"/>
        <v>9.9</v>
      </c>
      <c r="F102" s="58">
        <f t="shared" si="41"/>
        <v>9.9</v>
      </c>
      <c r="G102" s="58">
        <f t="shared" si="41"/>
        <v>9.9</v>
      </c>
      <c r="H102" s="58">
        <f t="shared" si="41"/>
        <v>9.9</v>
      </c>
      <c r="I102" s="58">
        <f t="shared" si="41"/>
        <v>9.9</v>
      </c>
      <c r="J102" s="58">
        <f t="shared" si="41"/>
        <v>9.9</v>
      </c>
      <c r="K102" s="58">
        <f t="shared" si="41"/>
        <v>9.9</v>
      </c>
      <c r="L102" s="58">
        <f t="shared" si="41"/>
        <v>9.9</v>
      </c>
      <c r="M102" s="58">
        <f t="shared" si="41"/>
        <v>9.9</v>
      </c>
      <c r="N102" s="58">
        <f t="shared" si="41"/>
        <v>9.9</v>
      </c>
      <c r="O102" s="58">
        <f t="shared" si="41"/>
        <v>9.9</v>
      </c>
      <c r="P102" s="58">
        <f t="shared" si="41"/>
        <v>9.9</v>
      </c>
      <c r="Q102" s="58">
        <f t="shared" si="41"/>
        <v>9.9</v>
      </c>
      <c r="R102" s="58">
        <f t="shared" si="41"/>
        <v>9.9</v>
      </c>
      <c r="S102" s="58">
        <f t="shared" si="41"/>
        <v>9.9</v>
      </c>
      <c r="T102" s="58">
        <f t="shared" ref="T102:AF107" si="42">S102</f>
        <v>9.9</v>
      </c>
      <c r="U102" s="58">
        <f t="shared" si="42"/>
        <v>9.9</v>
      </c>
      <c r="V102" s="58">
        <f t="shared" si="42"/>
        <v>9.9</v>
      </c>
      <c r="W102" s="58">
        <f t="shared" si="42"/>
        <v>9.9</v>
      </c>
      <c r="X102" s="58">
        <f t="shared" si="42"/>
        <v>9.9</v>
      </c>
      <c r="Y102" s="58">
        <f t="shared" si="42"/>
        <v>9.9</v>
      </c>
      <c r="Z102" s="58">
        <f t="shared" si="42"/>
        <v>9.9</v>
      </c>
      <c r="AA102" s="58">
        <f t="shared" si="42"/>
        <v>9.9</v>
      </c>
      <c r="AB102" s="58">
        <f t="shared" si="42"/>
        <v>9.9</v>
      </c>
      <c r="AC102" s="58">
        <f t="shared" si="42"/>
        <v>9.9</v>
      </c>
      <c r="AD102" s="58">
        <f t="shared" si="42"/>
        <v>9.9</v>
      </c>
      <c r="AE102" s="58">
        <f t="shared" si="42"/>
        <v>9.9</v>
      </c>
      <c r="AF102" s="58">
        <f t="shared" si="42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0"/>
        <v>9.6</v>
      </c>
      <c r="C103" s="55">
        <v>9.6</v>
      </c>
      <c r="D103" s="44">
        <f t="shared" si="41"/>
        <v>9.6</v>
      </c>
      <c r="E103" s="44">
        <f t="shared" si="41"/>
        <v>9.6</v>
      </c>
      <c r="F103" s="44">
        <f t="shared" si="41"/>
        <v>9.6</v>
      </c>
      <c r="G103" s="44">
        <f t="shared" si="41"/>
        <v>9.6</v>
      </c>
      <c r="H103" s="44">
        <f t="shared" si="41"/>
        <v>9.6</v>
      </c>
      <c r="I103" s="44">
        <f t="shared" si="41"/>
        <v>9.6</v>
      </c>
      <c r="J103" s="44">
        <f t="shared" si="41"/>
        <v>9.6</v>
      </c>
      <c r="K103" s="44">
        <f t="shared" si="41"/>
        <v>9.6</v>
      </c>
      <c r="L103" s="44">
        <f t="shared" si="41"/>
        <v>9.6</v>
      </c>
      <c r="M103" s="44">
        <f t="shared" si="41"/>
        <v>9.6</v>
      </c>
      <c r="N103" s="44">
        <f t="shared" si="41"/>
        <v>9.6</v>
      </c>
      <c r="O103" s="44">
        <f t="shared" si="41"/>
        <v>9.6</v>
      </c>
      <c r="P103" s="44">
        <f t="shared" si="41"/>
        <v>9.6</v>
      </c>
      <c r="Q103" s="44">
        <f t="shared" si="41"/>
        <v>9.6</v>
      </c>
      <c r="R103" s="44">
        <f t="shared" si="41"/>
        <v>9.6</v>
      </c>
      <c r="S103" s="44">
        <f t="shared" si="41"/>
        <v>9.6</v>
      </c>
      <c r="T103" s="44">
        <f t="shared" si="42"/>
        <v>9.6</v>
      </c>
      <c r="U103" s="44">
        <f t="shared" si="42"/>
        <v>9.6</v>
      </c>
      <c r="V103" s="44">
        <f t="shared" si="42"/>
        <v>9.6</v>
      </c>
      <c r="W103" s="44">
        <f t="shared" si="42"/>
        <v>9.6</v>
      </c>
      <c r="X103" s="44">
        <f t="shared" si="42"/>
        <v>9.6</v>
      </c>
      <c r="Y103" s="44">
        <f t="shared" si="42"/>
        <v>9.6</v>
      </c>
      <c r="Z103" s="44">
        <f t="shared" si="42"/>
        <v>9.6</v>
      </c>
      <c r="AA103" s="44">
        <f t="shared" si="42"/>
        <v>9.6</v>
      </c>
      <c r="AB103" s="44">
        <f t="shared" si="42"/>
        <v>9.6</v>
      </c>
      <c r="AC103" s="44">
        <f t="shared" si="42"/>
        <v>9.6</v>
      </c>
      <c r="AD103" s="44">
        <f t="shared" si="42"/>
        <v>9.6</v>
      </c>
      <c r="AE103" s="44">
        <f t="shared" si="42"/>
        <v>9.6</v>
      </c>
      <c r="AF103" s="44">
        <f t="shared" si="42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0"/>
        <v>9.98</v>
      </c>
      <c r="C104" s="55">
        <v>9.98</v>
      </c>
      <c r="D104" s="44">
        <f t="shared" si="41"/>
        <v>9.98</v>
      </c>
      <c r="E104" s="44">
        <f t="shared" si="41"/>
        <v>9.98</v>
      </c>
      <c r="F104" s="44">
        <f t="shared" si="41"/>
        <v>9.98</v>
      </c>
      <c r="G104" s="44">
        <f t="shared" si="41"/>
        <v>9.98</v>
      </c>
      <c r="H104" s="44">
        <f t="shared" si="41"/>
        <v>9.98</v>
      </c>
      <c r="I104" s="44">
        <f t="shared" si="41"/>
        <v>9.98</v>
      </c>
      <c r="J104" s="44">
        <f t="shared" si="41"/>
        <v>9.98</v>
      </c>
      <c r="K104" s="44">
        <f t="shared" si="41"/>
        <v>9.98</v>
      </c>
      <c r="L104" s="44">
        <f t="shared" si="41"/>
        <v>9.98</v>
      </c>
      <c r="M104" s="44">
        <f t="shared" si="41"/>
        <v>9.98</v>
      </c>
      <c r="N104" s="44">
        <f t="shared" si="41"/>
        <v>9.98</v>
      </c>
      <c r="O104" s="44">
        <f t="shared" si="41"/>
        <v>9.98</v>
      </c>
      <c r="P104" s="44">
        <f t="shared" si="41"/>
        <v>9.98</v>
      </c>
      <c r="Q104" s="44">
        <f t="shared" si="41"/>
        <v>9.98</v>
      </c>
      <c r="R104" s="44">
        <f t="shared" si="41"/>
        <v>9.98</v>
      </c>
      <c r="S104" s="44">
        <f t="shared" si="41"/>
        <v>9.98</v>
      </c>
      <c r="T104" s="44">
        <f t="shared" si="42"/>
        <v>9.98</v>
      </c>
      <c r="U104" s="44">
        <f t="shared" si="42"/>
        <v>9.98</v>
      </c>
      <c r="V104" s="44">
        <f t="shared" si="42"/>
        <v>9.98</v>
      </c>
      <c r="W104" s="44">
        <f t="shared" si="42"/>
        <v>9.98</v>
      </c>
      <c r="X104" s="44">
        <f t="shared" si="42"/>
        <v>9.98</v>
      </c>
      <c r="Y104" s="44">
        <f t="shared" si="42"/>
        <v>9.98</v>
      </c>
      <c r="Z104" s="44">
        <f t="shared" si="42"/>
        <v>9.98</v>
      </c>
      <c r="AA104" s="44">
        <f t="shared" si="42"/>
        <v>9.98</v>
      </c>
      <c r="AB104" s="44">
        <f t="shared" si="42"/>
        <v>9.98</v>
      </c>
      <c r="AC104" s="44">
        <f t="shared" si="42"/>
        <v>9.98</v>
      </c>
      <c r="AD104" s="44">
        <f t="shared" si="42"/>
        <v>9.98</v>
      </c>
      <c r="AE104" s="44">
        <f t="shared" si="42"/>
        <v>9.98</v>
      </c>
      <c r="AF104" s="44">
        <f t="shared" si="42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0"/>
        <v>9.1</v>
      </c>
      <c r="C105" s="55">
        <v>9.1</v>
      </c>
      <c r="D105" s="44">
        <f t="shared" si="41"/>
        <v>9.1</v>
      </c>
      <c r="E105" s="44">
        <f t="shared" si="41"/>
        <v>9.1</v>
      </c>
      <c r="F105" s="44">
        <f t="shared" si="41"/>
        <v>9.1</v>
      </c>
      <c r="G105" s="44">
        <f t="shared" si="41"/>
        <v>9.1</v>
      </c>
      <c r="H105" s="44">
        <f t="shared" si="41"/>
        <v>9.1</v>
      </c>
      <c r="I105" s="44">
        <f t="shared" si="41"/>
        <v>9.1</v>
      </c>
      <c r="J105" s="44">
        <f t="shared" si="41"/>
        <v>9.1</v>
      </c>
      <c r="K105" s="44">
        <f t="shared" si="41"/>
        <v>9.1</v>
      </c>
      <c r="L105" s="44">
        <f t="shared" si="41"/>
        <v>9.1</v>
      </c>
      <c r="M105" s="44">
        <f t="shared" si="41"/>
        <v>9.1</v>
      </c>
      <c r="N105" s="44">
        <f t="shared" si="41"/>
        <v>9.1</v>
      </c>
      <c r="O105" s="44">
        <f t="shared" si="41"/>
        <v>9.1</v>
      </c>
      <c r="P105" s="44">
        <f t="shared" si="41"/>
        <v>9.1</v>
      </c>
      <c r="Q105" s="44">
        <f t="shared" si="41"/>
        <v>9.1</v>
      </c>
      <c r="R105" s="44">
        <f t="shared" si="41"/>
        <v>9.1</v>
      </c>
      <c r="S105" s="44">
        <f t="shared" si="41"/>
        <v>9.1</v>
      </c>
      <c r="T105" s="44">
        <f t="shared" si="42"/>
        <v>9.1</v>
      </c>
      <c r="U105" s="44">
        <f t="shared" si="42"/>
        <v>9.1</v>
      </c>
      <c r="V105" s="44">
        <f t="shared" si="42"/>
        <v>9.1</v>
      </c>
      <c r="W105" s="44">
        <f t="shared" si="42"/>
        <v>9.1</v>
      </c>
      <c r="X105" s="44">
        <f t="shared" si="42"/>
        <v>9.1</v>
      </c>
      <c r="Y105" s="44">
        <f t="shared" si="42"/>
        <v>9.1</v>
      </c>
      <c r="Z105" s="44">
        <f t="shared" si="42"/>
        <v>9.1</v>
      </c>
      <c r="AA105" s="44">
        <f t="shared" si="42"/>
        <v>9.1</v>
      </c>
      <c r="AB105" s="44">
        <f t="shared" si="42"/>
        <v>9.1</v>
      </c>
      <c r="AC105" s="44">
        <f t="shared" si="42"/>
        <v>9.1</v>
      </c>
      <c r="AD105" s="44">
        <f t="shared" si="42"/>
        <v>9.1</v>
      </c>
      <c r="AE105" s="44">
        <f t="shared" si="42"/>
        <v>9.1</v>
      </c>
      <c r="AF105" s="44">
        <f t="shared" si="42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0"/>
        <v>9.18</v>
      </c>
      <c r="C106" s="55">
        <v>9.18</v>
      </c>
      <c r="D106" s="44">
        <f t="shared" si="41"/>
        <v>9.18</v>
      </c>
      <c r="E106" s="44">
        <f t="shared" si="41"/>
        <v>9.18</v>
      </c>
      <c r="F106" s="44">
        <f t="shared" si="41"/>
        <v>9.18</v>
      </c>
      <c r="G106" s="44">
        <f t="shared" si="41"/>
        <v>9.18</v>
      </c>
      <c r="H106" s="44">
        <f t="shared" si="41"/>
        <v>9.18</v>
      </c>
      <c r="I106" s="44">
        <f t="shared" si="41"/>
        <v>9.18</v>
      </c>
      <c r="J106" s="44">
        <f t="shared" si="41"/>
        <v>9.18</v>
      </c>
      <c r="K106" s="44">
        <f t="shared" si="41"/>
        <v>9.18</v>
      </c>
      <c r="L106" s="44">
        <f t="shared" si="41"/>
        <v>9.18</v>
      </c>
      <c r="M106" s="44">
        <f t="shared" si="41"/>
        <v>9.18</v>
      </c>
      <c r="N106" s="44">
        <f t="shared" si="41"/>
        <v>9.18</v>
      </c>
      <c r="O106" s="44">
        <f t="shared" si="41"/>
        <v>9.18</v>
      </c>
      <c r="P106" s="44">
        <f t="shared" si="41"/>
        <v>9.18</v>
      </c>
      <c r="Q106" s="44">
        <f t="shared" si="41"/>
        <v>9.18</v>
      </c>
      <c r="R106" s="44">
        <f t="shared" si="41"/>
        <v>9.18</v>
      </c>
      <c r="S106" s="44">
        <f t="shared" si="41"/>
        <v>9.18</v>
      </c>
      <c r="T106" s="44">
        <f t="shared" si="42"/>
        <v>9.18</v>
      </c>
      <c r="U106" s="44">
        <f t="shared" si="42"/>
        <v>9.18</v>
      </c>
      <c r="V106" s="44">
        <f t="shared" si="42"/>
        <v>9.18</v>
      </c>
      <c r="W106" s="44">
        <f t="shared" si="42"/>
        <v>9.18</v>
      </c>
      <c r="X106" s="44">
        <f t="shared" si="42"/>
        <v>9.18</v>
      </c>
      <c r="Y106" s="44">
        <f t="shared" si="42"/>
        <v>9.18</v>
      </c>
      <c r="Z106" s="44">
        <f t="shared" si="42"/>
        <v>9.18</v>
      </c>
      <c r="AA106" s="44">
        <f t="shared" si="42"/>
        <v>9.18</v>
      </c>
      <c r="AB106" s="44">
        <f t="shared" si="42"/>
        <v>9.18</v>
      </c>
      <c r="AC106" s="44">
        <f t="shared" si="42"/>
        <v>9.18</v>
      </c>
      <c r="AD106" s="44">
        <f t="shared" si="42"/>
        <v>9.18</v>
      </c>
      <c r="AE106" s="44">
        <f t="shared" si="42"/>
        <v>9.18</v>
      </c>
      <c r="AF106" s="44">
        <f t="shared" si="42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0"/>
        <v>7</v>
      </c>
      <c r="C107" s="55">
        <v>7</v>
      </c>
      <c r="D107" s="44">
        <f t="shared" si="41"/>
        <v>7</v>
      </c>
      <c r="E107" s="44">
        <f t="shared" si="41"/>
        <v>7</v>
      </c>
      <c r="F107" s="44">
        <f t="shared" si="41"/>
        <v>7</v>
      </c>
      <c r="G107" s="44">
        <f t="shared" si="41"/>
        <v>7</v>
      </c>
      <c r="H107" s="44">
        <f t="shared" si="41"/>
        <v>7</v>
      </c>
      <c r="I107" s="44">
        <f t="shared" si="41"/>
        <v>7</v>
      </c>
      <c r="J107" s="44">
        <f t="shared" si="41"/>
        <v>7</v>
      </c>
      <c r="K107" s="44">
        <f t="shared" si="41"/>
        <v>7</v>
      </c>
      <c r="L107" s="44">
        <f t="shared" si="41"/>
        <v>7</v>
      </c>
      <c r="M107" s="44">
        <f t="shared" si="41"/>
        <v>7</v>
      </c>
      <c r="N107" s="44">
        <f t="shared" si="41"/>
        <v>7</v>
      </c>
      <c r="O107" s="44">
        <f t="shared" si="41"/>
        <v>7</v>
      </c>
      <c r="P107" s="44">
        <f t="shared" si="41"/>
        <v>7</v>
      </c>
      <c r="Q107" s="44">
        <f t="shared" si="41"/>
        <v>7</v>
      </c>
      <c r="R107" s="44">
        <f t="shared" si="41"/>
        <v>7</v>
      </c>
      <c r="S107" s="44">
        <f t="shared" si="41"/>
        <v>7</v>
      </c>
      <c r="T107" s="44">
        <f t="shared" si="42"/>
        <v>7</v>
      </c>
      <c r="U107" s="44">
        <f t="shared" si="42"/>
        <v>7</v>
      </c>
      <c r="V107" s="44">
        <f t="shared" si="42"/>
        <v>7</v>
      </c>
      <c r="W107" s="44">
        <f t="shared" si="42"/>
        <v>7</v>
      </c>
      <c r="X107" s="44">
        <f t="shared" si="42"/>
        <v>7</v>
      </c>
      <c r="Y107" s="44">
        <f t="shared" si="42"/>
        <v>7</v>
      </c>
      <c r="Z107" s="44">
        <f t="shared" si="42"/>
        <v>7</v>
      </c>
      <c r="AA107" s="44">
        <f t="shared" si="42"/>
        <v>7</v>
      </c>
      <c r="AB107" s="44">
        <f t="shared" si="42"/>
        <v>7</v>
      </c>
      <c r="AC107" s="44">
        <f t="shared" si="42"/>
        <v>7</v>
      </c>
      <c r="AD107" s="44">
        <f t="shared" si="42"/>
        <v>7</v>
      </c>
      <c r="AE107" s="44">
        <f t="shared" si="42"/>
        <v>7</v>
      </c>
      <c r="AF107" s="44">
        <f t="shared" si="42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3">C109</f>
        <v>2.25</v>
      </c>
      <c r="E109" s="44">
        <f t="shared" si="43"/>
        <v>2.25</v>
      </c>
      <c r="F109" s="44">
        <f t="shared" si="43"/>
        <v>2.25</v>
      </c>
      <c r="G109" s="44">
        <f t="shared" si="43"/>
        <v>2.25</v>
      </c>
      <c r="H109" s="44">
        <f t="shared" si="43"/>
        <v>2.25</v>
      </c>
      <c r="I109" s="44">
        <f t="shared" si="43"/>
        <v>2.25</v>
      </c>
      <c r="J109" s="44">
        <f t="shared" si="43"/>
        <v>2.25</v>
      </c>
      <c r="K109" s="44">
        <f t="shared" si="43"/>
        <v>2.25</v>
      </c>
      <c r="L109" s="44">
        <f t="shared" si="43"/>
        <v>2.25</v>
      </c>
      <c r="M109" s="44">
        <f t="shared" si="43"/>
        <v>2.25</v>
      </c>
      <c r="N109" s="44">
        <f t="shared" si="43"/>
        <v>2.25</v>
      </c>
      <c r="O109" s="44">
        <f t="shared" si="43"/>
        <v>2.25</v>
      </c>
      <c r="P109" s="44">
        <f t="shared" si="43"/>
        <v>2.25</v>
      </c>
      <c r="Q109" s="44">
        <f t="shared" si="43"/>
        <v>2.25</v>
      </c>
      <c r="R109" s="44">
        <f t="shared" si="43"/>
        <v>2.25</v>
      </c>
      <c r="S109" s="44">
        <f t="shared" si="43"/>
        <v>2.25</v>
      </c>
      <c r="T109" s="44">
        <f t="shared" ref="T109:AF110" si="44">S109</f>
        <v>2.25</v>
      </c>
      <c r="U109" s="44">
        <f t="shared" si="44"/>
        <v>2.25</v>
      </c>
      <c r="V109" s="44">
        <f t="shared" si="44"/>
        <v>2.25</v>
      </c>
      <c r="W109" s="44">
        <f t="shared" si="44"/>
        <v>2.25</v>
      </c>
      <c r="X109" s="44">
        <f t="shared" si="44"/>
        <v>2.25</v>
      </c>
      <c r="Y109" s="44">
        <f t="shared" si="44"/>
        <v>2.25</v>
      </c>
      <c r="Z109" s="44">
        <f t="shared" si="44"/>
        <v>2.25</v>
      </c>
      <c r="AA109" s="44">
        <f t="shared" si="44"/>
        <v>2.25</v>
      </c>
      <c r="AB109" s="44">
        <f t="shared" si="44"/>
        <v>2.25</v>
      </c>
      <c r="AC109" s="44">
        <f t="shared" si="44"/>
        <v>2.25</v>
      </c>
      <c r="AD109" s="44">
        <f t="shared" si="44"/>
        <v>2.25</v>
      </c>
      <c r="AE109" s="44">
        <f t="shared" si="44"/>
        <v>2.25</v>
      </c>
      <c r="AF109" s="44">
        <f t="shared" si="44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3"/>
        <v>1.64</v>
      </c>
      <c r="E110" s="44">
        <f t="shared" si="43"/>
        <v>1.64</v>
      </c>
      <c r="F110" s="44">
        <f t="shared" si="43"/>
        <v>1.64</v>
      </c>
      <c r="G110" s="44">
        <f t="shared" si="43"/>
        <v>1.64</v>
      </c>
      <c r="H110" s="44">
        <f t="shared" si="43"/>
        <v>1.64</v>
      </c>
      <c r="I110" s="44">
        <f t="shared" si="43"/>
        <v>1.64</v>
      </c>
      <c r="J110" s="44">
        <f t="shared" si="43"/>
        <v>1.64</v>
      </c>
      <c r="K110" s="44">
        <f t="shared" si="43"/>
        <v>1.64</v>
      </c>
      <c r="L110" s="44">
        <f t="shared" si="43"/>
        <v>1.64</v>
      </c>
      <c r="M110" s="44">
        <f t="shared" si="43"/>
        <v>1.64</v>
      </c>
      <c r="N110" s="44">
        <f t="shared" si="43"/>
        <v>1.64</v>
      </c>
      <c r="O110" s="44">
        <f t="shared" si="43"/>
        <v>1.64</v>
      </c>
      <c r="P110" s="44">
        <f t="shared" si="43"/>
        <v>1.64</v>
      </c>
      <c r="Q110" s="44">
        <f t="shared" si="43"/>
        <v>1.64</v>
      </c>
      <c r="R110" s="44">
        <f t="shared" si="43"/>
        <v>1.64</v>
      </c>
      <c r="S110" s="44">
        <f t="shared" si="43"/>
        <v>1.64</v>
      </c>
      <c r="T110" s="44">
        <f t="shared" si="44"/>
        <v>1.64</v>
      </c>
      <c r="U110" s="44">
        <f t="shared" si="44"/>
        <v>1.64</v>
      </c>
      <c r="V110" s="44">
        <f t="shared" si="44"/>
        <v>1.64</v>
      </c>
      <c r="W110" s="44">
        <f t="shared" si="44"/>
        <v>1.64</v>
      </c>
      <c r="X110" s="44">
        <f t="shared" si="44"/>
        <v>1.64</v>
      </c>
      <c r="Y110" s="44">
        <f t="shared" si="44"/>
        <v>1.64</v>
      </c>
      <c r="Z110" s="44">
        <f t="shared" si="44"/>
        <v>1.64</v>
      </c>
      <c r="AA110" s="44">
        <f t="shared" si="44"/>
        <v>1.64</v>
      </c>
      <c r="AB110" s="44">
        <f t="shared" si="44"/>
        <v>1.64</v>
      </c>
      <c r="AC110" s="44">
        <f t="shared" si="44"/>
        <v>1.64</v>
      </c>
      <c r="AD110" s="44">
        <f t="shared" si="44"/>
        <v>1.64</v>
      </c>
      <c r="AE110" s="44">
        <f t="shared" si="44"/>
        <v>1.64</v>
      </c>
      <c r="AF110" s="44">
        <f t="shared" si="44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5">AF112</f>
        <v>1.62</v>
      </c>
      <c r="C112" s="55">
        <v>1.62</v>
      </c>
      <c r="D112" s="44">
        <f t="shared" ref="D112:S119" si="46">C112</f>
        <v>1.62</v>
      </c>
      <c r="E112" s="44">
        <f t="shared" si="46"/>
        <v>1.62</v>
      </c>
      <c r="F112" s="44">
        <f t="shared" si="46"/>
        <v>1.62</v>
      </c>
      <c r="G112" s="44">
        <f t="shared" si="46"/>
        <v>1.62</v>
      </c>
      <c r="H112" s="44">
        <f t="shared" si="46"/>
        <v>1.62</v>
      </c>
      <c r="I112" s="44">
        <f t="shared" si="46"/>
        <v>1.62</v>
      </c>
      <c r="J112" s="44">
        <f t="shared" si="46"/>
        <v>1.62</v>
      </c>
      <c r="K112" s="44">
        <f t="shared" si="46"/>
        <v>1.62</v>
      </c>
      <c r="L112" s="44">
        <f t="shared" si="46"/>
        <v>1.62</v>
      </c>
      <c r="M112" s="44">
        <f t="shared" si="46"/>
        <v>1.62</v>
      </c>
      <c r="N112" s="44">
        <f t="shared" si="46"/>
        <v>1.62</v>
      </c>
      <c r="O112" s="44">
        <f t="shared" si="46"/>
        <v>1.62</v>
      </c>
      <c r="P112" s="44">
        <f t="shared" si="46"/>
        <v>1.62</v>
      </c>
      <c r="Q112" s="44">
        <f t="shared" si="46"/>
        <v>1.62</v>
      </c>
      <c r="R112" s="44">
        <f t="shared" si="46"/>
        <v>1.62</v>
      </c>
      <c r="S112" s="44">
        <f t="shared" si="46"/>
        <v>1.62</v>
      </c>
      <c r="T112" s="44">
        <f t="shared" ref="T112:AF127" si="47">S112</f>
        <v>1.62</v>
      </c>
      <c r="U112" s="44">
        <f t="shared" si="47"/>
        <v>1.62</v>
      </c>
      <c r="V112" s="44">
        <f t="shared" si="47"/>
        <v>1.62</v>
      </c>
      <c r="W112" s="44">
        <f t="shared" si="47"/>
        <v>1.62</v>
      </c>
      <c r="X112" s="44">
        <f t="shared" si="47"/>
        <v>1.62</v>
      </c>
      <c r="Y112" s="44">
        <f t="shared" si="47"/>
        <v>1.62</v>
      </c>
      <c r="Z112" s="44">
        <f t="shared" si="47"/>
        <v>1.62</v>
      </c>
      <c r="AA112" s="44">
        <f t="shared" si="47"/>
        <v>1.62</v>
      </c>
      <c r="AB112" s="44">
        <f t="shared" si="47"/>
        <v>1.62</v>
      </c>
      <c r="AC112" s="44">
        <f t="shared" si="47"/>
        <v>1.62</v>
      </c>
      <c r="AD112" s="44">
        <f t="shared" si="47"/>
        <v>1.62</v>
      </c>
      <c r="AE112" s="44">
        <f t="shared" si="47"/>
        <v>1.62</v>
      </c>
      <c r="AF112" s="44">
        <f t="shared" si="47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5"/>
        <v>8.36</v>
      </c>
      <c r="C113" s="55">
        <v>8.36</v>
      </c>
      <c r="D113" s="44">
        <f t="shared" si="46"/>
        <v>8.36</v>
      </c>
      <c r="E113" s="44">
        <f t="shared" si="46"/>
        <v>8.36</v>
      </c>
      <c r="F113" s="44">
        <f t="shared" si="46"/>
        <v>8.36</v>
      </c>
      <c r="G113" s="44">
        <f t="shared" si="46"/>
        <v>8.36</v>
      </c>
      <c r="H113" s="44">
        <f t="shared" si="46"/>
        <v>8.36</v>
      </c>
      <c r="I113" s="44">
        <f t="shared" si="46"/>
        <v>8.36</v>
      </c>
      <c r="J113" s="44">
        <f t="shared" si="46"/>
        <v>8.36</v>
      </c>
      <c r="K113" s="44">
        <f t="shared" si="46"/>
        <v>8.36</v>
      </c>
      <c r="L113" s="44">
        <f t="shared" si="46"/>
        <v>8.36</v>
      </c>
      <c r="M113" s="44">
        <f t="shared" si="46"/>
        <v>8.36</v>
      </c>
      <c r="N113" s="44">
        <f t="shared" si="46"/>
        <v>8.36</v>
      </c>
      <c r="O113" s="44">
        <f t="shared" si="46"/>
        <v>8.36</v>
      </c>
      <c r="P113" s="44">
        <f t="shared" si="46"/>
        <v>8.36</v>
      </c>
      <c r="Q113" s="44">
        <f t="shared" si="46"/>
        <v>8.36</v>
      </c>
      <c r="R113" s="44">
        <f t="shared" si="46"/>
        <v>8.36</v>
      </c>
      <c r="S113" s="44">
        <f t="shared" si="46"/>
        <v>8.36</v>
      </c>
      <c r="T113" s="44">
        <f t="shared" si="47"/>
        <v>8.36</v>
      </c>
      <c r="U113" s="44">
        <f t="shared" si="47"/>
        <v>8.36</v>
      </c>
      <c r="V113" s="44">
        <f t="shared" si="47"/>
        <v>8.36</v>
      </c>
      <c r="W113" s="44">
        <f t="shared" si="47"/>
        <v>8.36</v>
      </c>
      <c r="X113" s="44">
        <f t="shared" si="47"/>
        <v>8.36</v>
      </c>
      <c r="Y113" s="44">
        <f t="shared" si="47"/>
        <v>8.36</v>
      </c>
      <c r="Z113" s="44">
        <f t="shared" si="47"/>
        <v>8.36</v>
      </c>
      <c r="AA113" s="44">
        <f t="shared" si="47"/>
        <v>8.36</v>
      </c>
      <c r="AB113" s="44">
        <f t="shared" si="47"/>
        <v>8.36</v>
      </c>
      <c r="AC113" s="44">
        <f t="shared" si="47"/>
        <v>8.36</v>
      </c>
      <c r="AD113" s="44">
        <f t="shared" si="47"/>
        <v>8.36</v>
      </c>
      <c r="AE113" s="44">
        <f t="shared" si="47"/>
        <v>8.36</v>
      </c>
      <c r="AF113" s="44">
        <f t="shared" si="47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5"/>
        <v>5.4</v>
      </c>
      <c r="C114" s="55">
        <v>8</v>
      </c>
      <c r="D114" s="44">
        <f t="shared" si="46"/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si="46"/>
        <v>5.4</v>
      </c>
      <c r="L114" s="44">
        <f t="shared" si="46"/>
        <v>5.4</v>
      </c>
      <c r="M114" s="44">
        <f t="shared" si="46"/>
        <v>5.4</v>
      </c>
      <c r="N114" s="44">
        <f t="shared" si="46"/>
        <v>5.4</v>
      </c>
      <c r="O114" s="44">
        <f t="shared" si="46"/>
        <v>5.4</v>
      </c>
      <c r="P114" s="44">
        <f t="shared" si="46"/>
        <v>5.4</v>
      </c>
      <c r="Q114" s="44">
        <f t="shared" si="46"/>
        <v>5.4</v>
      </c>
      <c r="R114" s="44">
        <f t="shared" si="46"/>
        <v>5.4</v>
      </c>
      <c r="S114" s="44">
        <f t="shared" si="46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5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si="46"/>
        <v>6.57</v>
      </c>
      <c r="K115" s="44">
        <f t="shared" si="46"/>
        <v>6.57</v>
      </c>
      <c r="L115" s="44">
        <f t="shared" si="46"/>
        <v>6.57</v>
      </c>
      <c r="M115" s="44">
        <f t="shared" si="46"/>
        <v>6.57</v>
      </c>
      <c r="N115" s="44">
        <f t="shared" si="46"/>
        <v>6.57</v>
      </c>
      <c r="O115" s="44">
        <f t="shared" si="46"/>
        <v>6.57</v>
      </c>
      <c r="P115" s="44">
        <f t="shared" si="46"/>
        <v>6.57</v>
      </c>
      <c r="Q115" s="44">
        <f t="shared" si="46"/>
        <v>6.57</v>
      </c>
      <c r="R115" s="44">
        <f t="shared" si="46"/>
        <v>6.57</v>
      </c>
      <c r="S115" s="44">
        <f t="shared" si="46"/>
        <v>6.57</v>
      </c>
      <c r="T115" s="44">
        <f t="shared" si="47"/>
        <v>6.57</v>
      </c>
      <c r="U115" s="44">
        <f t="shared" si="47"/>
        <v>6.57</v>
      </c>
      <c r="V115" s="44">
        <f t="shared" si="47"/>
        <v>6.57</v>
      </c>
      <c r="W115" s="44">
        <f t="shared" si="47"/>
        <v>6.57</v>
      </c>
      <c r="X115" s="44">
        <f t="shared" si="47"/>
        <v>6.57</v>
      </c>
      <c r="Y115" s="44">
        <f t="shared" si="47"/>
        <v>6.57</v>
      </c>
      <c r="Z115" s="44">
        <f t="shared" si="47"/>
        <v>6.57</v>
      </c>
      <c r="AA115" s="44">
        <f t="shared" si="47"/>
        <v>6.57</v>
      </c>
      <c r="AB115" s="44">
        <f t="shared" si="47"/>
        <v>6.57</v>
      </c>
      <c r="AC115" s="44">
        <f t="shared" si="47"/>
        <v>6.57</v>
      </c>
      <c r="AD115" s="44">
        <f t="shared" si="47"/>
        <v>6.57</v>
      </c>
      <c r="AE115" s="44">
        <f t="shared" si="47"/>
        <v>6.57</v>
      </c>
      <c r="AF115" s="44">
        <f t="shared" si="47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5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6"/>
        <v>3.43</v>
      </c>
      <c r="K116" s="44">
        <f t="shared" si="46"/>
        <v>3.43</v>
      </c>
      <c r="L116" s="44">
        <f t="shared" si="46"/>
        <v>3.43</v>
      </c>
      <c r="M116" s="44">
        <f t="shared" si="46"/>
        <v>3.43</v>
      </c>
      <c r="N116" s="44">
        <f t="shared" si="46"/>
        <v>3.43</v>
      </c>
      <c r="O116" s="44">
        <f t="shared" si="46"/>
        <v>3.43</v>
      </c>
      <c r="P116" s="44">
        <f t="shared" si="46"/>
        <v>3.43</v>
      </c>
      <c r="Q116" s="44">
        <f t="shared" si="46"/>
        <v>3.43</v>
      </c>
      <c r="R116" s="44">
        <f t="shared" si="46"/>
        <v>3.43</v>
      </c>
      <c r="S116" s="44">
        <f t="shared" si="46"/>
        <v>3.43</v>
      </c>
      <c r="T116" s="44">
        <f t="shared" si="47"/>
        <v>3.43</v>
      </c>
      <c r="U116" s="44">
        <f t="shared" si="47"/>
        <v>3.43</v>
      </c>
      <c r="V116" s="44">
        <f t="shared" si="47"/>
        <v>3.43</v>
      </c>
      <c r="W116" s="44">
        <f t="shared" si="47"/>
        <v>3.43</v>
      </c>
      <c r="X116" s="44">
        <f t="shared" si="47"/>
        <v>3.43</v>
      </c>
      <c r="Y116" s="44">
        <f t="shared" si="47"/>
        <v>3.43</v>
      </c>
      <c r="Z116" s="44">
        <f t="shared" si="47"/>
        <v>3.43</v>
      </c>
      <c r="AA116" s="44">
        <f t="shared" si="47"/>
        <v>3.43</v>
      </c>
      <c r="AB116" s="44">
        <f t="shared" si="47"/>
        <v>3.43</v>
      </c>
      <c r="AC116" s="44">
        <f t="shared" si="47"/>
        <v>3.43</v>
      </c>
      <c r="AD116" s="44">
        <f t="shared" si="47"/>
        <v>3.43</v>
      </c>
      <c r="AE116" s="44">
        <f t="shared" si="47"/>
        <v>3.43</v>
      </c>
      <c r="AF116" s="44">
        <f t="shared" si="47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5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6"/>
        <v>2.96</v>
      </c>
      <c r="K117" s="44">
        <f t="shared" si="46"/>
        <v>2.96</v>
      </c>
      <c r="L117" s="44">
        <f t="shared" si="46"/>
        <v>2.96</v>
      </c>
      <c r="M117" s="44">
        <f t="shared" si="46"/>
        <v>2.96</v>
      </c>
      <c r="N117" s="44">
        <f t="shared" si="46"/>
        <v>2.96</v>
      </c>
      <c r="O117" s="44">
        <f t="shared" si="46"/>
        <v>2.96</v>
      </c>
      <c r="P117" s="44">
        <f t="shared" si="46"/>
        <v>2.96</v>
      </c>
      <c r="Q117" s="44">
        <f t="shared" si="46"/>
        <v>2.96</v>
      </c>
      <c r="R117" s="44">
        <f t="shared" si="46"/>
        <v>2.96</v>
      </c>
      <c r="S117" s="44">
        <f t="shared" si="46"/>
        <v>2.96</v>
      </c>
      <c r="T117" s="44">
        <f t="shared" si="47"/>
        <v>2.96</v>
      </c>
      <c r="U117" s="44">
        <f t="shared" si="47"/>
        <v>2.96</v>
      </c>
      <c r="V117" s="44">
        <f t="shared" si="47"/>
        <v>2.96</v>
      </c>
      <c r="W117" s="44">
        <f t="shared" si="47"/>
        <v>2.96</v>
      </c>
      <c r="X117" s="44">
        <f t="shared" si="47"/>
        <v>2.96</v>
      </c>
      <c r="Y117" s="44">
        <f t="shared" si="47"/>
        <v>2.96</v>
      </c>
      <c r="Z117" s="44">
        <f t="shared" si="47"/>
        <v>2.96</v>
      </c>
      <c r="AA117" s="44">
        <f t="shared" si="47"/>
        <v>2.96</v>
      </c>
      <c r="AB117" s="44">
        <f t="shared" si="47"/>
        <v>2.96</v>
      </c>
      <c r="AC117" s="44">
        <f t="shared" si="47"/>
        <v>2.96</v>
      </c>
      <c r="AD117" s="44">
        <f t="shared" si="47"/>
        <v>2.96</v>
      </c>
      <c r="AE117" s="44">
        <f t="shared" si="47"/>
        <v>2.96</v>
      </c>
      <c r="AF117" s="44">
        <f t="shared" si="47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5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6"/>
        <v>8</v>
      </c>
      <c r="K118" s="44">
        <f t="shared" si="46"/>
        <v>8</v>
      </c>
      <c r="L118" s="44">
        <f t="shared" si="46"/>
        <v>8</v>
      </c>
      <c r="M118" s="44">
        <f t="shared" si="46"/>
        <v>8</v>
      </c>
      <c r="N118" s="44">
        <f t="shared" si="46"/>
        <v>8</v>
      </c>
      <c r="O118" s="44">
        <f t="shared" si="46"/>
        <v>8</v>
      </c>
      <c r="P118" s="44">
        <f t="shared" si="46"/>
        <v>8</v>
      </c>
      <c r="Q118" s="44">
        <f t="shared" si="46"/>
        <v>8</v>
      </c>
      <c r="R118" s="44">
        <f t="shared" si="46"/>
        <v>8</v>
      </c>
      <c r="S118" s="44">
        <f t="shared" si="46"/>
        <v>8</v>
      </c>
      <c r="T118" s="44">
        <f t="shared" si="47"/>
        <v>8</v>
      </c>
      <c r="U118" s="44">
        <f t="shared" si="47"/>
        <v>8</v>
      </c>
      <c r="V118" s="44">
        <f t="shared" si="47"/>
        <v>8</v>
      </c>
      <c r="W118" s="44">
        <f t="shared" si="47"/>
        <v>8</v>
      </c>
      <c r="X118" s="44">
        <f t="shared" si="47"/>
        <v>8</v>
      </c>
      <c r="Y118" s="44">
        <f t="shared" si="47"/>
        <v>8</v>
      </c>
      <c r="Z118" s="44">
        <f t="shared" si="47"/>
        <v>8</v>
      </c>
      <c r="AA118" s="44">
        <f t="shared" si="47"/>
        <v>8</v>
      </c>
      <c r="AB118" s="44">
        <f t="shared" si="47"/>
        <v>8</v>
      </c>
      <c r="AC118" s="44">
        <f t="shared" si="47"/>
        <v>8</v>
      </c>
      <c r="AD118" s="44">
        <f t="shared" si="47"/>
        <v>8</v>
      </c>
      <c r="AE118" s="44">
        <f t="shared" si="47"/>
        <v>8</v>
      </c>
      <c r="AF118" s="44">
        <f t="shared" si="47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5"/>
        <v>7</v>
      </c>
      <c r="C119" s="55">
        <v>7</v>
      </c>
      <c r="D119" s="44">
        <f>C119</f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6"/>
        <v>7</v>
      </c>
      <c r="K119" s="44">
        <f t="shared" si="46"/>
        <v>7</v>
      </c>
      <c r="L119" s="44">
        <f t="shared" si="46"/>
        <v>7</v>
      </c>
      <c r="M119" s="44">
        <f t="shared" si="46"/>
        <v>7</v>
      </c>
      <c r="N119" s="44">
        <f t="shared" si="46"/>
        <v>7</v>
      </c>
      <c r="O119" s="44">
        <f t="shared" si="46"/>
        <v>7</v>
      </c>
      <c r="P119" s="44">
        <f t="shared" si="46"/>
        <v>7</v>
      </c>
      <c r="Q119" s="44">
        <f t="shared" si="46"/>
        <v>7</v>
      </c>
      <c r="R119" s="44">
        <f t="shared" si="46"/>
        <v>7</v>
      </c>
      <c r="S119" s="44">
        <f t="shared" si="46"/>
        <v>7</v>
      </c>
      <c r="T119" s="44">
        <f t="shared" si="47"/>
        <v>7</v>
      </c>
      <c r="U119" s="44">
        <f t="shared" si="47"/>
        <v>7</v>
      </c>
      <c r="V119" s="44">
        <f t="shared" si="47"/>
        <v>7</v>
      </c>
      <c r="W119" s="44">
        <f t="shared" si="47"/>
        <v>7</v>
      </c>
      <c r="X119" s="44">
        <f t="shared" si="47"/>
        <v>7</v>
      </c>
      <c r="Y119" s="44">
        <f t="shared" si="47"/>
        <v>7</v>
      </c>
      <c r="Z119" s="44">
        <f t="shared" si="47"/>
        <v>7</v>
      </c>
      <c r="AA119" s="44">
        <f t="shared" si="47"/>
        <v>7</v>
      </c>
      <c r="AB119" s="44">
        <f t="shared" si="47"/>
        <v>7</v>
      </c>
      <c r="AC119" s="44">
        <f t="shared" si="47"/>
        <v>7</v>
      </c>
      <c r="AD119" s="44">
        <f t="shared" si="47"/>
        <v>7</v>
      </c>
      <c r="AE119" s="44">
        <f t="shared" si="47"/>
        <v>7</v>
      </c>
      <c r="AF119" s="44">
        <f t="shared" si="47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5"/>
        <v>3.47</v>
      </c>
      <c r="C120" s="55">
        <v>3.47</v>
      </c>
      <c r="D120" s="44">
        <f t="shared" ref="D120:S129" si="48">C120</f>
        <v>3.47</v>
      </c>
      <c r="E120" s="44">
        <f t="shared" si="48"/>
        <v>3.47</v>
      </c>
      <c r="F120" s="44">
        <f t="shared" si="48"/>
        <v>3.47</v>
      </c>
      <c r="G120" s="44">
        <f t="shared" si="48"/>
        <v>3.47</v>
      </c>
      <c r="H120" s="44">
        <f t="shared" si="48"/>
        <v>3.47</v>
      </c>
      <c r="I120" s="44">
        <f t="shared" si="48"/>
        <v>3.47</v>
      </c>
      <c r="J120" s="44">
        <f t="shared" si="48"/>
        <v>3.47</v>
      </c>
      <c r="K120" s="44">
        <f t="shared" si="48"/>
        <v>3.47</v>
      </c>
      <c r="L120" s="44">
        <f t="shared" si="48"/>
        <v>3.47</v>
      </c>
      <c r="M120" s="44">
        <f t="shared" si="48"/>
        <v>3.47</v>
      </c>
      <c r="N120" s="44">
        <f t="shared" si="48"/>
        <v>3.47</v>
      </c>
      <c r="O120" s="44">
        <f t="shared" si="48"/>
        <v>3.47</v>
      </c>
      <c r="P120" s="44">
        <f t="shared" si="48"/>
        <v>3.47</v>
      </c>
      <c r="Q120" s="44">
        <f t="shared" si="48"/>
        <v>3.47</v>
      </c>
      <c r="R120" s="44">
        <f t="shared" si="48"/>
        <v>3.47</v>
      </c>
      <c r="S120" s="44">
        <f t="shared" si="48"/>
        <v>3.47</v>
      </c>
      <c r="T120" s="44">
        <f t="shared" si="47"/>
        <v>3.47</v>
      </c>
      <c r="U120" s="44">
        <f t="shared" si="47"/>
        <v>3.47</v>
      </c>
      <c r="V120" s="44">
        <f t="shared" si="47"/>
        <v>3.47</v>
      </c>
      <c r="W120" s="44">
        <f t="shared" si="47"/>
        <v>3.47</v>
      </c>
      <c r="X120" s="44">
        <f t="shared" si="47"/>
        <v>3.47</v>
      </c>
      <c r="Y120" s="44">
        <f t="shared" si="47"/>
        <v>3.47</v>
      </c>
      <c r="Z120" s="44">
        <f t="shared" si="47"/>
        <v>3.47</v>
      </c>
      <c r="AA120" s="44">
        <f t="shared" si="47"/>
        <v>3.47</v>
      </c>
      <c r="AB120" s="44">
        <f t="shared" si="47"/>
        <v>3.47</v>
      </c>
      <c r="AC120" s="44">
        <f t="shared" si="47"/>
        <v>3.47</v>
      </c>
      <c r="AD120" s="44">
        <f t="shared" si="47"/>
        <v>3.47</v>
      </c>
      <c r="AE120" s="44">
        <f t="shared" si="47"/>
        <v>3.47</v>
      </c>
      <c r="AF120" s="44">
        <f t="shared" si="47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5"/>
        <v>2.1</v>
      </c>
      <c r="C121" s="55">
        <v>2.1</v>
      </c>
      <c r="D121" s="44">
        <f t="shared" si="48"/>
        <v>2.1</v>
      </c>
      <c r="E121" s="44">
        <f t="shared" si="48"/>
        <v>2.1</v>
      </c>
      <c r="F121" s="44">
        <f t="shared" si="48"/>
        <v>2.1</v>
      </c>
      <c r="G121" s="44">
        <f t="shared" si="48"/>
        <v>2.1</v>
      </c>
      <c r="H121" s="44">
        <f t="shared" si="48"/>
        <v>2.1</v>
      </c>
      <c r="I121" s="44">
        <f t="shared" si="48"/>
        <v>2.1</v>
      </c>
      <c r="J121" s="44">
        <f t="shared" si="48"/>
        <v>2.1</v>
      </c>
      <c r="K121" s="44">
        <f t="shared" si="48"/>
        <v>2.1</v>
      </c>
      <c r="L121" s="44">
        <f t="shared" si="48"/>
        <v>2.1</v>
      </c>
      <c r="M121" s="44">
        <f t="shared" si="48"/>
        <v>2.1</v>
      </c>
      <c r="N121" s="44">
        <f t="shared" si="48"/>
        <v>2.1</v>
      </c>
      <c r="O121" s="44">
        <f t="shared" si="48"/>
        <v>2.1</v>
      </c>
      <c r="P121" s="44">
        <f t="shared" si="48"/>
        <v>2.1</v>
      </c>
      <c r="Q121" s="44">
        <f t="shared" si="48"/>
        <v>2.1</v>
      </c>
      <c r="R121" s="44">
        <f t="shared" si="48"/>
        <v>2.1</v>
      </c>
      <c r="S121" s="44">
        <f t="shared" si="48"/>
        <v>2.1</v>
      </c>
      <c r="T121" s="44">
        <f t="shared" si="47"/>
        <v>2.1</v>
      </c>
      <c r="U121" s="44">
        <f t="shared" si="47"/>
        <v>2.1</v>
      </c>
      <c r="V121" s="44">
        <f t="shared" si="47"/>
        <v>2.1</v>
      </c>
      <c r="W121" s="44">
        <f t="shared" si="47"/>
        <v>2.1</v>
      </c>
      <c r="X121" s="44">
        <f t="shared" si="47"/>
        <v>2.1</v>
      </c>
      <c r="Y121" s="44">
        <f t="shared" si="47"/>
        <v>2.1</v>
      </c>
      <c r="Z121" s="44">
        <f t="shared" si="47"/>
        <v>2.1</v>
      </c>
      <c r="AA121" s="44">
        <f t="shared" si="47"/>
        <v>2.1</v>
      </c>
      <c r="AB121" s="44">
        <f t="shared" si="47"/>
        <v>2.1</v>
      </c>
      <c r="AC121" s="44">
        <f t="shared" si="47"/>
        <v>2.1</v>
      </c>
      <c r="AD121" s="44">
        <f t="shared" si="47"/>
        <v>2.1</v>
      </c>
      <c r="AE121" s="44">
        <f t="shared" si="47"/>
        <v>2.1</v>
      </c>
      <c r="AF121" s="44">
        <f t="shared" si="47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5"/>
        <v>9.3000000000000007</v>
      </c>
      <c r="C122" s="55">
        <v>9.3000000000000007</v>
      </c>
      <c r="D122" s="44">
        <f t="shared" si="48"/>
        <v>9.3000000000000007</v>
      </c>
      <c r="E122" s="44">
        <f t="shared" si="48"/>
        <v>9.3000000000000007</v>
      </c>
      <c r="F122" s="44">
        <f t="shared" si="48"/>
        <v>9.3000000000000007</v>
      </c>
      <c r="G122" s="44">
        <f t="shared" si="48"/>
        <v>9.3000000000000007</v>
      </c>
      <c r="H122" s="44">
        <f t="shared" si="48"/>
        <v>9.3000000000000007</v>
      </c>
      <c r="I122" s="44">
        <f t="shared" si="48"/>
        <v>9.3000000000000007</v>
      </c>
      <c r="J122" s="44">
        <f t="shared" si="48"/>
        <v>9.3000000000000007</v>
      </c>
      <c r="K122" s="44">
        <f t="shared" si="48"/>
        <v>9.3000000000000007</v>
      </c>
      <c r="L122" s="44">
        <f t="shared" si="48"/>
        <v>9.3000000000000007</v>
      </c>
      <c r="M122" s="44">
        <f t="shared" si="48"/>
        <v>9.3000000000000007</v>
      </c>
      <c r="N122" s="44">
        <f t="shared" si="48"/>
        <v>9.3000000000000007</v>
      </c>
      <c r="O122" s="44">
        <f t="shared" si="48"/>
        <v>9.3000000000000007</v>
      </c>
      <c r="P122" s="44">
        <f t="shared" si="48"/>
        <v>9.3000000000000007</v>
      </c>
      <c r="Q122" s="44">
        <f t="shared" si="48"/>
        <v>9.3000000000000007</v>
      </c>
      <c r="R122" s="44">
        <f t="shared" si="48"/>
        <v>9.3000000000000007</v>
      </c>
      <c r="S122" s="44">
        <f t="shared" si="48"/>
        <v>9.3000000000000007</v>
      </c>
      <c r="T122" s="44">
        <f t="shared" si="47"/>
        <v>9.3000000000000007</v>
      </c>
      <c r="U122" s="44">
        <f t="shared" si="47"/>
        <v>9.3000000000000007</v>
      </c>
      <c r="V122" s="44">
        <f t="shared" si="47"/>
        <v>9.3000000000000007</v>
      </c>
      <c r="W122" s="44">
        <f t="shared" si="47"/>
        <v>9.3000000000000007</v>
      </c>
      <c r="X122" s="44">
        <f t="shared" si="47"/>
        <v>9.3000000000000007</v>
      </c>
      <c r="Y122" s="44">
        <f t="shared" si="47"/>
        <v>9.3000000000000007</v>
      </c>
      <c r="Z122" s="44">
        <f t="shared" si="47"/>
        <v>9.3000000000000007</v>
      </c>
      <c r="AA122" s="44">
        <f t="shared" si="47"/>
        <v>9.3000000000000007</v>
      </c>
      <c r="AB122" s="44">
        <f t="shared" si="47"/>
        <v>9.3000000000000007</v>
      </c>
      <c r="AC122" s="44">
        <f t="shared" si="47"/>
        <v>9.3000000000000007</v>
      </c>
      <c r="AD122" s="44">
        <f t="shared" si="47"/>
        <v>9.3000000000000007</v>
      </c>
      <c r="AE122" s="44">
        <f t="shared" si="47"/>
        <v>9.3000000000000007</v>
      </c>
      <c r="AF122" s="44">
        <f t="shared" si="47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5"/>
        <v>0</v>
      </c>
      <c r="C123" s="55">
        <v>0</v>
      </c>
      <c r="D123" s="44">
        <f t="shared" si="48"/>
        <v>0</v>
      </c>
      <c r="E123" s="44">
        <f t="shared" si="48"/>
        <v>0</v>
      </c>
      <c r="F123" s="44">
        <f t="shared" si="48"/>
        <v>0</v>
      </c>
      <c r="G123" s="44">
        <f t="shared" si="48"/>
        <v>0</v>
      </c>
      <c r="H123" s="44">
        <f t="shared" si="48"/>
        <v>0</v>
      </c>
      <c r="I123" s="44">
        <f t="shared" si="48"/>
        <v>0</v>
      </c>
      <c r="J123" s="44">
        <f t="shared" si="48"/>
        <v>0</v>
      </c>
      <c r="K123" s="44">
        <f t="shared" si="48"/>
        <v>0</v>
      </c>
      <c r="L123" s="44">
        <f t="shared" si="48"/>
        <v>0</v>
      </c>
      <c r="M123" s="44">
        <f t="shared" si="48"/>
        <v>0</v>
      </c>
      <c r="N123" s="44">
        <f t="shared" si="48"/>
        <v>0</v>
      </c>
      <c r="O123" s="44">
        <f t="shared" si="48"/>
        <v>0</v>
      </c>
      <c r="P123" s="44">
        <f t="shared" si="48"/>
        <v>0</v>
      </c>
      <c r="Q123" s="44">
        <f t="shared" si="48"/>
        <v>0</v>
      </c>
      <c r="R123" s="44">
        <f t="shared" si="48"/>
        <v>0</v>
      </c>
      <c r="S123" s="44">
        <f t="shared" si="48"/>
        <v>0</v>
      </c>
      <c r="T123" s="44">
        <f t="shared" si="47"/>
        <v>0</v>
      </c>
      <c r="U123" s="44">
        <f t="shared" si="47"/>
        <v>0</v>
      </c>
      <c r="V123" s="44">
        <f t="shared" si="47"/>
        <v>0</v>
      </c>
      <c r="W123" s="44">
        <f t="shared" si="47"/>
        <v>0</v>
      </c>
      <c r="X123" s="44">
        <f t="shared" si="47"/>
        <v>0</v>
      </c>
      <c r="Y123" s="44">
        <f t="shared" si="47"/>
        <v>0</v>
      </c>
      <c r="Z123" s="44">
        <f t="shared" si="47"/>
        <v>0</v>
      </c>
      <c r="AA123" s="44">
        <f t="shared" si="47"/>
        <v>0</v>
      </c>
      <c r="AB123" s="44">
        <f t="shared" si="47"/>
        <v>0</v>
      </c>
      <c r="AC123" s="44">
        <f t="shared" si="47"/>
        <v>0</v>
      </c>
      <c r="AD123" s="44">
        <f t="shared" si="47"/>
        <v>0</v>
      </c>
      <c r="AE123" s="44">
        <f t="shared" si="47"/>
        <v>0</v>
      </c>
      <c r="AF123" s="44">
        <f t="shared" si="4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5"/>
        <v>0</v>
      </c>
      <c r="C124" s="55">
        <v>0</v>
      </c>
      <c r="D124" s="44">
        <f t="shared" si="48"/>
        <v>0</v>
      </c>
      <c r="E124" s="44">
        <f t="shared" si="48"/>
        <v>0</v>
      </c>
      <c r="F124" s="44">
        <f t="shared" si="48"/>
        <v>0</v>
      </c>
      <c r="G124" s="44">
        <f t="shared" si="48"/>
        <v>0</v>
      </c>
      <c r="H124" s="44">
        <f t="shared" si="48"/>
        <v>0</v>
      </c>
      <c r="I124" s="44">
        <f t="shared" si="48"/>
        <v>0</v>
      </c>
      <c r="J124" s="44">
        <f t="shared" si="48"/>
        <v>0</v>
      </c>
      <c r="K124" s="44">
        <f t="shared" si="48"/>
        <v>0</v>
      </c>
      <c r="L124" s="44">
        <f t="shared" si="48"/>
        <v>0</v>
      </c>
      <c r="M124" s="44">
        <f t="shared" si="48"/>
        <v>0</v>
      </c>
      <c r="N124" s="44">
        <f t="shared" si="48"/>
        <v>0</v>
      </c>
      <c r="O124" s="44">
        <f t="shared" si="48"/>
        <v>0</v>
      </c>
      <c r="P124" s="44">
        <f t="shared" si="48"/>
        <v>0</v>
      </c>
      <c r="Q124" s="44">
        <f t="shared" si="48"/>
        <v>0</v>
      </c>
      <c r="R124" s="44">
        <f t="shared" si="48"/>
        <v>0</v>
      </c>
      <c r="S124" s="44">
        <f t="shared" si="48"/>
        <v>0</v>
      </c>
      <c r="T124" s="44">
        <f t="shared" si="47"/>
        <v>0</v>
      </c>
      <c r="U124" s="44">
        <f t="shared" si="47"/>
        <v>0</v>
      </c>
      <c r="V124" s="44">
        <f t="shared" si="47"/>
        <v>0</v>
      </c>
      <c r="W124" s="44">
        <f t="shared" si="47"/>
        <v>0</v>
      </c>
      <c r="X124" s="44">
        <f t="shared" si="47"/>
        <v>0</v>
      </c>
      <c r="Y124" s="44">
        <f t="shared" si="47"/>
        <v>0</v>
      </c>
      <c r="Z124" s="44">
        <f t="shared" si="47"/>
        <v>0</v>
      </c>
      <c r="AA124" s="44">
        <f t="shared" si="47"/>
        <v>0</v>
      </c>
      <c r="AB124" s="44">
        <f t="shared" si="47"/>
        <v>0</v>
      </c>
      <c r="AC124" s="44">
        <f t="shared" si="47"/>
        <v>0</v>
      </c>
      <c r="AD124" s="44">
        <f t="shared" si="47"/>
        <v>0</v>
      </c>
      <c r="AE124" s="44">
        <f t="shared" si="47"/>
        <v>0</v>
      </c>
      <c r="AF124" s="44">
        <f t="shared" si="47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5"/>
        <v>5</v>
      </c>
      <c r="C125" s="55">
        <v>5</v>
      </c>
      <c r="D125" s="44">
        <f t="shared" si="48"/>
        <v>5</v>
      </c>
      <c r="E125" s="44">
        <f t="shared" si="48"/>
        <v>5</v>
      </c>
      <c r="F125" s="44">
        <f t="shared" si="48"/>
        <v>5</v>
      </c>
      <c r="G125" s="44">
        <f t="shared" si="48"/>
        <v>5</v>
      </c>
      <c r="H125" s="44">
        <f t="shared" si="48"/>
        <v>5</v>
      </c>
      <c r="I125" s="44">
        <f t="shared" si="48"/>
        <v>5</v>
      </c>
      <c r="J125" s="44">
        <f t="shared" si="48"/>
        <v>5</v>
      </c>
      <c r="K125" s="44">
        <f t="shared" si="48"/>
        <v>5</v>
      </c>
      <c r="L125" s="44">
        <f t="shared" si="48"/>
        <v>5</v>
      </c>
      <c r="M125" s="44">
        <f t="shared" si="48"/>
        <v>5</v>
      </c>
      <c r="N125" s="44">
        <f t="shared" si="48"/>
        <v>5</v>
      </c>
      <c r="O125" s="44">
        <f t="shared" si="48"/>
        <v>5</v>
      </c>
      <c r="P125" s="44">
        <f t="shared" si="48"/>
        <v>5</v>
      </c>
      <c r="Q125" s="44">
        <f t="shared" si="48"/>
        <v>5</v>
      </c>
      <c r="R125" s="44">
        <f t="shared" si="48"/>
        <v>5</v>
      </c>
      <c r="S125" s="44">
        <f t="shared" si="48"/>
        <v>5</v>
      </c>
      <c r="T125" s="44">
        <f t="shared" si="47"/>
        <v>5</v>
      </c>
      <c r="U125" s="44">
        <f t="shared" si="47"/>
        <v>5</v>
      </c>
      <c r="V125" s="44">
        <f t="shared" si="47"/>
        <v>5</v>
      </c>
      <c r="W125" s="44">
        <f t="shared" si="47"/>
        <v>5</v>
      </c>
      <c r="X125" s="44">
        <f t="shared" si="47"/>
        <v>5</v>
      </c>
      <c r="Y125" s="44">
        <f t="shared" si="47"/>
        <v>5</v>
      </c>
      <c r="Z125" s="44">
        <f t="shared" si="47"/>
        <v>5</v>
      </c>
      <c r="AA125" s="44">
        <f t="shared" si="47"/>
        <v>5</v>
      </c>
      <c r="AB125" s="44">
        <f t="shared" si="47"/>
        <v>5</v>
      </c>
      <c r="AC125" s="44">
        <f t="shared" si="47"/>
        <v>5</v>
      </c>
      <c r="AD125" s="44">
        <f t="shared" si="47"/>
        <v>5</v>
      </c>
      <c r="AE125" s="44">
        <f t="shared" si="47"/>
        <v>5</v>
      </c>
      <c r="AF125" s="44">
        <f t="shared" si="47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5"/>
        <v>1</v>
      </c>
      <c r="C126" s="55">
        <v>1</v>
      </c>
      <c r="D126" s="44">
        <f t="shared" si="48"/>
        <v>1</v>
      </c>
      <c r="E126" s="44">
        <f t="shared" si="48"/>
        <v>1</v>
      </c>
      <c r="F126" s="44">
        <f t="shared" si="48"/>
        <v>1</v>
      </c>
      <c r="G126" s="44">
        <f t="shared" si="48"/>
        <v>1</v>
      </c>
      <c r="H126" s="44">
        <f t="shared" si="48"/>
        <v>1</v>
      </c>
      <c r="I126" s="44">
        <f t="shared" si="48"/>
        <v>1</v>
      </c>
      <c r="J126" s="44">
        <f t="shared" si="48"/>
        <v>1</v>
      </c>
      <c r="K126" s="44">
        <f t="shared" si="48"/>
        <v>1</v>
      </c>
      <c r="L126" s="44">
        <f t="shared" si="48"/>
        <v>1</v>
      </c>
      <c r="M126" s="44">
        <f t="shared" si="48"/>
        <v>1</v>
      </c>
      <c r="N126" s="44">
        <f t="shared" si="48"/>
        <v>1</v>
      </c>
      <c r="O126" s="44">
        <f t="shared" si="48"/>
        <v>1</v>
      </c>
      <c r="P126" s="44">
        <f t="shared" si="48"/>
        <v>1</v>
      </c>
      <c r="Q126" s="44">
        <f t="shared" si="48"/>
        <v>1</v>
      </c>
      <c r="R126" s="44">
        <f t="shared" si="48"/>
        <v>1</v>
      </c>
      <c r="S126" s="44">
        <f t="shared" si="48"/>
        <v>1</v>
      </c>
      <c r="T126" s="44">
        <f t="shared" si="47"/>
        <v>1</v>
      </c>
      <c r="U126" s="44">
        <f t="shared" si="47"/>
        <v>1</v>
      </c>
      <c r="V126" s="44">
        <f t="shared" si="47"/>
        <v>1</v>
      </c>
      <c r="W126" s="44">
        <f t="shared" si="47"/>
        <v>1</v>
      </c>
      <c r="X126" s="44">
        <f t="shared" si="47"/>
        <v>1</v>
      </c>
      <c r="Y126" s="44">
        <f t="shared" si="47"/>
        <v>1</v>
      </c>
      <c r="Z126" s="44">
        <f t="shared" si="47"/>
        <v>1</v>
      </c>
      <c r="AA126" s="44">
        <f t="shared" si="47"/>
        <v>1</v>
      </c>
      <c r="AB126" s="44">
        <f t="shared" si="47"/>
        <v>1</v>
      </c>
      <c r="AC126" s="44">
        <f t="shared" si="47"/>
        <v>1</v>
      </c>
      <c r="AD126" s="44">
        <f t="shared" si="47"/>
        <v>1</v>
      </c>
      <c r="AE126" s="44">
        <f t="shared" si="47"/>
        <v>1</v>
      </c>
      <c r="AF126" s="44">
        <f t="shared" si="47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5"/>
        <v>1.58</v>
      </c>
      <c r="C127" s="55">
        <v>1.58</v>
      </c>
      <c r="D127" s="44">
        <f t="shared" si="48"/>
        <v>1.58</v>
      </c>
      <c r="E127" s="44">
        <f t="shared" si="48"/>
        <v>1.58</v>
      </c>
      <c r="F127" s="44">
        <f t="shared" si="48"/>
        <v>1.58</v>
      </c>
      <c r="G127" s="44">
        <f t="shared" si="48"/>
        <v>1.58</v>
      </c>
      <c r="H127" s="44">
        <f t="shared" si="48"/>
        <v>1.58</v>
      </c>
      <c r="I127" s="44">
        <f t="shared" si="48"/>
        <v>1.58</v>
      </c>
      <c r="J127" s="44">
        <f t="shared" si="48"/>
        <v>1.58</v>
      </c>
      <c r="K127" s="44">
        <f t="shared" si="48"/>
        <v>1.58</v>
      </c>
      <c r="L127" s="44">
        <f t="shared" si="48"/>
        <v>1.58</v>
      </c>
      <c r="M127" s="44">
        <f t="shared" si="48"/>
        <v>1.58</v>
      </c>
      <c r="N127" s="44">
        <f t="shared" si="48"/>
        <v>1.58</v>
      </c>
      <c r="O127" s="44">
        <f t="shared" si="48"/>
        <v>1.58</v>
      </c>
      <c r="P127" s="44">
        <f t="shared" si="48"/>
        <v>1.58</v>
      </c>
      <c r="Q127" s="44">
        <f t="shared" si="48"/>
        <v>1.58</v>
      </c>
      <c r="R127" s="44">
        <f t="shared" si="48"/>
        <v>1.58</v>
      </c>
      <c r="S127" s="44">
        <f t="shared" si="48"/>
        <v>1.58</v>
      </c>
      <c r="T127" s="44">
        <f t="shared" si="47"/>
        <v>1.58</v>
      </c>
      <c r="U127" s="44">
        <f t="shared" si="47"/>
        <v>1.58</v>
      </c>
      <c r="V127" s="44">
        <f t="shared" si="47"/>
        <v>1.58</v>
      </c>
      <c r="W127" s="44">
        <f t="shared" si="47"/>
        <v>1.58</v>
      </c>
      <c r="X127" s="44">
        <f t="shared" si="47"/>
        <v>1.58</v>
      </c>
      <c r="Y127" s="44">
        <f t="shared" si="47"/>
        <v>1.58</v>
      </c>
      <c r="Z127" s="44">
        <f t="shared" si="47"/>
        <v>1.58</v>
      </c>
      <c r="AA127" s="44">
        <f t="shared" si="47"/>
        <v>1.58</v>
      </c>
      <c r="AB127" s="44">
        <f t="shared" si="47"/>
        <v>1.58</v>
      </c>
      <c r="AC127" s="44">
        <f t="shared" si="47"/>
        <v>1.58</v>
      </c>
      <c r="AD127" s="44">
        <f t="shared" si="47"/>
        <v>1.58</v>
      </c>
      <c r="AE127" s="44">
        <f t="shared" si="47"/>
        <v>1.58</v>
      </c>
      <c r="AF127" s="44">
        <f t="shared" si="47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5"/>
        <v>1.46</v>
      </c>
      <c r="C128" s="55">
        <v>1.46</v>
      </c>
      <c r="D128" s="44">
        <f t="shared" si="48"/>
        <v>1.46</v>
      </c>
      <c r="E128" s="44">
        <f t="shared" si="48"/>
        <v>1.46</v>
      </c>
      <c r="F128" s="44">
        <f t="shared" si="48"/>
        <v>1.46</v>
      </c>
      <c r="G128" s="44">
        <f t="shared" si="48"/>
        <v>1.46</v>
      </c>
      <c r="H128" s="44">
        <f t="shared" si="48"/>
        <v>1.46</v>
      </c>
      <c r="I128" s="44">
        <f t="shared" si="48"/>
        <v>1.46</v>
      </c>
      <c r="J128" s="44">
        <f t="shared" si="48"/>
        <v>1.46</v>
      </c>
      <c r="K128" s="44">
        <f t="shared" si="48"/>
        <v>1.46</v>
      </c>
      <c r="L128" s="44">
        <f t="shared" si="48"/>
        <v>1.46</v>
      </c>
      <c r="M128" s="44">
        <f t="shared" si="48"/>
        <v>1.46</v>
      </c>
      <c r="N128" s="44">
        <f t="shared" si="48"/>
        <v>1.46</v>
      </c>
      <c r="O128" s="44">
        <f t="shared" si="48"/>
        <v>1.46</v>
      </c>
      <c r="P128" s="44">
        <f t="shared" si="48"/>
        <v>1.46</v>
      </c>
      <c r="Q128" s="44">
        <f t="shared" si="48"/>
        <v>1.46</v>
      </c>
      <c r="R128" s="44">
        <f t="shared" si="48"/>
        <v>1.46</v>
      </c>
      <c r="S128" s="44">
        <f t="shared" si="48"/>
        <v>1.46</v>
      </c>
      <c r="T128" s="44">
        <f t="shared" ref="T128:AF129" si="49">S128</f>
        <v>1.46</v>
      </c>
      <c r="U128" s="44">
        <f t="shared" si="49"/>
        <v>1.46</v>
      </c>
      <c r="V128" s="44">
        <f t="shared" si="49"/>
        <v>1.46</v>
      </c>
      <c r="W128" s="44">
        <f t="shared" si="49"/>
        <v>1.46</v>
      </c>
      <c r="X128" s="44">
        <f t="shared" si="49"/>
        <v>1.46</v>
      </c>
      <c r="Y128" s="44">
        <f t="shared" si="49"/>
        <v>1.46</v>
      </c>
      <c r="Z128" s="44">
        <f t="shared" si="49"/>
        <v>1.46</v>
      </c>
      <c r="AA128" s="44">
        <f t="shared" si="49"/>
        <v>1.46</v>
      </c>
      <c r="AB128" s="44">
        <f t="shared" si="49"/>
        <v>1.46</v>
      </c>
      <c r="AC128" s="44">
        <f t="shared" si="49"/>
        <v>1.46</v>
      </c>
      <c r="AD128" s="44">
        <f t="shared" si="49"/>
        <v>1.46</v>
      </c>
      <c r="AE128" s="44">
        <f t="shared" si="49"/>
        <v>1.46</v>
      </c>
      <c r="AF128" s="44">
        <f t="shared" si="49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5"/>
        <v>1.48</v>
      </c>
      <c r="C129" s="55">
        <v>1.48</v>
      </c>
      <c r="D129" s="44">
        <f t="shared" si="48"/>
        <v>1.48</v>
      </c>
      <c r="E129" s="44">
        <f t="shared" si="48"/>
        <v>1.48</v>
      </c>
      <c r="F129" s="44">
        <f t="shared" si="48"/>
        <v>1.48</v>
      </c>
      <c r="G129" s="44">
        <f t="shared" si="48"/>
        <v>1.48</v>
      </c>
      <c r="H129" s="44">
        <f t="shared" si="48"/>
        <v>1.48</v>
      </c>
      <c r="I129" s="44">
        <f t="shared" si="48"/>
        <v>1.48</v>
      </c>
      <c r="J129" s="44">
        <f t="shared" si="48"/>
        <v>1.48</v>
      </c>
      <c r="K129" s="44">
        <f t="shared" si="48"/>
        <v>1.48</v>
      </c>
      <c r="L129" s="44">
        <f t="shared" si="48"/>
        <v>1.48</v>
      </c>
      <c r="M129" s="44">
        <f t="shared" si="48"/>
        <v>1.48</v>
      </c>
      <c r="N129" s="44">
        <f t="shared" si="48"/>
        <v>1.48</v>
      </c>
      <c r="O129" s="44">
        <f t="shared" si="48"/>
        <v>1.48</v>
      </c>
      <c r="P129" s="44">
        <f t="shared" si="48"/>
        <v>1.48</v>
      </c>
      <c r="Q129" s="44">
        <f t="shared" si="48"/>
        <v>1.48</v>
      </c>
      <c r="R129" s="44">
        <f t="shared" si="48"/>
        <v>1.48</v>
      </c>
      <c r="S129" s="44">
        <f t="shared" si="48"/>
        <v>1.48</v>
      </c>
      <c r="T129" s="44">
        <f t="shared" si="49"/>
        <v>1.48</v>
      </c>
      <c r="U129" s="44">
        <f t="shared" si="49"/>
        <v>1.48</v>
      </c>
      <c r="V129" s="44">
        <f t="shared" si="49"/>
        <v>1.48</v>
      </c>
      <c r="W129" s="44">
        <f t="shared" si="49"/>
        <v>1.48</v>
      </c>
      <c r="X129" s="44">
        <f t="shared" si="49"/>
        <v>1.48</v>
      </c>
      <c r="Y129" s="44">
        <f t="shared" si="49"/>
        <v>1.48</v>
      </c>
      <c r="Z129" s="44">
        <f t="shared" si="49"/>
        <v>1.48</v>
      </c>
      <c r="AA129" s="44">
        <f t="shared" si="49"/>
        <v>1.48</v>
      </c>
      <c r="AB129" s="44">
        <f t="shared" si="49"/>
        <v>1.48</v>
      </c>
      <c r="AC129" s="44">
        <f t="shared" si="49"/>
        <v>1.48</v>
      </c>
      <c r="AD129" s="44">
        <f t="shared" si="49"/>
        <v>1.48</v>
      </c>
      <c r="AE129" s="44">
        <f t="shared" si="49"/>
        <v>1.48</v>
      </c>
      <c r="AF129" s="44">
        <f t="shared" si="49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0">AF131</f>
        <v>2.2000000000000002</v>
      </c>
      <c r="C131" s="55">
        <v>2.2000000000000002</v>
      </c>
      <c r="D131" s="44">
        <f t="shared" ref="D131:S138" si="51">C131</f>
        <v>2.2000000000000002</v>
      </c>
      <c r="E131" s="44">
        <f t="shared" si="51"/>
        <v>2.2000000000000002</v>
      </c>
      <c r="F131" s="44">
        <f t="shared" si="51"/>
        <v>2.2000000000000002</v>
      </c>
      <c r="G131" s="44">
        <f t="shared" si="51"/>
        <v>2.2000000000000002</v>
      </c>
      <c r="H131" s="44">
        <f t="shared" si="51"/>
        <v>2.2000000000000002</v>
      </c>
      <c r="I131" s="44">
        <f t="shared" si="51"/>
        <v>2.2000000000000002</v>
      </c>
      <c r="J131" s="44">
        <f t="shared" si="51"/>
        <v>2.2000000000000002</v>
      </c>
      <c r="K131" s="44">
        <f t="shared" si="51"/>
        <v>2.2000000000000002</v>
      </c>
      <c r="L131" s="44">
        <f t="shared" si="51"/>
        <v>2.2000000000000002</v>
      </c>
      <c r="M131" s="44">
        <f t="shared" si="51"/>
        <v>2.2000000000000002</v>
      </c>
      <c r="N131" s="44">
        <f t="shared" si="51"/>
        <v>2.2000000000000002</v>
      </c>
      <c r="O131" s="44">
        <f t="shared" si="51"/>
        <v>2.2000000000000002</v>
      </c>
      <c r="P131" s="44">
        <f t="shared" si="51"/>
        <v>2.2000000000000002</v>
      </c>
      <c r="Q131" s="44">
        <f t="shared" si="51"/>
        <v>2.2000000000000002</v>
      </c>
      <c r="R131" s="44">
        <f t="shared" si="51"/>
        <v>2.2000000000000002</v>
      </c>
      <c r="S131" s="44">
        <f t="shared" si="51"/>
        <v>2.2000000000000002</v>
      </c>
      <c r="T131" s="44">
        <f t="shared" ref="T131:AF138" si="52">S131</f>
        <v>2.2000000000000002</v>
      </c>
      <c r="U131" s="44">
        <f t="shared" si="52"/>
        <v>2.2000000000000002</v>
      </c>
      <c r="V131" s="44">
        <f t="shared" si="52"/>
        <v>2.2000000000000002</v>
      </c>
      <c r="W131" s="44">
        <f t="shared" si="52"/>
        <v>2.2000000000000002</v>
      </c>
      <c r="X131" s="44">
        <f t="shared" si="52"/>
        <v>2.2000000000000002</v>
      </c>
      <c r="Y131" s="44">
        <f t="shared" si="52"/>
        <v>2.2000000000000002</v>
      </c>
      <c r="Z131" s="44">
        <f t="shared" si="52"/>
        <v>2.2000000000000002</v>
      </c>
      <c r="AA131" s="44">
        <f t="shared" si="52"/>
        <v>2.2000000000000002</v>
      </c>
      <c r="AB131" s="44">
        <f t="shared" si="52"/>
        <v>2.2000000000000002</v>
      </c>
      <c r="AC131" s="44">
        <f t="shared" si="52"/>
        <v>2.2000000000000002</v>
      </c>
      <c r="AD131" s="44">
        <f t="shared" si="52"/>
        <v>2.2000000000000002</v>
      </c>
      <c r="AE131" s="44">
        <f t="shared" si="52"/>
        <v>2.2000000000000002</v>
      </c>
      <c r="AF131" s="44">
        <f t="shared" si="52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0"/>
        <v>2</v>
      </c>
      <c r="C132" s="55">
        <v>2</v>
      </c>
      <c r="D132" s="44">
        <f t="shared" si="51"/>
        <v>2</v>
      </c>
      <c r="E132" s="44">
        <f t="shared" si="51"/>
        <v>2</v>
      </c>
      <c r="F132" s="44">
        <f t="shared" si="51"/>
        <v>2</v>
      </c>
      <c r="G132" s="44">
        <f t="shared" si="51"/>
        <v>2</v>
      </c>
      <c r="H132" s="44">
        <f t="shared" si="51"/>
        <v>2</v>
      </c>
      <c r="I132" s="44">
        <f t="shared" si="51"/>
        <v>2</v>
      </c>
      <c r="J132" s="44">
        <f t="shared" si="51"/>
        <v>2</v>
      </c>
      <c r="K132" s="44">
        <f t="shared" si="51"/>
        <v>2</v>
      </c>
      <c r="L132" s="44">
        <f t="shared" si="51"/>
        <v>2</v>
      </c>
      <c r="M132" s="44">
        <f t="shared" si="51"/>
        <v>2</v>
      </c>
      <c r="N132" s="44">
        <f t="shared" si="51"/>
        <v>2</v>
      </c>
      <c r="O132" s="44">
        <f t="shared" si="51"/>
        <v>2</v>
      </c>
      <c r="P132" s="44">
        <f t="shared" si="51"/>
        <v>2</v>
      </c>
      <c r="Q132" s="44">
        <f t="shared" si="51"/>
        <v>2</v>
      </c>
      <c r="R132" s="44">
        <f t="shared" si="51"/>
        <v>2</v>
      </c>
      <c r="S132" s="44">
        <f t="shared" si="51"/>
        <v>2</v>
      </c>
      <c r="T132" s="44">
        <f t="shared" si="52"/>
        <v>2</v>
      </c>
      <c r="U132" s="44">
        <f t="shared" si="52"/>
        <v>2</v>
      </c>
      <c r="V132" s="44">
        <f t="shared" si="52"/>
        <v>2</v>
      </c>
      <c r="W132" s="44">
        <f t="shared" si="52"/>
        <v>2</v>
      </c>
      <c r="X132" s="44">
        <f t="shared" si="52"/>
        <v>2</v>
      </c>
      <c r="Y132" s="44">
        <f t="shared" si="52"/>
        <v>2</v>
      </c>
      <c r="Z132" s="44">
        <f t="shared" si="52"/>
        <v>2</v>
      </c>
      <c r="AA132" s="44">
        <f t="shared" si="52"/>
        <v>2</v>
      </c>
      <c r="AB132" s="44">
        <f t="shared" si="52"/>
        <v>2</v>
      </c>
      <c r="AC132" s="44">
        <f t="shared" si="52"/>
        <v>2</v>
      </c>
      <c r="AD132" s="44">
        <f t="shared" si="52"/>
        <v>2</v>
      </c>
      <c r="AE132" s="44">
        <f t="shared" si="52"/>
        <v>2</v>
      </c>
      <c r="AF132" s="44">
        <f t="shared" si="52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0"/>
        <v>1.25</v>
      </c>
      <c r="C133" s="55">
        <v>1.25</v>
      </c>
      <c r="D133" s="44">
        <f t="shared" si="51"/>
        <v>1.25</v>
      </c>
      <c r="E133" s="44">
        <f t="shared" si="51"/>
        <v>1.25</v>
      </c>
      <c r="F133" s="44">
        <f t="shared" si="51"/>
        <v>1.25</v>
      </c>
      <c r="G133" s="44">
        <f t="shared" si="51"/>
        <v>1.25</v>
      </c>
      <c r="H133" s="44">
        <f t="shared" si="51"/>
        <v>1.25</v>
      </c>
      <c r="I133" s="44">
        <f t="shared" si="51"/>
        <v>1.25</v>
      </c>
      <c r="J133" s="44">
        <f t="shared" si="51"/>
        <v>1.25</v>
      </c>
      <c r="K133" s="44">
        <f t="shared" si="51"/>
        <v>1.25</v>
      </c>
      <c r="L133" s="44">
        <f t="shared" si="51"/>
        <v>1.25</v>
      </c>
      <c r="M133" s="44">
        <f t="shared" si="51"/>
        <v>1.25</v>
      </c>
      <c r="N133" s="44">
        <f t="shared" si="51"/>
        <v>1.25</v>
      </c>
      <c r="O133" s="44">
        <f t="shared" si="51"/>
        <v>1.25</v>
      </c>
      <c r="P133" s="44">
        <f t="shared" si="51"/>
        <v>1.25</v>
      </c>
      <c r="Q133" s="44">
        <f t="shared" si="51"/>
        <v>1.25</v>
      </c>
      <c r="R133" s="44">
        <f t="shared" si="51"/>
        <v>1.25</v>
      </c>
      <c r="S133" s="44">
        <f t="shared" si="51"/>
        <v>1.25</v>
      </c>
      <c r="T133" s="44">
        <f t="shared" si="52"/>
        <v>1.25</v>
      </c>
      <c r="U133" s="44">
        <f t="shared" si="52"/>
        <v>1.25</v>
      </c>
      <c r="V133" s="44">
        <f t="shared" si="52"/>
        <v>1.25</v>
      </c>
      <c r="W133" s="44">
        <f t="shared" si="52"/>
        <v>1.25</v>
      </c>
      <c r="X133" s="44">
        <f t="shared" si="52"/>
        <v>1.25</v>
      </c>
      <c r="Y133" s="44">
        <f t="shared" si="52"/>
        <v>1.25</v>
      </c>
      <c r="Z133" s="44">
        <f t="shared" si="52"/>
        <v>1.25</v>
      </c>
      <c r="AA133" s="44">
        <f t="shared" si="52"/>
        <v>1.25</v>
      </c>
      <c r="AB133" s="44">
        <f t="shared" si="52"/>
        <v>1.25</v>
      </c>
      <c r="AC133" s="44">
        <f t="shared" si="52"/>
        <v>1.25</v>
      </c>
      <c r="AD133" s="44">
        <f t="shared" si="52"/>
        <v>1.25</v>
      </c>
      <c r="AE133" s="44">
        <f t="shared" si="52"/>
        <v>1.25</v>
      </c>
      <c r="AF133" s="44">
        <f t="shared" si="52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0"/>
        <v>1.1499999999999999</v>
      </c>
      <c r="C134" s="55">
        <v>1.1499999999999999</v>
      </c>
      <c r="D134" s="44">
        <f t="shared" si="51"/>
        <v>1.1499999999999999</v>
      </c>
      <c r="E134" s="44">
        <f t="shared" si="51"/>
        <v>1.1499999999999999</v>
      </c>
      <c r="F134" s="44">
        <f t="shared" si="51"/>
        <v>1.1499999999999999</v>
      </c>
      <c r="G134" s="44">
        <f t="shared" si="51"/>
        <v>1.1499999999999999</v>
      </c>
      <c r="H134" s="44">
        <f t="shared" si="51"/>
        <v>1.1499999999999999</v>
      </c>
      <c r="I134" s="44">
        <f t="shared" si="51"/>
        <v>1.1499999999999999</v>
      </c>
      <c r="J134" s="44">
        <f t="shared" si="51"/>
        <v>1.1499999999999999</v>
      </c>
      <c r="K134" s="44">
        <f t="shared" si="51"/>
        <v>1.1499999999999999</v>
      </c>
      <c r="L134" s="44">
        <f t="shared" si="51"/>
        <v>1.1499999999999999</v>
      </c>
      <c r="M134" s="44">
        <f t="shared" si="51"/>
        <v>1.1499999999999999</v>
      </c>
      <c r="N134" s="44">
        <f t="shared" si="51"/>
        <v>1.1499999999999999</v>
      </c>
      <c r="O134" s="44">
        <f t="shared" si="51"/>
        <v>1.1499999999999999</v>
      </c>
      <c r="P134" s="44">
        <f t="shared" si="51"/>
        <v>1.1499999999999999</v>
      </c>
      <c r="Q134" s="44">
        <f t="shared" si="51"/>
        <v>1.1499999999999999</v>
      </c>
      <c r="R134" s="44">
        <f t="shared" si="51"/>
        <v>1.1499999999999999</v>
      </c>
      <c r="S134" s="44">
        <f t="shared" si="51"/>
        <v>1.1499999999999999</v>
      </c>
      <c r="T134" s="44">
        <f t="shared" si="52"/>
        <v>1.1499999999999999</v>
      </c>
      <c r="U134" s="44">
        <f t="shared" si="52"/>
        <v>1.1499999999999999</v>
      </c>
      <c r="V134" s="44">
        <f t="shared" si="52"/>
        <v>1.1499999999999999</v>
      </c>
      <c r="W134" s="44">
        <f t="shared" si="52"/>
        <v>1.1499999999999999</v>
      </c>
      <c r="X134" s="44">
        <f t="shared" si="52"/>
        <v>1.1499999999999999</v>
      </c>
      <c r="Y134" s="44">
        <f t="shared" si="52"/>
        <v>1.1499999999999999</v>
      </c>
      <c r="Z134" s="44">
        <f t="shared" si="52"/>
        <v>1.1499999999999999</v>
      </c>
      <c r="AA134" s="44">
        <f t="shared" si="52"/>
        <v>1.1499999999999999</v>
      </c>
      <c r="AB134" s="44">
        <f t="shared" si="52"/>
        <v>1.1499999999999999</v>
      </c>
      <c r="AC134" s="44">
        <f t="shared" si="52"/>
        <v>1.1499999999999999</v>
      </c>
      <c r="AD134" s="44">
        <f t="shared" si="52"/>
        <v>1.1499999999999999</v>
      </c>
      <c r="AE134" s="44">
        <f t="shared" si="52"/>
        <v>1.1499999999999999</v>
      </c>
      <c r="AF134" s="44">
        <f t="shared" si="52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0"/>
        <v>2.133</v>
      </c>
      <c r="C135" s="55">
        <v>2.133</v>
      </c>
      <c r="D135" s="44">
        <f t="shared" si="51"/>
        <v>2.133</v>
      </c>
      <c r="E135" s="44">
        <f t="shared" si="51"/>
        <v>2.133</v>
      </c>
      <c r="F135" s="44">
        <f t="shared" si="51"/>
        <v>2.133</v>
      </c>
      <c r="G135" s="44">
        <f t="shared" si="51"/>
        <v>2.133</v>
      </c>
      <c r="H135" s="44">
        <f t="shared" si="51"/>
        <v>2.133</v>
      </c>
      <c r="I135" s="44">
        <f t="shared" si="51"/>
        <v>2.133</v>
      </c>
      <c r="J135" s="44">
        <f t="shared" si="51"/>
        <v>2.133</v>
      </c>
      <c r="K135" s="44">
        <f t="shared" si="51"/>
        <v>2.133</v>
      </c>
      <c r="L135" s="44">
        <f t="shared" si="51"/>
        <v>2.133</v>
      </c>
      <c r="M135" s="44">
        <f t="shared" si="51"/>
        <v>2.133</v>
      </c>
      <c r="N135" s="44">
        <f t="shared" si="51"/>
        <v>2.133</v>
      </c>
      <c r="O135" s="44">
        <f t="shared" si="51"/>
        <v>2.133</v>
      </c>
      <c r="P135" s="44">
        <f t="shared" si="51"/>
        <v>2.133</v>
      </c>
      <c r="Q135" s="44">
        <f t="shared" si="51"/>
        <v>2.133</v>
      </c>
      <c r="R135" s="44">
        <f t="shared" si="51"/>
        <v>2.133</v>
      </c>
      <c r="S135" s="44">
        <f t="shared" si="51"/>
        <v>2.133</v>
      </c>
      <c r="T135" s="44">
        <f t="shared" si="52"/>
        <v>2.133</v>
      </c>
      <c r="U135" s="44">
        <f t="shared" si="52"/>
        <v>2.133</v>
      </c>
      <c r="V135" s="44">
        <f t="shared" si="52"/>
        <v>2.133</v>
      </c>
      <c r="W135" s="44">
        <f t="shared" si="52"/>
        <v>2.133</v>
      </c>
      <c r="X135" s="44">
        <f t="shared" si="52"/>
        <v>2.133</v>
      </c>
      <c r="Y135" s="44">
        <f t="shared" si="52"/>
        <v>2.133</v>
      </c>
      <c r="Z135" s="44">
        <f t="shared" si="52"/>
        <v>2.133</v>
      </c>
      <c r="AA135" s="44">
        <f t="shared" si="52"/>
        <v>2.133</v>
      </c>
      <c r="AB135" s="44">
        <f t="shared" si="52"/>
        <v>2.133</v>
      </c>
      <c r="AC135" s="44">
        <f t="shared" si="52"/>
        <v>2.133</v>
      </c>
      <c r="AD135" s="44">
        <f t="shared" si="52"/>
        <v>2.133</v>
      </c>
      <c r="AE135" s="44">
        <f t="shared" si="52"/>
        <v>2.133</v>
      </c>
      <c r="AF135" s="44">
        <f t="shared" si="52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0"/>
        <v>2.09</v>
      </c>
      <c r="C136" s="55">
        <v>2.09</v>
      </c>
      <c r="D136" s="44">
        <f t="shared" si="51"/>
        <v>2.09</v>
      </c>
      <c r="E136" s="44">
        <f t="shared" si="51"/>
        <v>2.09</v>
      </c>
      <c r="F136" s="44">
        <f t="shared" si="51"/>
        <v>2.09</v>
      </c>
      <c r="G136" s="44">
        <f t="shared" si="51"/>
        <v>2.09</v>
      </c>
      <c r="H136" s="44">
        <f t="shared" si="51"/>
        <v>2.09</v>
      </c>
      <c r="I136" s="44">
        <f t="shared" si="51"/>
        <v>2.09</v>
      </c>
      <c r="J136" s="44">
        <f t="shared" si="51"/>
        <v>2.09</v>
      </c>
      <c r="K136" s="44">
        <f t="shared" si="51"/>
        <v>2.09</v>
      </c>
      <c r="L136" s="44">
        <f t="shared" si="51"/>
        <v>2.09</v>
      </c>
      <c r="M136" s="44">
        <f t="shared" si="51"/>
        <v>2.09</v>
      </c>
      <c r="N136" s="44">
        <f t="shared" si="51"/>
        <v>2.09</v>
      </c>
      <c r="O136" s="44">
        <f t="shared" si="51"/>
        <v>2.09</v>
      </c>
      <c r="P136" s="44">
        <f t="shared" si="51"/>
        <v>2.09</v>
      </c>
      <c r="Q136" s="44">
        <f t="shared" si="51"/>
        <v>2.09</v>
      </c>
      <c r="R136" s="44">
        <f t="shared" si="51"/>
        <v>2.09</v>
      </c>
      <c r="S136" s="44">
        <f t="shared" si="51"/>
        <v>2.09</v>
      </c>
      <c r="T136" s="44">
        <f t="shared" si="52"/>
        <v>2.09</v>
      </c>
      <c r="U136" s="44">
        <f t="shared" si="52"/>
        <v>2.09</v>
      </c>
      <c r="V136" s="44">
        <f t="shared" si="52"/>
        <v>2.09</v>
      </c>
      <c r="W136" s="44">
        <f t="shared" si="52"/>
        <v>2.09</v>
      </c>
      <c r="X136" s="44">
        <f t="shared" si="52"/>
        <v>2.09</v>
      </c>
      <c r="Y136" s="44">
        <f t="shared" si="52"/>
        <v>2.09</v>
      </c>
      <c r="Z136" s="44">
        <f t="shared" si="52"/>
        <v>2.09</v>
      </c>
      <c r="AA136" s="44">
        <f t="shared" si="52"/>
        <v>2.09</v>
      </c>
      <c r="AB136" s="44">
        <f t="shared" si="52"/>
        <v>2.09</v>
      </c>
      <c r="AC136" s="44">
        <f t="shared" si="52"/>
        <v>2.09</v>
      </c>
      <c r="AD136" s="44">
        <f t="shared" si="52"/>
        <v>2.09</v>
      </c>
      <c r="AE136" s="44">
        <f t="shared" si="52"/>
        <v>2.09</v>
      </c>
      <c r="AF136" s="44">
        <f t="shared" si="52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0"/>
        <v>1.1399999999999999</v>
      </c>
      <c r="C137" s="55">
        <v>1.1399999999999999</v>
      </c>
      <c r="D137" s="44">
        <f t="shared" si="51"/>
        <v>1.1399999999999999</v>
      </c>
      <c r="E137" s="44">
        <f t="shared" si="51"/>
        <v>1.1399999999999999</v>
      </c>
      <c r="F137" s="44">
        <f t="shared" si="51"/>
        <v>1.1399999999999999</v>
      </c>
      <c r="G137" s="44">
        <f t="shared" si="51"/>
        <v>1.1399999999999999</v>
      </c>
      <c r="H137" s="44">
        <f t="shared" si="51"/>
        <v>1.1399999999999999</v>
      </c>
      <c r="I137" s="44">
        <f t="shared" si="51"/>
        <v>1.1399999999999999</v>
      </c>
      <c r="J137" s="44">
        <f t="shared" si="51"/>
        <v>1.1399999999999999</v>
      </c>
      <c r="K137" s="44">
        <f t="shared" si="51"/>
        <v>1.1399999999999999</v>
      </c>
      <c r="L137" s="44">
        <f t="shared" si="51"/>
        <v>1.1399999999999999</v>
      </c>
      <c r="M137" s="44">
        <f t="shared" si="51"/>
        <v>1.1399999999999999</v>
      </c>
      <c r="N137" s="44">
        <f t="shared" si="51"/>
        <v>1.1399999999999999</v>
      </c>
      <c r="O137" s="44">
        <f t="shared" si="51"/>
        <v>1.1399999999999999</v>
      </c>
      <c r="P137" s="44">
        <f t="shared" si="51"/>
        <v>1.1399999999999999</v>
      </c>
      <c r="Q137" s="44">
        <f t="shared" si="51"/>
        <v>1.1399999999999999</v>
      </c>
      <c r="R137" s="44">
        <f t="shared" si="51"/>
        <v>1.1399999999999999</v>
      </c>
      <c r="S137" s="44">
        <f t="shared" si="51"/>
        <v>1.1399999999999999</v>
      </c>
      <c r="T137" s="44">
        <f t="shared" si="52"/>
        <v>1.1399999999999999</v>
      </c>
      <c r="U137" s="44">
        <f t="shared" si="52"/>
        <v>1.1399999999999999</v>
      </c>
      <c r="V137" s="44">
        <f t="shared" si="52"/>
        <v>1.1399999999999999</v>
      </c>
      <c r="W137" s="44">
        <f t="shared" si="52"/>
        <v>1.1399999999999999</v>
      </c>
      <c r="X137" s="44">
        <f t="shared" si="52"/>
        <v>1.1399999999999999</v>
      </c>
      <c r="Y137" s="44">
        <f t="shared" si="52"/>
        <v>1.1399999999999999</v>
      </c>
      <c r="Z137" s="44">
        <f t="shared" si="52"/>
        <v>1.1399999999999999</v>
      </c>
      <c r="AA137" s="44">
        <f t="shared" si="52"/>
        <v>1.1399999999999999</v>
      </c>
      <c r="AB137" s="44">
        <f t="shared" si="52"/>
        <v>1.1399999999999999</v>
      </c>
      <c r="AC137" s="44">
        <f t="shared" si="52"/>
        <v>1.1399999999999999</v>
      </c>
      <c r="AD137" s="44">
        <f t="shared" si="52"/>
        <v>1.1399999999999999</v>
      </c>
      <c r="AE137" s="44">
        <f t="shared" si="52"/>
        <v>1.1399999999999999</v>
      </c>
      <c r="AF137" s="44">
        <f t="shared" si="5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0"/>
        <v>0.82</v>
      </c>
      <c r="C138" s="55">
        <v>0.82</v>
      </c>
      <c r="D138" s="44">
        <f t="shared" si="51"/>
        <v>0.82</v>
      </c>
      <c r="E138" s="44">
        <f t="shared" si="51"/>
        <v>0.82</v>
      </c>
      <c r="F138" s="44">
        <f t="shared" si="51"/>
        <v>0.82</v>
      </c>
      <c r="G138" s="44">
        <f t="shared" si="51"/>
        <v>0.82</v>
      </c>
      <c r="H138" s="44">
        <f t="shared" si="51"/>
        <v>0.82</v>
      </c>
      <c r="I138" s="44">
        <f t="shared" si="51"/>
        <v>0.82</v>
      </c>
      <c r="J138" s="44">
        <f t="shared" si="51"/>
        <v>0.82</v>
      </c>
      <c r="K138" s="44">
        <f t="shared" si="51"/>
        <v>0.82</v>
      </c>
      <c r="L138" s="44">
        <f t="shared" si="51"/>
        <v>0.82</v>
      </c>
      <c r="M138" s="44">
        <f t="shared" si="51"/>
        <v>0.82</v>
      </c>
      <c r="N138" s="44">
        <f t="shared" si="51"/>
        <v>0.82</v>
      </c>
      <c r="O138" s="44">
        <f t="shared" si="51"/>
        <v>0.82</v>
      </c>
      <c r="P138" s="44">
        <f t="shared" si="51"/>
        <v>0.82</v>
      </c>
      <c r="Q138" s="44">
        <f t="shared" si="51"/>
        <v>0.82</v>
      </c>
      <c r="R138" s="44">
        <f t="shared" si="51"/>
        <v>0.82</v>
      </c>
      <c r="S138" s="44">
        <f t="shared" si="51"/>
        <v>0.82</v>
      </c>
      <c r="T138" s="44">
        <f t="shared" si="52"/>
        <v>0.82</v>
      </c>
      <c r="U138" s="44">
        <f t="shared" si="52"/>
        <v>0.82</v>
      </c>
      <c r="V138" s="44">
        <f t="shared" si="52"/>
        <v>0.82</v>
      </c>
      <c r="W138" s="44">
        <f t="shared" si="52"/>
        <v>0.82</v>
      </c>
      <c r="X138" s="44">
        <f t="shared" si="52"/>
        <v>0.82</v>
      </c>
      <c r="Y138" s="44">
        <f t="shared" si="52"/>
        <v>0.82</v>
      </c>
      <c r="Z138" s="44">
        <f t="shared" si="52"/>
        <v>0.82</v>
      </c>
      <c r="AA138" s="44">
        <f t="shared" si="52"/>
        <v>0.82</v>
      </c>
      <c r="AB138" s="44">
        <f t="shared" si="52"/>
        <v>0.82</v>
      </c>
      <c r="AC138" s="44">
        <f t="shared" si="52"/>
        <v>0.82</v>
      </c>
      <c r="AD138" s="44">
        <f t="shared" si="52"/>
        <v>0.82</v>
      </c>
      <c r="AE138" s="44">
        <f t="shared" si="52"/>
        <v>0.82</v>
      </c>
      <c r="AF138" s="44">
        <f t="shared" si="52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3">AF140</f>
        <v>2</v>
      </c>
      <c r="C140" s="55">
        <v>2</v>
      </c>
      <c r="D140" s="44">
        <f t="shared" ref="D140:S146" si="54">C140</f>
        <v>2</v>
      </c>
      <c r="E140" s="44">
        <f t="shared" si="54"/>
        <v>2</v>
      </c>
      <c r="F140" s="44">
        <f t="shared" si="54"/>
        <v>2</v>
      </c>
      <c r="G140" s="44">
        <f t="shared" si="54"/>
        <v>2</v>
      </c>
      <c r="H140" s="44">
        <f t="shared" si="54"/>
        <v>2</v>
      </c>
      <c r="I140" s="44">
        <f t="shared" si="54"/>
        <v>2</v>
      </c>
      <c r="J140" s="44">
        <f t="shared" si="54"/>
        <v>2</v>
      </c>
      <c r="K140" s="44">
        <f t="shared" si="54"/>
        <v>2</v>
      </c>
      <c r="L140" s="44">
        <f t="shared" si="54"/>
        <v>2</v>
      </c>
      <c r="M140" s="44">
        <f t="shared" si="54"/>
        <v>2</v>
      </c>
      <c r="N140" s="44">
        <f t="shared" si="54"/>
        <v>2</v>
      </c>
      <c r="O140" s="44">
        <f t="shared" si="54"/>
        <v>2</v>
      </c>
      <c r="P140" s="44">
        <f t="shared" si="54"/>
        <v>2</v>
      </c>
      <c r="Q140" s="44">
        <f t="shared" si="54"/>
        <v>2</v>
      </c>
      <c r="R140" s="44">
        <f t="shared" si="54"/>
        <v>2</v>
      </c>
      <c r="S140" s="44">
        <f t="shared" si="54"/>
        <v>2</v>
      </c>
      <c r="T140" s="44">
        <f t="shared" ref="T140:AF146" si="55">S140</f>
        <v>2</v>
      </c>
      <c r="U140" s="44">
        <f t="shared" si="55"/>
        <v>2</v>
      </c>
      <c r="V140" s="44">
        <f t="shared" si="55"/>
        <v>2</v>
      </c>
      <c r="W140" s="44">
        <f t="shared" si="55"/>
        <v>2</v>
      </c>
      <c r="X140" s="44">
        <f t="shared" si="55"/>
        <v>2</v>
      </c>
      <c r="Y140" s="44">
        <f t="shared" si="55"/>
        <v>2</v>
      </c>
      <c r="Z140" s="44">
        <f t="shared" si="55"/>
        <v>2</v>
      </c>
      <c r="AA140" s="44">
        <f t="shared" si="55"/>
        <v>2</v>
      </c>
      <c r="AB140" s="44">
        <f t="shared" si="55"/>
        <v>2</v>
      </c>
      <c r="AC140" s="44">
        <f t="shared" si="55"/>
        <v>2</v>
      </c>
      <c r="AD140" s="44">
        <f t="shared" si="55"/>
        <v>2</v>
      </c>
      <c r="AE140" s="44">
        <f t="shared" si="55"/>
        <v>2</v>
      </c>
      <c r="AF140" s="44">
        <f t="shared" si="5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3"/>
        <v>5.61</v>
      </c>
      <c r="C141" s="55">
        <v>5.61</v>
      </c>
      <c r="D141" s="44">
        <f t="shared" si="54"/>
        <v>5.61</v>
      </c>
      <c r="E141" s="44">
        <f t="shared" si="54"/>
        <v>5.61</v>
      </c>
      <c r="F141" s="44">
        <f t="shared" si="54"/>
        <v>5.61</v>
      </c>
      <c r="G141" s="44">
        <f t="shared" si="54"/>
        <v>5.61</v>
      </c>
      <c r="H141" s="44">
        <f t="shared" si="54"/>
        <v>5.61</v>
      </c>
      <c r="I141" s="44">
        <f t="shared" si="54"/>
        <v>5.61</v>
      </c>
      <c r="J141" s="44">
        <f t="shared" si="54"/>
        <v>5.61</v>
      </c>
      <c r="K141" s="44">
        <f t="shared" si="54"/>
        <v>5.61</v>
      </c>
      <c r="L141" s="44">
        <f t="shared" si="54"/>
        <v>5.61</v>
      </c>
      <c r="M141" s="44">
        <f t="shared" si="54"/>
        <v>5.61</v>
      </c>
      <c r="N141" s="44">
        <f t="shared" si="54"/>
        <v>5.61</v>
      </c>
      <c r="O141" s="44">
        <f t="shared" si="54"/>
        <v>5.61</v>
      </c>
      <c r="P141" s="44">
        <f t="shared" si="54"/>
        <v>5.61</v>
      </c>
      <c r="Q141" s="44">
        <f t="shared" si="54"/>
        <v>5.61</v>
      </c>
      <c r="R141" s="44">
        <f t="shared" si="54"/>
        <v>5.61</v>
      </c>
      <c r="S141" s="44">
        <f t="shared" si="54"/>
        <v>5.61</v>
      </c>
      <c r="T141" s="44">
        <f t="shared" si="55"/>
        <v>5.61</v>
      </c>
      <c r="U141" s="44">
        <f t="shared" si="55"/>
        <v>5.61</v>
      </c>
      <c r="V141" s="44">
        <f t="shared" si="55"/>
        <v>5.61</v>
      </c>
      <c r="W141" s="44">
        <f t="shared" si="55"/>
        <v>5.61</v>
      </c>
      <c r="X141" s="44">
        <f t="shared" si="55"/>
        <v>5.61</v>
      </c>
      <c r="Y141" s="44">
        <f t="shared" si="55"/>
        <v>5.61</v>
      </c>
      <c r="Z141" s="44">
        <f t="shared" si="55"/>
        <v>5.61</v>
      </c>
      <c r="AA141" s="44">
        <f t="shared" si="55"/>
        <v>5.61</v>
      </c>
      <c r="AB141" s="44">
        <f t="shared" si="55"/>
        <v>5.61</v>
      </c>
      <c r="AC141" s="44">
        <f t="shared" si="55"/>
        <v>5.61</v>
      </c>
      <c r="AD141" s="44">
        <f t="shared" si="55"/>
        <v>5.61</v>
      </c>
      <c r="AE141" s="44">
        <f t="shared" si="55"/>
        <v>5.61</v>
      </c>
      <c r="AF141" s="44">
        <f t="shared" si="55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3"/>
        <v>1.25</v>
      </c>
      <c r="C142" s="55">
        <v>1.25</v>
      </c>
      <c r="D142" s="44">
        <f t="shared" si="54"/>
        <v>1.25</v>
      </c>
      <c r="E142" s="44">
        <f t="shared" si="54"/>
        <v>1.25</v>
      </c>
      <c r="F142" s="44">
        <f t="shared" si="54"/>
        <v>1.25</v>
      </c>
      <c r="G142" s="44">
        <f t="shared" si="54"/>
        <v>1.25</v>
      </c>
      <c r="H142" s="44">
        <f t="shared" si="54"/>
        <v>1.25</v>
      </c>
      <c r="I142" s="44">
        <f t="shared" si="54"/>
        <v>1.25</v>
      </c>
      <c r="J142" s="44">
        <f t="shared" si="54"/>
        <v>1.25</v>
      </c>
      <c r="K142" s="44">
        <f t="shared" si="54"/>
        <v>1.25</v>
      </c>
      <c r="L142" s="44">
        <f t="shared" si="54"/>
        <v>1.25</v>
      </c>
      <c r="M142" s="44">
        <f t="shared" si="54"/>
        <v>1.25</v>
      </c>
      <c r="N142" s="44">
        <f t="shared" si="54"/>
        <v>1.25</v>
      </c>
      <c r="O142" s="44">
        <f t="shared" si="54"/>
        <v>1.25</v>
      </c>
      <c r="P142" s="44">
        <f t="shared" si="54"/>
        <v>1.25</v>
      </c>
      <c r="Q142" s="44">
        <f t="shared" si="54"/>
        <v>1.25</v>
      </c>
      <c r="R142" s="44">
        <f t="shared" si="54"/>
        <v>1.25</v>
      </c>
      <c r="S142" s="44">
        <f t="shared" si="54"/>
        <v>1.25</v>
      </c>
      <c r="T142" s="44">
        <f t="shared" si="55"/>
        <v>1.25</v>
      </c>
      <c r="U142" s="44">
        <f t="shared" si="55"/>
        <v>1.25</v>
      </c>
      <c r="V142" s="44">
        <f t="shared" si="55"/>
        <v>1.25</v>
      </c>
      <c r="W142" s="44">
        <f t="shared" si="55"/>
        <v>1.25</v>
      </c>
      <c r="X142" s="44">
        <f t="shared" si="55"/>
        <v>1.25</v>
      </c>
      <c r="Y142" s="44">
        <f t="shared" si="55"/>
        <v>1.25</v>
      </c>
      <c r="Z142" s="44">
        <f t="shared" si="55"/>
        <v>1.25</v>
      </c>
      <c r="AA142" s="44">
        <f t="shared" si="55"/>
        <v>1.25</v>
      </c>
      <c r="AB142" s="44">
        <f t="shared" si="55"/>
        <v>1.25</v>
      </c>
      <c r="AC142" s="44">
        <f t="shared" si="55"/>
        <v>1.25</v>
      </c>
      <c r="AD142" s="44">
        <f t="shared" si="55"/>
        <v>1.25</v>
      </c>
      <c r="AE142" s="44">
        <f t="shared" si="55"/>
        <v>1.25</v>
      </c>
      <c r="AF142" s="44">
        <f t="shared" si="55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3"/>
        <v>1.25</v>
      </c>
      <c r="C143" s="55">
        <v>1.25</v>
      </c>
      <c r="D143" s="44">
        <f t="shared" si="54"/>
        <v>1.25</v>
      </c>
      <c r="E143" s="44">
        <f t="shared" si="54"/>
        <v>1.25</v>
      </c>
      <c r="F143" s="44">
        <f t="shared" si="54"/>
        <v>1.25</v>
      </c>
      <c r="G143" s="44">
        <f t="shared" si="54"/>
        <v>1.25</v>
      </c>
      <c r="H143" s="44">
        <f t="shared" si="54"/>
        <v>1.25</v>
      </c>
      <c r="I143" s="44">
        <f t="shared" si="54"/>
        <v>1.25</v>
      </c>
      <c r="J143" s="44">
        <f t="shared" si="54"/>
        <v>1.25</v>
      </c>
      <c r="K143" s="44">
        <f t="shared" si="54"/>
        <v>1.25</v>
      </c>
      <c r="L143" s="44">
        <f t="shared" si="54"/>
        <v>1.25</v>
      </c>
      <c r="M143" s="44">
        <f t="shared" si="54"/>
        <v>1.25</v>
      </c>
      <c r="N143" s="44">
        <f t="shared" si="54"/>
        <v>1.25</v>
      </c>
      <c r="O143" s="44">
        <f t="shared" si="54"/>
        <v>1.25</v>
      </c>
      <c r="P143" s="44">
        <f t="shared" si="54"/>
        <v>1.25</v>
      </c>
      <c r="Q143" s="44">
        <f t="shared" si="54"/>
        <v>1.25</v>
      </c>
      <c r="R143" s="44">
        <f t="shared" si="54"/>
        <v>1.25</v>
      </c>
      <c r="S143" s="44">
        <f t="shared" si="54"/>
        <v>1.25</v>
      </c>
      <c r="T143" s="44">
        <f t="shared" si="55"/>
        <v>1.25</v>
      </c>
      <c r="U143" s="44">
        <f t="shared" si="55"/>
        <v>1.25</v>
      </c>
      <c r="V143" s="44">
        <f t="shared" si="55"/>
        <v>1.25</v>
      </c>
      <c r="W143" s="44">
        <f t="shared" si="55"/>
        <v>1.25</v>
      </c>
      <c r="X143" s="44">
        <f t="shared" si="55"/>
        <v>1.25</v>
      </c>
      <c r="Y143" s="44">
        <f t="shared" si="55"/>
        <v>1.25</v>
      </c>
      <c r="Z143" s="44">
        <f t="shared" si="55"/>
        <v>1.25</v>
      </c>
      <c r="AA143" s="44">
        <f t="shared" si="55"/>
        <v>1.25</v>
      </c>
      <c r="AB143" s="44">
        <f t="shared" si="55"/>
        <v>1.25</v>
      </c>
      <c r="AC143" s="44">
        <f t="shared" si="55"/>
        <v>1.25</v>
      </c>
      <c r="AD143" s="44">
        <f t="shared" si="55"/>
        <v>1.25</v>
      </c>
      <c r="AE143" s="44">
        <f t="shared" si="55"/>
        <v>1.25</v>
      </c>
      <c r="AF143" s="44">
        <f t="shared" si="55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3"/>
        <v>1.46</v>
      </c>
      <c r="C144" s="55">
        <v>1.46</v>
      </c>
      <c r="D144" s="44">
        <f t="shared" si="54"/>
        <v>1.46</v>
      </c>
      <c r="E144" s="44">
        <f t="shared" si="54"/>
        <v>1.46</v>
      </c>
      <c r="F144" s="44">
        <f t="shared" si="54"/>
        <v>1.46</v>
      </c>
      <c r="G144" s="44">
        <f t="shared" si="54"/>
        <v>1.46</v>
      </c>
      <c r="H144" s="44">
        <f t="shared" si="54"/>
        <v>1.46</v>
      </c>
      <c r="I144" s="44">
        <f t="shared" si="54"/>
        <v>1.46</v>
      </c>
      <c r="J144" s="44">
        <f t="shared" si="54"/>
        <v>1.46</v>
      </c>
      <c r="K144" s="44">
        <f t="shared" si="54"/>
        <v>1.46</v>
      </c>
      <c r="L144" s="44">
        <f t="shared" si="54"/>
        <v>1.46</v>
      </c>
      <c r="M144" s="44">
        <f t="shared" si="54"/>
        <v>1.46</v>
      </c>
      <c r="N144" s="44">
        <f t="shared" si="54"/>
        <v>1.46</v>
      </c>
      <c r="O144" s="44">
        <f t="shared" si="54"/>
        <v>1.46</v>
      </c>
      <c r="P144" s="44">
        <f t="shared" si="54"/>
        <v>1.46</v>
      </c>
      <c r="Q144" s="44">
        <f t="shared" si="54"/>
        <v>1.46</v>
      </c>
      <c r="R144" s="44">
        <f t="shared" si="54"/>
        <v>1.46</v>
      </c>
      <c r="S144" s="44">
        <f t="shared" si="54"/>
        <v>1.46</v>
      </c>
      <c r="T144" s="44">
        <f t="shared" si="55"/>
        <v>1.46</v>
      </c>
      <c r="U144" s="44">
        <f t="shared" si="55"/>
        <v>1.46</v>
      </c>
      <c r="V144" s="44">
        <f t="shared" si="55"/>
        <v>1.46</v>
      </c>
      <c r="W144" s="44">
        <f t="shared" si="55"/>
        <v>1.46</v>
      </c>
      <c r="X144" s="44">
        <f t="shared" si="55"/>
        <v>1.46</v>
      </c>
      <c r="Y144" s="44">
        <f t="shared" si="55"/>
        <v>1.46</v>
      </c>
      <c r="Z144" s="44">
        <f t="shared" si="55"/>
        <v>1.46</v>
      </c>
      <c r="AA144" s="44">
        <f t="shared" si="55"/>
        <v>1.46</v>
      </c>
      <c r="AB144" s="44">
        <f t="shared" si="55"/>
        <v>1.46</v>
      </c>
      <c r="AC144" s="44">
        <f t="shared" si="55"/>
        <v>1.46</v>
      </c>
      <c r="AD144" s="44">
        <f t="shared" si="55"/>
        <v>1.46</v>
      </c>
      <c r="AE144" s="44">
        <f t="shared" si="55"/>
        <v>1.46</v>
      </c>
      <c r="AF144" s="44">
        <f t="shared" si="55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3"/>
        <v>3</v>
      </c>
      <c r="C145" s="55">
        <v>3</v>
      </c>
      <c r="D145" s="44">
        <f t="shared" si="54"/>
        <v>3</v>
      </c>
      <c r="E145" s="44">
        <f t="shared" si="54"/>
        <v>3</v>
      </c>
      <c r="F145" s="44">
        <f t="shared" si="54"/>
        <v>3</v>
      </c>
      <c r="G145" s="44">
        <f t="shared" si="54"/>
        <v>3</v>
      </c>
      <c r="H145" s="44">
        <f t="shared" si="54"/>
        <v>3</v>
      </c>
      <c r="I145" s="44">
        <f t="shared" si="54"/>
        <v>3</v>
      </c>
      <c r="J145" s="44">
        <f t="shared" si="54"/>
        <v>3</v>
      </c>
      <c r="K145" s="44">
        <f t="shared" si="54"/>
        <v>3</v>
      </c>
      <c r="L145" s="44">
        <f t="shared" si="54"/>
        <v>3</v>
      </c>
      <c r="M145" s="44">
        <f t="shared" si="54"/>
        <v>3</v>
      </c>
      <c r="N145" s="44">
        <f t="shared" si="54"/>
        <v>3</v>
      </c>
      <c r="O145" s="44">
        <f t="shared" si="54"/>
        <v>3</v>
      </c>
      <c r="P145" s="44">
        <f t="shared" si="54"/>
        <v>3</v>
      </c>
      <c r="Q145" s="44">
        <f t="shared" si="54"/>
        <v>3</v>
      </c>
      <c r="R145" s="44">
        <f t="shared" si="54"/>
        <v>3</v>
      </c>
      <c r="S145" s="44">
        <f t="shared" si="54"/>
        <v>3</v>
      </c>
      <c r="T145" s="44">
        <f t="shared" si="55"/>
        <v>3</v>
      </c>
      <c r="U145" s="44">
        <f t="shared" si="55"/>
        <v>3</v>
      </c>
      <c r="V145" s="44">
        <f t="shared" si="55"/>
        <v>3</v>
      </c>
      <c r="W145" s="44">
        <f t="shared" si="55"/>
        <v>3</v>
      </c>
      <c r="X145" s="44">
        <f t="shared" si="55"/>
        <v>3</v>
      </c>
      <c r="Y145" s="44">
        <f t="shared" si="55"/>
        <v>3</v>
      </c>
      <c r="Z145" s="44">
        <f t="shared" si="55"/>
        <v>3</v>
      </c>
      <c r="AA145" s="44">
        <f t="shared" si="55"/>
        <v>3</v>
      </c>
      <c r="AB145" s="44">
        <f t="shared" si="55"/>
        <v>3</v>
      </c>
      <c r="AC145" s="44">
        <f t="shared" si="55"/>
        <v>3</v>
      </c>
      <c r="AD145" s="44">
        <f t="shared" si="55"/>
        <v>3</v>
      </c>
      <c r="AE145" s="44">
        <f t="shared" si="55"/>
        <v>3</v>
      </c>
      <c r="AF145" s="44">
        <f t="shared" si="55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3"/>
        <v>3.3</v>
      </c>
      <c r="C146" s="55">
        <v>3.3</v>
      </c>
      <c r="D146" s="44">
        <f t="shared" si="54"/>
        <v>3.3</v>
      </c>
      <c r="E146" s="44">
        <f t="shared" si="54"/>
        <v>3.3</v>
      </c>
      <c r="F146" s="44">
        <f t="shared" si="54"/>
        <v>3.3</v>
      </c>
      <c r="G146" s="44">
        <f t="shared" si="54"/>
        <v>3.3</v>
      </c>
      <c r="H146" s="44">
        <f t="shared" si="54"/>
        <v>3.3</v>
      </c>
      <c r="I146" s="44">
        <f t="shared" si="54"/>
        <v>3.3</v>
      </c>
      <c r="J146" s="44">
        <f t="shared" si="54"/>
        <v>3.3</v>
      </c>
      <c r="K146" s="44">
        <f t="shared" si="54"/>
        <v>3.3</v>
      </c>
      <c r="L146" s="44">
        <f t="shared" si="54"/>
        <v>3.3</v>
      </c>
      <c r="M146" s="44">
        <f t="shared" si="54"/>
        <v>3.3</v>
      </c>
      <c r="N146" s="44">
        <f t="shared" si="54"/>
        <v>3.3</v>
      </c>
      <c r="O146" s="44">
        <f t="shared" si="54"/>
        <v>3.3</v>
      </c>
      <c r="P146" s="44">
        <f t="shared" si="54"/>
        <v>3.3</v>
      </c>
      <c r="Q146" s="44">
        <f t="shared" si="54"/>
        <v>3.3</v>
      </c>
      <c r="R146" s="44">
        <f t="shared" si="54"/>
        <v>3.3</v>
      </c>
      <c r="S146" s="44">
        <f t="shared" si="54"/>
        <v>3.3</v>
      </c>
      <c r="T146" s="44">
        <f t="shared" si="55"/>
        <v>3.3</v>
      </c>
      <c r="U146" s="44">
        <f t="shared" si="55"/>
        <v>3.3</v>
      </c>
      <c r="V146" s="44">
        <f t="shared" si="55"/>
        <v>3.3</v>
      </c>
      <c r="W146" s="44">
        <f t="shared" si="55"/>
        <v>3.3</v>
      </c>
      <c r="X146" s="44">
        <f t="shared" si="55"/>
        <v>3.3</v>
      </c>
      <c r="Y146" s="44">
        <f t="shared" si="55"/>
        <v>3.3</v>
      </c>
      <c r="Z146" s="44">
        <f t="shared" si="55"/>
        <v>3.3</v>
      </c>
      <c r="AA146" s="44">
        <f t="shared" si="55"/>
        <v>3.3</v>
      </c>
      <c r="AB146" s="44">
        <f t="shared" si="55"/>
        <v>3.3</v>
      </c>
      <c r="AC146" s="44">
        <f t="shared" si="55"/>
        <v>3.3</v>
      </c>
      <c r="AD146" s="44">
        <f t="shared" si="55"/>
        <v>3.3</v>
      </c>
      <c r="AE146" s="44">
        <f t="shared" si="55"/>
        <v>3.3</v>
      </c>
      <c r="AF146" s="44">
        <f t="shared" si="55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6">C148</f>
        <v>1.76</v>
      </c>
      <c r="E148" s="44">
        <f t="shared" si="56"/>
        <v>1.76</v>
      </c>
      <c r="F148" s="44">
        <f t="shared" si="56"/>
        <v>1.76</v>
      </c>
      <c r="G148" s="44">
        <f t="shared" si="56"/>
        <v>1.76</v>
      </c>
      <c r="H148" s="44">
        <f t="shared" si="56"/>
        <v>1.76</v>
      </c>
      <c r="I148" s="44">
        <f t="shared" si="56"/>
        <v>1.76</v>
      </c>
      <c r="J148" s="44">
        <f t="shared" si="56"/>
        <v>1.76</v>
      </c>
      <c r="K148" s="44">
        <f t="shared" si="56"/>
        <v>1.76</v>
      </c>
      <c r="L148" s="44">
        <f t="shared" si="56"/>
        <v>1.76</v>
      </c>
      <c r="M148" s="44">
        <f t="shared" si="56"/>
        <v>1.76</v>
      </c>
      <c r="N148" s="44">
        <f t="shared" si="56"/>
        <v>1.76</v>
      </c>
      <c r="O148" s="44">
        <f t="shared" si="56"/>
        <v>1.76</v>
      </c>
      <c r="P148" s="44">
        <f t="shared" si="56"/>
        <v>1.76</v>
      </c>
      <c r="Q148" s="44">
        <f t="shared" si="56"/>
        <v>1.76</v>
      </c>
      <c r="R148" s="44">
        <f t="shared" si="56"/>
        <v>1.76</v>
      </c>
      <c r="S148" s="44">
        <f t="shared" si="56"/>
        <v>1.76</v>
      </c>
      <c r="T148" s="44">
        <f t="shared" ref="T148:AF149" si="57">S148</f>
        <v>1.76</v>
      </c>
      <c r="U148" s="44">
        <f t="shared" si="57"/>
        <v>1.76</v>
      </c>
      <c r="V148" s="44">
        <f t="shared" si="57"/>
        <v>1.76</v>
      </c>
      <c r="W148" s="44">
        <f t="shared" si="57"/>
        <v>1.76</v>
      </c>
      <c r="X148" s="44">
        <f t="shared" si="57"/>
        <v>1.76</v>
      </c>
      <c r="Y148" s="44">
        <f t="shared" si="57"/>
        <v>1.76</v>
      </c>
      <c r="Z148" s="44">
        <f t="shared" si="57"/>
        <v>1.76</v>
      </c>
      <c r="AA148" s="44">
        <f t="shared" si="57"/>
        <v>1.76</v>
      </c>
      <c r="AB148" s="44">
        <f t="shared" si="57"/>
        <v>1.76</v>
      </c>
      <c r="AC148" s="44">
        <f t="shared" si="57"/>
        <v>1.76</v>
      </c>
      <c r="AD148" s="44">
        <f t="shared" si="57"/>
        <v>1.76</v>
      </c>
      <c r="AE148" s="44">
        <f t="shared" si="57"/>
        <v>1.76</v>
      </c>
      <c r="AF148" s="44">
        <f t="shared" si="57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6"/>
        <v>0</v>
      </c>
      <c r="E149" s="44">
        <f t="shared" si="56"/>
        <v>0</v>
      </c>
      <c r="F149" s="44">
        <f t="shared" si="56"/>
        <v>0</v>
      </c>
      <c r="G149" s="44">
        <f t="shared" si="56"/>
        <v>0</v>
      </c>
      <c r="H149" s="44">
        <f t="shared" si="56"/>
        <v>0</v>
      </c>
      <c r="I149" s="44">
        <f t="shared" si="56"/>
        <v>0</v>
      </c>
      <c r="J149" s="44">
        <f t="shared" si="56"/>
        <v>0</v>
      </c>
      <c r="K149" s="44">
        <f t="shared" si="56"/>
        <v>0</v>
      </c>
      <c r="L149" s="44">
        <f t="shared" si="56"/>
        <v>0</v>
      </c>
      <c r="M149" s="44">
        <f t="shared" si="56"/>
        <v>0</v>
      </c>
      <c r="N149" s="44">
        <f t="shared" si="56"/>
        <v>0</v>
      </c>
      <c r="O149" s="44">
        <f t="shared" si="56"/>
        <v>0</v>
      </c>
      <c r="P149" s="44">
        <f t="shared" si="56"/>
        <v>0</v>
      </c>
      <c r="Q149" s="44">
        <f t="shared" si="56"/>
        <v>0</v>
      </c>
      <c r="R149" s="44">
        <f t="shared" si="56"/>
        <v>0</v>
      </c>
      <c r="S149" s="44">
        <f t="shared" si="56"/>
        <v>0</v>
      </c>
      <c r="T149" s="44">
        <f t="shared" si="57"/>
        <v>0</v>
      </c>
      <c r="U149" s="44">
        <f t="shared" si="57"/>
        <v>0</v>
      </c>
      <c r="V149" s="44">
        <f t="shared" si="57"/>
        <v>0</v>
      </c>
      <c r="W149" s="44">
        <f t="shared" si="57"/>
        <v>0</v>
      </c>
      <c r="X149" s="44">
        <f t="shared" si="57"/>
        <v>0</v>
      </c>
      <c r="Y149" s="44">
        <f t="shared" si="57"/>
        <v>0</v>
      </c>
      <c r="Z149" s="44">
        <f t="shared" si="57"/>
        <v>0</v>
      </c>
      <c r="AA149" s="44">
        <f t="shared" si="57"/>
        <v>0</v>
      </c>
      <c r="AB149" s="44">
        <f t="shared" si="57"/>
        <v>0</v>
      </c>
      <c r="AC149" s="44">
        <f t="shared" si="57"/>
        <v>0</v>
      </c>
      <c r="AD149" s="44">
        <f t="shared" si="57"/>
        <v>0</v>
      </c>
      <c r="AE149" s="44">
        <f t="shared" si="57"/>
        <v>0</v>
      </c>
      <c r="AF149" s="44">
        <f t="shared" si="57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8">C151</f>
        <v>0.1</v>
      </c>
      <c r="E151" s="44">
        <f t="shared" si="58"/>
        <v>0.1</v>
      </c>
      <c r="F151" s="44">
        <f t="shared" si="58"/>
        <v>0.1</v>
      </c>
      <c r="G151" s="44">
        <f t="shared" si="58"/>
        <v>0.1</v>
      </c>
      <c r="H151" s="44">
        <f t="shared" si="58"/>
        <v>0.1</v>
      </c>
      <c r="I151" s="44">
        <f t="shared" si="58"/>
        <v>0.1</v>
      </c>
      <c r="J151" s="44">
        <f t="shared" si="58"/>
        <v>0.1</v>
      </c>
      <c r="K151" s="44">
        <f t="shared" si="58"/>
        <v>0.1</v>
      </c>
      <c r="L151" s="44">
        <f t="shared" si="58"/>
        <v>0.1</v>
      </c>
      <c r="M151" s="44">
        <f t="shared" si="58"/>
        <v>0.1</v>
      </c>
      <c r="N151" s="44">
        <f t="shared" si="58"/>
        <v>0.1</v>
      </c>
      <c r="O151" s="44">
        <f t="shared" si="58"/>
        <v>0.1</v>
      </c>
      <c r="P151" s="44">
        <f t="shared" si="58"/>
        <v>0.1</v>
      </c>
      <c r="Q151" s="44">
        <f t="shared" si="58"/>
        <v>0.1</v>
      </c>
      <c r="R151" s="44">
        <f t="shared" si="58"/>
        <v>0.1</v>
      </c>
      <c r="S151" s="44">
        <f t="shared" si="58"/>
        <v>0.1</v>
      </c>
      <c r="T151" s="44">
        <f t="shared" ref="T151:AF154" si="59">S151</f>
        <v>0.1</v>
      </c>
      <c r="U151" s="44">
        <f t="shared" si="59"/>
        <v>0.1</v>
      </c>
      <c r="V151" s="44">
        <f t="shared" si="59"/>
        <v>0.1</v>
      </c>
      <c r="W151" s="44">
        <f t="shared" si="59"/>
        <v>0.1</v>
      </c>
      <c r="X151" s="44">
        <f t="shared" si="59"/>
        <v>0.1</v>
      </c>
      <c r="Y151" s="44">
        <f t="shared" si="59"/>
        <v>0.1</v>
      </c>
      <c r="Z151" s="44">
        <f t="shared" si="59"/>
        <v>0.1</v>
      </c>
      <c r="AA151" s="44">
        <f t="shared" si="59"/>
        <v>0.1</v>
      </c>
      <c r="AB151" s="44">
        <f t="shared" si="59"/>
        <v>0.1</v>
      </c>
      <c r="AC151" s="44">
        <f t="shared" si="59"/>
        <v>0.1</v>
      </c>
      <c r="AD151" s="44">
        <f t="shared" si="59"/>
        <v>0.1</v>
      </c>
      <c r="AE151" s="44">
        <f t="shared" si="59"/>
        <v>0.1</v>
      </c>
      <c r="AF151" s="44">
        <f t="shared" si="59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8"/>
        <v>2.0499999999999998</v>
      </c>
      <c r="E152" s="44">
        <f t="shared" si="58"/>
        <v>2.0499999999999998</v>
      </c>
      <c r="F152" s="44">
        <f t="shared" si="58"/>
        <v>2.0499999999999998</v>
      </c>
      <c r="G152" s="44">
        <f t="shared" si="58"/>
        <v>2.0499999999999998</v>
      </c>
      <c r="H152" s="44">
        <f t="shared" si="58"/>
        <v>2.0499999999999998</v>
      </c>
      <c r="I152" s="44">
        <f t="shared" si="58"/>
        <v>2.0499999999999998</v>
      </c>
      <c r="J152" s="44">
        <f t="shared" si="58"/>
        <v>2.0499999999999998</v>
      </c>
      <c r="K152" s="44">
        <f t="shared" si="58"/>
        <v>2.0499999999999998</v>
      </c>
      <c r="L152" s="44">
        <f t="shared" si="58"/>
        <v>2.0499999999999998</v>
      </c>
      <c r="M152" s="44">
        <f t="shared" si="58"/>
        <v>2.0499999999999998</v>
      </c>
      <c r="N152" s="44">
        <f t="shared" si="58"/>
        <v>2.0499999999999998</v>
      </c>
      <c r="O152" s="44">
        <f t="shared" si="58"/>
        <v>2.0499999999999998</v>
      </c>
      <c r="P152" s="44">
        <f t="shared" si="58"/>
        <v>2.0499999999999998</v>
      </c>
      <c r="Q152" s="44">
        <f t="shared" si="58"/>
        <v>2.0499999999999998</v>
      </c>
      <c r="R152" s="44">
        <f t="shared" si="58"/>
        <v>2.0499999999999998</v>
      </c>
      <c r="S152" s="44">
        <f t="shared" si="58"/>
        <v>2.0499999999999998</v>
      </c>
      <c r="T152" s="44">
        <f t="shared" si="59"/>
        <v>2.0499999999999998</v>
      </c>
      <c r="U152" s="44">
        <f t="shared" si="59"/>
        <v>2.0499999999999998</v>
      </c>
      <c r="V152" s="44">
        <f t="shared" si="59"/>
        <v>2.0499999999999998</v>
      </c>
      <c r="W152" s="44">
        <f t="shared" si="59"/>
        <v>2.0499999999999998</v>
      </c>
      <c r="X152" s="44">
        <f t="shared" si="59"/>
        <v>2.0499999999999998</v>
      </c>
      <c r="Y152" s="44">
        <f t="shared" si="59"/>
        <v>2.0499999999999998</v>
      </c>
      <c r="Z152" s="44">
        <f t="shared" si="59"/>
        <v>2.0499999999999998</v>
      </c>
      <c r="AA152" s="44">
        <f t="shared" si="59"/>
        <v>2.0499999999999998</v>
      </c>
      <c r="AB152" s="44">
        <f t="shared" si="59"/>
        <v>2.0499999999999998</v>
      </c>
      <c r="AC152" s="44">
        <f t="shared" si="59"/>
        <v>2.0499999999999998</v>
      </c>
      <c r="AD152" s="44">
        <f t="shared" si="59"/>
        <v>2.0499999999999998</v>
      </c>
      <c r="AE152" s="44">
        <f t="shared" si="59"/>
        <v>2.0499999999999998</v>
      </c>
      <c r="AF152" s="44">
        <f t="shared" si="59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8"/>
        <v>2.7</v>
      </c>
      <c r="E153" s="44">
        <f t="shared" si="58"/>
        <v>2.7</v>
      </c>
      <c r="F153" s="44">
        <f t="shared" si="58"/>
        <v>2.7</v>
      </c>
      <c r="G153" s="44">
        <f t="shared" si="58"/>
        <v>2.7</v>
      </c>
      <c r="H153" s="44">
        <f t="shared" si="58"/>
        <v>2.7</v>
      </c>
      <c r="I153" s="44">
        <f t="shared" si="58"/>
        <v>2.7</v>
      </c>
      <c r="J153" s="44">
        <f t="shared" si="58"/>
        <v>2.7</v>
      </c>
      <c r="K153" s="44">
        <f t="shared" si="58"/>
        <v>2.7</v>
      </c>
      <c r="L153" s="44">
        <f t="shared" si="58"/>
        <v>2.7</v>
      </c>
      <c r="M153" s="44">
        <f t="shared" si="58"/>
        <v>2.7</v>
      </c>
      <c r="N153" s="44">
        <f t="shared" si="58"/>
        <v>2.7</v>
      </c>
      <c r="O153" s="44">
        <f t="shared" si="58"/>
        <v>2.7</v>
      </c>
      <c r="P153" s="44">
        <f t="shared" si="58"/>
        <v>2.7</v>
      </c>
      <c r="Q153" s="44">
        <f t="shared" si="58"/>
        <v>2.7</v>
      </c>
      <c r="R153" s="44">
        <f t="shared" si="58"/>
        <v>2.7</v>
      </c>
      <c r="S153" s="44">
        <f t="shared" si="58"/>
        <v>2.7</v>
      </c>
      <c r="T153" s="44">
        <f t="shared" si="59"/>
        <v>2.7</v>
      </c>
      <c r="U153" s="44">
        <f t="shared" si="59"/>
        <v>2.7</v>
      </c>
      <c r="V153" s="44">
        <f t="shared" si="59"/>
        <v>2.7</v>
      </c>
      <c r="W153" s="44">
        <f t="shared" si="59"/>
        <v>2.7</v>
      </c>
      <c r="X153" s="44">
        <f t="shared" si="59"/>
        <v>2.7</v>
      </c>
      <c r="Y153" s="44">
        <f t="shared" si="59"/>
        <v>2.7</v>
      </c>
      <c r="Z153" s="44">
        <f t="shared" si="59"/>
        <v>2.7</v>
      </c>
      <c r="AA153" s="44">
        <f t="shared" si="59"/>
        <v>2.7</v>
      </c>
      <c r="AB153" s="44">
        <f t="shared" si="59"/>
        <v>2.7</v>
      </c>
      <c r="AC153" s="44">
        <f t="shared" si="59"/>
        <v>2.7</v>
      </c>
      <c r="AD153" s="44">
        <f t="shared" si="59"/>
        <v>2.7</v>
      </c>
      <c r="AE153" s="44">
        <f t="shared" si="59"/>
        <v>2.7</v>
      </c>
      <c r="AF153" s="44">
        <f t="shared" si="59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8"/>
        <v>2.15</v>
      </c>
      <c r="E154" s="44">
        <f t="shared" si="58"/>
        <v>2.15</v>
      </c>
      <c r="F154" s="44">
        <f t="shared" si="58"/>
        <v>2.15</v>
      </c>
      <c r="G154" s="44">
        <f t="shared" si="58"/>
        <v>2.15</v>
      </c>
      <c r="H154" s="44">
        <f t="shared" si="58"/>
        <v>2.15</v>
      </c>
      <c r="I154" s="44">
        <f t="shared" si="58"/>
        <v>2.15</v>
      </c>
      <c r="J154" s="44">
        <f t="shared" si="58"/>
        <v>2.15</v>
      </c>
      <c r="K154" s="44">
        <f t="shared" si="58"/>
        <v>2.15</v>
      </c>
      <c r="L154" s="44">
        <f t="shared" si="58"/>
        <v>2.15</v>
      </c>
      <c r="M154" s="44">
        <f t="shared" si="58"/>
        <v>2.15</v>
      </c>
      <c r="N154" s="44">
        <f t="shared" si="58"/>
        <v>2.15</v>
      </c>
      <c r="O154" s="44">
        <f t="shared" si="58"/>
        <v>2.15</v>
      </c>
      <c r="P154" s="44">
        <f t="shared" si="58"/>
        <v>2.15</v>
      </c>
      <c r="Q154" s="44">
        <f t="shared" si="58"/>
        <v>2.15</v>
      </c>
      <c r="R154" s="44">
        <f t="shared" si="58"/>
        <v>2.15</v>
      </c>
      <c r="S154" s="44">
        <f t="shared" si="58"/>
        <v>2.15</v>
      </c>
      <c r="T154" s="44">
        <f t="shared" si="59"/>
        <v>2.15</v>
      </c>
      <c r="U154" s="44">
        <f t="shared" si="59"/>
        <v>2.15</v>
      </c>
      <c r="V154" s="44">
        <f t="shared" si="59"/>
        <v>2.15</v>
      </c>
      <c r="W154" s="44">
        <f t="shared" si="59"/>
        <v>2.15</v>
      </c>
      <c r="X154" s="44">
        <f t="shared" si="59"/>
        <v>2.15</v>
      </c>
      <c r="Y154" s="44">
        <f t="shared" si="59"/>
        <v>2.15</v>
      </c>
      <c r="Z154" s="44">
        <f t="shared" si="59"/>
        <v>2.15</v>
      </c>
      <c r="AA154" s="44">
        <f t="shared" si="59"/>
        <v>2.15</v>
      </c>
      <c r="AB154" s="44">
        <f t="shared" si="59"/>
        <v>2.15</v>
      </c>
      <c r="AC154" s="44">
        <f t="shared" si="59"/>
        <v>2.15</v>
      </c>
      <c r="AD154" s="44">
        <f t="shared" si="59"/>
        <v>2.15</v>
      </c>
      <c r="AE154" s="44">
        <f t="shared" si="59"/>
        <v>2.15</v>
      </c>
      <c r="AF154" s="44">
        <f t="shared" si="59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0">AF156</f>
        <v>0.9</v>
      </c>
      <c r="C156" s="55">
        <v>0.9</v>
      </c>
      <c r="D156" s="44">
        <f t="shared" ref="D156:S168" si="61">C156</f>
        <v>0.9</v>
      </c>
      <c r="E156" s="44">
        <f t="shared" si="61"/>
        <v>0.9</v>
      </c>
      <c r="F156" s="44">
        <f t="shared" si="61"/>
        <v>0.9</v>
      </c>
      <c r="G156" s="44">
        <f t="shared" si="61"/>
        <v>0.9</v>
      </c>
      <c r="H156" s="44">
        <f t="shared" si="61"/>
        <v>0.9</v>
      </c>
      <c r="I156" s="44">
        <f t="shared" si="61"/>
        <v>0.9</v>
      </c>
      <c r="J156" s="44">
        <f t="shared" si="61"/>
        <v>0.9</v>
      </c>
      <c r="K156" s="44">
        <f t="shared" si="61"/>
        <v>0.9</v>
      </c>
      <c r="L156" s="44">
        <f t="shared" si="61"/>
        <v>0.9</v>
      </c>
      <c r="M156" s="44">
        <f t="shared" si="61"/>
        <v>0.9</v>
      </c>
      <c r="N156" s="44">
        <f t="shared" si="61"/>
        <v>0.9</v>
      </c>
      <c r="O156" s="44">
        <f t="shared" si="61"/>
        <v>0.9</v>
      </c>
      <c r="P156" s="44">
        <f t="shared" si="61"/>
        <v>0.9</v>
      </c>
      <c r="Q156" s="44">
        <f t="shared" si="61"/>
        <v>0.9</v>
      </c>
      <c r="R156" s="44">
        <f t="shared" si="61"/>
        <v>0.9</v>
      </c>
      <c r="S156" s="44">
        <f t="shared" si="61"/>
        <v>0.9</v>
      </c>
      <c r="T156" s="44">
        <f t="shared" ref="S156:AF168" si="62">S156</f>
        <v>0.9</v>
      </c>
      <c r="U156" s="44">
        <f t="shared" si="62"/>
        <v>0.9</v>
      </c>
      <c r="V156" s="44">
        <f t="shared" si="62"/>
        <v>0.9</v>
      </c>
      <c r="W156" s="44">
        <f t="shared" si="62"/>
        <v>0.9</v>
      </c>
      <c r="X156" s="44">
        <f t="shared" si="62"/>
        <v>0.9</v>
      </c>
      <c r="Y156" s="44">
        <f t="shared" si="62"/>
        <v>0.9</v>
      </c>
      <c r="Z156" s="44">
        <f t="shared" si="62"/>
        <v>0.9</v>
      </c>
      <c r="AA156" s="44">
        <f t="shared" si="62"/>
        <v>0.9</v>
      </c>
      <c r="AB156" s="44">
        <f t="shared" si="62"/>
        <v>0.9</v>
      </c>
      <c r="AC156" s="44">
        <f t="shared" si="62"/>
        <v>0.9</v>
      </c>
      <c r="AD156" s="44">
        <f t="shared" si="62"/>
        <v>0.9</v>
      </c>
      <c r="AE156" s="44">
        <f t="shared" si="62"/>
        <v>0.9</v>
      </c>
      <c r="AF156" s="44">
        <f t="shared" si="62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0"/>
        <v>1.08</v>
      </c>
      <c r="C157" s="55">
        <v>1.08</v>
      </c>
      <c r="D157" s="44">
        <f t="shared" si="61"/>
        <v>1.08</v>
      </c>
      <c r="E157" s="44">
        <f t="shared" si="61"/>
        <v>1.08</v>
      </c>
      <c r="F157" s="44">
        <f t="shared" si="61"/>
        <v>1.08</v>
      </c>
      <c r="G157" s="44">
        <f t="shared" si="61"/>
        <v>1.08</v>
      </c>
      <c r="H157" s="44">
        <f t="shared" si="61"/>
        <v>1.08</v>
      </c>
      <c r="I157" s="44">
        <f t="shared" si="61"/>
        <v>1.08</v>
      </c>
      <c r="J157" s="44">
        <f t="shared" si="61"/>
        <v>1.08</v>
      </c>
      <c r="K157" s="44">
        <f t="shared" si="61"/>
        <v>1.08</v>
      </c>
      <c r="L157" s="44">
        <f t="shared" si="61"/>
        <v>1.08</v>
      </c>
      <c r="M157" s="44">
        <f t="shared" si="61"/>
        <v>1.08</v>
      </c>
      <c r="N157" s="44">
        <f t="shared" si="61"/>
        <v>1.08</v>
      </c>
      <c r="O157" s="44">
        <f t="shared" si="61"/>
        <v>1.08</v>
      </c>
      <c r="P157" s="44">
        <f t="shared" si="61"/>
        <v>1.08</v>
      </c>
      <c r="Q157" s="44">
        <f t="shared" si="61"/>
        <v>1.08</v>
      </c>
      <c r="R157" s="44">
        <f t="shared" si="61"/>
        <v>1.08</v>
      </c>
      <c r="S157" s="44">
        <f t="shared" si="61"/>
        <v>1.08</v>
      </c>
      <c r="T157" s="44">
        <f t="shared" si="62"/>
        <v>1.08</v>
      </c>
      <c r="U157" s="44">
        <f t="shared" si="62"/>
        <v>1.08</v>
      </c>
      <c r="V157" s="44">
        <f t="shared" si="62"/>
        <v>1.08</v>
      </c>
      <c r="W157" s="44">
        <f t="shared" si="62"/>
        <v>1.08</v>
      </c>
      <c r="X157" s="44">
        <f t="shared" si="62"/>
        <v>1.08</v>
      </c>
      <c r="Y157" s="44">
        <f t="shared" si="62"/>
        <v>1.08</v>
      </c>
      <c r="Z157" s="44">
        <f t="shared" si="62"/>
        <v>1.08</v>
      </c>
      <c r="AA157" s="44">
        <f t="shared" si="62"/>
        <v>1.08</v>
      </c>
      <c r="AB157" s="44">
        <f t="shared" si="62"/>
        <v>1.08</v>
      </c>
      <c r="AC157" s="44">
        <f t="shared" si="62"/>
        <v>1.08</v>
      </c>
      <c r="AD157" s="44">
        <f t="shared" si="62"/>
        <v>1.08</v>
      </c>
      <c r="AE157" s="44">
        <f t="shared" si="62"/>
        <v>1.08</v>
      </c>
      <c r="AF157" s="44">
        <f t="shared" si="62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0"/>
        <v>2.37</v>
      </c>
      <c r="C158" s="55">
        <v>2.37</v>
      </c>
      <c r="D158" s="44">
        <f t="shared" si="61"/>
        <v>2.37</v>
      </c>
      <c r="E158" s="44">
        <f t="shared" si="61"/>
        <v>2.37</v>
      </c>
      <c r="F158" s="44">
        <f t="shared" si="61"/>
        <v>2.37</v>
      </c>
      <c r="G158" s="44">
        <f t="shared" si="61"/>
        <v>2.37</v>
      </c>
      <c r="H158" s="44">
        <f t="shared" si="61"/>
        <v>2.37</v>
      </c>
      <c r="I158" s="44">
        <f t="shared" si="61"/>
        <v>2.37</v>
      </c>
      <c r="J158" s="44">
        <f t="shared" si="61"/>
        <v>2.37</v>
      </c>
      <c r="K158" s="44">
        <f t="shared" si="61"/>
        <v>2.37</v>
      </c>
      <c r="L158" s="44">
        <f t="shared" si="61"/>
        <v>2.37</v>
      </c>
      <c r="M158" s="44">
        <f t="shared" si="61"/>
        <v>2.37</v>
      </c>
      <c r="N158" s="44">
        <f t="shared" si="61"/>
        <v>2.37</v>
      </c>
      <c r="O158" s="44">
        <f t="shared" si="61"/>
        <v>2.37</v>
      </c>
      <c r="P158" s="44">
        <f t="shared" si="61"/>
        <v>2.37</v>
      </c>
      <c r="Q158" s="44">
        <f t="shared" si="61"/>
        <v>2.37</v>
      </c>
      <c r="R158" s="44">
        <f t="shared" si="61"/>
        <v>2.37</v>
      </c>
      <c r="S158" s="44">
        <f t="shared" si="61"/>
        <v>2.37</v>
      </c>
      <c r="T158" s="44">
        <f t="shared" si="62"/>
        <v>2.37</v>
      </c>
      <c r="U158" s="44">
        <f t="shared" si="62"/>
        <v>2.37</v>
      </c>
      <c r="V158" s="44">
        <f t="shared" si="62"/>
        <v>2.37</v>
      </c>
      <c r="W158" s="44">
        <f t="shared" si="62"/>
        <v>2.37</v>
      </c>
      <c r="X158" s="44">
        <f t="shared" si="62"/>
        <v>2.37</v>
      </c>
      <c r="Y158" s="44">
        <f t="shared" si="62"/>
        <v>2.37</v>
      </c>
      <c r="Z158" s="44">
        <f t="shared" si="62"/>
        <v>2.37</v>
      </c>
      <c r="AA158" s="44">
        <f t="shared" si="62"/>
        <v>2.37</v>
      </c>
      <c r="AB158" s="44">
        <f t="shared" si="62"/>
        <v>2.37</v>
      </c>
      <c r="AC158" s="44">
        <f t="shared" si="62"/>
        <v>2.37</v>
      </c>
      <c r="AD158" s="44">
        <f t="shared" si="62"/>
        <v>2.37</v>
      </c>
      <c r="AE158" s="44">
        <f t="shared" si="62"/>
        <v>2.37</v>
      </c>
      <c r="AF158" s="44">
        <f t="shared" si="62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0"/>
        <v>1.81</v>
      </c>
      <c r="C159" s="55">
        <v>1.81</v>
      </c>
      <c r="D159" s="44">
        <f t="shared" si="61"/>
        <v>1.81</v>
      </c>
      <c r="E159" s="44">
        <f t="shared" si="61"/>
        <v>1.81</v>
      </c>
      <c r="F159" s="44">
        <f t="shared" si="61"/>
        <v>1.81</v>
      </c>
      <c r="G159" s="44">
        <f t="shared" si="61"/>
        <v>1.81</v>
      </c>
      <c r="H159" s="44">
        <f t="shared" si="61"/>
        <v>1.81</v>
      </c>
      <c r="I159" s="44">
        <f t="shared" si="61"/>
        <v>1.81</v>
      </c>
      <c r="J159" s="44">
        <f t="shared" si="61"/>
        <v>1.81</v>
      </c>
      <c r="K159" s="44">
        <f t="shared" si="61"/>
        <v>1.81</v>
      </c>
      <c r="L159" s="44">
        <f t="shared" si="61"/>
        <v>1.81</v>
      </c>
      <c r="M159" s="44">
        <f t="shared" si="61"/>
        <v>1.81</v>
      </c>
      <c r="N159" s="44">
        <f t="shared" si="61"/>
        <v>1.81</v>
      </c>
      <c r="O159" s="44">
        <f t="shared" si="61"/>
        <v>1.81</v>
      </c>
      <c r="P159" s="44">
        <f t="shared" si="61"/>
        <v>1.81</v>
      </c>
      <c r="Q159" s="44">
        <f t="shared" si="61"/>
        <v>1.81</v>
      </c>
      <c r="R159" s="44">
        <f t="shared" si="61"/>
        <v>1.81</v>
      </c>
      <c r="S159" s="44">
        <f t="shared" si="61"/>
        <v>1.81</v>
      </c>
      <c r="T159" s="44">
        <f t="shared" si="62"/>
        <v>1.81</v>
      </c>
      <c r="U159" s="44">
        <f t="shared" si="62"/>
        <v>1.81</v>
      </c>
      <c r="V159" s="44">
        <f t="shared" si="62"/>
        <v>1.81</v>
      </c>
      <c r="W159" s="44">
        <f t="shared" si="62"/>
        <v>1.81</v>
      </c>
      <c r="X159" s="44">
        <f t="shared" si="62"/>
        <v>1.81</v>
      </c>
      <c r="Y159" s="44">
        <f t="shared" si="62"/>
        <v>1.81</v>
      </c>
      <c r="Z159" s="44">
        <f t="shared" si="62"/>
        <v>1.81</v>
      </c>
      <c r="AA159" s="44">
        <f t="shared" si="62"/>
        <v>1.81</v>
      </c>
      <c r="AB159" s="44">
        <f t="shared" si="62"/>
        <v>1.81</v>
      </c>
      <c r="AC159" s="44">
        <f t="shared" si="62"/>
        <v>1.81</v>
      </c>
      <c r="AD159" s="44">
        <f t="shared" si="62"/>
        <v>1.81</v>
      </c>
      <c r="AE159" s="44">
        <f t="shared" si="62"/>
        <v>1.81</v>
      </c>
      <c r="AF159" s="44">
        <f t="shared" si="6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0"/>
        <v>1.0900000000000001</v>
      </c>
      <c r="C160" s="55">
        <v>1.0900000000000001</v>
      </c>
      <c r="D160" s="44">
        <f t="shared" si="61"/>
        <v>1.0900000000000001</v>
      </c>
      <c r="E160" s="44">
        <f t="shared" si="61"/>
        <v>1.0900000000000001</v>
      </c>
      <c r="F160" s="44">
        <f t="shared" si="61"/>
        <v>1.0900000000000001</v>
      </c>
      <c r="G160" s="44">
        <f t="shared" si="61"/>
        <v>1.0900000000000001</v>
      </c>
      <c r="H160" s="44">
        <f t="shared" si="61"/>
        <v>1.0900000000000001</v>
      </c>
      <c r="I160" s="44">
        <f t="shared" si="61"/>
        <v>1.0900000000000001</v>
      </c>
      <c r="J160" s="44">
        <f t="shared" si="61"/>
        <v>1.0900000000000001</v>
      </c>
      <c r="K160" s="44">
        <f t="shared" si="61"/>
        <v>1.0900000000000001</v>
      </c>
      <c r="L160" s="44">
        <f t="shared" si="61"/>
        <v>1.0900000000000001</v>
      </c>
      <c r="M160" s="44">
        <f t="shared" si="61"/>
        <v>1.0900000000000001</v>
      </c>
      <c r="N160" s="44">
        <f t="shared" si="61"/>
        <v>1.0900000000000001</v>
      </c>
      <c r="O160" s="44">
        <f t="shared" si="61"/>
        <v>1.0900000000000001</v>
      </c>
      <c r="P160" s="44">
        <f t="shared" si="61"/>
        <v>1.0900000000000001</v>
      </c>
      <c r="Q160" s="44">
        <f t="shared" si="61"/>
        <v>1.0900000000000001</v>
      </c>
      <c r="R160" s="44">
        <f t="shared" si="61"/>
        <v>1.0900000000000001</v>
      </c>
      <c r="S160" s="44">
        <f t="shared" si="61"/>
        <v>1.0900000000000001</v>
      </c>
      <c r="T160" s="44">
        <f t="shared" si="62"/>
        <v>1.0900000000000001</v>
      </c>
      <c r="U160" s="44">
        <f t="shared" si="62"/>
        <v>1.0900000000000001</v>
      </c>
      <c r="V160" s="44">
        <f t="shared" si="62"/>
        <v>1.0900000000000001</v>
      </c>
      <c r="W160" s="44">
        <f t="shared" si="62"/>
        <v>1.0900000000000001</v>
      </c>
      <c r="X160" s="44">
        <f t="shared" si="62"/>
        <v>1.0900000000000001</v>
      </c>
      <c r="Y160" s="44">
        <f t="shared" si="62"/>
        <v>1.0900000000000001</v>
      </c>
      <c r="Z160" s="44">
        <f t="shared" si="62"/>
        <v>1.0900000000000001</v>
      </c>
      <c r="AA160" s="44">
        <f t="shared" si="62"/>
        <v>1.0900000000000001</v>
      </c>
      <c r="AB160" s="44">
        <f t="shared" si="62"/>
        <v>1.0900000000000001</v>
      </c>
      <c r="AC160" s="44">
        <f t="shared" si="62"/>
        <v>1.0900000000000001</v>
      </c>
      <c r="AD160" s="44">
        <f t="shared" si="62"/>
        <v>1.0900000000000001</v>
      </c>
      <c r="AE160" s="44">
        <f t="shared" si="62"/>
        <v>1.0900000000000001</v>
      </c>
      <c r="AF160" s="44">
        <f t="shared" si="62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0"/>
        <v>1.58</v>
      </c>
      <c r="C161" s="55">
        <v>1.58</v>
      </c>
      <c r="D161" s="44">
        <f t="shared" si="61"/>
        <v>1.58</v>
      </c>
      <c r="E161" s="44">
        <f t="shared" si="61"/>
        <v>1.58</v>
      </c>
      <c r="F161" s="44">
        <f t="shared" si="61"/>
        <v>1.58</v>
      </c>
      <c r="G161" s="44">
        <f t="shared" si="61"/>
        <v>1.58</v>
      </c>
      <c r="H161" s="44">
        <f t="shared" si="61"/>
        <v>1.58</v>
      </c>
      <c r="I161" s="44">
        <f t="shared" si="61"/>
        <v>1.58</v>
      </c>
      <c r="J161" s="44">
        <f t="shared" si="61"/>
        <v>1.58</v>
      </c>
      <c r="K161" s="44">
        <f t="shared" si="61"/>
        <v>1.58</v>
      </c>
      <c r="L161" s="44">
        <f t="shared" si="61"/>
        <v>1.58</v>
      </c>
      <c r="M161" s="44">
        <f t="shared" si="61"/>
        <v>1.58</v>
      </c>
      <c r="N161" s="44">
        <f t="shared" si="61"/>
        <v>1.58</v>
      </c>
      <c r="O161" s="44">
        <f t="shared" si="61"/>
        <v>1.58</v>
      </c>
      <c r="P161" s="44">
        <f t="shared" si="61"/>
        <v>1.58</v>
      </c>
      <c r="Q161" s="44">
        <f t="shared" si="61"/>
        <v>1.58</v>
      </c>
      <c r="R161" s="44">
        <f t="shared" si="61"/>
        <v>1.58</v>
      </c>
      <c r="S161" s="44">
        <f t="shared" si="61"/>
        <v>1.58</v>
      </c>
      <c r="T161" s="44">
        <f t="shared" si="62"/>
        <v>1.58</v>
      </c>
      <c r="U161" s="44">
        <f t="shared" si="62"/>
        <v>1.58</v>
      </c>
      <c r="V161" s="44">
        <f t="shared" si="62"/>
        <v>1.58</v>
      </c>
      <c r="W161" s="44">
        <f t="shared" si="62"/>
        <v>1.58</v>
      </c>
      <c r="X161" s="44">
        <f t="shared" si="62"/>
        <v>1.58</v>
      </c>
      <c r="Y161" s="44">
        <f t="shared" si="62"/>
        <v>1.58</v>
      </c>
      <c r="Z161" s="44">
        <f t="shared" si="62"/>
        <v>1.58</v>
      </c>
      <c r="AA161" s="44">
        <f t="shared" si="62"/>
        <v>1.58</v>
      </c>
      <c r="AB161" s="44">
        <f t="shared" si="62"/>
        <v>1.58</v>
      </c>
      <c r="AC161" s="44">
        <f t="shared" si="62"/>
        <v>1.58</v>
      </c>
      <c r="AD161" s="44">
        <f t="shared" si="62"/>
        <v>1.58</v>
      </c>
      <c r="AE161" s="44">
        <f t="shared" si="62"/>
        <v>1.58</v>
      </c>
      <c r="AF161" s="44">
        <f t="shared" si="62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0"/>
        <v>2</v>
      </c>
      <c r="C162" s="55">
        <v>2</v>
      </c>
      <c r="D162" s="44">
        <f t="shared" si="61"/>
        <v>2</v>
      </c>
      <c r="E162" s="44">
        <f t="shared" si="61"/>
        <v>2</v>
      </c>
      <c r="F162" s="44">
        <f t="shared" si="61"/>
        <v>2</v>
      </c>
      <c r="G162" s="44">
        <f t="shared" si="61"/>
        <v>2</v>
      </c>
      <c r="H162" s="44">
        <f t="shared" si="61"/>
        <v>2</v>
      </c>
      <c r="I162" s="44">
        <f t="shared" si="61"/>
        <v>2</v>
      </c>
      <c r="J162" s="44">
        <f t="shared" si="61"/>
        <v>2</v>
      </c>
      <c r="K162" s="44">
        <f t="shared" si="61"/>
        <v>2</v>
      </c>
      <c r="L162" s="44">
        <f t="shared" si="61"/>
        <v>2</v>
      </c>
      <c r="M162" s="44">
        <f t="shared" si="61"/>
        <v>2</v>
      </c>
      <c r="N162" s="44">
        <f t="shared" si="61"/>
        <v>2</v>
      </c>
      <c r="O162" s="44">
        <f t="shared" si="61"/>
        <v>2</v>
      </c>
      <c r="P162" s="44">
        <f t="shared" si="61"/>
        <v>2</v>
      </c>
      <c r="Q162" s="44">
        <f t="shared" si="61"/>
        <v>2</v>
      </c>
      <c r="R162" s="44">
        <f t="shared" si="61"/>
        <v>2</v>
      </c>
      <c r="S162" s="44">
        <f t="shared" si="61"/>
        <v>2</v>
      </c>
      <c r="T162" s="44">
        <f t="shared" si="62"/>
        <v>2</v>
      </c>
      <c r="U162" s="44">
        <f t="shared" si="62"/>
        <v>2</v>
      </c>
      <c r="V162" s="44">
        <f t="shared" si="62"/>
        <v>2</v>
      </c>
      <c r="W162" s="44">
        <f t="shared" si="62"/>
        <v>2</v>
      </c>
      <c r="X162" s="44">
        <f t="shared" si="62"/>
        <v>2</v>
      </c>
      <c r="Y162" s="44">
        <f t="shared" si="62"/>
        <v>2</v>
      </c>
      <c r="Z162" s="44">
        <f t="shared" si="62"/>
        <v>2</v>
      </c>
      <c r="AA162" s="44">
        <f t="shared" si="62"/>
        <v>2</v>
      </c>
      <c r="AB162" s="44">
        <f t="shared" si="62"/>
        <v>2</v>
      </c>
      <c r="AC162" s="44">
        <f t="shared" si="62"/>
        <v>2</v>
      </c>
      <c r="AD162" s="44">
        <f t="shared" si="62"/>
        <v>2</v>
      </c>
      <c r="AE162" s="44">
        <f t="shared" si="62"/>
        <v>2</v>
      </c>
      <c r="AF162" s="44">
        <f t="shared" si="62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0"/>
        <v>0.47</v>
      </c>
      <c r="C163" s="55">
        <v>0.47</v>
      </c>
      <c r="D163" s="44">
        <f t="shared" si="61"/>
        <v>0.47</v>
      </c>
      <c r="E163" s="44">
        <f t="shared" si="61"/>
        <v>0.47</v>
      </c>
      <c r="F163" s="44">
        <f t="shared" si="61"/>
        <v>0.47</v>
      </c>
      <c r="G163" s="44">
        <f t="shared" si="61"/>
        <v>0.47</v>
      </c>
      <c r="H163" s="44">
        <f t="shared" si="61"/>
        <v>0.47</v>
      </c>
      <c r="I163" s="44">
        <f t="shared" si="61"/>
        <v>0.47</v>
      </c>
      <c r="J163" s="44">
        <f t="shared" si="61"/>
        <v>0.47</v>
      </c>
      <c r="K163" s="44">
        <f t="shared" si="61"/>
        <v>0.47</v>
      </c>
      <c r="L163" s="44">
        <f t="shared" si="61"/>
        <v>0.47</v>
      </c>
      <c r="M163" s="44">
        <f t="shared" si="61"/>
        <v>0.47</v>
      </c>
      <c r="N163" s="44">
        <f t="shared" si="61"/>
        <v>0.47</v>
      </c>
      <c r="O163" s="44">
        <f t="shared" si="61"/>
        <v>0.47</v>
      </c>
      <c r="P163" s="44">
        <f t="shared" si="61"/>
        <v>0.47</v>
      </c>
      <c r="Q163" s="44">
        <f t="shared" si="61"/>
        <v>0.47</v>
      </c>
      <c r="R163" s="44">
        <f t="shared" si="61"/>
        <v>0.47</v>
      </c>
      <c r="S163" s="44">
        <f t="shared" si="61"/>
        <v>0.47</v>
      </c>
      <c r="T163" s="44">
        <f t="shared" si="62"/>
        <v>0.47</v>
      </c>
      <c r="U163" s="44">
        <f t="shared" si="62"/>
        <v>0.47</v>
      </c>
      <c r="V163" s="44">
        <f t="shared" si="62"/>
        <v>0.47</v>
      </c>
      <c r="W163" s="44">
        <f t="shared" si="62"/>
        <v>0.47</v>
      </c>
      <c r="X163" s="44">
        <f t="shared" si="62"/>
        <v>0.47</v>
      </c>
      <c r="Y163" s="44">
        <f t="shared" si="62"/>
        <v>0.47</v>
      </c>
      <c r="Z163" s="44">
        <f t="shared" si="62"/>
        <v>0.47</v>
      </c>
      <c r="AA163" s="44">
        <f t="shared" si="62"/>
        <v>0.47</v>
      </c>
      <c r="AB163" s="44">
        <f t="shared" si="62"/>
        <v>0.47</v>
      </c>
      <c r="AC163" s="44">
        <f t="shared" si="62"/>
        <v>0.47</v>
      </c>
      <c r="AD163" s="44">
        <f t="shared" si="62"/>
        <v>0.47</v>
      </c>
      <c r="AE163" s="44">
        <f t="shared" si="62"/>
        <v>0.47</v>
      </c>
      <c r="AF163" s="44">
        <f t="shared" si="62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0"/>
        <v>0</v>
      </c>
      <c r="C164" s="55">
        <v>0</v>
      </c>
      <c r="D164" s="44">
        <f t="shared" si="61"/>
        <v>0</v>
      </c>
      <c r="E164" s="44">
        <f t="shared" si="61"/>
        <v>0</v>
      </c>
      <c r="F164" s="44">
        <f t="shared" si="61"/>
        <v>0</v>
      </c>
      <c r="G164" s="44">
        <f t="shared" si="61"/>
        <v>0</v>
      </c>
      <c r="H164" s="44">
        <f t="shared" si="61"/>
        <v>0</v>
      </c>
      <c r="I164" s="44">
        <f t="shared" si="61"/>
        <v>0</v>
      </c>
      <c r="J164" s="44">
        <f t="shared" si="61"/>
        <v>0</v>
      </c>
      <c r="K164" s="44">
        <f t="shared" si="61"/>
        <v>0</v>
      </c>
      <c r="L164" s="44">
        <f t="shared" si="61"/>
        <v>0</v>
      </c>
      <c r="M164" s="44">
        <f t="shared" si="61"/>
        <v>0</v>
      </c>
      <c r="N164" s="44">
        <f t="shared" si="61"/>
        <v>0</v>
      </c>
      <c r="O164" s="44">
        <f t="shared" si="61"/>
        <v>0</v>
      </c>
      <c r="P164" s="44">
        <f t="shared" si="61"/>
        <v>0</v>
      </c>
      <c r="Q164" s="44">
        <f t="shared" si="61"/>
        <v>0</v>
      </c>
      <c r="R164" s="44">
        <f t="shared" si="61"/>
        <v>0</v>
      </c>
      <c r="S164" s="44">
        <f t="shared" si="61"/>
        <v>0</v>
      </c>
      <c r="T164" s="44">
        <f t="shared" si="62"/>
        <v>0</v>
      </c>
      <c r="U164" s="44">
        <f t="shared" si="62"/>
        <v>0</v>
      </c>
      <c r="V164" s="44">
        <f t="shared" si="62"/>
        <v>0</v>
      </c>
      <c r="W164" s="44">
        <f t="shared" si="62"/>
        <v>0</v>
      </c>
      <c r="X164" s="44">
        <f t="shared" si="62"/>
        <v>0</v>
      </c>
      <c r="Y164" s="44">
        <f t="shared" si="62"/>
        <v>0</v>
      </c>
      <c r="Z164" s="44">
        <f t="shared" si="62"/>
        <v>0</v>
      </c>
      <c r="AA164" s="44">
        <f t="shared" si="62"/>
        <v>0</v>
      </c>
      <c r="AB164" s="44">
        <f t="shared" si="62"/>
        <v>0</v>
      </c>
      <c r="AC164" s="44">
        <f t="shared" si="62"/>
        <v>0</v>
      </c>
      <c r="AD164" s="44">
        <f t="shared" si="62"/>
        <v>0</v>
      </c>
      <c r="AE164" s="44">
        <f t="shared" si="62"/>
        <v>0</v>
      </c>
      <c r="AF164" s="44">
        <f t="shared" si="62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0"/>
        <v>0</v>
      </c>
      <c r="C165" s="55">
        <v>0</v>
      </c>
      <c r="D165" s="44">
        <f t="shared" si="61"/>
        <v>0</v>
      </c>
      <c r="E165" s="44">
        <f t="shared" si="61"/>
        <v>0</v>
      </c>
      <c r="F165" s="44">
        <f t="shared" si="61"/>
        <v>0</v>
      </c>
      <c r="G165" s="44">
        <f t="shared" si="61"/>
        <v>0</v>
      </c>
      <c r="H165" s="44">
        <f t="shared" si="61"/>
        <v>0</v>
      </c>
      <c r="I165" s="44">
        <f t="shared" si="61"/>
        <v>0</v>
      </c>
      <c r="J165" s="44">
        <f t="shared" si="61"/>
        <v>0</v>
      </c>
      <c r="K165" s="44">
        <f t="shared" si="61"/>
        <v>0</v>
      </c>
      <c r="L165" s="44">
        <f t="shared" si="61"/>
        <v>0</v>
      </c>
      <c r="M165" s="44">
        <f t="shared" si="61"/>
        <v>0</v>
      </c>
      <c r="N165" s="44">
        <f t="shared" si="61"/>
        <v>0</v>
      </c>
      <c r="O165" s="44">
        <f t="shared" si="61"/>
        <v>0</v>
      </c>
      <c r="P165" s="44">
        <f t="shared" si="61"/>
        <v>0</v>
      </c>
      <c r="Q165" s="44">
        <f t="shared" si="61"/>
        <v>0</v>
      </c>
      <c r="R165" s="44">
        <f t="shared" si="61"/>
        <v>0</v>
      </c>
      <c r="S165" s="44">
        <f t="shared" si="62"/>
        <v>0</v>
      </c>
      <c r="T165" s="44">
        <f t="shared" si="62"/>
        <v>0</v>
      </c>
      <c r="U165" s="44">
        <f t="shared" si="62"/>
        <v>0</v>
      </c>
      <c r="V165" s="44">
        <f t="shared" si="62"/>
        <v>0</v>
      </c>
      <c r="W165" s="44">
        <f t="shared" si="62"/>
        <v>0</v>
      </c>
      <c r="X165" s="44">
        <f t="shared" si="62"/>
        <v>0</v>
      </c>
      <c r="Y165" s="44">
        <f t="shared" si="62"/>
        <v>0</v>
      </c>
      <c r="Z165" s="44">
        <f t="shared" si="62"/>
        <v>0</v>
      </c>
      <c r="AA165" s="44">
        <f t="shared" si="62"/>
        <v>0</v>
      </c>
      <c r="AB165" s="44">
        <f t="shared" si="62"/>
        <v>0</v>
      </c>
      <c r="AC165" s="44">
        <f t="shared" si="62"/>
        <v>0</v>
      </c>
      <c r="AD165" s="44">
        <f t="shared" si="62"/>
        <v>0</v>
      </c>
      <c r="AE165" s="44">
        <f t="shared" si="62"/>
        <v>0</v>
      </c>
      <c r="AF165" s="44">
        <f t="shared" si="62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0"/>
        <v>0.8</v>
      </c>
      <c r="C166" s="55">
        <v>0.8</v>
      </c>
      <c r="D166" s="44">
        <f t="shared" si="61"/>
        <v>0.8</v>
      </c>
      <c r="E166" s="44">
        <f t="shared" si="61"/>
        <v>0.8</v>
      </c>
      <c r="F166" s="44">
        <f t="shared" si="61"/>
        <v>0.8</v>
      </c>
      <c r="G166" s="44">
        <f t="shared" si="61"/>
        <v>0.8</v>
      </c>
      <c r="H166" s="44">
        <f t="shared" si="61"/>
        <v>0.8</v>
      </c>
      <c r="I166" s="44">
        <f t="shared" si="61"/>
        <v>0.8</v>
      </c>
      <c r="J166" s="44">
        <f t="shared" si="61"/>
        <v>0.8</v>
      </c>
      <c r="K166" s="44">
        <f t="shared" si="61"/>
        <v>0.8</v>
      </c>
      <c r="L166" s="44">
        <f t="shared" si="61"/>
        <v>0.8</v>
      </c>
      <c r="M166" s="44">
        <f t="shared" si="61"/>
        <v>0.8</v>
      </c>
      <c r="N166" s="44">
        <f t="shared" si="61"/>
        <v>0.8</v>
      </c>
      <c r="O166" s="44">
        <f t="shared" si="61"/>
        <v>0.8</v>
      </c>
      <c r="P166" s="44">
        <f t="shared" si="61"/>
        <v>0.8</v>
      </c>
      <c r="Q166" s="44">
        <f t="shared" si="61"/>
        <v>0.8</v>
      </c>
      <c r="R166" s="44">
        <f t="shared" si="61"/>
        <v>0.8</v>
      </c>
      <c r="S166" s="44">
        <f t="shared" si="62"/>
        <v>0.8</v>
      </c>
      <c r="T166" s="44">
        <f t="shared" si="62"/>
        <v>0.8</v>
      </c>
      <c r="U166" s="44">
        <f t="shared" si="62"/>
        <v>0.8</v>
      </c>
      <c r="V166" s="44">
        <f t="shared" si="62"/>
        <v>0.8</v>
      </c>
      <c r="W166" s="44">
        <f t="shared" si="62"/>
        <v>0.8</v>
      </c>
      <c r="X166" s="44">
        <f t="shared" si="62"/>
        <v>0.8</v>
      </c>
      <c r="Y166" s="44">
        <f t="shared" si="62"/>
        <v>0.8</v>
      </c>
      <c r="Z166" s="44">
        <f t="shared" si="62"/>
        <v>0.8</v>
      </c>
      <c r="AA166" s="44">
        <f t="shared" si="62"/>
        <v>0.8</v>
      </c>
      <c r="AB166" s="44">
        <f t="shared" si="62"/>
        <v>0.8</v>
      </c>
      <c r="AC166" s="44">
        <f t="shared" si="62"/>
        <v>0.8</v>
      </c>
      <c r="AD166" s="44">
        <f t="shared" si="62"/>
        <v>0.8</v>
      </c>
      <c r="AE166" s="44">
        <f t="shared" si="62"/>
        <v>0.8</v>
      </c>
      <c r="AF166" s="44">
        <f t="shared" si="62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0"/>
        <v>1.5</v>
      </c>
      <c r="C167" s="55">
        <v>1.5</v>
      </c>
      <c r="D167" s="44">
        <f t="shared" si="61"/>
        <v>1.5</v>
      </c>
      <c r="E167" s="44">
        <f t="shared" si="61"/>
        <v>1.5</v>
      </c>
      <c r="F167" s="44">
        <f t="shared" si="61"/>
        <v>1.5</v>
      </c>
      <c r="G167" s="44">
        <f t="shared" si="61"/>
        <v>1.5</v>
      </c>
      <c r="H167" s="44">
        <f t="shared" si="61"/>
        <v>1.5</v>
      </c>
      <c r="I167" s="44">
        <f t="shared" si="61"/>
        <v>1.5</v>
      </c>
      <c r="J167" s="44">
        <f t="shared" si="61"/>
        <v>1.5</v>
      </c>
      <c r="K167" s="44">
        <f t="shared" si="61"/>
        <v>1.5</v>
      </c>
      <c r="L167" s="44">
        <f t="shared" si="61"/>
        <v>1.5</v>
      </c>
      <c r="M167" s="44">
        <f t="shared" si="61"/>
        <v>1.5</v>
      </c>
      <c r="N167" s="44">
        <f t="shared" si="61"/>
        <v>1.5</v>
      </c>
      <c r="O167" s="44">
        <f t="shared" si="61"/>
        <v>1.5</v>
      </c>
      <c r="P167" s="44">
        <f t="shared" si="61"/>
        <v>1.5</v>
      </c>
      <c r="Q167" s="44">
        <f t="shared" si="61"/>
        <v>1.5</v>
      </c>
      <c r="R167" s="44">
        <f t="shared" si="61"/>
        <v>1.5</v>
      </c>
      <c r="S167" s="44">
        <f t="shared" si="62"/>
        <v>1.5</v>
      </c>
      <c r="T167" s="44">
        <f t="shared" si="62"/>
        <v>1.5</v>
      </c>
      <c r="U167" s="44">
        <f t="shared" si="62"/>
        <v>1.5</v>
      </c>
      <c r="V167" s="44">
        <f t="shared" si="62"/>
        <v>1.5</v>
      </c>
      <c r="W167" s="44">
        <f t="shared" si="62"/>
        <v>1.5</v>
      </c>
      <c r="X167" s="44">
        <f t="shared" si="62"/>
        <v>1.5</v>
      </c>
      <c r="Y167" s="44">
        <f t="shared" si="62"/>
        <v>1.5</v>
      </c>
      <c r="Z167" s="44">
        <f t="shared" si="62"/>
        <v>1.5</v>
      </c>
      <c r="AA167" s="44">
        <f t="shared" si="62"/>
        <v>1.5</v>
      </c>
      <c r="AB167" s="44">
        <f t="shared" si="62"/>
        <v>1.5</v>
      </c>
      <c r="AC167" s="44">
        <f t="shared" si="62"/>
        <v>1.5</v>
      </c>
      <c r="AD167" s="44">
        <f t="shared" si="62"/>
        <v>1.5</v>
      </c>
      <c r="AE167" s="44">
        <f t="shared" si="62"/>
        <v>1.5</v>
      </c>
      <c r="AF167" s="44">
        <f t="shared" si="62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0"/>
        <v>1</v>
      </c>
      <c r="C168" s="55">
        <v>1</v>
      </c>
      <c r="D168" s="44">
        <f t="shared" si="61"/>
        <v>1</v>
      </c>
      <c r="E168" s="44">
        <f t="shared" si="61"/>
        <v>1</v>
      </c>
      <c r="F168" s="44">
        <f t="shared" si="61"/>
        <v>1</v>
      </c>
      <c r="G168" s="44">
        <f t="shared" si="61"/>
        <v>1</v>
      </c>
      <c r="H168" s="44">
        <f t="shared" si="61"/>
        <v>1</v>
      </c>
      <c r="I168" s="44">
        <f t="shared" si="61"/>
        <v>1</v>
      </c>
      <c r="J168" s="44">
        <f t="shared" si="61"/>
        <v>1</v>
      </c>
      <c r="K168" s="44">
        <f t="shared" si="61"/>
        <v>1</v>
      </c>
      <c r="L168" s="44">
        <f t="shared" si="61"/>
        <v>1</v>
      </c>
      <c r="M168" s="44">
        <f t="shared" si="61"/>
        <v>1</v>
      </c>
      <c r="N168" s="44">
        <f t="shared" si="61"/>
        <v>1</v>
      </c>
      <c r="O168" s="44">
        <f t="shared" si="61"/>
        <v>1</v>
      </c>
      <c r="P168" s="44">
        <f t="shared" si="61"/>
        <v>1</v>
      </c>
      <c r="Q168" s="44">
        <f t="shared" si="61"/>
        <v>1</v>
      </c>
      <c r="R168" s="44">
        <f t="shared" si="61"/>
        <v>1</v>
      </c>
      <c r="S168" s="44">
        <f t="shared" si="62"/>
        <v>1</v>
      </c>
      <c r="T168" s="44">
        <f t="shared" si="62"/>
        <v>1</v>
      </c>
      <c r="U168" s="44">
        <f t="shared" si="62"/>
        <v>1</v>
      </c>
      <c r="V168" s="44">
        <f t="shared" si="62"/>
        <v>1</v>
      </c>
      <c r="W168" s="44">
        <f t="shared" si="62"/>
        <v>1</v>
      </c>
      <c r="X168" s="44">
        <f t="shared" si="62"/>
        <v>1</v>
      </c>
      <c r="Y168" s="44">
        <f t="shared" si="62"/>
        <v>1</v>
      </c>
      <c r="Z168" s="44">
        <f t="shared" si="62"/>
        <v>1</v>
      </c>
      <c r="AA168" s="44">
        <f t="shared" si="62"/>
        <v>1</v>
      </c>
      <c r="AB168" s="44">
        <f t="shared" si="62"/>
        <v>1</v>
      </c>
      <c r="AC168" s="44">
        <f t="shared" si="62"/>
        <v>1</v>
      </c>
      <c r="AD168" s="44">
        <f t="shared" si="62"/>
        <v>1</v>
      </c>
      <c r="AE168" s="44">
        <f t="shared" si="62"/>
        <v>1</v>
      </c>
      <c r="AF168" s="44">
        <f t="shared" si="62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3">AF170</f>
        <v>1</v>
      </c>
      <c r="C170" s="55">
        <v>1</v>
      </c>
      <c r="D170" s="44">
        <f t="shared" ref="D170:S177" si="64">C170</f>
        <v>1</v>
      </c>
      <c r="E170" s="44">
        <f t="shared" si="64"/>
        <v>1</v>
      </c>
      <c r="F170" s="44">
        <f t="shared" si="64"/>
        <v>1</v>
      </c>
      <c r="G170" s="44">
        <f t="shared" si="64"/>
        <v>1</v>
      </c>
      <c r="H170" s="44">
        <f t="shared" si="64"/>
        <v>1</v>
      </c>
      <c r="I170" s="44">
        <f t="shared" si="64"/>
        <v>1</v>
      </c>
      <c r="J170" s="44">
        <f t="shared" si="64"/>
        <v>1</v>
      </c>
      <c r="K170" s="44">
        <f t="shared" si="64"/>
        <v>1</v>
      </c>
      <c r="L170" s="44">
        <f t="shared" si="64"/>
        <v>1</v>
      </c>
      <c r="M170" s="44">
        <f t="shared" si="64"/>
        <v>1</v>
      </c>
      <c r="N170" s="44">
        <f t="shared" si="64"/>
        <v>1</v>
      </c>
      <c r="O170" s="44">
        <f t="shared" si="64"/>
        <v>1</v>
      </c>
      <c r="P170" s="44">
        <f t="shared" si="64"/>
        <v>1</v>
      </c>
      <c r="Q170" s="44">
        <f t="shared" si="64"/>
        <v>1</v>
      </c>
      <c r="R170" s="44">
        <f t="shared" si="64"/>
        <v>1</v>
      </c>
      <c r="S170" s="44">
        <f t="shared" si="64"/>
        <v>1</v>
      </c>
      <c r="T170" s="44">
        <f t="shared" ref="S170:AF177" si="65">S170</f>
        <v>1</v>
      </c>
      <c r="U170" s="44">
        <f t="shared" si="65"/>
        <v>1</v>
      </c>
      <c r="V170" s="44">
        <f t="shared" si="65"/>
        <v>1</v>
      </c>
      <c r="W170" s="44">
        <f t="shared" si="65"/>
        <v>1</v>
      </c>
      <c r="X170" s="44">
        <f t="shared" si="65"/>
        <v>1</v>
      </c>
      <c r="Y170" s="44">
        <f t="shared" si="65"/>
        <v>1</v>
      </c>
      <c r="Z170" s="44">
        <f t="shared" si="65"/>
        <v>1</v>
      </c>
      <c r="AA170" s="44">
        <f t="shared" si="65"/>
        <v>1</v>
      </c>
      <c r="AB170" s="44">
        <f t="shared" si="65"/>
        <v>1</v>
      </c>
      <c r="AC170" s="44">
        <f t="shared" si="65"/>
        <v>1</v>
      </c>
      <c r="AD170" s="44">
        <f t="shared" si="65"/>
        <v>1</v>
      </c>
      <c r="AE170" s="44">
        <f t="shared" si="65"/>
        <v>1</v>
      </c>
      <c r="AF170" s="44">
        <f t="shared" si="65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3"/>
        <v>0.42</v>
      </c>
      <c r="C171" s="55">
        <v>0.42</v>
      </c>
      <c r="D171" s="44">
        <f t="shared" si="64"/>
        <v>0.42</v>
      </c>
      <c r="E171" s="44">
        <f t="shared" si="64"/>
        <v>0.42</v>
      </c>
      <c r="F171" s="44">
        <f t="shared" si="64"/>
        <v>0.42</v>
      </c>
      <c r="G171" s="44">
        <f t="shared" si="64"/>
        <v>0.42</v>
      </c>
      <c r="H171" s="44">
        <f t="shared" si="64"/>
        <v>0.42</v>
      </c>
      <c r="I171" s="44">
        <f t="shared" si="64"/>
        <v>0.42</v>
      </c>
      <c r="J171" s="44">
        <f t="shared" si="64"/>
        <v>0.42</v>
      </c>
      <c r="K171" s="44">
        <f t="shared" si="64"/>
        <v>0.42</v>
      </c>
      <c r="L171" s="44">
        <f t="shared" si="64"/>
        <v>0.42</v>
      </c>
      <c r="M171" s="44">
        <f t="shared" si="64"/>
        <v>0.42</v>
      </c>
      <c r="N171" s="44">
        <f t="shared" si="64"/>
        <v>0.42</v>
      </c>
      <c r="O171" s="44">
        <f t="shared" si="64"/>
        <v>0.42</v>
      </c>
      <c r="P171" s="44">
        <f t="shared" si="64"/>
        <v>0.42</v>
      </c>
      <c r="Q171" s="44">
        <f t="shared" si="64"/>
        <v>0.42</v>
      </c>
      <c r="R171" s="44">
        <f t="shared" si="64"/>
        <v>0.42</v>
      </c>
      <c r="S171" s="44">
        <f t="shared" si="65"/>
        <v>0.42</v>
      </c>
      <c r="T171" s="44">
        <f t="shared" si="65"/>
        <v>0.42</v>
      </c>
      <c r="U171" s="44">
        <f t="shared" si="65"/>
        <v>0.42</v>
      </c>
      <c r="V171" s="44">
        <f t="shared" si="65"/>
        <v>0.42</v>
      </c>
      <c r="W171" s="44">
        <f t="shared" si="65"/>
        <v>0.42</v>
      </c>
      <c r="X171" s="44">
        <f t="shared" si="65"/>
        <v>0.42</v>
      </c>
      <c r="Y171" s="44">
        <f t="shared" si="65"/>
        <v>0.42</v>
      </c>
      <c r="Z171" s="44">
        <f t="shared" si="65"/>
        <v>0.42</v>
      </c>
      <c r="AA171" s="44">
        <f t="shared" si="65"/>
        <v>0.42</v>
      </c>
      <c r="AB171" s="44">
        <f t="shared" si="65"/>
        <v>0.42</v>
      </c>
      <c r="AC171" s="44">
        <f t="shared" si="65"/>
        <v>0.42</v>
      </c>
      <c r="AD171" s="44">
        <f t="shared" si="65"/>
        <v>0.42</v>
      </c>
      <c r="AE171" s="44">
        <f t="shared" si="65"/>
        <v>0.42</v>
      </c>
      <c r="AF171" s="44">
        <f t="shared" si="65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3"/>
        <v>0.46</v>
      </c>
      <c r="C172" s="55">
        <v>0.46</v>
      </c>
      <c r="D172" s="44">
        <f t="shared" si="64"/>
        <v>0.46</v>
      </c>
      <c r="E172" s="44">
        <f t="shared" si="64"/>
        <v>0.46</v>
      </c>
      <c r="F172" s="44">
        <f t="shared" si="64"/>
        <v>0.46</v>
      </c>
      <c r="G172" s="44">
        <f t="shared" si="64"/>
        <v>0.46</v>
      </c>
      <c r="H172" s="44">
        <f t="shared" si="64"/>
        <v>0.46</v>
      </c>
      <c r="I172" s="44">
        <f t="shared" si="64"/>
        <v>0.46</v>
      </c>
      <c r="J172" s="44">
        <f t="shared" si="64"/>
        <v>0.46</v>
      </c>
      <c r="K172" s="44">
        <f t="shared" si="64"/>
        <v>0.46</v>
      </c>
      <c r="L172" s="44">
        <f t="shared" si="64"/>
        <v>0.46</v>
      </c>
      <c r="M172" s="44">
        <f t="shared" si="64"/>
        <v>0.46</v>
      </c>
      <c r="N172" s="44">
        <f t="shared" si="64"/>
        <v>0.46</v>
      </c>
      <c r="O172" s="44">
        <f t="shared" si="64"/>
        <v>0.46</v>
      </c>
      <c r="P172" s="44">
        <f t="shared" si="64"/>
        <v>0.46</v>
      </c>
      <c r="Q172" s="44">
        <f t="shared" si="64"/>
        <v>0.46</v>
      </c>
      <c r="R172" s="44">
        <f t="shared" si="64"/>
        <v>0.46</v>
      </c>
      <c r="S172" s="44">
        <f t="shared" si="65"/>
        <v>0.46</v>
      </c>
      <c r="T172" s="44">
        <f t="shared" si="65"/>
        <v>0.46</v>
      </c>
      <c r="U172" s="44">
        <f t="shared" si="65"/>
        <v>0.46</v>
      </c>
      <c r="V172" s="44">
        <f t="shared" si="65"/>
        <v>0.46</v>
      </c>
      <c r="W172" s="44">
        <f t="shared" si="65"/>
        <v>0.46</v>
      </c>
      <c r="X172" s="44">
        <f t="shared" si="65"/>
        <v>0.46</v>
      </c>
      <c r="Y172" s="44">
        <f t="shared" si="65"/>
        <v>0.46</v>
      </c>
      <c r="Z172" s="44">
        <f t="shared" si="65"/>
        <v>0.46</v>
      </c>
      <c r="AA172" s="44">
        <f t="shared" si="65"/>
        <v>0.46</v>
      </c>
      <c r="AB172" s="44">
        <f t="shared" si="65"/>
        <v>0.46</v>
      </c>
      <c r="AC172" s="44">
        <f t="shared" si="65"/>
        <v>0.46</v>
      </c>
      <c r="AD172" s="44">
        <f t="shared" si="65"/>
        <v>0.46</v>
      </c>
      <c r="AE172" s="44">
        <f t="shared" si="65"/>
        <v>0.46</v>
      </c>
      <c r="AF172" s="44">
        <f t="shared" si="6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3"/>
        <v>0.85</v>
      </c>
      <c r="C173" s="55">
        <v>0.85</v>
      </c>
      <c r="D173" s="44">
        <f t="shared" si="64"/>
        <v>0.85</v>
      </c>
      <c r="E173" s="44">
        <f t="shared" si="64"/>
        <v>0.85</v>
      </c>
      <c r="F173" s="44">
        <f t="shared" si="64"/>
        <v>0.85</v>
      </c>
      <c r="G173" s="44">
        <f t="shared" si="64"/>
        <v>0.85</v>
      </c>
      <c r="H173" s="44">
        <f t="shared" si="64"/>
        <v>0.85</v>
      </c>
      <c r="I173" s="44">
        <f t="shared" si="64"/>
        <v>0.85</v>
      </c>
      <c r="J173" s="44">
        <f t="shared" si="64"/>
        <v>0.85</v>
      </c>
      <c r="K173" s="44">
        <f t="shared" si="64"/>
        <v>0.85</v>
      </c>
      <c r="L173" s="44">
        <f t="shared" si="64"/>
        <v>0.85</v>
      </c>
      <c r="M173" s="44">
        <f t="shared" si="64"/>
        <v>0.85</v>
      </c>
      <c r="N173" s="44">
        <f t="shared" si="64"/>
        <v>0.85</v>
      </c>
      <c r="O173" s="44">
        <f t="shared" si="64"/>
        <v>0.85</v>
      </c>
      <c r="P173" s="44">
        <f t="shared" si="64"/>
        <v>0.85</v>
      </c>
      <c r="Q173" s="44">
        <f t="shared" si="64"/>
        <v>0.85</v>
      </c>
      <c r="R173" s="44">
        <f t="shared" si="64"/>
        <v>0.85</v>
      </c>
      <c r="S173" s="44">
        <f t="shared" si="65"/>
        <v>0.85</v>
      </c>
      <c r="T173" s="44">
        <f t="shared" si="65"/>
        <v>0.85</v>
      </c>
      <c r="U173" s="44">
        <f t="shared" si="65"/>
        <v>0.85</v>
      </c>
      <c r="V173" s="44">
        <f t="shared" si="65"/>
        <v>0.85</v>
      </c>
      <c r="W173" s="44">
        <f t="shared" si="65"/>
        <v>0.85</v>
      </c>
      <c r="X173" s="44">
        <f t="shared" si="65"/>
        <v>0.85</v>
      </c>
      <c r="Y173" s="44">
        <f t="shared" si="65"/>
        <v>0.85</v>
      </c>
      <c r="Z173" s="44">
        <f t="shared" si="65"/>
        <v>0.85</v>
      </c>
      <c r="AA173" s="44">
        <f t="shared" si="65"/>
        <v>0.85</v>
      </c>
      <c r="AB173" s="44">
        <f t="shared" si="65"/>
        <v>0.85</v>
      </c>
      <c r="AC173" s="44">
        <f t="shared" si="65"/>
        <v>0.85</v>
      </c>
      <c r="AD173" s="44">
        <f t="shared" si="65"/>
        <v>0.85</v>
      </c>
      <c r="AE173" s="44">
        <f t="shared" si="65"/>
        <v>0.85</v>
      </c>
      <c r="AF173" s="44">
        <f t="shared" si="65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3"/>
        <v>0.9</v>
      </c>
      <c r="C174" s="55">
        <v>0.9</v>
      </c>
      <c r="D174" s="44">
        <f t="shared" si="64"/>
        <v>0.9</v>
      </c>
      <c r="E174" s="44">
        <f t="shared" si="64"/>
        <v>0.9</v>
      </c>
      <c r="F174" s="44">
        <f t="shared" si="64"/>
        <v>0.9</v>
      </c>
      <c r="G174" s="44">
        <f t="shared" si="64"/>
        <v>0.9</v>
      </c>
      <c r="H174" s="44">
        <f t="shared" si="64"/>
        <v>0.9</v>
      </c>
      <c r="I174" s="44">
        <f t="shared" si="64"/>
        <v>0.9</v>
      </c>
      <c r="J174" s="44">
        <f t="shared" si="64"/>
        <v>0.9</v>
      </c>
      <c r="K174" s="44">
        <f t="shared" si="64"/>
        <v>0.9</v>
      </c>
      <c r="L174" s="44">
        <f t="shared" si="64"/>
        <v>0.9</v>
      </c>
      <c r="M174" s="44">
        <f t="shared" si="64"/>
        <v>0.9</v>
      </c>
      <c r="N174" s="44">
        <f t="shared" si="64"/>
        <v>0.9</v>
      </c>
      <c r="O174" s="44">
        <f t="shared" si="64"/>
        <v>0.9</v>
      </c>
      <c r="P174" s="44">
        <f t="shared" si="64"/>
        <v>0.9</v>
      </c>
      <c r="Q174" s="44">
        <f t="shared" si="64"/>
        <v>0.9</v>
      </c>
      <c r="R174" s="44">
        <f t="shared" si="64"/>
        <v>0.9</v>
      </c>
      <c r="S174" s="44">
        <f t="shared" si="65"/>
        <v>0.9</v>
      </c>
      <c r="T174" s="44">
        <f t="shared" si="65"/>
        <v>0.9</v>
      </c>
      <c r="U174" s="44">
        <f t="shared" si="65"/>
        <v>0.9</v>
      </c>
      <c r="V174" s="44">
        <f t="shared" si="65"/>
        <v>0.9</v>
      </c>
      <c r="W174" s="44">
        <f t="shared" si="65"/>
        <v>0.9</v>
      </c>
      <c r="X174" s="44">
        <f t="shared" si="65"/>
        <v>0.9</v>
      </c>
      <c r="Y174" s="44">
        <f t="shared" si="65"/>
        <v>0.9</v>
      </c>
      <c r="Z174" s="44">
        <f t="shared" si="65"/>
        <v>0.9</v>
      </c>
      <c r="AA174" s="44">
        <f t="shared" si="65"/>
        <v>0.9</v>
      </c>
      <c r="AB174" s="44">
        <f t="shared" si="65"/>
        <v>0.9</v>
      </c>
      <c r="AC174" s="44">
        <f t="shared" si="65"/>
        <v>0.9</v>
      </c>
      <c r="AD174" s="44">
        <f t="shared" si="65"/>
        <v>0.9</v>
      </c>
      <c r="AE174" s="44">
        <f t="shared" si="65"/>
        <v>0.9</v>
      </c>
      <c r="AF174" s="44">
        <f t="shared" si="65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3"/>
        <v>0.44</v>
      </c>
      <c r="C175" s="55">
        <v>0.44</v>
      </c>
      <c r="D175" s="44">
        <f t="shared" si="64"/>
        <v>0.44</v>
      </c>
      <c r="E175" s="44">
        <f t="shared" si="64"/>
        <v>0.44</v>
      </c>
      <c r="F175" s="44">
        <f t="shared" si="64"/>
        <v>0.44</v>
      </c>
      <c r="G175" s="44">
        <f t="shared" si="64"/>
        <v>0.44</v>
      </c>
      <c r="H175" s="44">
        <f t="shared" si="64"/>
        <v>0.44</v>
      </c>
      <c r="I175" s="44">
        <f t="shared" si="64"/>
        <v>0.44</v>
      </c>
      <c r="J175" s="44">
        <f t="shared" si="64"/>
        <v>0.44</v>
      </c>
      <c r="K175" s="44">
        <f t="shared" si="64"/>
        <v>0.44</v>
      </c>
      <c r="L175" s="44">
        <f t="shared" si="64"/>
        <v>0.44</v>
      </c>
      <c r="M175" s="44">
        <f t="shared" si="64"/>
        <v>0.44</v>
      </c>
      <c r="N175" s="44">
        <f t="shared" si="64"/>
        <v>0.44</v>
      </c>
      <c r="O175" s="44">
        <f t="shared" si="64"/>
        <v>0.44</v>
      </c>
      <c r="P175" s="44">
        <f t="shared" si="64"/>
        <v>0.44</v>
      </c>
      <c r="Q175" s="44">
        <f t="shared" si="64"/>
        <v>0.44</v>
      </c>
      <c r="R175" s="44">
        <f t="shared" si="64"/>
        <v>0.44</v>
      </c>
      <c r="S175" s="44">
        <f t="shared" si="65"/>
        <v>0.44</v>
      </c>
      <c r="T175" s="44">
        <f t="shared" si="65"/>
        <v>0.44</v>
      </c>
      <c r="U175" s="44">
        <f t="shared" si="65"/>
        <v>0.44</v>
      </c>
      <c r="V175" s="44">
        <f t="shared" si="65"/>
        <v>0.44</v>
      </c>
      <c r="W175" s="44">
        <f t="shared" si="65"/>
        <v>0.44</v>
      </c>
      <c r="X175" s="44">
        <f t="shared" si="65"/>
        <v>0.44</v>
      </c>
      <c r="Y175" s="44">
        <f t="shared" si="65"/>
        <v>0.44</v>
      </c>
      <c r="Z175" s="44">
        <f t="shared" si="65"/>
        <v>0.44</v>
      </c>
      <c r="AA175" s="44">
        <f t="shared" si="65"/>
        <v>0.44</v>
      </c>
      <c r="AB175" s="44">
        <f t="shared" si="65"/>
        <v>0.44</v>
      </c>
      <c r="AC175" s="44">
        <f t="shared" si="65"/>
        <v>0.44</v>
      </c>
      <c r="AD175" s="44">
        <f t="shared" si="65"/>
        <v>0.44</v>
      </c>
      <c r="AE175" s="44">
        <f t="shared" si="65"/>
        <v>0.44</v>
      </c>
      <c r="AF175" s="44">
        <f t="shared" si="65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3"/>
        <v>2.1</v>
      </c>
      <c r="C176" s="55">
        <v>2.1</v>
      </c>
      <c r="D176" s="44">
        <f t="shared" si="64"/>
        <v>2.1</v>
      </c>
      <c r="E176" s="44">
        <f t="shared" si="64"/>
        <v>2.1</v>
      </c>
      <c r="F176" s="44">
        <f t="shared" si="64"/>
        <v>2.1</v>
      </c>
      <c r="G176" s="44">
        <f t="shared" si="64"/>
        <v>2.1</v>
      </c>
      <c r="H176" s="44">
        <f t="shared" si="64"/>
        <v>2.1</v>
      </c>
      <c r="I176" s="44">
        <f t="shared" si="64"/>
        <v>2.1</v>
      </c>
      <c r="J176" s="44">
        <f t="shared" si="64"/>
        <v>2.1</v>
      </c>
      <c r="K176" s="44">
        <f t="shared" si="64"/>
        <v>2.1</v>
      </c>
      <c r="L176" s="44">
        <f t="shared" si="64"/>
        <v>2.1</v>
      </c>
      <c r="M176" s="44">
        <f t="shared" si="64"/>
        <v>2.1</v>
      </c>
      <c r="N176" s="44">
        <f t="shared" si="64"/>
        <v>2.1</v>
      </c>
      <c r="O176" s="44">
        <f t="shared" si="64"/>
        <v>2.1</v>
      </c>
      <c r="P176" s="44">
        <f t="shared" si="64"/>
        <v>2.1</v>
      </c>
      <c r="Q176" s="44">
        <f t="shared" si="64"/>
        <v>2.1</v>
      </c>
      <c r="R176" s="44">
        <f t="shared" si="64"/>
        <v>2.1</v>
      </c>
      <c r="S176" s="44">
        <f t="shared" si="65"/>
        <v>2.1</v>
      </c>
      <c r="T176" s="44">
        <f t="shared" si="65"/>
        <v>2.1</v>
      </c>
      <c r="U176" s="44">
        <f t="shared" si="65"/>
        <v>2.1</v>
      </c>
      <c r="V176" s="44">
        <f t="shared" si="65"/>
        <v>2.1</v>
      </c>
      <c r="W176" s="44">
        <f t="shared" si="65"/>
        <v>2.1</v>
      </c>
      <c r="X176" s="44">
        <f t="shared" si="65"/>
        <v>2.1</v>
      </c>
      <c r="Y176" s="44">
        <f t="shared" si="65"/>
        <v>2.1</v>
      </c>
      <c r="Z176" s="44">
        <f t="shared" si="65"/>
        <v>2.1</v>
      </c>
      <c r="AA176" s="44">
        <f t="shared" si="65"/>
        <v>2.1</v>
      </c>
      <c r="AB176" s="44">
        <f t="shared" si="65"/>
        <v>2.1</v>
      </c>
      <c r="AC176" s="44">
        <f t="shared" si="65"/>
        <v>2.1</v>
      </c>
      <c r="AD176" s="44">
        <f t="shared" si="65"/>
        <v>2.1</v>
      </c>
      <c r="AE176" s="44">
        <f t="shared" si="65"/>
        <v>2.1</v>
      </c>
      <c r="AF176" s="44">
        <f t="shared" si="65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3"/>
        <v>0.9</v>
      </c>
      <c r="C177" s="55">
        <v>0.9</v>
      </c>
      <c r="D177" s="44">
        <f t="shared" si="64"/>
        <v>0.9</v>
      </c>
      <c r="E177" s="44">
        <f t="shared" si="64"/>
        <v>0.9</v>
      </c>
      <c r="F177" s="44">
        <f t="shared" si="64"/>
        <v>0.9</v>
      </c>
      <c r="G177" s="44">
        <f t="shared" si="64"/>
        <v>0.9</v>
      </c>
      <c r="H177" s="44">
        <f t="shared" si="64"/>
        <v>0.9</v>
      </c>
      <c r="I177" s="44">
        <f t="shared" si="64"/>
        <v>0.9</v>
      </c>
      <c r="J177" s="44">
        <f t="shared" si="64"/>
        <v>0.9</v>
      </c>
      <c r="K177" s="44">
        <f t="shared" si="64"/>
        <v>0.9</v>
      </c>
      <c r="L177" s="44">
        <f t="shared" si="64"/>
        <v>0.9</v>
      </c>
      <c r="M177" s="44">
        <f t="shared" si="64"/>
        <v>0.9</v>
      </c>
      <c r="N177" s="44">
        <f t="shared" si="64"/>
        <v>0.9</v>
      </c>
      <c r="O177" s="44">
        <f t="shared" si="64"/>
        <v>0.9</v>
      </c>
      <c r="P177" s="44">
        <f t="shared" si="64"/>
        <v>0.9</v>
      </c>
      <c r="Q177" s="44">
        <f t="shared" si="64"/>
        <v>0.9</v>
      </c>
      <c r="R177" s="44">
        <f t="shared" si="64"/>
        <v>0.9</v>
      </c>
      <c r="S177" s="44">
        <f t="shared" si="65"/>
        <v>0.9</v>
      </c>
      <c r="T177" s="44">
        <f t="shared" si="65"/>
        <v>0.9</v>
      </c>
      <c r="U177" s="44">
        <f t="shared" si="65"/>
        <v>0.9</v>
      </c>
      <c r="V177" s="44">
        <f t="shared" si="65"/>
        <v>0.9</v>
      </c>
      <c r="W177" s="44">
        <f t="shared" si="65"/>
        <v>0.9</v>
      </c>
      <c r="X177" s="44">
        <f t="shared" si="65"/>
        <v>0.9</v>
      </c>
      <c r="Y177" s="44">
        <f t="shared" si="65"/>
        <v>0.9</v>
      </c>
      <c r="Z177" s="44">
        <f t="shared" si="65"/>
        <v>0.9</v>
      </c>
      <c r="AA177" s="44">
        <f t="shared" si="65"/>
        <v>0.9</v>
      </c>
      <c r="AB177" s="44">
        <f t="shared" si="65"/>
        <v>0.9</v>
      </c>
      <c r="AC177" s="44">
        <f t="shared" si="65"/>
        <v>0.9</v>
      </c>
      <c r="AD177" s="44">
        <f t="shared" si="65"/>
        <v>0.9</v>
      </c>
      <c r="AE177" s="44">
        <f t="shared" si="65"/>
        <v>0.9</v>
      </c>
      <c r="AF177" s="44">
        <f t="shared" si="65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6">AF179</f>
        <v>0.57999999999999996</v>
      </c>
      <c r="C179" s="55">
        <v>0.57999999999999996</v>
      </c>
      <c r="D179" s="44">
        <f t="shared" ref="D179:S191" si="67">C179</f>
        <v>0.57999999999999996</v>
      </c>
      <c r="E179" s="44">
        <f t="shared" si="67"/>
        <v>0.57999999999999996</v>
      </c>
      <c r="F179" s="44">
        <f t="shared" si="67"/>
        <v>0.57999999999999996</v>
      </c>
      <c r="G179" s="44">
        <f t="shared" si="67"/>
        <v>0.57999999999999996</v>
      </c>
      <c r="H179" s="44">
        <f t="shared" si="67"/>
        <v>0.57999999999999996</v>
      </c>
      <c r="I179" s="44">
        <f t="shared" si="67"/>
        <v>0.57999999999999996</v>
      </c>
      <c r="J179" s="44">
        <f t="shared" si="67"/>
        <v>0.57999999999999996</v>
      </c>
      <c r="K179" s="44">
        <f t="shared" si="67"/>
        <v>0.57999999999999996</v>
      </c>
      <c r="L179" s="44">
        <f t="shared" si="67"/>
        <v>0.57999999999999996</v>
      </c>
      <c r="M179" s="44">
        <f t="shared" si="67"/>
        <v>0.57999999999999996</v>
      </c>
      <c r="N179" s="44">
        <f t="shared" si="67"/>
        <v>0.57999999999999996</v>
      </c>
      <c r="O179" s="44">
        <f t="shared" si="67"/>
        <v>0.57999999999999996</v>
      </c>
      <c r="P179" s="44">
        <f t="shared" si="67"/>
        <v>0.57999999999999996</v>
      </c>
      <c r="Q179" s="44">
        <f t="shared" si="67"/>
        <v>0.57999999999999996</v>
      </c>
      <c r="R179" s="44">
        <f t="shared" si="67"/>
        <v>0.57999999999999996</v>
      </c>
      <c r="S179" s="44">
        <f t="shared" si="67"/>
        <v>0.57999999999999996</v>
      </c>
      <c r="T179" s="44">
        <f t="shared" ref="S179:AF191" si="68">S179</f>
        <v>0.57999999999999996</v>
      </c>
      <c r="U179" s="44">
        <f t="shared" si="68"/>
        <v>0.57999999999999996</v>
      </c>
      <c r="V179" s="44">
        <f t="shared" si="68"/>
        <v>0.57999999999999996</v>
      </c>
      <c r="W179" s="44">
        <f t="shared" si="68"/>
        <v>0.57999999999999996</v>
      </c>
      <c r="X179" s="44">
        <f t="shared" si="68"/>
        <v>0.57999999999999996</v>
      </c>
      <c r="Y179" s="44">
        <f t="shared" si="68"/>
        <v>0.57999999999999996</v>
      </c>
      <c r="Z179" s="44">
        <f t="shared" si="68"/>
        <v>0.57999999999999996</v>
      </c>
      <c r="AA179" s="44">
        <f t="shared" si="68"/>
        <v>0.57999999999999996</v>
      </c>
      <c r="AB179" s="44">
        <f t="shared" si="68"/>
        <v>0.57999999999999996</v>
      </c>
      <c r="AC179" s="44">
        <f t="shared" si="68"/>
        <v>0.57999999999999996</v>
      </c>
      <c r="AD179" s="44">
        <f t="shared" si="68"/>
        <v>0.57999999999999996</v>
      </c>
      <c r="AE179" s="44">
        <f t="shared" si="68"/>
        <v>0.57999999999999996</v>
      </c>
      <c r="AF179" s="44">
        <f t="shared" si="68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6"/>
        <v>0.8</v>
      </c>
      <c r="C180" s="55">
        <v>0.8</v>
      </c>
      <c r="D180" s="44">
        <f t="shared" si="67"/>
        <v>0.8</v>
      </c>
      <c r="E180" s="44">
        <f t="shared" si="67"/>
        <v>0.8</v>
      </c>
      <c r="F180" s="44">
        <f t="shared" si="67"/>
        <v>0.8</v>
      </c>
      <c r="G180" s="44">
        <f t="shared" si="67"/>
        <v>0.8</v>
      </c>
      <c r="H180" s="44">
        <f t="shared" si="67"/>
        <v>0.8</v>
      </c>
      <c r="I180" s="44">
        <f t="shared" si="67"/>
        <v>0.8</v>
      </c>
      <c r="J180" s="44">
        <f t="shared" si="67"/>
        <v>0.8</v>
      </c>
      <c r="K180" s="44">
        <f t="shared" si="67"/>
        <v>0.8</v>
      </c>
      <c r="L180" s="44">
        <f t="shared" si="67"/>
        <v>0.8</v>
      </c>
      <c r="M180" s="44">
        <f t="shared" si="67"/>
        <v>0.8</v>
      </c>
      <c r="N180" s="44">
        <f t="shared" si="67"/>
        <v>0.8</v>
      </c>
      <c r="O180" s="44">
        <f t="shared" si="67"/>
        <v>0.8</v>
      </c>
      <c r="P180" s="44">
        <f t="shared" si="67"/>
        <v>0.8</v>
      </c>
      <c r="Q180" s="44">
        <f t="shared" si="67"/>
        <v>0.8</v>
      </c>
      <c r="R180" s="44">
        <f t="shared" si="67"/>
        <v>0.8</v>
      </c>
      <c r="S180" s="44">
        <f t="shared" si="67"/>
        <v>0.8</v>
      </c>
      <c r="T180" s="44">
        <f t="shared" si="68"/>
        <v>0.8</v>
      </c>
      <c r="U180" s="44">
        <f t="shared" si="68"/>
        <v>0.8</v>
      </c>
      <c r="V180" s="44">
        <f t="shared" si="68"/>
        <v>0.8</v>
      </c>
      <c r="W180" s="44">
        <f t="shared" si="68"/>
        <v>0.8</v>
      </c>
      <c r="X180" s="44">
        <f t="shared" si="68"/>
        <v>0.8</v>
      </c>
      <c r="Y180" s="44">
        <f t="shared" si="68"/>
        <v>0.8</v>
      </c>
      <c r="Z180" s="44">
        <f t="shared" si="68"/>
        <v>0.8</v>
      </c>
      <c r="AA180" s="44">
        <f t="shared" si="68"/>
        <v>0.8</v>
      </c>
      <c r="AB180" s="44">
        <f t="shared" si="68"/>
        <v>0.8</v>
      </c>
      <c r="AC180" s="44">
        <f t="shared" si="68"/>
        <v>0.8</v>
      </c>
      <c r="AD180" s="44">
        <f t="shared" si="68"/>
        <v>0.8</v>
      </c>
      <c r="AE180" s="44">
        <f t="shared" si="68"/>
        <v>0.8</v>
      </c>
      <c r="AF180" s="44">
        <f t="shared" si="68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6"/>
        <v>0</v>
      </c>
      <c r="C181" s="55">
        <v>0</v>
      </c>
      <c r="D181" s="44">
        <f t="shared" si="67"/>
        <v>0</v>
      </c>
      <c r="E181" s="44">
        <f t="shared" si="67"/>
        <v>0</v>
      </c>
      <c r="F181" s="44">
        <f t="shared" si="67"/>
        <v>0</v>
      </c>
      <c r="G181" s="44">
        <f t="shared" si="67"/>
        <v>0</v>
      </c>
      <c r="H181" s="44">
        <f t="shared" si="67"/>
        <v>0</v>
      </c>
      <c r="I181" s="44">
        <f t="shared" si="67"/>
        <v>0</v>
      </c>
      <c r="J181" s="44">
        <f t="shared" si="67"/>
        <v>0</v>
      </c>
      <c r="K181" s="44">
        <f t="shared" si="67"/>
        <v>0</v>
      </c>
      <c r="L181" s="44">
        <f t="shared" si="67"/>
        <v>0</v>
      </c>
      <c r="M181" s="44">
        <f t="shared" si="67"/>
        <v>0</v>
      </c>
      <c r="N181" s="44">
        <f t="shared" si="67"/>
        <v>0</v>
      </c>
      <c r="O181" s="44">
        <f t="shared" si="67"/>
        <v>0</v>
      </c>
      <c r="P181" s="44">
        <f t="shared" si="67"/>
        <v>0</v>
      </c>
      <c r="Q181" s="44">
        <f t="shared" si="67"/>
        <v>0</v>
      </c>
      <c r="R181" s="44">
        <f t="shared" si="67"/>
        <v>0</v>
      </c>
      <c r="S181" s="44">
        <f t="shared" si="67"/>
        <v>0</v>
      </c>
      <c r="T181" s="44">
        <f t="shared" si="68"/>
        <v>0</v>
      </c>
      <c r="U181" s="44">
        <f t="shared" si="68"/>
        <v>0</v>
      </c>
      <c r="V181" s="44">
        <f t="shared" si="68"/>
        <v>0</v>
      </c>
      <c r="W181" s="44">
        <f t="shared" si="68"/>
        <v>0</v>
      </c>
      <c r="X181" s="44">
        <f t="shared" si="68"/>
        <v>0</v>
      </c>
      <c r="Y181" s="44">
        <f t="shared" si="68"/>
        <v>0</v>
      </c>
      <c r="Z181" s="44">
        <f t="shared" si="68"/>
        <v>0</v>
      </c>
      <c r="AA181" s="44">
        <f t="shared" si="68"/>
        <v>0</v>
      </c>
      <c r="AB181" s="44">
        <f t="shared" si="68"/>
        <v>0</v>
      </c>
      <c r="AC181" s="44">
        <f t="shared" si="68"/>
        <v>0</v>
      </c>
      <c r="AD181" s="44">
        <f t="shared" si="68"/>
        <v>0</v>
      </c>
      <c r="AE181" s="44">
        <f t="shared" si="68"/>
        <v>0</v>
      </c>
      <c r="AF181" s="44">
        <f t="shared" si="68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6"/>
        <v>0.6</v>
      </c>
      <c r="C182" s="55">
        <v>0.6</v>
      </c>
      <c r="D182" s="44">
        <f t="shared" si="67"/>
        <v>0.6</v>
      </c>
      <c r="E182" s="44">
        <f t="shared" si="67"/>
        <v>0.6</v>
      </c>
      <c r="F182" s="44">
        <f t="shared" si="67"/>
        <v>0.6</v>
      </c>
      <c r="G182" s="44">
        <f t="shared" si="67"/>
        <v>0.6</v>
      </c>
      <c r="H182" s="44">
        <f t="shared" si="67"/>
        <v>0.6</v>
      </c>
      <c r="I182" s="44">
        <f t="shared" si="67"/>
        <v>0.6</v>
      </c>
      <c r="J182" s="44">
        <f t="shared" si="67"/>
        <v>0.6</v>
      </c>
      <c r="K182" s="44">
        <f t="shared" si="67"/>
        <v>0.6</v>
      </c>
      <c r="L182" s="44">
        <f t="shared" si="67"/>
        <v>0.6</v>
      </c>
      <c r="M182" s="44">
        <f t="shared" si="67"/>
        <v>0.6</v>
      </c>
      <c r="N182" s="44">
        <f t="shared" si="67"/>
        <v>0.6</v>
      </c>
      <c r="O182" s="44">
        <f t="shared" si="67"/>
        <v>0.6</v>
      </c>
      <c r="P182" s="44">
        <f t="shared" si="67"/>
        <v>0.6</v>
      </c>
      <c r="Q182" s="44">
        <f t="shared" si="67"/>
        <v>0.6</v>
      </c>
      <c r="R182" s="44">
        <f t="shared" si="67"/>
        <v>0.6</v>
      </c>
      <c r="S182" s="44">
        <f t="shared" si="67"/>
        <v>0.6</v>
      </c>
      <c r="T182" s="44">
        <f t="shared" si="68"/>
        <v>0.6</v>
      </c>
      <c r="U182" s="44">
        <f t="shared" si="68"/>
        <v>0.6</v>
      </c>
      <c r="V182" s="44">
        <f t="shared" si="68"/>
        <v>0.6</v>
      </c>
      <c r="W182" s="44">
        <f t="shared" si="68"/>
        <v>0.6</v>
      </c>
      <c r="X182" s="44">
        <f t="shared" si="68"/>
        <v>0.6</v>
      </c>
      <c r="Y182" s="44">
        <f t="shared" si="68"/>
        <v>0.6</v>
      </c>
      <c r="Z182" s="44">
        <f t="shared" si="68"/>
        <v>0.6</v>
      </c>
      <c r="AA182" s="44">
        <f t="shared" si="68"/>
        <v>0.6</v>
      </c>
      <c r="AB182" s="44">
        <f t="shared" si="68"/>
        <v>0.6</v>
      </c>
      <c r="AC182" s="44">
        <f t="shared" si="68"/>
        <v>0.6</v>
      </c>
      <c r="AD182" s="44">
        <f t="shared" si="68"/>
        <v>0.6</v>
      </c>
      <c r="AE182" s="44">
        <f t="shared" si="68"/>
        <v>0.6</v>
      </c>
      <c r="AF182" s="44">
        <f t="shared" si="68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6"/>
        <v>0.6</v>
      </c>
      <c r="C183" s="55">
        <v>0.6</v>
      </c>
      <c r="D183" s="44">
        <f t="shared" si="67"/>
        <v>0.6</v>
      </c>
      <c r="E183" s="44">
        <f t="shared" si="67"/>
        <v>0.6</v>
      </c>
      <c r="F183" s="44">
        <f t="shared" si="67"/>
        <v>0.6</v>
      </c>
      <c r="G183" s="44">
        <f t="shared" si="67"/>
        <v>0.6</v>
      </c>
      <c r="H183" s="44">
        <f t="shared" si="67"/>
        <v>0.6</v>
      </c>
      <c r="I183" s="44">
        <f t="shared" si="67"/>
        <v>0.6</v>
      </c>
      <c r="J183" s="44">
        <f t="shared" si="67"/>
        <v>0.6</v>
      </c>
      <c r="K183" s="44">
        <f t="shared" si="67"/>
        <v>0.6</v>
      </c>
      <c r="L183" s="44">
        <f t="shared" si="67"/>
        <v>0.6</v>
      </c>
      <c r="M183" s="44">
        <f t="shared" si="67"/>
        <v>0.6</v>
      </c>
      <c r="N183" s="44">
        <f t="shared" si="67"/>
        <v>0.6</v>
      </c>
      <c r="O183" s="44">
        <f t="shared" si="67"/>
        <v>0.6</v>
      </c>
      <c r="P183" s="44">
        <f t="shared" si="67"/>
        <v>0.6</v>
      </c>
      <c r="Q183" s="44">
        <f t="shared" si="67"/>
        <v>0.6</v>
      </c>
      <c r="R183" s="44">
        <f t="shared" si="67"/>
        <v>0.6</v>
      </c>
      <c r="S183" s="44">
        <f t="shared" si="67"/>
        <v>0.6</v>
      </c>
      <c r="T183" s="44">
        <f t="shared" si="68"/>
        <v>0.6</v>
      </c>
      <c r="U183" s="44">
        <f t="shared" si="68"/>
        <v>0.6</v>
      </c>
      <c r="V183" s="44">
        <f t="shared" si="68"/>
        <v>0.6</v>
      </c>
      <c r="W183" s="44">
        <f t="shared" si="68"/>
        <v>0.6</v>
      </c>
      <c r="X183" s="44">
        <f t="shared" si="68"/>
        <v>0.6</v>
      </c>
      <c r="Y183" s="44">
        <f t="shared" si="68"/>
        <v>0.6</v>
      </c>
      <c r="Z183" s="44">
        <f t="shared" si="68"/>
        <v>0.6</v>
      </c>
      <c r="AA183" s="44">
        <f t="shared" si="68"/>
        <v>0.6</v>
      </c>
      <c r="AB183" s="44">
        <f t="shared" si="68"/>
        <v>0.6</v>
      </c>
      <c r="AC183" s="44">
        <f t="shared" si="68"/>
        <v>0.6</v>
      </c>
      <c r="AD183" s="44">
        <f t="shared" si="68"/>
        <v>0.6</v>
      </c>
      <c r="AE183" s="44">
        <f t="shared" si="68"/>
        <v>0.6</v>
      </c>
      <c r="AF183" s="44">
        <f t="shared" si="68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6"/>
        <v>0.35</v>
      </c>
      <c r="C184" s="55">
        <v>0.35</v>
      </c>
      <c r="D184" s="44">
        <f t="shared" si="67"/>
        <v>0.35</v>
      </c>
      <c r="E184" s="44">
        <f t="shared" si="67"/>
        <v>0.35</v>
      </c>
      <c r="F184" s="44">
        <f t="shared" si="67"/>
        <v>0.35</v>
      </c>
      <c r="G184" s="44">
        <f t="shared" si="67"/>
        <v>0.35</v>
      </c>
      <c r="H184" s="44">
        <f t="shared" si="67"/>
        <v>0.35</v>
      </c>
      <c r="I184" s="44">
        <f t="shared" si="67"/>
        <v>0.35</v>
      </c>
      <c r="J184" s="44">
        <f t="shared" si="67"/>
        <v>0.35</v>
      </c>
      <c r="K184" s="44">
        <f t="shared" si="67"/>
        <v>0.35</v>
      </c>
      <c r="L184" s="44">
        <f t="shared" si="67"/>
        <v>0.35</v>
      </c>
      <c r="M184" s="44">
        <f t="shared" si="67"/>
        <v>0.35</v>
      </c>
      <c r="N184" s="44">
        <f t="shared" si="67"/>
        <v>0.35</v>
      </c>
      <c r="O184" s="44">
        <f t="shared" si="67"/>
        <v>0.35</v>
      </c>
      <c r="P184" s="44">
        <f t="shared" si="67"/>
        <v>0.35</v>
      </c>
      <c r="Q184" s="44">
        <f t="shared" si="67"/>
        <v>0.35</v>
      </c>
      <c r="R184" s="44">
        <f t="shared" si="67"/>
        <v>0.35</v>
      </c>
      <c r="S184" s="44">
        <f t="shared" si="67"/>
        <v>0.35</v>
      </c>
      <c r="T184" s="44">
        <f t="shared" si="68"/>
        <v>0.35</v>
      </c>
      <c r="U184" s="44">
        <f t="shared" si="68"/>
        <v>0.35</v>
      </c>
      <c r="V184" s="44">
        <f t="shared" si="68"/>
        <v>0.35</v>
      </c>
      <c r="W184" s="44">
        <f t="shared" si="68"/>
        <v>0.35</v>
      </c>
      <c r="X184" s="44">
        <f t="shared" si="68"/>
        <v>0.35</v>
      </c>
      <c r="Y184" s="44">
        <f t="shared" si="68"/>
        <v>0.35</v>
      </c>
      <c r="Z184" s="44">
        <f t="shared" si="68"/>
        <v>0.35</v>
      </c>
      <c r="AA184" s="44">
        <f t="shared" si="68"/>
        <v>0.35</v>
      </c>
      <c r="AB184" s="44">
        <f t="shared" si="68"/>
        <v>0.35</v>
      </c>
      <c r="AC184" s="44">
        <f t="shared" si="68"/>
        <v>0.35</v>
      </c>
      <c r="AD184" s="44">
        <f t="shared" si="68"/>
        <v>0.35</v>
      </c>
      <c r="AE184" s="44">
        <f t="shared" si="68"/>
        <v>0.35</v>
      </c>
      <c r="AF184" s="44">
        <f t="shared" si="68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6"/>
        <v>0.28999999999999998</v>
      </c>
      <c r="C185" s="55">
        <v>0.28999999999999998</v>
      </c>
      <c r="D185" s="44">
        <f t="shared" si="67"/>
        <v>0.28999999999999998</v>
      </c>
      <c r="E185" s="44">
        <f t="shared" si="67"/>
        <v>0.28999999999999998</v>
      </c>
      <c r="F185" s="44">
        <f t="shared" si="67"/>
        <v>0.28999999999999998</v>
      </c>
      <c r="G185" s="44">
        <f t="shared" si="67"/>
        <v>0.28999999999999998</v>
      </c>
      <c r="H185" s="44">
        <f t="shared" si="67"/>
        <v>0.28999999999999998</v>
      </c>
      <c r="I185" s="44">
        <f t="shared" si="67"/>
        <v>0.28999999999999998</v>
      </c>
      <c r="J185" s="44">
        <f t="shared" si="67"/>
        <v>0.28999999999999998</v>
      </c>
      <c r="K185" s="44">
        <f t="shared" si="67"/>
        <v>0.28999999999999998</v>
      </c>
      <c r="L185" s="44">
        <f t="shared" si="67"/>
        <v>0.28999999999999998</v>
      </c>
      <c r="M185" s="44">
        <f t="shared" si="67"/>
        <v>0.28999999999999998</v>
      </c>
      <c r="N185" s="44">
        <f t="shared" si="67"/>
        <v>0.28999999999999998</v>
      </c>
      <c r="O185" s="44">
        <f t="shared" si="67"/>
        <v>0.28999999999999998</v>
      </c>
      <c r="P185" s="44">
        <f t="shared" si="67"/>
        <v>0.28999999999999998</v>
      </c>
      <c r="Q185" s="44">
        <f t="shared" si="67"/>
        <v>0.28999999999999998</v>
      </c>
      <c r="R185" s="44">
        <f t="shared" si="67"/>
        <v>0.28999999999999998</v>
      </c>
      <c r="S185" s="44">
        <f t="shared" si="67"/>
        <v>0.28999999999999998</v>
      </c>
      <c r="T185" s="44">
        <f t="shared" si="68"/>
        <v>0.28999999999999998</v>
      </c>
      <c r="U185" s="44">
        <f t="shared" si="68"/>
        <v>0.28999999999999998</v>
      </c>
      <c r="V185" s="44">
        <f t="shared" si="68"/>
        <v>0.28999999999999998</v>
      </c>
      <c r="W185" s="44">
        <f t="shared" si="68"/>
        <v>0.28999999999999998</v>
      </c>
      <c r="X185" s="44">
        <f t="shared" si="68"/>
        <v>0.28999999999999998</v>
      </c>
      <c r="Y185" s="44">
        <f t="shared" si="68"/>
        <v>0.28999999999999998</v>
      </c>
      <c r="Z185" s="44">
        <f t="shared" si="68"/>
        <v>0.28999999999999998</v>
      </c>
      <c r="AA185" s="44">
        <f t="shared" si="68"/>
        <v>0.28999999999999998</v>
      </c>
      <c r="AB185" s="44">
        <f t="shared" si="68"/>
        <v>0.28999999999999998</v>
      </c>
      <c r="AC185" s="44">
        <f t="shared" si="68"/>
        <v>0.28999999999999998</v>
      </c>
      <c r="AD185" s="44">
        <f t="shared" si="68"/>
        <v>0.28999999999999998</v>
      </c>
      <c r="AE185" s="44">
        <f t="shared" si="68"/>
        <v>0.28999999999999998</v>
      </c>
      <c r="AF185" s="44">
        <f t="shared" si="6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6"/>
        <v>0.06</v>
      </c>
      <c r="C186" s="55">
        <v>0.06</v>
      </c>
      <c r="D186" s="44">
        <f t="shared" si="67"/>
        <v>0.06</v>
      </c>
      <c r="E186" s="44">
        <f t="shared" si="67"/>
        <v>0.06</v>
      </c>
      <c r="F186" s="44">
        <f t="shared" si="67"/>
        <v>0.06</v>
      </c>
      <c r="G186" s="44">
        <f t="shared" si="67"/>
        <v>0.06</v>
      </c>
      <c r="H186" s="44">
        <f t="shared" si="67"/>
        <v>0.06</v>
      </c>
      <c r="I186" s="44">
        <f t="shared" si="67"/>
        <v>0.06</v>
      </c>
      <c r="J186" s="44">
        <f t="shared" si="67"/>
        <v>0.06</v>
      </c>
      <c r="K186" s="44">
        <f t="shared" si="67"/>
        <v>0.06</v>
      </c>
      <c r="L186" s="44">
        <f t="shared" si="67"/>
        <v>0.06</v>
      </c>
      <c r="M186" s="44">
        <f t="shared" si="67"/>
        <v>0.06</v>
      </c>
      <c r="N186" s="44">
        <f t="shared" si="67"/>
        <v>0.06</v>
      </c>
      <c r="O186" s="44">
        <f t="shared" si="67"/>
        <v>0.06</v>
      </c>
      <c r="P186" s="44">
        <f t="shared" si="67"/>
        <v>0.06</v>
      </c>
      <c r="Q186" s="44">
        <f t="shared" si="67"/>
        <v>0.06</v>
      </c>
      <c r="R186" s="44">
        <f t="shared" si="67"/>
        <v>0.06</v>
      </c>
      <c r="S186" s="44">
        <f t="shared" si="67"/>
        <v>0.06</v>
      </c>
      <c r="T186" s="44">
        <f t="shared" si="68"/>
        <v>0.06</v>
      </c>
      <c r="U186" s="44">
        <f t="shared" si="68"/>
        <v>0.06</v>
      </c>
      <c r="V186" s="44">
        <f t="shared" si="68"/>
        <v>0.06</v>
      </c>
      <c r="W186" s="44">
        <f t="shared" si="68"/>
        <v>0.06</v>
      </c>
      <c r="X186" s="44">
        <f t="shared" si="68"/>
        <v>0.06</v>
      </c>
      <c r="Y186" s="44">
        <f t="shared" si="68"/>
        <v>0.06</v>
      </c>
      <c r="Z186" s="44">
        <f t="shared" si="68"/>
        <v>0.06</v>
      </c>
      <c r="AA186" s="44">
        <f t="shared" si="68"/>
        <v>0.06</v>
      </c>
      <c r="AB186" s="44">
        <f t="shared" si="68"/>
        <v>0.06</v>
      </c>
      <c r="AC186" s="44">
        <f t="shared" si="68"/>
        <v>0.06</v>
      </c>
      <c r="AD186" s="44">
        <f t="shared" si="68"/>
        <v>0.06</v>
      </c>
      <c r="AE186" s="44">
        <f t="shared" si="68"/>
        <v>0.06</v>
      </c>
      <c r="AF186" s="44">
        <f t="shared" si="68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6"/>
        <v>0.11</v>
      </c>
      <c r="C187" s="55">
        <v>0.11</v>
      </c>
      <c r="D187" s="44">
        <f t="shared" si="67"/>
        <v>0.11</v>
      </c>
      <c r="E187" s="44">
        <f t="shared" si="67"/>
        <v>0.11</v>
      </c>
      <c r="F187" s="44">
        <f t="shared" si="67"/>
        <v>0.11</v>
      </c>
      <c r="G187" s="44">
        <f t="shared" si="67"/>
        <v>0.11</v>
      </c>
      <c r="H187" s="44">
        <f t="shared" si="67"/>
        <v>0.11</v>
      </c>
      <c r="I187" s="44">
        <f t="shared" si="67"/>
        <v>0.11</v>
      </c>
      <c r="J187" s="44">
        <f t="shared" si="67"/>
        <v>0.11</v>
      </c>
      <c r="K187" s="44">
        <f t="shared" si="67"/>
        <v>0.11</v>
      </c>
      <c r="L187" s="44">
        <f t="shared" si="67"/>
        <v>0.11</v>
      </c>
      <c r="M187" s="44">
        <f t="shared" si="67"/>
        <v>0.11</v>
      </c>
      <c r="N187" s="44">
        <f t="shared" si="67"/>
        <v>0.11</v>
      </c>
      <c r="O187" s="44">
        <f t="shared" si="67"/>
        <v>0.11</v>
      </c>
      <c r="P187" s="44">
        <f t="shared" si="67"/>
        <v>0.11</v>
      </c>
      <c r="Q187" s="44">
        <f t="shared" si="67"/>
        <v>0.11</v>
      </c>
      <c r="R187" s="44">
        <f t="shared" si="67"/>
        <v>0.11</v>
      </c>
      <c r="S187" s="44">
        <f t="shared" si="67"/>
        <v>0.11</v>
      </c>
      <c r="T187" s="44">
        <f t="shared" si="68"/>
        <v>0.11</v>
      </c>
      <c r="U187" s="44">
        <f t="shared" si="68"/>
        <v>0.11</v>
      </c>
      <c r="V187" s="44">
        <f t="shared" si="68"/>
        <v>0.11</v>
      </c>
      <c r="W187" s="44">
        <f t="shared" si="68"/>
        <v>0.11</v>
      </c>
      <c r="X187" s="44">
        <f t="shared" si="68"/>
        <v>0.11</v>
      </c>
      <c r="Y187" s="44">
        <f t="shared" si="68"/>
        <v>0.11</v>
      </c>
      <c r="Z187" s="44">
        <f t="shared" si="68"/>
        <v>0.11</v>
      </c>
      <c r="AA187" s="44">
        <f t="shared" si="68"/>
        <v>0.11</v>
      </c>
      <c r="AB187" s="44">
        <f t="shared" si="68"/>
        <v>0.11</v>
      </c>
      <c r="AC187" s="44">
        <f t="shared" si="68"/>
        <v>0.11</v>
      </c>
      <c r="AD187" s="44">
        <f t="shared" si="68"/>
        <v>0.11</v>
      </c>
      <c r="AE187" s="44">
        <f t="shared" si="68"/>
        <v>0.11</v>
      </c>
      <c r="AF187" s="44">
        <f t="shared" si="68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6"/>
        <v>0.1</v>
      </c>
      <c r="C188" s="55">
        <v>0.1</v>
      </c>
      <c r="D188" s="44">
        <f t="shared" si="67"/>
        <v>0.1</v>
      </c>
      <c r="E188" s="44">
        <f t="shared" si="67"/>
        <v>0.1</v>
      </c>
      <c r="F188" s="44">
        <f t="shared" si="67"/>
        <v>0.1</v>
      </c>
      <c r="G188" s="44">
        <f t="shared" si="67"/>
        <v>0.1</v>
      </c>
      <c r="H188" s="44">
        <f t="shared" si="67"/>
        <v>0.1</v>
      </c>
      <c r="I188" s="44">
        <f t="shared" si="67"/>
        <v>0.1</v>
      </c>
      <c r="J188" s="44">
        <f t="shared" si="67"/>
        <v>0.1</v>
      </c>
      <c r="K188" s="44">
        <f t="shared" si="67"/>
        <v>0.1</v>
      </c>
      <c r="L188" s="44">
        <f t="shared" si="67"/>
        <v>0.1</v>
      </c>
      <c r="M188" s="44">
        <f t="shared" si="67"/>
        <v>0.1</v>
      </c>
      <c r="N188" s="44">
        <f t="shared" si="67"/>
        <v>0.1</v>
      </c>
      <c r="O188" s="44">
        <f t="shared" si="67"/>
        <v>0.1</v>
      </c>
      <c r="P188" s="44">
        <f t="shared" si="67"/>
        <v>0.1</v>
      </c>
      <c r="Q188" s="44">
        <f t="shared" si="67"/>
        <v>0.1</v>
      </c>
      <c r="R188" s="44">
        <f t="shared" si="67"/>
        <v>0.1</v>
      </c>
      <c r="S188" s="44">
        <f t="shared" si="68"/>
        <v>0.1</v>
      </c>
      <c r="T188" s="44">
        <f t="shared" si="68"/>
        <v>0.1</v>
      </c>
      <c r="U188" s="44">
        <f t="shared" si="68"/>
        <v>0.1</v>
      </c>
      <c r="V188" s="44">
        <f t="shared" si="68"/>
        <v>0.1</v>
      </c>
      <c r="W188" s="44">
        <f t="shared" si="68"/>
        <v>0.1</v>
      </c>
      <c r="X188" s="44">
        <f t="shared" si="68"/>
        <v>0.1</v>
      </c>
      <c r="Y188" s="44">
        <f t="shared" si="68"/>
        <v>0.1</v>
      </c>
      <c r="Z188" s="44">
        <f t="shared" si="68"/>
        <v>0.1</v>
      </c>
      <c r="AA188" s="44">
        <f t="shared" si="68"/>
        <v>0.1</v>
      </c>
      <c r="AB188" s="44">
        <f t="shared" si="68"/>
        <v>0.1</v>
      </c>
      <c r="AC188" s="44">
        <f t="shared" si="68"/>
        <v>0.1</v>
      </c>
      <c r="AD188" s="44">
        <f t="shared" si="68"/>
        <v>0.1</v>
      </c>
      <c r="AE188" s="44">
        <f t="shared" si="68"/>
        <v>0.1</v>
      </c>
      <c r="AF188" s="44">
        <f t="shared" si="68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6"/>
        <v>0.09</v>
      </c>
      <c r="C189" s="55">
        <v>0.09</v>
      </c>
      <c r="D189" s="44">
        <f t="shared" si="67"/>
        <v>0.09</v>
      </c>
      <c r="E189" s="44">
        <f t="shared" si="67"/>
        <v>0.09</v>
      </c>
      <c r="F189" s="44">
        <f t="shared" si="67"/>
        <v>0.09</v>
      </c>
      <c r="G189" s="44">
        <f t="shared" si="67"/>
        <v>0.09</v>
      </c>
      <c r="H189" s="44">
        <f t="shared" si="67"/>
        <v>0.09</v>
      </c>
      <c r="I189" s="44">
        <f t="shared" si="67"/>
        <v>0.09</v>
      </c>
      <c r="J189" s="44">
        <f t="shared" si="67"/>
        <v>0.09</v>
      </c>
      <c r="K189" s="44">
        <f t="shared" si="67"/>
        <v>0.09</v>
      </c>
      <c r="L189" s="44">
        <f t="shared" si="67"/>
        <v>0.09</v>
      </c>
      <c r="M189" s="44">
        <f t="shared" si="67"/>
        <v>0.09</v>
      </c>
      <c r="N189" s="44">
        <f t="shared" si="67"/>
        <v>0.09</v>
      </c>
      <c r="O189" s="44">
        <f t="shared" si="67"/>
        <v>0.09</v>
      </c>
      <c r="P189" s="44">
        <f t="shared" si="67"/>
        <v>0.09</v>
      </c>
      <c r="Q189" s="44">
        <f t="shared" si="67"/>
        <v>0.09</v>
      </c>
      <c r="R189" s="44">
        <f t="shared" si="67"/>
        <v>0.09</v>
      </c>
      <c r="S189" s="44">
        <f t="shared" si="68"/>
        <v>0.09</v>
      </c>
      <c r="T189" s="44">
        <f t="shared" si="68"/>
        <v>0.09</v>
      </c>
      <c r="U189" s="44">
        <f t="shared" si="68"/>
        <v>0.09</v>
      </c>
      <c r="V189" s="44">
        <f t="shared" si="68"/>
        <v>0.09</v>
      </c>
      <c r="W189" s="44">
        <f t="shared" si="68"/>
        <v>0.09</v>
      </c>
      <c r="X189" s="44">
        <f t="shared" si="68"/>
        <v>0.09</v>
      </c>
      <c r="Y189" s="44">
        <f t="shared" si="68"/>
        <v>0.09</v>
      </c>
      <c r="Z189" s="44">
        <f t="shared" si="68"/>
        <v>0.09</v>
      </c>
      <c r="AA189" s="44">
        <f t="shared" si="68"/>
        <v>0.09</v>
      </c>
      <c r="AB189" s="44">
        <f t="shared" si="68"/>
        <v>0.09</v>
      </c>
      <c r="AC189" s="44">
        <f t="shared" si="68"/>
        <v>0.09</v>
      </c>
      <c r="AD189" s="44">
        <f t="shared" si="68"/>
        <v>0.09</v>
      </c>
      <c r="AE189" s="44">
        <f t="shared" si="68"/>
        <v>0.09</v>
      </c>
      <c r="AF189" s="44">
        <f t="shared" si="68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6"/>
        <v>0.04</v>
      </c>
      <c r="C190" s="54">
        <v>0.04</v>
      </c>
      <c r="D190" s="44">
        <f t="shared" si="67"/>
        <v>0.04</v>
      </c>
      <c r="E190" s="44">
        <f t="shared" si="67"/>
        <v>0.04</v>
      </c>
      <c r="F190" s="44">
        <f t="shared" si="67"/>
        <v>0.04</v>
      </c>
      <c r="G190" s="44">
        <f t="shared" si="67"/>
        <v>0.04</v>
      </c>
      <c r="H190" s="44">
        <f t="shared" si="67"/>
        <v>0.04</v>
      </c>
      <c r="I190" s="44">
        <f t="shared" si="67"/>
        <v>0.04</v>
      </c>
      <c r="J190" s="44">
        <f t="shared" si="67"/>
        <v>0.04</v>
      </c>
      <c r="K190" s="44">
        <f t="shared" si="67"/>
        <v>0.04</v>
      </c>
      <c r="L190" s="44">
        <f t="shared" si="67"/>
        <v>0.04</v>
      </c>
      <c r="M190" s="44">
        <f t="shared" si="67"/>
        <v>0.04</v>
      </c>
      <c r="N190" s="44">
        <f t="shared" si="67"/>
        <v>0.04</v>
      </c>
      <c r="O190" s="44">
        <f t="shared" si="67"/>
        <v>0.04</v>
      </c>
      <c r="P190" s="44">
        <f t="shared" si="67"/>
        <v>0.04</v>
      </c>
      <c r="Q190" s="44">
        <f t="shared" si="67"/>
        <v>0.04</v>
      </c>
      <c r="R190" s="44">
        <f t="shared" si="67"/>
        <v>0.04</v>
      </c>
      <c r="S190" s="44">
        <f t="shared" si="68"/>
        <v>0.04</v>
      </c>
      <c r="T190" s="44">
        <f t="shared" si="68"/>
        <v>0.04</v>
      </c>
      <c r="U190" s="44">
        <f t="shared" si="68"/>
        <v>0.04</v>
      </c>
      <c r="V190" s="44">
        <f t="shared" si="68"/>
        <v>0.04</v>
      </c>
      <c r="W190" s="44">
        <f t="shared" si="68"/>
        <v>0.04</v>
      </c>
      <c r="X190" s="44">
        <f t="shared" si="68"/>
        <v>0.04</v>
      </c>
      <c r="Y190" s="44">
        <f t="shared" si="68"/>
        <v>0.04</v>
      </c>
      <c r="Z190" s="44">
        <f t="shared" si="68"/>
        <v>0.04</v>
      </c>
      <c r="AA190" s="44">
        <f t="shared" si="68"/>
        <v>0.04</v>
      </c>
      <c r="AB190" s="44">
        <f t="shared" si="68"/>
        <v>0.04</v>
      </c>
      <c r="AC190" s="44">
        <f t="shared" si="68"/>
        <v>0.04</v>
      </c>
      <c r="AD190" s="44">
        <f t="shared" si="68"/>
        <v>0.04</v>
      </c>
      <c r="AE190" s="44">
        <f t="shared" si="68"/>
        <v>0.04</v>
      </c>
      <c r="AF190" s="44">
        <f t="shared" si="68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6"/>
        <v>2.3E-2</v>
      </c>
      <c r="C191" s="54">
        <v>2.3E-2</v>
      </c>
      <c r="D191" s="44">
        <f>C191</f>
        <v>2.3E-2</v>
      </c>
      <c r="E191" s="44">
        <f t="shared" si="67"/>
        <v>2.3E-2</v>
      </c>
      <c r="F191" s="44">
        <f t="shared" si="67"/>
        <v>2.3E-2</v>
      </c>
      <c r="G191" s="44">
        <f t="shared" si="67"/>
        <v>2.3E-2</v>
      </c>
      <c r="H191" s="44">
        <f t="shared" si="67"/>
        <v>2.3E-2</v>
      </c>
      <c r="I191" s="44">
        <f t="shared" si="67"/>
        <v>2.3E-2</v>
      </c>
      <c r="J191" s="44">
        <f t="shared" si="67"/>
        <v>2.3E-2</v>
      </c>
      <c r="K191" s="44">
        <f t="shared" si="67"/>
        <v>2.3E-2</v>
      </c>
      <c r="L191" s="44">
        <f t="shared" si="67"/>
        <v>2.3E-2</v>
      </c>
      <c r="M191" s="44">
        <f t="shared" si="67"/>
        <v>2.3E-2</v>
      </c>
      <c r="N191" s="44">
        <f t="shared" si="67"/>
        <v>2.3E-2</v>
      </c>
      <c r="O191" s="44">
        <f t="shared" si="67"/>
        <v>2.3E-2</v>
      </c>
      <c r="P191" s="44">
        <f t="shared" si="67"/>
        <v>2.3E-2</v>
      </c>
      <c r="Q191" s="44">
        <f t="shared" si="67"/>
        <v>2.3E-2</v>
      </c>
      <c r="R191" s="44">
        <f t="shared" si="67"/>
        <v>2.3E-2</v>
      </c>
      <c r="S191" s="44">
        <f t="shared" si="68"/>
        <v>2.3E-2</v>
      </c>
      <c r="T191" s="44">
        <f t="shared" si="68"/>
        <v>2.3E-2</v>
      </c>
      <c r="U191" s="44">
        <f t="shared" si="68"/>
        <v>2.3E-2</v>
      </c>
      <c r="V191" s="44">
        <f t="shared" si="68"/>
        <v>2.3E-2</v>
      </c>
      <c r="W191" s="44">
        <f t="shared" si="68"/>
        <v>2.3E-2</v>
      </c>
      <c r="X191" s="44">
        <f t="shared" si="68"/>
        <v>2.3E-2</v>
      </c>
      <c r="Y191" s="44">
        <f t="shared" si="68"/>
        <v>2.3E-2</v>
      </c>
      <c r="Z191" s="44">
        <f t="shared" si="68"/>
        <v>2.3E-2</v>
      </c>
      <c r="AA191" s="44">
        <f t="shared" si="68"/>
        <v>2.3E-2</v>
      </c>
      <c r="AB191" s="44">
        <f t="shared" si="68"/>
        <v>2.3E-2</v>
      </c>
      <c r="AC191" s="44">
        <f t="shared" si="68"/>
        <v>2.3E-2</v>
      </c>
      <c r="AD191" s="44">
        <f t="shared" si="68"/>
        <v>2.3E-2</v>
      </c>
      <c r="AE191" s="44">
        <f t="shared" si="68"/>
        <v>2.3E-2</v>
      </c>
      <c r="AF191" s="44">
        <f t="shared" si="68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9">SUM(C102:C191)</f>
        <v>194.70600000000002</v>
      </c>
      <c r="D192" s="51">
        <f t="shared" si="69"/>
        <v>194.70600000000002</v>
      </c>
      <c r="E192" s="51">
        <f t="shared" si="69"/>
        <v>194.70600000000002</v>
      </c>
      <c r="F192" s="51">
        <f t="shared" si="69"/>
        <v>194.70600000000002</v>
      </c>
      <c r="G192" s="51">
        <f t="shared" si="69"/>
        <v>194.70600000000002</v>
      </c>
      <c r="H192" s="51">
        <f t="shared" si="69"/>
        <v>194.70600000000002</v>
      </c>
      <c r="I192" s="51">
        <f t="shared" si="69"/>
        <v>194.70600000000002</v>
      </c>
      <c r="J192" s="51">
        <f t="shared" si="69"/>
        <v>192.10600000000005</v>
      </c>
      <c r="K192" s="51">
        <f t="shared" si="69"/>
        <v>192.10600000000005</v>
      </c>
      <c r="L192" s="51">
        <f t="shared" si="69"/>
        <v>192.10600000000005</v>
      </c>
      <c r="M192" s="51">
        <f t="shared" si="69"/>
        <v>192.10600000000005</v>
      </c>
      <c r="N192" s="51">
        <f t="shared" si="69"/>
        <v>192.10600000000005</v>
      </c>
      <c r="O192" s="51">
        <f t="shared" si="69"/>
        <v>192.10600000000005</v>
      </c>
      <c r="P192" s="51">
        <f t="shared" si="69"/>
        <v>192.10600000000005</v>
      </c>
      <c r="Q192" s="51">
        <f t="shared" si="69"/>
        <v>192.10600000000005</v>
      </c>
      <c r="R192" s="51">
        <f t="shared" si="69"/>
        <v>192.10600000000005</v>
      </c>
      <c r="S192" s="51">
        <f t="shared" si="69"/>
        <v>192.10600000000005</v>
      </c>
      <c r="T192" s="51">
        <f t="shared" si="69"/>
        <v>192.10600000000005</v>
      </c>
      <c r="U192" s="51">
        <f t="shared" si="69"/>
        <v>192.10600000000005</v>
      </c>
      <c r="V192" s="51">
        <f t="shared" si="69"/>
        <v>192.10600000000005</v>
      </c>
      <c r="W192" s="51">
        <f t="shared" si="69"/>
        <v>192.10600000000005</v>
      </c>
      <c r="X192" s="51">
        <f t="shared" si="69"/>
        <v>192.10600000000005</v>
      </c>
      <c r="Y192" s="51">
        <f t="shared" si="69"/>
        <v>192.10600000000005</v>
      </c>
      <c r="Z192" s="51">
        <f t="shared" si="69"/>
        <v>192.10600000000005</v>
      </c>
      <c r="AA192" s="51">
        <f t="shared" si="69"/>
        <v>192.10600000000005</v>
      </c>
      <c r="AB192" s="51">
        <f t="shared" si="69"/>
        <v>192.10600000000005</v>
      </c>
      <c r="AC192" s="51">
        <f t="shared" si="69"/>
        <v>192.10600000000005</v>
      </c>
      <c r="AD192" s="51">
        <f t="shared" si="69"/>
        <v>192.10600000000005</v>
      </c>
      <c r="AE192" s="51">
        <f t="shared" si="69"/>
        <v>192.10600000000005</v>
      </c>
      <c r="AF192" s="51">
        <f t="shared" si="69"/>
        <v>192.10600000000005</v>
      </c>
      <c r="AG192" s="50">
        <f t="shared" si="69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0">AF194</f>
        <v>0.3</v>
      </c>
      <c r="C194" s="47">
        <v>0.3</v>
      </c>
      <c r="D194" s="47">
        <f t="shared" ref="D194:S199" si="71">C194</f>
        <v>0.3</v>
      </c>
      <c r="E194" s="47">
        <f t="shared" si="71"/>
        <v>0.3</v>
      </c>
      <c r="F194" s="47">
        <f t="shared" si="71"/>
        <v>0.3</v>
      </c>
      <c r="G194" s="47">
        <f t="shared" si="71"/>
        <v>0.3</v>
      </c>
      <c r="H194" s="47">
        <f t="shared" si="71"/>
        <v>0.3</v>
      </c>
      <c r="I194" s="47">
        <f t="shared" si="71"/>
        <v>0.3</v>
      </c>
      <c r="J194" s="47">
        <f t="shared" si="71"/>
        <v>0.3</v>
      </c>
      <c r="K194" s="47">
        <f t="shared" si="71"/>
        <v>0.3</v>
      </c>
      <c r="L194" s="47">
        <f t="shared" si="71"/>
        <v>0.3</v>
      </c>
      <c r="M194" s="47">
        <f t="shared" si="71"/>
        <v>0.3</v>
      </c>
      <c r="N194" s="47">
        <f t="shared" si="71"/>
        <v>0.3</v>
      </c>
      <c r="O194" s="47">
        <f t="shared" si="71"/>
        <v>0.3</v>
      </c>
      <c r="P194" s="47">
        <f t="shared" si="71"/>
        <v>0.3</v>
      </c>
      <c r="Q194" s="47">
        <f t="shared" si="71"/>
        <v>0.3</v>
      </c>
      <c r="R194" s="47">
        <f t="shared" si="71"/>
        <v>0.3</v>
      </c>
      <c r="S194" s="47">
        <f t="shared" si="71"/>
        <v>0.3</v>
      </c>
      <c r="T194" s="47">
        <f t="shared" ref="T194:AF199" si="72">S194</f>
        <v>0.3</v>
      </c>
      <c r="U194" s="47">
        <f t="shared" si="72"/>
        <v>0.3</v>
      </c>
      <c r="V194" s="47">
        <f t="shared" si="72"/>
        <v>0.3</v>
      </c>
      <c r="W194" s="47">
        <f t="shared" si="72"/>
        <v>0.3</v>
      </c>
      <c r="X194" s="47">
        <f t="shared" si="72"/>
        <v>0.3</v>
      </c>
      <c r="Y194" s="47">
        <f t="shared" si="72"/>
        <v>0.3</v>
      </c>
      <c r="Z194" s="47">
        <f t="shared" si="72"/>
        <v>0.3</v>
      </c>
      <c r="AA194" s="47">
        <f t="shared" si="72"/>
        <v>0.3</v>
      </c>
      <c r="AB194" s="47">
        <f t="shared" si="72"/>
        <v>0.3</v>
      </c>
      <c r="AC194" s="47">
        <f t="shared" si="72"/>
        <v>0.3</v>
      </c>
      <c r="AD194" s="47">
        <f t="shared" si="72"/>
        <v>0.3</v>
      </c>
      <c r="AE194" s="47">
        <f t="shared" si="72"/>
        <v>0.3</v>
      </c>
      <c r="AF194" s="47">
        <f t="shared" si="72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0"/>
        <v>0.4</v>
      </c>
      <c r="C195" s="44">
        <v>0.4</v>
      </c>
      <c r="D195" s="44">
        <f t="shared" si="71"/>
        <v>0.4</v>
      </c>
      <c r="E195" s="44">
        <f t="shared" si="71"/>
        <v>0.4</v>
      </c>
      <c r="F195" s="44">
        <f t="shared" si="71"/>
        <v>0.4</v>
      </c>
      <c r="G195" s="44">
        <f t="shared" si="71"/>
        <v>0.4</v>
      </c>
      <c r="H195" s="44">
        <f t="shared" si="71"/>
        <v>0.4</v>
      </c>
      <c r="I195" s="44">
        <f t="shared" si="71"/>
        <v>0.4</v>
      </c>
      <c r="J195" s="44">
        <f t="shared" si="71"/>
        <v>0.4</v>
      </c>
      <c r="K195" s="44">
        <f t="shared" si="71"/>
        <v>0.4</v>
      </c>
      <c r="L195" s="44">
        <f t="shared" si="71"/>
        <v>0.4</v>
      </c>
      <c r="M195" s="44">
        <f t="shared" si="71"/>
        <v>0.4</v>
      </c>
      <c r="N195" s="44">
        <f t="shared" si="71"/>
        <v>0.4</v>
      </c>
      <c r="O195" s="44">
        <f t="shared" si="71"/>
        <v>0.4</v>
      </c>
      <c r="P195" s="44">
        <f t="shared" si="71"/>
        <v>0.4</v>
      </c>
      <c r="Q195" s="44">
        <f t="shared" si="71"/>
        <v>0.4</v>
      </c>
      <c r="R195" s="44">
        <f t="shared" si="71"/>
        <v>0.4</v>
      </c>
      <c r="S195" s="44">
        <f t="shared" si="71"/>
        <v>0.4</v>
      </c>
      <c r="T195" s="44">
        <f t="shared" si="72"/>
        <v>0.4</v>
      </c>
      <c r="U195" s="44">
        <f t="shared" si="72"/>
        <v>0.4</v>
      </c>
      <c r="V195" s="44">
        <f t="shared" si="72"/>
        <v>0.4</v>
      </c>
      <c r="W195" s="44">
        <f>V195</f>
        <v>0.4</v>
      </c>
      <c r="X195" s="44">
        <f>W195</f>
        <v>0.4</v>
      </c>
      <c r="Y195" s="44">
        <f t="shared" si="72"/>
        <v>0.4</v>
      </c>
      <c r="Z195" s="44">
        <f t="shared" si="72"/>
        <v>0.4</v>
      </c>
      <c r="AA195" s="44">
        <f t="shared" si="72"/>
        <v>0.4</v>
      </c>
      <c r="AB195" s="44">
        <f t="shared" si="72"/>
        <v>0.4</v>
      </c>
      <c r="AC195" s="44">
        <f t="shared" si="72"/>
        <v>0.4</v>
      </c>
      <c r="AD195" s="44">
        <f t="shared" si="72"/>
        <v>0.4</v>
      </c>
      <c r="AE195" s="44">
        <f t="shared" si="72"/>
        <v>0.4</v>
      </c>
      <c r="AF195" s="44">
        <f t="shared" si="72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0"/>
        <v>1.5</v>
      </c>
      <c r="C196" s="44">
        <v>1.5</v>
      </c>
      <c r="D196" s="44">
        <f t="shared" si="71"/>
        <v>1.5</v>
      </c>
      <c r="E196" s="44">
        <f t="shared" si="71"/>
        <v>1.5</v>
      </c>
      <c r="F196" s="44">
        <f t="shared" si="71"/>
        <v>1.5</v>
      </c>
      <c r="G196" s="44">
        <f t="shared" si="71"/>
        <v>1.5</v>
      </c>
      <c r="H196" s="44">
        <f t="shared" si="71"/>
        <v>1.5</v>
      </c>
      <c r="I196" s="44">
        <f t="shared" si="71"/>
        <v>1.5</v>
      </c>
      <c r="J196" s="44">
        <f t="shared" si="71"/>
        <v>1.5</v>
      </c>
      <c r="K196" s="44">
        <f t="shared" si="71"/>
        <v>1.5</v>
      </c>
      <c r="L196" s="44">
        <f t="shared" si="71"/>
        <v>1.5</v>
      </c>
      <c r="M196" s="44">
        <f t="shared" si="71"/>
        <v>1.5</v>
      </c>
      <c r="N196" s="44">
        <f t="shared" si="71"/>
        <v>1.5</v>
      </c>
      <c r="O196" s="44">
        <f t="shared" si="71"/>
        <v>1.5</v>
      </c>
      <c r="P196" s="44">
        <f t="shared" si="71"/>
        <v>1.5</v>
      </c>
      <c r="Q196" s="44">
        <f t="shared" si="71"/>
        <v>1.5</v>
      </c>
      <c r="R196" s="44">
        <f t="shared" si="71"/>
        <v>1.5</v>
      </c>
      <c r="S196" s="44">
        <f t="shared" si="71"/>
        <v>1.5</v>
      </c>
      <c r="T196" s="44">
        <f t="shared" si="72"/>
        <v>1.5</v>
      </c>
      <c r="U196" s="44">
        <f t="shared" si="72"/>
        <v>1.5</v>
      </c>
      <c r="V196" s="44">
        <f t="shared" si="72"/>
        <v>1.5</v>
      </c>
      <c r="W196" s="44">
        <f t="shared" si="72"/>
        <v>1.5</v>
      </c>
      <c r="X196" s="44">
        <f t="shared" si="72"/>
        <v>1.5</v>
      </c>
      <c r="Y196" s="44">
        <f t="shared" si="72"/>
        <v>1.5</v>
      </c>
      <c r="Z196" s="44">
        <f t="shared" si="72"/>
        <v>1.5</v>
      </c>
      <c r="AA196" s="44">
        <f t="shared" si="72"/>
        <v>1.5</v>
      </c>
      <c r="AB196" s="44">
        <f t="shared" si="72"/>
        <v>1.5</v>
      </c>
      <c r="AC196" s="44">
        <f t="shared" si="72"/>
        <v>1.5</v>
      </c>
      <c r="AD196" s="44">
        <f t="shared" si="72"/>
        <v>1.5</v>
      </c>
      <c r="AE196" s="44">
        <f t="shared" si="72"/>
        <v>1.5</v>
      </c>
      <c r="AF196" s="44">
        <f t="shared" si="72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0"/>
        <v>0.3</v>
      </c>
      <c r="C197" s="44">
        <v>0.3</v>
      </c>
      <c r="D197" s="44">
        <f t="shared" si="71"/>
        <v>0.3</v>
      </c>
      <c r="E197" s="44">
        <f t="shared" si="71"/>
        <v>0.3</v>
      </c>
      <c r="F197" s="44">
        <f t="shared" si="71"/>
        <v>0.3</v>
      </c>
      <c r="G197" s="44">
        <f t="shared" si="71"/>
        <v>0.3</v>
      </c>
      <c r="H197" s="44">
        <f t="shared" si="71"/>
        <v>0.3</v>
      </c>
      <c r="I197" s="44">
        <f t="shared" si="71"/>
        <v>0.3</v>
      </c>
      <c r="J197" s="44">
        <f t="shared" si="71"/>
        <v>0.3</v>
      </c>
      <c r="K197" s="44">
        <f t="shared" si="71"/>
        <v>0.3</v>
      </c>
      <c r="L197" s="44">
        <f t="shared" si="71"/>
        <v>0.3</v>
      </c>
      <c r="M197" s="44">
        <f t="shared" si="71"/>
        <v>0.3</v>
      </c>
      <c r="N197" s="44">
        <f t="shared" si="71"/>
        <v>0.3</v>
      </c>
      <c r="O197" s="44">
        <f t="shared" si="71"/>
        <v>0.3</v>
      </c>
      <c r="P197" s="44">
        <f t="shared" si="71"/>
        <v>0.3</v>
      </c>
      <c r="Q197" s="44">
        <f t="shared" si="71"/>
        <v>0.3</v>
      </c>
      <c r="R197" s="44">
        <f t="shared" si="71"/>
        <v>0.3</v>
      </c>
      <c r="S197" s="44">
        <f t="shared" si="71"/>
        <v>0.3</v>
      </c>
      <c r="T197" s="44">
        <f t="shared" si="72"/>
        <v>0.3</v>
      </c>
      <c r="U197" s="44">
        <f t="shared" si="72"/>
        <v>0.3</v>
      </c>
      <c r="V197" s="44">
        <f t="shared" si="72"/>
        <v>0.3</v>
      </c>
      <c r="W197" s="44">
        <f t="shared" si="72"/>
        <v>0.3</v>
      </c>
      <c r="X197" s="44">
        <f t="shared" si="72"/>
        <v>0.3</v>
      </c>
      <c r="Y197" s="44">
        <f t="shared" si="72"/>
        <v>0.3</v>
      </c>
      <c r="Z197" s="44">
        <f t="shared" si="72"/>
        <v>0.3</v>
      </c>
      <c r="AA197" s="44">
        <f t="shared" si="72"/>
        <v>0.3</v>
      </c>
      <c r="AB197" s="44">
        <f t="shared" si="72"/>
        <v>0.3</v>
      </c>
      <c r="AC197" s="44">
        <f t="shared" si="72"/>
        <v>0.3</v>
      </c>
      <c r="AD197" s="44">
        <f t="shared" si="72"/>
        <v>0.3</v>
      </c>
      <c r="AE197" s="44">
        <f t="shared" si="72"/>
        <v>0.3</v>
      </c>
      <c r="AF197" s="44">
        <f t="shared" si="72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0"/>
        <v>0.4</v>
      </c>
      <c r="C198" s="44">
        <v>0.4</v>
      </c>
      <c r="D198" s="44">
        <f t="shared" si="71"/>
        <v>0.4</v>
      </c>
      <c r="E198" s="44">
        <f t="shared" si="71"/>
        <v>0.4</v>
      </c>
      <c r="F198" s="44">
        <f t="shared" si="71"/>
        <v>0.4</v>
      </c>
      <c r="G198" s="44">
        <f t="shared" si="71"/>
        <v>0.4</v>
      </c>
      <c r="H198" s="44">
        <f t="shared" si="71"/>
        <v>0.4</v>
      </c>
      <c r="I198" s="44">
        <f t="shared" si="71"/>
        <v>0.4</v>
      </c>
      <c r="J198" s="44">
        <f t="shared" si="71"/>
        <v>0.4</v>
      </c>
      <c r="K198" s="44">
        <f t="shared" si="71"/>
        <v>0.4</v>
      </c>
      <c r="L198" s="44">
        <f t="shared" si="71"/>
        <v>0.4</v>
      </c>
      <c r="M198" s="44">
        <f t="shared" si="71"/>
        <v>0.4</v>
      </c>
      <c r="N198" s="44">
        <f t="shared" si="71"/>
        <v>0.4</v>
      </c>
      <c r="O198" s="44">
        <f t="shared" si="71"/>
        <v>0.4</v>
      </c>
      <c r="P198" s="44">
        <f t="shared" si="71"/>
        <v>0.4</v>
      </c>
      <c r="Q198" s="44">
        <f t="shared" si="71"/>
        <v>0.4</v>
      </c>
      <c r="R198" s="44">
        <f t="shared" si="71"/>
        <v>0.4</v>
      </c>
      <c r="S198" s="44">
        <f t="shared" si="71"/>
        <v>0.4</v>
      </c>
      <c r="T198" s="44">
        <f t="shared" si="72"/>
        <v>0.4</v>
      </c>
      <c r="U198" s="44">
        <f t="shared" si="72"/>
        <v>0.4</v>
      </c>
      <c r="V198" s="44">
        <f t="shared" si="72"/>
        <v>0.4</v>
      </c>
      <c r="W198" s="44">
        <f t="shared" si="72"/>
        <v>0.4</v>
      </c>
      <c r="X198" s="44">
        <f t="shared" si="72"/>
        <v>0.4</v>
      </c>
      <c r="Y198" s="44">
        <f t="shared" si="72"/>
        <v>0.4</v>
      </c>
      <c r="Z198" s="44">
        <f t="shared" si="72"/>
        <v>0.4</v>
      </c>
      <c r="AA198" s="44">
        <f t="shared" si="72"/>
        <v>0.4</v>
      </c>
      <c r="AB198" s="44">
        <f t="shared" si="72"/>
        <v>0.4</v>
      </c>
      <c r="AC198" s="44">
        <f t="shared" si="72"/>
        <v>0.4</v>
      </c>
      <c r="AD198" s="44">
        <f t="shared" si="72"/>
        <v>0.4</v>
      </c>
      <c r="AE198" s="44">
        <f t="shared" si="72"/>
        <v>0.4</v>
      </c>
      <c r="AF198" s="44">
        <f t="shared" si="72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0"/>
        <v>0.64</v>
      </c>
      <c r="C199" s="40">
        <v>0.64</v>
      </c>
      <c r="D199" s="40">
        <f t="shared" si="71"/>
        <v>0.64</v>
      </c>
      <c r="E199" s="40">
        <f t="shared" si="71"/>
        <v>0.64</v>
      </c>
      <c r="F199" s="40">
        <f t="shared" si="71"/>
        <v>0.64</v>
      </c>
      <c r="G199" s="40">
        <f t="shared" si="71"/>
        <v>0.64</v>
      </c>
      <c r="H199" s="40">
        <f t="shared" si="71"/>
        <v>0.64</v>
      </c>
      <c r="I199" s="40">
        <f t="shared" si="71"/>
        <v>0.64</v>
      </c>
      <c r="J199" s="40">
        <f t="shared" si="71"/>
        <v>0.64</v>
      </c>
      <c r="K199" s="40">
        <f t="shared" si="71"/>
        <v>0.64</v>
      </c>
      <c r="L199" s="40">
        <f t="shared" si="71"/>
        <v>0.64</v>
      </c>
      <c r="M199" s="40">
        <f t="shared" si="71"/>
        <v>0.64</v>
      </c>
      <c r="N199" s="40">
        <f t="shared" si="71"/>
        <v>0.64</v>
      </c>
      <c r="O199" s="40">
        <f t="shared" si="71"/>
        <v>0.64</v>
      </c>
      <c r="P199" s="40">
        <f t="shared" si="71"/>
        <v>0.64</v>
      </c>
      <c r="Q199" s="40">
        <f t="shared" si="71"/>
        <v>0.64</v>
      </c>
      <c r="R199" s="40">
        <f t="shared" si="71"/>
        <v>0.64</v>
      </c>
      <c r="S199" s="40">
        <f t="shared" si="71"/>
        <v>0.64</v>
      </c>
      <c r="T199" s="40">
        <f t="shared" si="72"/>
        <v>0.64</v>
      </c>
      <c r="U199" s="40">
        <f t="shared" si="72"/>
        <v>0.64</v>
      </c>
      <c r="V199" s="40">
        <f t="shared" si="72"/>
        <v>0.64</v>
      </c>
      <c r="W199" s="40">
        <f t="shared" si="72"/>
        <v>0.64</v>
      </c>
      <c r="X199" s="40">
        <f t="shared" si="72"/>
        <v>0.64</v>
      </c>
      <c r="Y199" s="40">
        <f t="shared" si="72"/>
        <v>0.64</v>
      </c>
      <c r="Z199" s="40">
        <f t="shared" si="72"/>
        <v>0.64</v>
      </c>
      <c r="AA199" s="40">
        <f t="shared" si="72"/>
        <v>0.64</v>
      </c>
      <c r="AB199" s="40">
        <f t="shared" si="72"/>
        <v>0.64</v>
      </c>
      <c r="AC199" s="40">
        <f t="shared" si="72"/>
        <v>0.64</v>
      </c>
      <c r="AD199" s="40">
        <f t="shared" si="72"/>
        <v>0.64</v>
      </c>
      <c r="AE199" s="40">
        <f t="shared" si="72"/>
        <v>0.64</v>
      </c>
      <c r="AF199" s="40">
        <f t="shared" si="7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3">SUM(D194:D199)</f>
        <v>3.54</v>
      </c>
      <c r="E200" s="37">
        <f t="shared" si="73"/>
        <v>3.54</v>
      </c>
      <c r="F200" s="37">
        <f t="shared" si="73"/>
        <v>3.54</v>
      </c>
      <c r="G200" s="37">
        <f t="shared" si="73"/>
        <v>3.54</v>
      </c>
      <c r="H200" s="37">
        <f t="shared" si="73"/>
        <v>3.54</v>
      </c>
      <c r="I200" s="37">
        <f t="shared" si="73"/>
        <v>3.54</v>
      </c>
      <c r="J200" s="37">
        <f t="shared" si="73"/>
        <v>3.54</v>
      </c>
      <c r="K200" s="37">
        <f t="shared" si="73"/>
        <v>3.54</v>
      </c>
      <c r="L200" s="37">
        <f t="shared" si="73"/>
        <v>3.54</v>
      </c>
      <c r="M200" s="37">
        <f>SUM(M194:M199)</f>
        <v>3.54</v>
      </c>
      <c r="N200" s="37">
        <f t="shared" ref="N200:S200" si="74">SUM(N194:N199)</f>
        <v>3.54</v>
      </c>
      <c r="O200" s="37">
        <f t="shared" si="74"/>
        <v>3.54</v>
      </c>
      <c r="P200" s="37">
        <f t="shared" si="74"/>
        <v>3.54</v>
      </c>
      <c r="Q200" s="37">
        <f t="shared" si="74"/>
        <v>3.54</v>
      </c>
      <c r="R200" s="37">
        <f t="shared" si="74"/>
        <v>3.54</v>
      </c>
      <c r="S200" s="37">
        <f t="shared" si="74"/>
        <v>3.54</v>
      </c>
      <c r="T200" s="37">
        <f>SUM(T194:T199)</f>
        <v>3.54</v>
      </c>
      <c r="U200" s="37">
        <f t="shared" ref="U200:AG200" si="75">SUM(U194:U199)</f>
        <v>3.54</v>
      </c>
      <c r="V200" s="37">
        <f t="shared" si="75"/>
        <v>3.54</v>
      </c>
      <c r="W200" s="37">
        <f t="shared" si="75"/>
        <v>3.54</v>
      </c>
      <c r="X200" s="37">
        <f t="shared" si="75"/>
        <v>3.54</v>
      </c>
      <c r="Y200" s="37">
        <f t="shared" si="75"/>
        <v>3.54</v>
      </c>
      <c r="Z200" s="37">
        <f t="shared" si="75"/>
        <v>3.54</v>
      </c>
      <c r="AA200" s="37">
        <f t="shared" si="75"/>
        <v>3.54</v>
      </c>
      <c r="AB200" s="37">
        <f t="shared" si="75"/>
        <v>3.54</v>
      </c>
      <c r="AC200" s="37">
        <f t="shared" si="75"/>
        <v>3.54</v>
      </c>
      <c r="AD200" s="37">
        <f t="shared" si="75"/>
        <v>3.54</v>
      </c>
      <c r="AE200" s="37">
        <f t="shared" si="75"/>
        <v>3.54</v>
      </c>
      <c r="AF200" s="37">
        <f t="shared" si="75"/>
        <v>3.54</v>
      </c>
      <c r="AG200" s="36">
        <f t="shared" si="75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1392.24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2078/12/21)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2078/12/21)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6">B75</f>
        <v>1148.1399999999999</v>
      </c>
      <c r="U214" s="9">
        <f t="shared" si="76"/>
        <v>1172.3400000000001</v>
      </c>
      <c r="V214" s="9">
        <f t="shared" si="76"/>
        <v>1174.1399999999999</v>
      </c>
      <c r="W214" s="9">
        <f t="shared" si="76"/>
        <v>1176.1400000000001</v>
      </c>
      <c r="X214" s="9">
        <f t="shared" si="76"/>
        <v>1129.3399999999999</v>
      </c>
      <c r="Y214" s="9">
        <f t="shared" si="76"/>
        <v>1122.44</v>
      </c>
      <c r="Z214" s="9">
        <f t="shared" si="76"/>
        <v>1175.94</v>
      </c>
      <c r="AA214" s="9">
        <f t="shared" si="76"/>
        <v>1211.8400000000001</v>
      </c>
      <c r="AB214" s="9">
        <f t="shared" si="76"/>
        <v>1260.6399999999999</v>
      </c>
      <c r="AC214" s="9">
        <f t="shared" si="76"/>
        <v>1337.04</v>
      </c>
      <c r="AD214" s="9">
        <f t="shared" si="76"/>
        <v>1392.24</v>
      </c>
      <c r="AE214" s="9">
        <f t="shared" si="76"/>
        <v>1331.3400000000001</v>
      </c>
      <c r="AF214" s="9">
        <f t="shared" si="76"/>
        <v>1337.84</v>
      </c>
      <c r="AG214" s="9">
        <f t="shared" si="76"/>
        <v>1358.74</v>
      </c>
      <c r="AH214" s="9">
        <f t="shared" si="76"/>
        <v>1376.74</v>
      </c>
      <c r="AI214" s="9">
        <f t="shared" si="76"/>
        <v>1357.44</v>
      </c>
      <c r="AJ214" s="9">
        <f t="shared" si="76"/>
        <v>1397.14</v>
      </c>
      <c r="AK214" s="9">
        <f t="shared" si="76"/>
        <v>1373.24</v>
      </c>
      <c r="AL214" s="9">
        <f t="shared" si="76"/>
        <v>1423.16</v>
      </c>
      <c r="AM214" s="9">
        <f t="shared" si="76"/>
        <v>1445.24</v>
      </c>
      <c r="AN214" s="9">
        <f t="shared" si="76"/>
        <v>1330.81</v>
      </c>
      <c r="AO214" s="9">
        <f t="shared" si="76"/>
        <v>1356.14</v>
      </c>
      <c r="AP214" s="9">
        <f t="shared" si="76"/>
        <v>1375.74</v>
      </c>
      <c r="AQ214" s="9">
        <f t="shared" si="76"/>
        <v>1492.5400000000002</v>
      </c>
      <c r="AR214" s="9">
        <f t="shared" si="76"/>
        <v>1564.9400000000003</v>
      </c>
      <c r="AS214" s="9">
        <f t="shared" si="76"/>
        <v>1529.9400000000003</v>
      </c>
      <c r="AT214" s="9">
        <f t="shared" si="76"/>
        <v>1562.4400000000003</v>
      </c>
      <c r="AU214" s="9">
        <f t="shared" si="76"/>
        <v>1570.2400000000002</v>
      </c>
      <c r="AV214" s="9">
        <f t="shared" si="76"/>
        <v>1476.94</v>
      </c>
      <c r="AW214" s="9">
        <f t="shared" si="76"/>
        <v>1399.94</v>
      </c>
      <c r="AX214" s="9">
        <f t="shared" si="76"/>
        <v>1318.94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7">C199</f>
        <v>0.64</v>
      </c>
      <c r="C235" s="4">
        <f t="shared" si="77"/>
        <v>0.64</v>
      </c>
      <c r="D235" s="4">
        <f t="shared" si="77"/>
        <v>0.64</v>
      </c>
      <c r="E235" s="4">
        <f t="shared" si="77"/>
        <v>0.64</v>
      </c>
      <c r="F235" s="4">
        <f t="shared" si="77"/>
        <v>0.64</v>
      </c>
      <c r="G235" s="4">
        <f t="shared" si="77"/>
        <v>0.64</v>
      </c>
      <c r="H235" s="4">
        <f t="shared" si="77"/>
        <v>0.64</v>
      </c>
      <c r="I235" s="4">
        <f t="shared" si="77"/>
        <v>0.64</v>
      </c>
      <c r="J235" s="4">
        <f t="shared" si="77"/>
        <v>0.64</v>
      </c>
      <c r="K235" s="4">
        <f t="shared" si="77"/>
        <v>0.64</v>
      </c>
      <c r="L235" s="4">
        <f t="shared" si="77"/>
        <v>0.64</v>
      </c>
      <c r="M235" s="4">
        <f t="shared" si="77"/>
        <v>0.64</v>
      </c>
      <c r="N235" s="4">
        <f t="shared" si="77"/>
        <v>0.64</v>
      </c>
      <c r="O235" s="4">
        <f t="shared" si="77"/>
        <v>0.64</v>
      </c>
      <c r="P235" s="4">
        <f t="shared" si="77"/>
        <v>0.64</v>
      </c>
      <c r="Q235" s="4">
        <f t="shared" si="77"/>
        <v>0.64</v>
      </c>
      <c r="R235" s="4">
        <f t="shared" si="77"/>
        <v>0.64</v>
      </c>
      <c r="S235" s="4">
        <f t="shared" si="77"/>
        <v>0.64</v>
      </c>
      <c r="T235" s="4">
        <f t="shared" si="77"/>
        <v>0.64</v>
      </c>
      <c r="U235" s="4">
        <f t="shared" si="77"/>
        <v>0.64</v>
      </c>
      <c r="V235" s="4">
        <f t="shared" si="77"/>
        <v>0.64</v>
      </c>
      <c r="W235" s="4">
        <f t="shared" si="77"/>
        <v>0.64</v>
      </c>
      <c r="X235" s="4">
        <f t="shared" si="77"/>
        <v>0.64</v>
      </c>
      <c r="Y235" s="4">
        <f t="shared" si="77"/>
        <v>0.64</v>
      </c>
      <c r="Z235" s="4">
        <f t="shared" si="77"/>
        <v>0.64</v>
      </c>
      <c r="AA235" s="4">
        <f t="shared" si="77"/>
        <v>0.64</v>
      </c>
      <c r="AB235" s="4">
        <f t="shared" si="77"/>
        <v>0.64</v>
      </c>
      <c r="AC235" s="4">
        <f t="shared" si="77"/>
        <v>0.64</v>
      </c>
      <c r="AD235" s="4">
        <f t="shared" si="77"/>
        <v>0.64</v>
      </c>
      <c r="AE235" s="4">
        <f t="shared" si="77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8">IF(C203&lt;100,"",C203-520)</f>
        <v/>
      </c>
      <c r="D236" s="3" t="str">
        <f t="shared" si="78"/>
        <v/>
      </c>
      <c r="E236" s="3" t="str">
        <f t="shared" si="78"/>
        <v/>
      </c>
      <c r="F236" s="3" t="str">
        <f t="shared" si="78"/>
        <v/>
      </c>
      <c r="G236" s="3" t="str">
        <f t="shared" si="78"/>
        <v/>
      </c>
      <c r="H236" s="3" t="str">
        <f t="shared" si="78"/>
        <v/>
      </c>
      <c r="I236" s="3" t="str">
        <f t="shared" si="78"/>
        <v/>
      </c>
      <c r="J236" s="3" t="str">
        <f t="shared" si="78"/>
        <v/>
      </c>
      <c r="K236" s="3" t="str">
        <f t="shared" si="78"/>
        <v/>
      </c>
      <c r="L236" s="3" t="str">
        <f t="shared" si="78"/>
        <v/>
      </c>
      <c r="M236" s="3" t="str">
        <f t="shared" si="78"/>
        <v/>
      </c>
      <c r="N236" s="3" t="str">
        <f t="shared" si="78"/>
        <v/>
      </c>
      <c r="O236" s="3" t="str">
        <f t="shared" si="78"/>
        <v/>
      </c>
      <c r="P236" s="3" t="str">
        <f t="shared" si="78"/>
        <v/>
      </c>
      <c r="Q236" s="3" t="str">
        <f t="shared" si="78"/>
        <v/>
      </c>
      <c r="R236" s="3" t="str">
        <f t="shared" si="78"/>
        <v/>
      </c>
      <c r="S236" s="3" t="str">
        <f t="shared" si="78"/>
        <v/>
      </c>
      <c r="T236" s="3" t="str">
        <f t="shared" si="78"/>
        <v/>
      </c>
      <c r="U236" s="3" t="str">
        <f t="shared" si="78"/>
        <v/>
      </c>
      <c r="V236" s="3" t="str">
        <f t="shared" si="78"/>
        <v/>
      </c>
      <c r="W236" s="3" t="str">
        <f t="shared" si="78"/>
        <v/>
      </c>
      <c r="X236" s="3" t="str">
        <f t="shared" si="78"/>
        <v/>
      </c>
      <c r="Y236" s="3" t="str">
        <f t="shared" si="78"/>
        <v/>
      </c>
      <c r="Z236" s="3" t="str">
        <f t="shared" si="78"/>
        <v/>
      </c>
      <c r="AA236" s="3" t="str">
        <f t="shared" si="78"/>
        <v/>
      </c>
      <c r="AB236" s="3" t="str">
        <f t="shared" si="78"/>
        <v/>
      </c>
      <c r="AC236" s="3" t="str">
        <f t="shared" si="78"/>
        <v/>
      </c>
      <c r="AD236" s="3" t="str">
        <f t="shared" si="78"/>
        <v/>
      </c>
      <c r="AE236" s="3" t="str">
        <f t="shared" si="78"/>
        <v/>
      </c>
      <c r="AF236" s="3" t="str">
        <f t="shared" si="78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9">IF(B204&lt;100,"",B204-620)</f>
        <v/>
      </c>
      <c r="C237" s="3" t="str">
        <f t="shared" si="79"/>
        <v/>
      </c>
      <c r="D237" s="3" t="str">
        <f t="shared" si="79"/>
        <v/>
      </c>
      <c r="E237" s="3" t="str">
        <f t="shared" si="79"/>
        <v/>
      </c>
      <c r="F237" s="3" t="str">
        <f t="shared" si="79"/>
        <v/>
      </c>
      <c r="G237" s="3" t="str">
        <f t="shared" si="79"/>
        <v/>
      </c>
      <c r="H237" s="3" t="str">
        <f t="shared" si="79"/>
        <v/>
      </c>
      <c r="I237" s="3" t="str">
        <f t="shared" si="79"/>
        <v/>
      </c>
      <c r="J237" s="3" t="str">
        <f t="shared" si="79"/>
        <v/>
      </c>
      <c r="K237" s="3" t="str">
        <f t="shared" si="79"/>
        <v/>
      </c>
      <c r="L237" s="3" t="str">
        <f t="shared" si="79"/>
        <v/>
      </c>
      <c r="M237" s="3" t="str">
        <f t="shared" si="79"/>
        <v/>
      </c>
      <c r="N237" s="3" t="str">
        <f t="shared" si="79"/>
        <v/>
      </c>
      <c r="O237" s="3" t="str">
        <f t="shared" si="79"/>
        <v/>
      </c>
      <c r="P237" s="3" t="str">
        <f t="shared" si="79"/>
        <v/>
      </c>
      <c r="Q237" s="3" t="str">
        <f t="shared" si="79"/>
        <v/>
      </c>
      <c r="R237" s="3" t="str">
        <f t="shared" si="79"/>
        <v/>
      </c>
      <c r="S237" s="3" t="str">
        <f t="shared" si="79"/>
        <v/>
      </c>
      <c r="T237" s="3" t="str">
        <f t="shared" si="79"/>
        <v/>
      </c>
      <c r="U237" s="3" t="str">
        <f t="shared" si="79"/>
        <v/>
      </c>
      <c r="V237" s="3" t="str">
        <f t="shared" si="79"/>
        <v/>
      </c>
      <c r="W237" s="3" t="str">
        <f t="shared" si="79"/>
        <v/>
      </c>
      <c r="X237" s="3" t="str">
        <f t="shared" si="79"/>
        <v/>
      </c>
      <c r="Y237" s="3" t="str">
        <f t="shared" si="79"/>
        <v/>
      </c>
      <c r="Z237" s="3" t="str">
        <f t="shared" si="79"/>
        <v/>
      </c>
      <c r="AA237" s="3" t="str">
        <f t="shared" si="79"/>
        <v/>
      </c>
      <c r="AB237" s="3" t="str">
        <f t="shared" si="79"/>
        <v/>
      </c>
      <c r="AC237" s="3" t="str">
        <f t="shared" si="79"/>
        <v/>
      </c>
      <c r="AD237" s="3" t="str">
        <f t="shared" si="79"/>
        <v/>
      </c>
      <c r="AE237" s="3" t="str">
        <f t="shared" si="79"/>
        <v/>
      </c>
      <c r="AF237" s="3" t="str">
        <f t="shared" si="79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0">IF(B205&lt;100,"",B205-330)</f>
        <v/>
      </c>
      <c r="C238" s="3" t="str">
        <f t="shared" si="80"/>
        <v/>
      </c>
      <c r="D238" s="3" t="str">
        <f t="shared" si="80"/>
        <v/>
      </c>
      <c r="E238" s="3" t="str">
        <f t="shared" si="80"/>
        <v/>
      </c>
      <c r="F238" s="3" t="str">
        <f t="shared" si="80"/>
        <v/>
      </c>
      <c r="G238" s="3" t="str">
        <f t="shared" si="80"/>
        <v/>
      </c>
      <c r="H238" s="3" t="str">
        <f t="shared" si="80"/>
        <v/>
      </c>
      <c r="I238" s="3" t="str">
        <f t="shared" si="80"/>
        <v/>
      </c>
      <c r="J238" s="3" t="str">
        <f t="shared" si="80"/>
        <v/>
      </c>
      <c r="K238" s="3" t="str">
        <f t="shared" si="80"/>
        <v/>
      </c>
      <c r="L238" s="3" t="str">
        <f t="shared" si="80"/>
        <v/>
      </c>
      <c r="M238" s="3" t="str">
        <f t="shared" si="80"/>
        <v/>
      </c>
      <c r="N238" s="3" t="str">
        <f t="shared" si="80"/>
        <v/>
      </c>
      <c r="O238" s="3" t="str">
        <f t="shared" si="80"/>
        <v/>
      </c>
      <c r="P238" s="3" t="str">
        <f t="shared" si="80"/>
        <v/>
      </c>
      <c r="Q238" s="3" t="str">
        <f t="shared" si="80"/>
        <v/>
      </c>
      <c r="R238" s="3" t="str">
        <f t="shared" si="80"/>
        <v/>
      </c>
      <c r="S238" s="3" t="str">
        <f t="shared" si="80"/>
        <v/>
      </c>
      <c r="T238" s="3" t="str">
        <f t="shared" si="80"/>
        <v/>
      </c>
      <c r="U238" s="3" t="str">
        <f t="shared" si="80"/>
        <v/>
      </c>
      <c r="V238" s="3" t="str">
        <f t="shared" si="80"/>
        <v/>
      </c>
      <c r="W238" s="3" t="str">
        <f t="shared" si="80"/>
        <v/>
      </c>
      <c r="X238" s="3" t="str">
        <f t="shared" si="80"/>
        <v/>
      </c>
      <c r="Y238" s="3" t="str">
        <f t="shared" si="80"/>
        <v/>
      </c>
      <c r="Z238" s="3" t="str">
        <f t="shared" si="80"/>
        <v/>
      </c>
      <c r="AA238" s="3" t="str">
        <f t="shared" si="80"/>
        <v/>
      </c>
      <c r="AB238" s="3" t="str">
        <f t="shared" si="80"/>
        <v/>
      </c>
      <c r="AC238" s="3" t="str">
        <f t="shared" si="80"/>
        <v/>
      </c>
      <c r="AD238" s="3" t="str">
        <f t="shared" si="80"/>
        <v/>
      </c>
      <c r="AE238" s="3" t="str">
        <f t="shared" si="80"/>
        <v/>
      </c>
      <c r="AF238" s="3" t="str">
        <f t="shared" si="80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1">IF(C206&lt;100,"",C206-1500)</f>
        <v/>
      </c>
      <c r="D239" s="3" t="str">
        <f t="shared" si="81"/>
        <v/>
      </c>
      <c r="E239" s="3" t="str">
        <f t="shared" si="81"/>
        <v/>
      </c>
      <c r="F239" s="3" t="str">
        <f t="shared" si="81"/>
        <v/>
      </c>
      <c r="G239" s="3" t="str">
        <f t="shared" si="81"/>
        <v/>
      </c>
      <c r="H239" s="3" t="str">
        <f t="shared" si="81"/>
        <v/>
      </c>
      <c r="I239" s="3" t="str">
        <f t="shared" si="81"/>
        <v/>
      </c>
      <c r="J239" s="3" t="str">
        <f t="shared" si="81"/>
        <v/>
      </c>
      <c r="K239" s="3" t="str">
        <f t="shared" si="81"/>
        <v/>
      </c>
      <c r="L239" s="3" t="str">
        <f t="shared" si="81"/>
        <v/>
      </c>
      <c r="M239" s="3" t="str">
        <f t="shared" si="81"/>
        <v/>
      </c>
      <c r="N239" s="3" t="str">
        <f t="shared" si="81"/>
        <v/>
      </c>
      <c r="O239" s="3" t="str">
        <f t="shared" si="81"/>
        <v/>
      </c>
      <c r="P239" s="3" t="str">
        <f t="shared" si="81"/>
        <v/>
      </c>
      <c r="Q239" s="3" t="str">
        <f t="shared" si="81"/>
        <v/>
      </c>
      <c r="R239" s="3" t="str">
        <f t="shared" si="81"/>
        <v/>
      </c>
      <c r="S239" s="3" t="str">
        <f t="shared" si="81"/>
        <v/>
      </c>
      <c r="T239" s="3" t="str">
        <f t="shared" si="81"/>
        <v/>
      </c>
      <c r="U239" s="3" t="str">
        <f t="shared" si="81"/>
        <v/>
      </c>
      <c r="V239" s="3" t="str">
        <f t="shared" si="81"/>
        <v/>
      </c>
      <c r="W239" s="3" t="str">
        <f t="shared" si="81"/>
        <v/>
      </c>
      <c r="X239" s="3" t="str">
        <f t="shared" si="81"/>
        <v/>
      </c>
      <c r="Y239" s="3" t="str">
        <f t="shared" si="81"/>
        <v/>
      </c>
      <c r="Z239" s="3" t="str">
        <f t="shared" si="81"/>
        <v/>
      </c>
      <c r="AA239" s="3" t="str">
        <f t="shared" si="81"/>
        <v/>
      </c>
      <c r="AB239" s="3" t="str">
        <f t="shared" si="81"/>
        <v/>
      </c>
      <c r="AC239" s="3" t="str">
        <f t="shared" si="81"/>
        <v/>
      </c>
      <c r="AD239" s="3" t="str">
        <f t="shared" si="81"/>
        <v/>
      </c>
      <c r="AE239" s="3" t="str">
        <f t="shared" si="81"/>
        <v/>
      </c>
      <c r="AF239" s="3" t="str">
        <f t="shared" si="81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D57:L58 M58:R59 Y85:AA91 AB81:AF81 C81:R81 C56:AF56 C82:AF83 D194:AF200 B194:B200 B9:AF10 B192:AF192 AF57:AF61 AG73 U213:AF213 C57:C60 AB84:AF91 AB94:AF100 I61:J61 L60:R61 D59:J60 L59 K59:K61 M37:O37 C36:O36 M39:O42 P39:T39 P40:Y42 Q62:T62 R63:T67 T58:W59 S58:S61 P36:V37 M16:Y25 M27:Y32 U39:Y42 N45:Y48 U62:Y67 Z16:AA31 AB16:AF26 AB28:AF31 W36:AF36 M11:AF14 Z40:AF43 M53:AF55 C68:AF80">
    <cfRule type="expression" dxfId="3126" priority="265">
      <formula>B$9&gt;=20/24</formula>
    </cfRule>
    <cfRule type="expression" dxfId="3125" priority="266">
      <formula>AND(B$9&gt;=14/24,B$9&lt;20/24)</formula>
    </cfRule>
    <cfRule type="expression" dxfId="3124" priority="267">
      <formula>AND(B$9&gt;=8/24,B$9&lt;14/24)</formula>
    </cfRule>
    <cfRule type="expression" dxfId="3123" priority="268">
      <formula>B$9&lt;8/24</formula>
    </cfRule>
  </conditionalFormatting>
  <conditionalFormatting sqref="AL4:AL6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3122" priority="260">
      <formula>M$9&gt;=20/24</formula>
    </cfRule>
    <cfRule type="expression" dxfId="3121" priority="261">
      <formula>AND(M$9&gt;=14/24,M$9&lt;20/24)</formula>
    </cfRule>
    <cfRule type="expression" dxfId="3120" priority="262">
      <formula>AND(M$9&gt;=8/24,M$9&lt;14/24)</formula>
    </cfRule>
    <cfRule type="expression" dxfId="3119" priority="263">
      <formula>M$9&lt;8/24</formula>
    </cfRule>
  </conditionalFormatting>
  <conditionalFormatting sqref="M43:Y43">
    <cfRule type="expression" dxfId="3118" priority="256">
      <formula>M$9&gt;=20/24</formula>
    </cfRule>
    <cfRule type="expression" dxfId="3117" priority="257">
      <formula>AND(M$9&gt;=14/24,M$9&lt;20/24)</formula>
    </cfRule>
    <cfRule type="expression" dxfId="3116" priority="258">
      <formula>AND(M$9&gt;=8/24,M$9&lt;14/24)</formula>
    </cfRule>
    <cfRule type="expression" dxfId="3115" priority="259">
      <formula>M$9&lt;8/24</formula>
    </cfRule>
  </conditionalFormatting>
  <conditionalFormatting sqref="Z32:AF32">
    <cfRule type="expression" dxfId="3114" priority="252">
      <formula>Z$9&gt;=20/24</formula>
    </cfRule>
    <cfRule type="expression" dxfId="3113" priority="253">
      <formula>AND(Z$9&gt;=14/24,Z$9&lt;20/24)</formula>
    </cfRule>
    <cfRule type="expression" dxfId="3112" priority="254">
      <formula>AND(Z$9&gt;=8/24,Z$9&lt;14/24)</formula>
    </cfRule>
    <cfRule type="expression" dxfId="3111" priority="255">
      <formula>Z$9&lt;8/24</formula>
    </cfRule>
  </conditionalFormatting>
  <conditionalFormatting sqref="S39:AF39">
    <cfRule type="expression" dxfId="3110" priority="248">
      <formula>S$9&gt;=20/24</formula>
    </cfRule>
    <cfRule type="expression" dxfId="3109" priority="249">
      <formula>AND(S$9&gt;=14/24,S$9&lt;20/24)</formula>
    </cfRule>
    <cfRule type="expression" dxfId="3108" priority="250">
      <formula>AND(S$9&gt;=8/24,S$9&lt;14/24)</formula>
    </cfRule>
    <cfRule type="expression" dxfId="3107" priority="251">
      <formula>S$9&lt;8/24</formula>
    </cfRule>
  </conditionalFormatting>
  <conditionalFormatting sqref="T57:AE57">
    <cfRule type="expression" dxfId="3106" priority="244">
      <formula>T$9&gt;=20/24</formula>
    </cfRule>
    <cfRule type="expression" dxfId="3105" priority="245">
      <formula>AND(T$9&gt;=14/24,T$9&lt;20/24)</formula>
    </cfRule>
    <cfRule type="expression" dxfId="3104" priority="246">
      <formula>AND(T$9&gt;=8/24,T$9&lt;14/24)</formula>
    </cfRule>
    <cfRule type="expression" dxfId="3103" priority="247">
      <formula>T$9&lt;8/24</formula>
    </cfRule>
  </conditionalFormatting>
  <conditionalFormatting sqref="S81:AA81">
    <cfRule type="expression" dxfId="3102" priority="240">
      <formula>S$9&gt;=20/24</formula>
    </cfRule>
    <cfRule type="expression" dxfId="3101" priority="241">
      <formula>AND(S$9&gt;=14/24,S$9&lt;20/24)</formula>
    </cfRule>
    <cfRule type="expression" dxfId="3100" priority="242">
      <formula>AND(S$9&gt;=8/24,S$9&lt;14/24)</formula>
    </cfRule>
    <cfRule type="expression" dxfId="3099" priority="243">
      <formula>S$9&lt;8/24</formula>
    </cfRule>
  </conditionalFormatting>
  <conditionalFormatting sqref="U84:AA84">
    <cfRule type="expression" dxfId="3098" priority="236">
      <formula>U$9&gt;=20/24</formula>
    </cfRule>
    <cfRule type="expression" dxfId="3097" priority="237">
      <formula>AND(U$9&gt;=14/24,U$9&lt;20/24)</formula>
    </cfRule>
    <cfRule type="expression" dxfId="3096" priority="238">
      <formula>AND(U$9&gt;=8/24,U$9&lt;14/24)</formula>
    </cfRule>
    <cfRule type="expression" dxfId="3095" priority="239">
      <formula>U$9&lt;8/24</formula>
    </cfRule>
  </conditionalFormatting>
  <conditionalFormatting sqref="M35:Y35">
    <cfRule type="expression" dxfId="3094" priority="232">
      <formula>M$9&gt;=20/24</formula>
    </cfRule>
    <cfRule type="expression" dxfId="3093" priority="233">
      <formula>AND(M$9&gt;=14/24,M$9&lt;20/24)</formula>
    </cfRule>
    <cfRule type="expression" dxfId="3092" priority="234">
      <formula>AND(M$9&gt;=8/24,M$9&lt;14/24)</formula>
    </cfRule>
    <cfRule type="expression" dxfId="3091" priority="235">
      <formula>M$9&lt;8/24</formula>
    </cfRule>
  </conditionalFormatting>
  <conditionalFormatting sqref="M49:Y49">
    <cfRule type="expression" dxfId="3090" priority="228">
      <formula>M$9&gt;=20/24</formula>
    </cfRule>
    <cfRule type="expression" dxfId="3089" priority="229">
      <formula>AND(M$9&gt;=14/24,M$9&lt;20/24)</formula>
    </cfRule>
    <cfRule type="expression" dxfId="3088" priority="230">
      <formula>AND(M$9&gt;=8/24,M$9&lt;14/24)</formula>
    </cfRule>
    <cfRule type="expression" dxfId="3087" priority="231">
      <formula>M$9&lt;8/24</formula>
    </cfRule>
  </conditionalFormatting>
  <conditionalFormatting sqref="M50:Y50">
    <cfRule type="expression" dxfId="3086" priority="224">
      <formula>M$9&gt;=20/24</formula>
    </cfRule>
    <cfRule type="expression" dxfId="3085" priority="225">
      <formula>AND(M$9&gt;=14/24,M$9&lt;20/24)</formula>
    </cfRule>
    <cfRule type="expression" dxfId="3084" priority="226">
      <formula>AND(M$9&gt;=8/24,M$9&lt;14/24)</formula>
    </cfRule>
    <cfRule type="expression" dxfId="3083" priority="227">
      <formula>M$9&lt;8/24</formula>
    </cfRule>
  </conditionalFormatting>
  <conditionalFormatting sqref="M45:Y48">
    <cfRule type="expression" dxfId="3082" priority="220">
      <formula>M$9&gt;=20/24</formula>
    </cfRule>
    <cfRule type="expression" dxfId="3081" priority="221">
      <formula>AND(M$9&gt;=14/24,M$9&lt;20/24)</formula>
    </cfRule>
    <cfRule type="expression" dxfId="3080" priority="222">
      <formula>AND(M$9&gt;=8/24,M$9&lt;14/24)</formula>
    </cfRule>
    <cfRule type="expression" dxfId="3079" priority="223">
      <formula>M$9&lt;8/24</formula>
    </cfRule>
  </conditionalFormatting>
  <conditionalFormatting sqref="W37:AF37">
    <cfRule type="expression" dxfId="3078" priority="216">
      <formula>W$9&gt;=20/24</formula>
    </cfRule>
    <cfRule type="expression" dxfId="3077" priority="217">
      <formula>AND(W$9&gt;=14/24,W$9&lt;20/24)</formula>
    </cfRule>
    <cfRule type="expression" dxfId="3076" priority="218">
      <formula>AND(W$9&gt;=8/24,W$9&lt;14/24)</formula>
    </cfRule>
    <cfRule type="expression" dxfId="3075" priority="219">
      <formula>W$9&lt;8/24</formula>
    </cfRule>
  </conditionalFormatting>
  <conditionalFormatting sqref="Z35:AF35">
    <cfRule type="expression" dxfId="3074" priority="212">
      <formula>Z$9&gt;=20/24</formula>
    </cfRule>
    <cfRule type="expression" dxfId="3073" priority="213">
      <formula>AND(Z$9&gt;=14/24,Z$9&lt;20/24)</formula>
    </cfRule>
    <cfRule type="expression" dxfId="3072" priority="214">
      <formula>AND(Z$9&gt;=8/24,Z$9&lt;14/24)</formula>
    </cfRule>
    <cfRule type="expression" dxfId="3071" priority="215">
      <formula>Z$9&lt;8/24</formula>
    </cfRule>
  </conditionalFormatting>
  <conditionalFormatting sqref="S42:Y43 S45:AF48">
    <cfRule type="expression" dxfId="3070" priority="208">
      <formula>S$9&gt;=20/24</formula>
    </cfRule>
    <cfRule type="expression" dxfId="3069" priority="209">
      <formula>AND(S$9&gt;=14/24,S$9&lt;20/24)</formula>
    </cfRule>
    <cfRule type="expression" dxfId="3068" priority="210">
      <formula>AND(S$9&gt;=8/24,S$9&lt;14/24)</formula>
    </cfRule>
    <cfRule type="expression" dxfId="3067" priority="211">
      <formula>S$9&lt;8/24</formula>
    </cfRule>
  </conditionalFormatting>
  <conditionalFormatting sqref="S49:AF49">
    <cfRule type="expression" dxfId="3066" priority="204">
      <formula>S$9&gt;=20/24</formula>
    </cfRule>
    <cfRule type="expression" dxfId="3065" priority="205">
      <formula>AND(S$9&gt;=14/24,S$9&lt;20/24)</formula>
    </cfRule>
    <cfRule type="expression" dxfId="3064" priority="206">
      <formula>AND(S$9&gt;=8/24,S$9&lt;14/24)</formula>
    </cfRule>
    <cfRule type="expression" dxfId="3063" priority="207">
      <formula>S$9&lt;8/24</formula>
    </cfRule>
  </conditionalFormatting>
  <conditionalFormatting sqref="S50:AF50">
    <cfRule type="expression" dxfId="3062" priority="200">
      <formula>S$9&gt;=20/24</formula>
    </cfRule>
    <cfRule type="expression" dxfId="3061" priority="201">
      <formula>AND(S$9&gt;=14/24,S$9&lt;20/24)</formula>
    </cfRule>
    <cfRule type="expression" dxfId="3060" priority="202">
      <formula>AND(S$9&gt;=8/24,S$9&lt;14/24)</formula>
    </cfRule>
    <cfRule type="expression" dxfId="3059" priority="203">
      <formula>S$9&lt;8/24</formula>
    </cfRule>
  </conditionalFormatting>
  <conditionalFormatting sqref="T60:T61 X60:Z61 Z62:Z67 AA60:AE67 AF62:AF67">
    <cfRule type="expression" dxfId="3058" priority="196">
      <formula>T$9&gt;=20/24</formula>
    </cfRule>
    <cfRule type="expression" dxfId="3057" priority="197">
      <formula>AND(T$9&gt;=14/24,T$9&lt;20/24)</formula>
    </cfRule>
    <cfRule type="expression" dxfId="3056" priority="198">
      <formula>AND(T$9&gt;=8/24,T$9&lt;14/24)</formula>
    </cfRule>
    <cfRule type="expression" dxfId="3055" priority="199">
      <formula>T$9&lt;8/24</formula>
    </cfRule>
  </conditionalFormatting>
  <conditionalFormatting sqref="M62:P62">
    <cfRule type="expression" dxfId="3054" priority="192">
      <formula>M$9&gt;=20/24</formula>
    </cfRule>
    <cfRule type="expression" dxfId="3053" priority="193">
      <formula>AND(M$9&gt;=14/24,M$9&lt;20/24)</formula>
    </cfRule>
    <cfRule type="expression" dxfId="3052" priority="194">
      <formula>AND(M$9&gt;=8/24,M$9&lt;14/24)</formula>
    </cfRule>
    <cfRule type="expression" dxfId="3051" priority="195">
      <formula>M$9&lt;8/24</formula>
    </cfRule>
  </conditionalFormatting>
  <conditionalFormatting sqref="U94:AA97">
    <cfRule type="expression" dxfId="3050" priority="188">
      <formula>U$9&gt;=20/24</formula>
    </cfRule>
    <cfRule type="expression" dxfId="3049" priority="189">
      <formula>AND(U$9&gt;=14/24,U$9&lt;20/24)</formula>
    </cfRule>
    <cfRule type="expression" dxfId="3048" priority="190">
      <formula>AND(U$9&gt;=8/24,U$9&lt;14/24)</formula>
    </cfRule>
    <cfRule type="expression" dxfId="3047" priority="191">
      <formula>U$9&lt;8/24</formula>
    </cfRule>
  </conditionalFormatting>
  <conditionalFormatting sqref="AG51 L11:O11 C11:K32 M14 L14:L32 L12:M13 N12:O14 M16:Y32 P11:Y14 Z11:AF32 C34:AF56">
    <cfRule type="expression" dxfId="3046" priority="187">
      <formula>C11&gt;$AG11</formula>
    </cfRule>
  </conditionalFormatting>
  <conditionalFormatting sqref="A101:A157 A84:A97 A11:A14 A16:A32 A45:A72 A80:A82 A74:A78 A35:A43 A170:A200">
    <cfRule type="expression" dxfId="3045" priority="186">
      <formula>$AH11=0</formula>
    </cfRule>
  </conditionalFormatting>
  <conditionalFormatting sqref="U98:AA98">
    <cfRule type="expression" dxfId="3044" priority="182">
      <formula>U$9&gt;=20/24</formula>
    </cfRule>
    <cfRule type="expression" dxfId="3043" priority="183">
      <formula>AND(U$9&gt;=14/24,U$9&lt;20/24)</formula>
    </cfRule>
    <cfRule type="expression" dxfId="3042" priority="184">
      <formula>AND(U$9&gt;=8/24,U$9&lt;14/24)</formula>
    </cfRule>
    <cfRule type="expression" dxfId="3041" priority="185">
      <formula>U$9&lt;8/24</formula>
    </cfRule>
  </conditionalFormatting>
  <conditionalFormatting sqref="A98">
    <cfRule type="expression" dxfId="3040" priority="181">
      <formula>$AH98=0</formula>
    </cfRule>
  </conditionalFormatting>
  <conditionalFormatting sqref="M63:Q67">
    <cfRule type="expression" dxfId="3039" priority="177">
      <formula>M$9&gt;=20/24</formula>
    </cfRule>
    <cfRule type="expression" dxfId="3038" priority="178">
      <formula>AND(M$9&gt;=14/24,M$9&lt;20/24)</formula>
    </cfRule>
    <cfRule type="expression" dxfId="3037" priority="179">
      <formula>AND(M$9&gt;=8/24,M$9&lt;14/24)</formula>
    </cfRule>
    <cfRule type="expression" dxfId="3036" priority="180">
      <formula>M$9&lt;8/24</formula>
    </cfRule>
  </conditionalFormatting>
  <conditionalFormatting sqref="AL32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3035" priority="172">
      <formula>Z$9&gt;=20/24</formula>
    </cfRule>
    <cfRule type="expression" dxfId="3034" priority="173">
      <formula>AND(Z$9&gt;=14/24,Z$9&lt;20/24)</formula>
    </cfRule>
    <cfRule type="expression" dxfId="3033" priority="174">
      <formula>AND(Z$9&gt;=8/24,Z$9&lt;14/24)</formula>
    </cfRule>
    <cfRule type="expression" dxfId="3032" priority="175">
      <formula>Z$9&lt;8/24</formula>
    </cfRule>
  </conditionalFormatting>
  <conditionalFormatting sqref="M34:Y34">
    <cfRule type="expression" dxfId="3031" priority="168">
      <formula>M$9&gt;=20/24</formula>
    </cfRule>
    <cfRule type="expression" dxfId="3030" priority="169">
      <formula>AND(M$9&gt;=14/24,M$9&lt;20/24)</formula>
    </cfRule>
    <cfRule type="expression" dxfId="3029" priority="170">
      <formula>AND(M$9&gt;=8/24,M$9&lt;14/24)</formula>
    </cfRule>
    <cfRule type="expression" dxfId="3028" priority="171">
      <formula>M$9&lt;8/24</formula>
    </cfRule>
  </conditionalFormatting>
  <conditionalFormatting sqref="A34">
    <cfRule type="expression" dxfId="3027" priority="167">
      <formula>$AH34=0</formula>
    </cfRule>
  </conditionalFormatting>
  <conditionalFormatting sqref="A83">
    <cfRule type="expression" dxfId="3026" priority="166">
      <formula>$AH83=0</formula>
    </cfRule>
  </conditionalFormatting>
  <conditionalFormatting sqref="Z15:AF15">
    <cfRule type="expression" dxfId="3025" priority="162">
      <formula>Z$9&gt;=20/24</formula>
    </cfRule>
    <cfRule type="expression" dxfId="3024" priority="163">
      <formula>AND(Z$9&gt;=14/24,Z$9&lt;20/24)</formula>
    </cfRule>
    <cfRule type="expression" dxfId="3023" priority="164">
      <formula>AND(Z$9&gt;=8/24,Z$9&lt;14/24)</formula>
    </cfRule>
    <cfRule type="expression" dxfId="3022" priority="165">
      <formula>Z$9&lt;8/24</formula>
    </cfRule>
  </conditionalFormatting>
  <conditionalFormatting sqref="M15:Y15">
    <cfRule type="expression" dxfId="3021" priority="158">
      <formula>M$9&gt;=20/24</formula>
    </cfRule>
    <cfRule type="expression" dxfId="3020" priority="159">
      <formula>AND(M$9&gt;=14/24,M$9&lt;20/24)</formula>
    </cfRule>
    <cfRule type="expression" dxfId="3019" priority="160">
      <formula>AND(M$9&gt;=8/24,M$9&lt;14/24)</formula>
    </cfRule>
    <cfRule type="expression" dxfId="3018" priority="161">
      <formula>M$9&lt;8/24</formula>
    </cfRule>
  </conditionalFormatting>
  <conditionalFormatting sqref="M15:Y15">
    <cfRule type="expression" dxfId="3017" priority="157">
      <formula>M15&gt;$AG15</formula>
    </cfRule>
  </conditionalFormatting>
  <conditionalFormatting sqref="A15">
    <cfRule type="expression" dxfId="3016" priority="156">
      <formula>$AH15=0</formula>
    </cfRule>
  </conditionalFormatting>
  <conditionalFormatting sqref="A164:A169">
    <cfRule type="expression" dxfId="3015" priority="155">
      <formula>$AH164=0</formula>
    </cfRule>
  </conditionalFormatting>
  <conditionalFormatting sqref="A158:A163">
    <cfRule type="expression" dxfId="3014" priority="154">
      <formula>$AH158=0</formula>
    </cfRule>
  </conditionalFormatting>
  <conditionalFormatting sqref="Z44:AF44">
    <cfRule type="expression" dxfId="3013" priority="150">
      <formula>Z$9&gt;=20/24</formula>
    </cfRule>
    <cfRule type="expression" dxfId="3012" priority="151">
      <formula>AND(Z$9&gt;=14/24,Z$9&lt;20/24)</formula>
    </cfRule>
    <cfRule type="expression" dxfId="3011" priority="152">
      <formula>AND(Z$9&gt;=8/24,Z$9&lt;14/24)</formula>
    </cfRule>
    <cfRule type="expression" dxfId="3010" priority="153">
      <formula>Z$9&lt;8/24</formula>
    </cfRule>
  </conditionalFormatting>
  <conditionalFormatting sqref="M44:Y44">
    <cfRule type="expression" dxfId="3009" priority="146">
      <formula>M$9&gt;=20/24</formula>
    </cfRule>
    <cfRule type="expression" dxfId="3008" priority="147">
      <formula>AND(M$9&gt;=14/24,M$9&lt;20/24)</formula>
    </cfRule>
    <cfRule type="expression" dxfId="3007" priority="148">
      <formula>AND(M$9&gt;=8/24,M$9&lt;14/24)</formula>
    </cfRule>
    <cfRule type="expression" dxfId="3006" priority="149">
      <formula>M$9&lt;8/24</formula>
    </cfRule>
  </conditionalFormatting>
  <conditionalFormatting sqref="S44:Y44">
    <cfRule type="expression" dxfId="3005" priority="142">
      <formula>S$9&gt;=20/24</formula>
    </cfRule>
    <cfRule type="expression" dxfId="3004" priority="143">
      <formula>AND(S$9&gt;=14/24,S$9&lt;20/24)</formula>
    </cfRule>
    <cfRule type="expression" dxfId="3003" priority="144">
      <formula>AND(S$9&gt;=8/24,S$9&lt;14/24)</formula>
    </cfRule>
    <cfRule type="expression" dxfId="3002" priority="145">
      <formula>S$9&lt;8/24</formula>
    </cfRule>
  </conditionalFormatting>
  <conditionalFormatting sqref="A44">
    <cfRule type="expression" dxfId="3001" priority="141">
      <formula>$AH44=0</formula>
    </cfRule>
  </conditionalFormatting>
  <conditionalFormatting sqref="A79">
    <cfRule type="expression" dxfId="3000" priority="140">
      <formula>$AH79=0</formula>
    </cfRule>
  </conditionalFormatting>
  <conditionalFormatting sqref="A73">
    <cfRule type="expression" dxfId="2999" priority="139">
      <formula>$AH73=0</formula>
    </cfRule>
  </conditionalFormatting>
  <conditionalFormatting sqref="AL34:AL35 AL7:AL31">
    <cfRule type="iconSet" priority="271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2998" priority="135">
      <formula>U$9&gt;=20/24</formula>
    </cfRule>
    <cfRule type="expression" dxfId="2997" priority="136">
      <formula>AND(U$9&gt;=14/24,U$9&lt;20/24)</formula>
    </cfRule>
    <cfRule type="expression" dxfId="2996" priority="137">
      <formula>AND(U$9&gt;=8/24,U$9&lt;14/24)</formula>
    </cfRule>
    <cfRule type="expression" dxfId="2995" priority="138">
      <formula>U$9&lt;8/24</formula>
    </cfRule>
  </conditionalFormatting>
  <conditionalFormatting sqref="U85:X91">
    <cfRule type="expression" dxfId="2994" priority="131">
      <formula>U$9&gt;=20/24</formula>
    </cfRule>
    <cfRule type="expression" dxfId="2993" priority="132">
      <formula>AND(U$9&gt;=14/24,U$9&lt;20/24)</formula>
    </cfRule>
    <cfRule type="expression" dxfId="2992" priority="133">
      <formula>AND(U$9&gt;=8/24,U$9&lt;14/24)</formula>
    </cfRule>
    <cfRule type="expression" dxfId="2991" priority="134">
      <formula>U$9&lt;8/24</formula>
    </cfRule>
  </conditionalFormatting>
  <conditionalFormatting sqref="T85:T91 C84:S91">
    <cfRule type="expression" dxfId="2990" priority="127">
      <formula>C$9&gt;=20/24</formula>
    </cfRule>
    <cfRule type="expression" dxfId="2989" priority="128">
      <formula>AND(C$9&gt;=14/24,C$9&lt;20/24)</formula>
    </cfRule>
    <cfRule type="expression" dxfId="2988" priority="129">
      <formula>AND(C$9&gt;=8/24,C$9&lt;14/24)</formula>
    </cfRule>
    <cfRule type="expression" dxfId="2987" priority="130">
      <formula>C$9&lt;8/24</formula>
    </cfRule>
  </conditionalFormatting>
  <conditionalFormatting sqref="T84">
    <cfRule type="expression" dxfId="2986" priority="123">
      <formula>T$9&gt;=20/24</formula>
    </cfRule>
    <cfRule type="expression" dxfId="2985" priority="124">
      <formula>AND(T$9&gt;=14/24,T$9&lt;20/24)</formula>
    </cfRule>
    <cfRule type="expression" dxfId="2984" priority="125">
      <formula>AND(T$9&gt;=8/24,T$9&lt;14/24)</formula>
    </cfRule>
    <cfRule type="expression" dxfId="2983" priority="126">
      <formula>T$9&lt;8/24</formula>
    </cfRule>
  </conditionalFormatting>
  <conditionalFormatting sqref="E94:F94 C94:D97 E95:M97">
    <cfRule type="expression" dxfId="2982" priority="119">
      <formula>C$9&gt;=20/24</formula>
    </cfRule>
    <cfRule type="expression" dxfId="2981" priority="120">
      <formula>AND(C$9&gt;=14/24,C$9&lt;20/24)</formula>
    </cfRule>
    <cfRule type="expression" dxfId="2980" priority="121">
      <formula>AND(C$9&gt;=8/24,C$9&lt;14/24)</formula>
    </cfRule>
    <cfRule type="expression" dxfId="2979" priority="122">
      <formula>C$9&lt;8/24</formula>
    </cfRule>
  </conditionalFormatting>
  <conditionalFormatting sqref="N95:R97 O94:R94 S94:S97">
    <cfRule type="expression" dxfId="2978" priority="115">
      <formula>N$9&gt;=20/24</formula>
    </cfRule>
    <cfRule type="expression" dxfId="2977" priority="116">
      <formula>AND(N$9&gt;=14/24,N$9&lt;20/24)</formula>
    </cfRule>
    <cfRule type="expression" dxfId="2976" priority="117">
      <formula>AND(N$9&gt;=8/24,N$9&lt;14/24)</formula>
    </cfRule>
    <cfRule type="expression" dxfId="2975" priority="118">
      <formula>N$9&lt;8/24</formula>
    </cfRule>
  </conditionalFormatting>
  <conditionalFormatting sqref="T94:T97">
    <cfRule type="expression" dxfId="2974" priority="111">
      <formula>T$9&gt;=20/24</formula>
    </cfRule>
    <cfRule type="expression" dxfId="2973" priority="112">
      <formula>AND(T$9&gt;=14/24,T$9&lt;20/24)</formula>
    </cfRule>
    <cfRule type="expression" dxfId="2972" priority="113">
      <formula>AND(T$9&gt;=8/24,T$9&lt;14/24)</formula>
    </cfRule>
    <cfRule type="expression" dxfId="2971" priority="114">
      <formula>T$9&lt;8/24</formula>
    </cfRule>
  </conditionalFormatting>
  <conditionalFormatting sqref="C98:M98">
    <cfRule type="expression" dxfId="2970" priority="107">
      <formula>C$9&gt;=20/24</formula>
    </cfRule>
    <cfRule type="expression" dxfId="2969" priority="108">
      <formula>AND(C$9&gt;=14/24,C$9&lt;20/24)</formula>
    </cfRule>
    <cfRule type="expression" dxfId="2968" priority="109">
      <formula>AND(C$9&gt;=8/24,C$9&lt;14/24)</formula>
    </cfRule>
    <cfRule type="expression" dxfId="2967" priority="110">
      <formula>C$9&lt;8/24</formula>
    </cfRule>
  </conditionalFormatting>
  <conditionalFormatting sqref="N98:S98">
    <cfRule type="expression" dxfId="2966" priority="103">
      <formula>N$9&gt;=20/24</formula>
    </cfRule>
    <cfRule type="expression" dxfId="2965" priority="104">
      <formula>AND(N$9&gt;=14/24,N$9&lt;20/24)</formula>
    </cfRule>
    <cfRule type="expression" dxfId="2964" priority="105">
      <formula>AND(N$9&gt;=8/24,N$9&lt;14/24)</formula>
    </cfRule>
    <cfRule type="expression" dxfId="2963" priority="106">
      <formula>N$9&lt;8/24</formula>
    </cfRule>
  </conditionalFormatting>
  <conditionalFormatting sqref="T98">
    <cfRule type="expression" dxfId="2962" priority="99">
      <formula>T$9&gt;=20/24</formula>
    </cfRule>
    <cfRule type="expression" dxfId="2961" priority="100">
      <formula>AND(T$9&gt;=14/24,T$9&lt;20/24)</formula>
    </cfRule>
    <cfRule type="expression" dxfId="2960" priority="101">
      <formula>AND(T$9&gt;=8/24,T$9&lt;14/24)</formula>
    </cfRule>
    <cfRule type="expression" dxfId="2959" priority="102">
      <formula>T$9&lt;8/24</formula>
    </cfRule>
  </conditionalFormatting>
  <conditionalFormatting sqref="M94:N94">
    <cfRule type="expression" dxfId="2958" priority="95">
      <formula>M$9&gt;=20/24</formula>
    </cfRule>
    <cfRule type="expression" dxfId="2957" priority="96">
      <formula>AND(M$9&gt;=14/24,M$9&lt;20/24)</formula>
    </cfRule>
    <cfRule type="expression" dxfId="2956" priority="97">
      <formula>AND(M$9&gt;=8/24,M$9&lt;14/24)</formula>
    </cfRule>
    <cfRule type="expression" dxfId="2955" priority="98">
      <formula>M$9&lt;8/24</formula>
    </cfRule>
  </conditionalFormatting>
  <conditionalFormatting sqref="G94:L94">
    <cfRule type="expression" dxfId="2954" priority="91">
      <formula>G$9&gt;=20/24</formula>
    </cfRule>
    <cfRule type="expression" dxfId="2953" priority="92">
      <formula>AND(G$9&gt;=14/24,G$9&lt;20/24)</formula>
    </cfRule>
    <cfRule type="expression" dxfId="2952" priority="93">
      <formula>AND(G$9&gt;=8/24,G$9&lt;14/24)</formula>
    </cfRule>
    <cfRule type="expression" dxfId="2951" priority="94">
      <formula>G$9&lt;8/24</formula>
    </cfRule>
  </conditionalFormatting>
  <conditionalFormatting sqref="U94:X94">
    <cfRule type="expression" dxfId="2950" priority="87">
      <formula>U$9&gt;=20/24</formula>
    </cfRule>
    <cfRule type="expression" dxfId="2949" priority="88">
      <formula>AND(U$9&gt;=14/24,U$9&lt;20/24)</formula>
    </cfRule>
    <cfRule type="expression" dxfId="2948" priority="89">
      <formula>AND(U$9&gt;=8/24,U$9&lt;14/24)</formula>
    </cfRule>
    <cfRule type="expression" dxfId="2947" priority="90">
      <formula>U$9&lt;8/24</formula>
    </cfRule>
  </conditionalFormatting>
  <conditionalFormatting sqref="N94:T94">
    <cfRule type="expression" dxfId="2946" priority="83">
      <formula>N$9&gt;=20/24</formula>
    </cfRule>
    <cfRule type="expression" dxfId="2945" priority="84">
      <formula>AND(N$9&gt;=14/24,N$9&lt;20/24)</formula>
    </cfRule>
    <cfRule type="expression" dxfId="2944" priority="85">
      <formula>AND(N$9&gt;=8/24,N$9&lt;14/24)</formula>
    </cfRule>
    <cfRule type="expression" dxfId="2943" priority="86">
      <formula>N$9&lt;8/24</formula>
    </cfRule>
  </conditionalFormatting>
  <conditionalFormatting sqref="U99:AA100">
    <cfRule type="expression" dxfId="2942" priority="79">
      <formula>U$9&gt;=20/24</formula>
    </cfRule>
    <cfRule type="expression" dxfId="2941" priority="80">
      <formula>AND(U$9&gt;=14/24,U$9&lt;20/24)</formula>
    </cfRule>
    <cfRule type="expression" dxfId="2940" priority="81">
      <formula>AND(U$9&gt;=8/24,U$9&lt;14/24)</formula>
    </cfRule>
    <cfRule type="expression" dxfId="2939" priority="82">
      <formula>U$9&lt;8/24</formula>
    </cfRule>
  </conditionalFormatting>
  <conditionalFormatting sqref="C99:M100">
    <cfRule type="expression" dxfId="2938" priority="75">
      <formula>C$9&gt;=20/24</formula>
    </cfRule>
    <cfRule type="expression" dxfId="2937" priority="76">
      <formula>AND(C$9&gt;=14/24,C$9&lt;20/24)</formula>
    </cfRule>
    <cfRule type="expression" dxfId="2936" priority="77">
      <formula>AND(C$9&gt;=8/24,C$9&lt;14/24)</formula>
    </cfRule>
    <cfRule type="expression" dxfId="2935" priority="78">
      <formula>C$9&lt;8/24</formula>
    </cfRule>
  </conditionalFormatting>
  <conditionalFormatting sqref="N99:S100">
    <cfRule type="expression" dxfId="2934" priority="71">
      <formula>N$9&gt;=20/24</formula>
    </cfRule>
    <cfRule type="expression" dxfId="2933" priority="72">
      <formula>AND(N$9&gt;=14/24,N$9&lt;20/24)</formula>
    </cfRule>
    <cfRule type="expression" dxfId="2932" priority="73">
      <formula>AND(N$9&gt;=8/24,N$9&lt;14/24)</formula>
    </cfRule>
    <cfRule type="expression" dxfId="2931" priority="74">
      <formula>N$9&lt;8/24</formula>
    </cfRule>
  </conditionalFormatting>
  <conditionalFormatting sqref="T99:T100">
    <cfRule type="expression" dxfId="2930" priority="67">
      <formula>T$9&gt;=20/24</formula>
    </cfRule>
    <cfRule type="expression" dxfId="2929" priority="68">
      <formula>AND(T$9&gt;=14/24,T$9&lt;20/24)</formula>
    </cfRule>
    <cfRule type="expression" dxfId="2928" priority="69">
      <formula>AND(T$9&gt;=8/24,T$9&lt;14/24)</formula>
    </cfRule>
    <cfRule type="expression" dxfId="2927" priority="70">
      <formula>T$9&lt;8/24</formula>
    </cfRule>
  </conditionalFormatting>
  <conditionalFormatting sqref="AB58:AE59">
    <cfRule type="expression" dxfId="2926" priority="55">
      <formula>AB$9&gt;=20/24</formula>
    </cfRule>
    <cfRule type="expression" dxfId="2925" priority="56">
      <formula>AND(AB$9&gt;=14/24,AB$9&lt;20/24)</formula>
    </cfRule>
    <cfRule type="expression" dxfId="2924" priority="57">
      <formula>AND(AB$9&gt;=8/24,AB$9&lt;14/24)</formula>
    </cfRule>
    <cfRule type="expression" dxfId="2923" priority="58">
      <formula>AB$9&lt;8/24</formula>
    </cfRule>
  </conditionalFormatting>
  <conditionalFormatting sqref="AL33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922" priority="272">
      <formula>C$9&gt;=20/24</formula>
    </cfRule>
    <cfRule type="expression" dxfId="2921" priority="273">
      <formula>AND(C$9&gt;=14/24,C$9&lt;20/24)</formula>
    </cfRule>
    <cfRule type="expression" dxfId="2920" priority="274">
      <formula>AND(C$9&gt;=8/24,C$9&lt;14/24)</formula>
    </cfRule>
    <cfRule type="expression" dxfId="2919" priority="275">
      <formula>C$9&lt;8/24</formula>
    </cfRule>
  </conditionalFormatting>
  <conditionalFormatting sqref="A201">
    <cfRule type="expression" dxfId="2918" priority="276">
      <formula>$AH201=0</formula>
    </cfRule>
  </conditionalFormatting>
  <conditionalFormatting sqref="AG213">
    <cfRule type="expression" dxfId="2917" priority="277">
      <formula>B$9&gt;=20/24</formula>
    </cfRule>
    <cfRule type="expression" dxfId="2916" priority="278">
      <formula>AND(B$9&gt;=14/24,B$9&lt;20/24)</formula>
    </cfRule>
    <cfRule type="expression" dxfId="2915" priority="279">
      <formula>AND(B$9&gt;=8/24,B$9&lt;14/24)</formula>
    </cfRule>
    <cfRule type="expression" dxfId="2914" priority="280">
      <formula>B$9&lt;8/24</formula>
    </cfRule>
  </conditionalFormatting>
  <conditionalFormatting sqref="S8">
    <cfRule type="expression" dxfId="2913" priority="49">
      <formula>U$9&gt;=20/24</formula>
    </cfRule>
    <cfRule type="expression" dxfId="2912" priority="50">
      <formula>AND(U$9&gt;=14/24,U$9&lt;20/24)</formula>
    </cfRule>
    <cfRule type="expression" dxfId="2911" priority="51">
      <formula>AND(U$9&gt;=8/24,U$9&lt;14/24)</formula>
    </cfRule>
    <cfRule type="expression" dxfId="2910" priority="52">
      <formula>U$9&lt;8/24</formula>
    </cfRule>
  </conditionalFormatting>
  <conditionalFormatting sqref="AB8">
    <cfRule type="expression" dxfId="2909" priority="45">
      <formula>AD$9&gt;=20/24</formula>
    </cfRule>
    <cfRule type="expression" dxfId="2908" priority="46">
      <formula>AND(AD$9&gt;=14/24,AD$9&lt;20/24)</formula>
    </cfRule>
    <cfRule type="expression" dxfId="2907" priority="47">
      <formula>AND(AD$9&gt;=8/24,AD$9&lt;14/24)</formula>
    </cfRule>
    <cfRule type="expression" dxfId="2906" priority="48">
      <formula>AD$9&lt;8/24</formula>
    </cfRule>
  </conditionalFormatting>
  <conditionalFormatting sqref="AH213:AX213">
    <cfRule type="expression" dxfId="2905" priority="281">
      <formula>AG$9&gt;=20/24</formula>
    </cfRule>
    <cfRule type="expression" dxfId="2904" priority="282">
      <formula>AND(AG$9&gt;=14/24,AG$9&lt;20/24)</formula>
    </cfRule>
    <cfRule type="expression" dxfId="2903" priority="283">
      <formula>AND(AG$9&gt;=8/24,AG$9&lt;14/24)</formula>
    </cfRule>
    <cfRule type="expression" dxfId="2902" priority="284">
      <formula>AG$9&lt;8/24</formula>
    </cfRule>
  </conditionalFormatting>
  <conditionalFormatting sqref="T213">
    <cfRule type="expression" dxfId="2901" priority="285">
      <formula>AX$9&gt;=20/24</formula>
    </cfRule>
    <cfRule type="expression" dxfId="2900" priority="286">
      <formula>AND(AX$9&gt;=14/24,AX$9&lt;20/24)</formula>
    </cfRule>
    <cfRule type="expression" dxfId="2899" priority="287">
      <formula>AND(AX$9&gt;=8/24,AX$9&lt;14/24)</formula>
    </cfRule>
    <cfRule type="expression" dxfId="2898" priority="288">
      <formula>AX$9&lt;8/24</formula>
    </cfRule>
  </conditionalFormatting>
  <conditionalFormatting sqref="A99:A100">
    <cfRule type="expression" dxfId="2897" priority="44">
      <formula>$AH99=0</formula>
    </cfRule>
  </conditionalFormatting>
  <conditionalFormatting sqref="M33:Y33">
    <cfRule type="expression" dxfId="2896" priority="40">
      <formula>M$9&gt;=20/24</formula>
    </cfRule>
    <cfRule type="expression" dxfId="2895" priority="41">
      <formula>AND(M$9&gt;=14/24,M$9&lt;20/24)</formula>
    </cfRule>
    <cfRule type="expression" dxfId="2894" priority="42">
      <formula>AND(M$9&gt;=8/24,M$9&lt;14/24)</formula>
    </cfRule>
    <cfRule type="expression" dxfId="2893" priority="43">
      <formula>M$9&lt;8/24</formula>
    </cfRule>
  </conditionalFormatting>
  <conditionalFormatting sqref="Z33:AF33">
    <cfRule type="expression" dxfId="2892" priority="36">
      <formula>Z$9&gt;=20/24</formula>
    </cfRule>
    <cfRule type="expression" dxfId="2891" priority="37">
      <formula>AND(Z$9&gt;=14/24,Z$9&lt;20/24)</formula>
    </cfRule>
    <cfRule type="expression" dxfId="2890" priority="38">
      <formula>AND(Z$9&gt;=8/24,Z$9&lt;14/24)</formula>
    </cfRule>
    <cfRule type="expression" dxfId="2889" priority="39">
      <formula>Z$9&lt;8/24</formula>
    </cfRule>
  </conditionalFormatting>
  <conditionalFormatting sqref="C33:AF33">
    <cfRule type="expression" dxfId="2888" priority="35">
      <formula>C33&gt;$AG33</formula>
    </cfRule>
  </conditionalFormatting>
  <conditionalFormatting sqref="B94:B100 B36 B53:B91 B28:B31 B23:B26 C61:H67 I62:L67">
    <cfRule type="expression" dxfId="2887" priority="31">
      <formula>B$9&gt;=20/24</formula>
    </cfRule>
    <cfRule type="expression" dxfId="2886" priority="32">
      <formula>AND(B$9&gt;=14/24,B$9&lt;20/24)</formula>
    </cfRule>
    <cfRule type="expression" dxfId="2885" priority="33">
      <formula>AND(B$9&gt;=8/24,B$9&lt;14/24)</formula>
    </cfRule>
    <cfRule type="expression" dxfId="2884" priority="34">
      <formula>B$9&lt;8/24</formula>
    </cfRule>
  </conditionalFormatting>
  <conditionalFormatting sqref="B32">
    <cfRule type="expression" dxfId="2883" priority="27">
      <formula>B$9&gt;=20/24</formula>
    </cfRule>
    <cfRule type="expression" dxfId="2882" priority="28">
      <formula>AND(B$9&gt;=14/24,B$9&lt;20/24)</formula>
    </cfRule>
    <cfRule type="expression" dxfId="2881" priority="29">
      <formula>AND(B$9&gt;=8/24,B$9&lt;14/24)</formula>
    </cfRule>
    <cfRule type="expression" dxfId="2880" priority="30">
      <formula>B$9&lt;8/24</formula>
    </cfRule>
  </conditionalFormatting>
  <conditionalFormatting sqref="B35">
    <cfRule type="expression" dxfId="2879" priority="23">
      <formula>B$9&gt;=20/24</formula>
    </cfRule>
    <cfRule type="expression" dxfId="2878" priority="24">
      <formula>AND(B$9&gt;=14/24,B$9&lt;20/24)</formula>
    </cfRule>
    <cfRule type="expression" dxfId="2877" priority="25">
      <formula>AND(B$9&gt;=8/24,B$9&lt;14/24)</formula>
    </cfRule>
    <cfRule type="expression" dxfId="2876" priority="26">
      <formula>B$9&lt;8/24</formula>
    </cfRule>
  </conditionalFormatting>
  <conditionalFormatting sqref="B47:B48">
    <cfRule type="expression" dxfId="2875" priority="19">
      <formula>B$9&gt;=20/24</formula>
    </cfRule>
    <cfRule type="expression" dxfId="2874" priority="20">
      <formula>AND(B$9&gt;=14/24,B$9&lt;20/24)</formula>
    </cfRule>
    <cfRule type="expression" dxfId="2873" priority="21">
      <formula>AND(B$9&gt;=8/24,B$9&lt;14/24)</formula>
    </cfRule>
    <cfRule type="expression" dxfId="2872" priority="22">
      <formula>B$9&lt;8/24</formula>
    </cfRule>
  </conditionalFormatting>
  <conditionalFormatting sqref="B49">
    <cfRule type="expression" dxfId="2871" priority="15">
      <formula>B$9&gt;=20/24</formula>
    </cfRule>
    <cfRule type="expression" dxfId="2870" priority="16">
      <formula>AND(B$9&gt;=14/24,B$9&lt;20/24)</formula>
    </cfRule>
    <cfRule type="expression" dxfId="2869" priority="17">
      <formula>AND(B$9&gt;=8/24,B$9&lt;14/24)</formula>
    </cfRule>
    <cfRule type="expression" dxfId="2868" priority="18">
      <formula>B$9&lt;8/24</formula>
    </cfRule>
  </conditionalFormatting>
  <conditionalFormatting sqref="B50">
    <cfRule type="expression" dxfId="2867" priority="11">
      <formula>B$9&gt;=20/24</formula>
    </cfRule>
    <cfRule type="expression" dxfId="2866" priority="12">
      <formula>AND(B$9&gt;=14/24,B$9&lt;20/24)</formula>
    </cfRule>
    <cfRule type="expression" dxfId="2865" priority="13">
      <formula>AND(B$9&gt;=8/24,B$9&lt;14/24)</formula>
    </cfRule>
    <cfRule type="expression" dxfId="2864" priority="14">
      <formula>B$9&lt;8/24</formula>
    </cfRule>
  </conditionalFormatting>
  <conditionalFormatting sqref="B11:B32 B34:B56">
    <cfRule type="expression" dxfId="2863" priority="10">
      <formula>B11&gt;$AG11</formula>
    </cfRule>
  </conditionalFormatting>
  <conditionalFormatting sqref="B34">
    <cfRule type="expression" dxfId="2862" priority="6">
      <formula>B$9&gt;=20/24</formula>
    </cfRule>
    <cfRule type="expression" dxfId="2861" priority="7">
      <formula>AND(B$9&gt;=14/24,B$9&lt;20/24)</formula>
    </cfRule>
    <cfRule type="expression" dxfId="2860" priority="8">
      <formula>AND(B$9&gt;=8/24,B$9&lt;14/24)</formula>
    </cfRule>
    <cfRule type="expression" dxfId="2859" priority="9">
      <formula>B$9&lt;8/24</formula>
    </cfRule>
  </conditionalFormatting>
  <conditionalFormatting sqref="B33">
    <cfRule type="expression" dxfId="2858" priority="2">
      <formula>B$9&gt;=20/24</formula>
    </cfRule>
    <cfRule type="expression" dxfId="2857" priority="3">
      <formula>AND(B$9&gt;=14/24,B$9&lt;20/24)</formula>
    </cfRule>
    <cfRule type="expression" dxfId="2856" priority="4">
      <formula>AND(B$9&gt;=8/24,B$9&lt;14/24)</formula>
    </cfRule>
    <cfRule type="expression" dxfId="2855" priority="5">
      <formula>B$9&lt;8/24</formula>
    </cfRule>
  </conditionalFormatting>
  <conditionalFormatting sqref="B33">
    <cfRule type="expression" dxfId="2854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4" id="{A660940F-40FE-46E5-A237-3323E8F9BF3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CJ472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J54" sqref="J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2078/12/22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239.9</v>
      </c>
      <c r="C5" s="157">
        <f t="shared" si="0"/>
        <v>367.8</v>
      </c>
      <c r="D5" s="157">
        <f t="shared" si="0"/>
        <v>399</v>
      </c>
      <c r="E5" s="157">
        <f t="shared" si="0"/>
        <v>375</v>
      </c>
      <c r="F5" s="157">
        <f t="shared" si="0"/>
        <v>397.2</v>
      </c>
      <c r="G5" s="157">
        <f t="shared" si="0"/>
        <v>329.8</v>
      </c>
      <c r="H5" s="157">
        <f t="shared" si="0"/>
        <v>230</v>
      </c>
      <c r="I5" s="157">
        <f t="shared" si="0"/>
        <v>497.2</v>
      </c>
      <c r="J5" s="157">
        <f t="shared" si="0"/>
        <v>496</v>
      </c>
      <c r="K5" s="157">
        <f t="shared" si="0"/>
        <v>467.6</v>
      </c>
      <c r="L5" s="157">
        <f t="shared" si="0"/>
        <v>462.5</v>
      </c>
      <c r="M5" s="157">
        <f t="shared" si="0"/>
        <v>476</v>
      </c>
      <c r="N5" s="157">
        <f t="shared" si="0"/>
        <v>478.9</v>
      </c>
      <c r="O5" s="157">
        <f t="shared" si="0"/>
        <v>582.4</v>
      </c>
      <c r="P5" s="157">
        <f t="shared" si="0"/>
        <v>542.29999999999995</v>
      </c>
      <c r="Q5" s="157">
        <f t="shared" si="0"/>
        <v>525.4</v>
      </c>
      <c r="R5" s="157">
        <f t="shared" si="0"/>
        <v>482.3</v>
      </c>
      <c r="S5" s="157">
        <f t="shared" si="0"/>
        <v>497.2</v>
      </c>
      <c r="T5" s="157">
        <f t="shared" si="0"/>
        <v>475.14</v>
      </c>
      <c r="U5" s="157">
        <f t="shared" si="0"/>
        <v>428.9</v>
      </c>
      <c r="V5" s="157">
        <f t="shared" si="0"/>
        <v>443.70000000000005</v>
      </c>
      <c r="W5" s="157">
        <f t="shared" si="0"/>
        <v>409.79</v>
      </c>
      <c r="X5" s="157">
        <f t="shared" si="0"/>
        <v>290.33</v>
      </c>
      <c r="Y5" s="157">
        <f t="shared" si="0"/>
        <v>240.60000000000002</v>
      </c>
      <c r="Z5" s="157">
        <f t="shared" si="0"/>
        <v>221.77</v>
      </c>
      <c r="AA5" s="157">
        <f t="shared" si="0"/>
        <v>250.4</v>
      </c>
      <c r="AB5" s="157">
        <f t="shared" si="0"/>
        <v>353.2</v>
      </c>
      <c r="AC5" s="157">
        <f t="shared" si="0"/>
        <v>265.39999999999998</v>
      </c>
      <c r="AD5" s="157">
        <f t="shared" si="0"/>
        <v>219.1</v>
      </c>
      <c r="AE5" s="157">
        <f t="shared" si="0"/>
        <v>213.9</v>
      </c>
      <c r="AF5" s="157">
        <f>B68</f>
        <v>115.1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1427MW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Load=1171</v>
      </c>
      <c r="B7" s="146">
        <f>B75</f>
        <v>1263.8399999999999</v>
      </c>
      <c r="C7" s="146">
        <f t="shared" ref="C7:AF7" si="1">C75</f>
        <v>1212.04</v>
      </c>
      <c r="D7" s="146">
        <f t="shared" si="1"/>
        <v>1222.8399999999999</v>
      </c>
      <c r="E7" s="146">
        <f t="shared" si="1"/>
        <v>1171.04</v>
      </c>
      <c r="F7" s="146">
        <f t="shared" si="1"/>
        <v>1182.6400000000001</v>
      </c>
      <c r="G7" s="146">
        <f t="shared" si="1"/>
        <v>1197.04</v>
      </c>
      <c r="H7" s="146">
        <f t="shared" si="1"/>
        <v>1250.1400000000001</v>
      </c>
      <c r="I7" s="146">
        <f t="shared" si="1"/>
        <v>1284.94</v>
      </c>
      <c r="J7" s="146">
        <f t="shared" si="1"/>
        <v>1350.44</v>
      </c>
      <c r="K7" s="146">
        <f t="shared" si="1"/>
        <v>1418.94</v>
      </c>
      <c r="L7" s="146">
        <f t="shared" si="1"/>
        <v>1427.04</v>
      </c>
      <c r="M7" s="146">
        <f t="shared" si="1"/>
        <v>1389.64</v>
      </c>
      <c r="N7" s="146">
        <f t="shared" si="1"/>
        <v>1367.34</v>
      </c>
      <c r="O7" s="146">
        <f t="shared" si="1"/>
        <v>1471.04</v>
      </c>
      <c r="P7" s="146">
        <f t="shared" si="1"/>
        <v>1404.44</v>
      </c>
      <c r="Q7" s="146">
        <f t="shared" si="1"/>
        <v>1464.84</v>
      </c>
      <c r="R7" s="146">
        <f t="shared" si="1"/>
        <v>1530.6399999999999</v>
      </c>
      <c r="S7" s="146">
        <f t="shared" si="1"/>
        <v>1475.1399999999999</v>
      </c>
      <c r="T7" s="146">
        <f t="shared" si="1"/>
        <v>1470.64</v>
      </c>
      <c r="U7" s="146">
        <f t="shared" si="1"/>
        <v>1464.18</v>
      </c>
      <c r="V7" s="146">
        <f t="shared" si="1"/>
        <v>1446.54</v>
      </c>
      <c r="W7" s="146">
        <f t="shared" si="1"/>
        <v>1454.44</v>
      </c>
      <c r="X7" s="146">
        <f t="shared" si="1"/>
        <v>1438.43</v>
      </c>
      <c r="Y7" s="146">
        <f t="shared" si="1"/>
        <v>1492.07</v>
      </c>
      <c r="Z7" s="146">
        <f t="shared" si="1"/>
        <v>1540.94</v>
      </c>
      <c r="AA7" s="146">
        <f t="shared" si="1"/>
        <v>1528.21</v>
      </c>
      <c r="AB7" s="146">
        <f t="shared" si="1"/>
        <v>1550.2400000000002</v>
      </c>
      <c r="AC7" s="146">
        <f t="shared" si="1"/>
        <v>1501.74</v>
      </c>
      <c r="AD7" s="146">
        <f t="shared" si="1"/>
        <v>1462.94</v>
      </c>
      <c r="AE7" s="146">
        <f t="shared" si="1"/>
        <v>1413.64</v>
      </c>
      <c r="AF7" s="146">
        <f t="shared" si="1"/>
        <v>1334.24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03">
        <v>200</v>
      </c>
      <c r="C11" s="103">
        <v>85</v>
      </c>
      <c r="D11" s="103">
        <v>20</v>
      </c>
      <c r="E11" s="127">
        <v>12</v>
      </c>
      <c r="F11" s="127">
        <v>20</v>
      </c>
      <c r="G11" s="127">
        <v>30</v>
      </c>
      <c r="H11" s="127">
        <v>90</v>
      </c>
      <c r="I11" s="127">
        <v>228</v>
      </c>
      <c r="J11" s="127">
        <v>70</v>
      </c>
      <c r="K11" s="127">
        <v>80</v>
      </c>
      <c r="L11" s="127">
        <v>81</v>
      </c>
      <c r="M11" s="103">
        <v>70</v>
      </c>
      <c r="N11" s="103">
        <v>70</v>
      </c>
      <c r="O11" s="103">
        <v>152</v>
      </c>
      <c r="P11" s="103">
        <v>50</v>
      </c>
      <c r="Q11" s="103">
        <v>130</v>
      </c>
      <c r="R11" s="103">
        <v>128</v>
      </c>
      <c r="S11" s="103">
        <v>160</v>
      </c>
      <c r="T11" s="103">
        <v>110</v>
      </c>
      <c r="U11" s="103">
        <v>110</v>
      </c>
      <c r="V11" s="103">
        <v>170</v>
      </c>
      <c r="W11" s="103">
        <v>150</v>
      </c>
      <c r="X11" s="103">
        <v>180</v>
      </c>
      <c r="Y11" s="103">
        <v>300</v>
      </c>
      <c r="Z11" s="179">
        <v>380</v>
      </c>
      <c r="AA11" s="103">
        <v>380</v>
      </c>
      <c r="AB11" s="103">
        <v>330.5</v>
      </c>
      <c r="AC11" s="103">
        <v>195</v>
      </c>
      <c r="AD11" s="103">
        <v>295</v>
      </c>
      <c r="AE11" s="103">
        <v>315</v>
      </c>
      <c r="AF11" s="103">
        <v>260</v>
      </c>
      <c r="AG11" s="54">
        <v>456</v>
      </c>
      <c r="AH11" s="21">
        <f>MAX(B11:AF11)</f>
        <v>380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27</v>
      </c>
      <c r="C12" s="103">
        <v>27</v>
      </c>
      <c r="D12" s="103">
        <v>27</v>
      </c>
      <c r="E12" s="103">
        <v>27</v>
      </c>
      <c r="F12" s="103">
        <v>27</v>
      </c>
      <c r="G12" s="103">
        <v>27</v>
      </c>
      <c r="H12" s="103">
        <v>27</v>
      </c>
      <c r="I12" s="103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16.2</v>
      </c>
      <c r="C13" s="103">
        <v>18.899999999999999</v>
      </c>
      <c r="D13" s="103">
        <v>19.600000000000001</v>
      </c>
      <c r="E13" s="103">
        <v>20.7</v>
      </c>
      <c r="F13" s="103">
        <v>20.7</v>
      </c>
      <c r="G13" s="103">
        <v>20.7</v>
      </c>
      <c r="H13" s="103">
        <v>20.7</v>
      </c>
      <c r="I13" s="103">
        <v>21.5</v>
      </c>
      <c r="J13" s="103">
        <v>21.5</v>
      </c>
      <c r="K13" s="103">
        <v>21.5</v>
      </c>
      <c r="L13" s="103">
        <v>19.2</v>
      </c>
      <c r="M13" s="127">
        <v>19.2</v>
      </c>
      <c r="N13" s="127">
        <v>19.2</v>
      </c>
      <c r="O13" s="127">
        <v>19.2</v>
      </c>
      <c r="P13" s="127">
        <v>19.2</v>
      </c>
      <c r="Q13" s="127">
        <v>19.2</v>
      </c>
      <c r="R13" s="127">
        <v>19.2</v>
      </c>
      <c r="S13" s="127">
        <v>19.2</v>
      </c>
      <c r="T13" s="127">
        <v>19.2</v>
      </c>
      <c r="U13" s="127">
        <v>19.2</v>
      </c>
      <c r="V13" s="127">
        <v>19.2</v>
      </c>
      <c r="W13" s="127">
        <v>19.2</v>
      </c>
      <c r="X13" s="127">
        <v>19.2</v>
      </c>
      <c r="Y13" s="127">
        <v>19.2</v>
      </c>
      <c r="Z13" s="103">
        <v>19.2</v>
      </c>
      <c r="AA13" s="103">
        <v>19.2</v>
      </c>
      <c r="AB13" s="103">
        <v>19.2</v>
      </c>
      <c r="AC13" s="103">
        <v>19.2</v>
      </c>
      <c r="AD13" s="103">
        <v>17.2</v>
      </c>
      <c r="AE13" s="103">
        <v>17.100000000000001</v>
      </c>
      <c r="AF13" s="103">
        <v>17.2</v>
      </c>
      <c r="AG13" s="134">
        <v>52.4</v>
      </c>
      <c r="AH13" s="21">
        <f t="shared" si="2"/>
        <v>21.5</v>
      </c>
      <c r="AI13" s="20">
        <f t="shared" si="3"/>
        <v>16.2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25.2</v>
      </c>
      <c r="C14" s="103">
        <v>25.2</v>
      </c>
      <c r="D14" s="103">
        <v>25.4</v>
      </c>
      <c r="E14" s="103">
        <v>25.4</v>
      </c>
      <c r="F14" s="103">
        <v>25.4</v>
      </c>
      <c r="G14" s="103">
        <v>25.4</v>
      </c>
      <c r="H14" s="103">
        <v>25.4</v>
      </c>
      <c r="I14" s="103">
        <v>25.4</v>
      </c>
      <c r="J14" s="103">
        <v>25.4</v>
      </c>
      <c r="K14" s="103">
        <v>25.4</v>
      </c>
      <c r="L14" s="103">
        <v>25.1</v>
      </c>
      <c r="M14" s="103">
        <v>25.1</v>
      </c>
      <c r="N14" s="103">
        <v>25.1</v>
      </c>
      <c r="O14" s="103">
        <v>25.1</v>
      </c>
      <c r="P14" s="103">
        <v>25.1</v>
      </c>
      <c r="Q14" s="103">
        <v>25.1</v>
      </c>
      <c r="R14" s="103">
        <v>25.1</v>
      </c>
      <c r="S14" s="103">
        <v>25.1</v>
      </c>
      <c r="T14" s="103">
        <v>25.1</v>
      </c>
      <c r="U14" s="103">
        <v>25.1</v>
      </c>
      <c r="V14" s="103">
        <v>25.1</v>
      </c>
      <c r="W14" s="103">
        <v>25.1</v>
      </c>
      <c r="X14" s="103">
        <v>25.1</v>
      </c>
      <c r="Y14" s="103">
        <v>25.1</v>
      </c>
      <c r="Z14" s="103">
        <v>25.1</v>
      </c>
      <c r="AA14" s="103">
        <v>25.1</v>
      </c>
      <c r="AB14" s="103">
        <v>25.1</v>
      </c>
      <c r="AC14" s="103">
        <v>25.1</v>
      </c>
      <c r="AD14" s="103">
        <v>25.4</v>
      </c>
      <c r="AE14" s="103">
        <v>25.5</v>
      </c>
      <c r="AF14" s="103">
        <v>25.1</v>
      </c>
      <c r="AG14" s="134">
        <v>50</v>
      </c>
      <c r="AH14" s="21">
        <f t="shared" si="2"/>
        <v>25.5</v>
      </c>
      <c r="AI14" s="20">
        <f t="shared" si="3"/>
        <v>25.1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22.7</v>
      </c>
      <c r="C15" s="103">
        <v>22.8</v>
      </c>
      <c r="D15" s="103">
        <v>22.7</v>
      </c>
      <c r="E15" s="103">
        <v>22.7</v>
      </c>
      <c r="F15" s="103">
        <v>22.7</v>
      </c>
      <c r="G15" s="103">
        <v>22.7</v>
      </c>
      <c r="H15" s="103">
        <v>22.7</v>
      </c>
      <c r="I15" s="103">
        <v>22.7</v>
      </c>
      <c r="J15" s="103">
        <v>22.7</v>
      </c>
      <c r="K15" s="103">
        <v>22.7</v>
      </c>
      <c r="L15" s="103">
        <v>22.7</v>
      </c>
      <c r="M15" s="103">
        <v>22.7</v>
      </c>
      <c r="N15" s="103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103">
        <v>22.7</v>
      </c>
      <c r="V15" s="103">
        <v>22.7</v>
      </c>
      <c r="W15" s="103">
        <v>22.7</v>
      </c>
      <c r="X15" s="103">
        <v>22.7</v>
      </c>
      <c r="Y15" s="103">
        <v>22.7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22.7</v>
      </c>
      <c r="AE15" s="103">
        <v>22.7</v>
      </c>
      <c r="AF15" s="103">
        <v>22.7</v>
      </c>
      <c r="AG15" s="108">
        <v>45</v>
      </c>
      <c r="AH15" s="21">
        <f t="shared" si="2"/>
        <v>22.8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14</v>
      </c>
      <c r="C16" s="103">
        <v>14</v>
      </c>
      <c r="D16" s="103">
        <v>14</v>
      </c>
      <c r="E16" s="103">
        <v>14</v>
      </c>
      <c r="F16" s="103">
        <v>14</v>
      </c>
      <c r="G16" s="103">
        <v>14</v>
      </c>
      <c r="H16" s="103">
        <v>14</v>
      </c>
      <c r="I16" s="103">
        <v>14</v>
      </c>
      <c r="J16" s="103">
        <v>14</v>
      </c>
      <c r="K16" s="103">
        <v>14</v>
      </c>
      <c r="L16" s="103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12</v>
      </c>
      <c r="C17" s="103">
        <v>12</v>
      </c>
      <c r="D17" s="103">
        <v>12</v>
      </c>
      <c r="E17" s="103">
        <v>12</v>
      </c>
      <c r="F17" s="103">
        <v>12</v>
      </c>
      <c r="G17" s="103">
        <v>12</v>
      </c>
      <c r="H17" s="103">
        <v>12</v>
      </c>
      <c r="I17" s="103">
        <v>12</v>
      </c>
      <c r="J17" s="103">
        <v>12</v>
      </c>
      <c r="K17" s="103">
        <v>12</v>
      </c>
      <c r="L17" s="103">
        <v>12</v>
      </c>
      <c r="M17" s="103">
        <v>12</v>
      </c>
      <c r="N17" s="103">
        <v>12</v>
      </c>
      <c r="O17" s="103">
        <v>12</v>
      </c>
      <c r="P17" s="103">
        <v>12</v>
      </c>
      <c r="Q17" s="103">
        <v>12</v>
      </c>
      <c r="R17" s="103">
        <v>12</v>
      </c>
      <c r="S17" s="103">
        <v>12</v>
      </c>
      <c r="T17" s="103">
        <v>12</v>
      </c>
      <c r="U17" s="103">
        <v>12</v>
      </c>
      <c r="V17" s="103">
        <v>12</v>
      </c>
      <c r="W17" s="103">
        <v>12</v>
      </c>
      <c r="X17" s="103">
        <v>12</v>
      </c>
      <c r="Y17" s="103">
        <v>12</v>
      </c>
      <c r="Z17" s="103">
        <v>12</v>
      </c>
      <c r="AA17" s="103">
        <v>12</v>
      </c>
      <c r="AB17" s="103">
        <v>12</v>
      </c>
      <c r="AC17" s="103">
        <v>12</v>
      </c>
      <c r="AD17" s="103">
        <v>12</v>
      </c>
      <c r="AE17" s="103">
        <v>12</v>
      </c>
      <c r="AF17" s="103">
        <v>12</v>
      </c>
      <c r="AG17" s="134">
        <v>42</v>
      </c>
      <c r="AH17" s="21">
        <f t="shared" si="2"/>
        <v>12</v>
      </c>
      <c r="AI17" s="20">
        <f t="shared" si="3"/>
        <v>12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03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13.2</v>
      </c>
      <c r="C19" s="103">
        <v>13.2</v>
      </c>
      <c r="D19" s="103">
        <v>13.1</v>
      </c>
      <c r="E19" s="103">
        <v>13.1</v>
      </c>
      <c r="F19" s="103">
        <v>13.1</v>
      </c>
      <c r="G19" s="103">
        <v>13.1</v>
      </c>
      <c r="H19" s="103">
        <v>13.1</v>
      </c>
      <c r="I19" s="103">
        <v>13.1</v>
      </c>
      <c r="J19" s="103">
        <v>13.1</v>
      </c>
      <c r="K19" s="103">
        <v>13.1</v>
      </c>
      <c r="L19" s="103">
        <v>13.1</v>
      </c>
      <c r="M19" s="103">
        <v>13.1</v>
      </c>
      <c r="N19" s="103">
        <v>13.1</v>
      </c>
      <c r="O19" s="103">
        <v>13.1</v>
      </c>
      <c r="P19" s="103">
        <v>13.1</v>
      </c>
      <c r="Q19" s="103">
        <v>13.1</v>
      </c>
      <c r="R19" s="103">
        <v>13.1</v>
      </c>
      <c r="S19" s="103">
        <v>13.1</v>
      </c>
      <c r="T19" s="103">
        <v>13.1</v>
      </c>
      <c r="U19" s="103">
        <v>13.1</v>
      </c>
      <c r="V19" s="103">
        <v>13.1</v>
      </c>
      <c r="W19" s="103">
        <v>13.1</v>
      </c>
      <c r="X19" s="103">
        <v>13.1</v>
      </c>
      <c r="Y19" s="103">
        <v>13.1</v>
      </c>
      <c r="Z19" s="103">
        <v>13.1</v>
      </c>
      <c r="AA19" s="103">
        <v>13.1</v>
      </c>
      <c r="AB19" s="103">
        <v>13.1</v>
      </c>
      <c r="AC19" s="103">
        <v>13.1</v>
      </c>
      <c r="AD19" s="103">
        <v>13.2</v>
      </c>
      <c r="AE19" s="103">
        <v>13.3</v>
      </c>
      <c r="AF19" s="103">
        <v>13.2</v>
      </c>
      <c r="AG19" s="134">
        <v>30</v>
      </c>
      <c r="AH19" s="21">
        <f t="shared" si="2"/>
        <v>13.3</v>
      </c>
      <c r="AI19" s="20">
        <f t="shared" si="3"/>
        <v>13.1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6.2</v>
      </c>
      <c r="C20" s="103">
        <v>6.2</v>
      </c>
      <c r="D20" s="103">
        <v>6.2</v>
      </c>
      <c r="E20" s="103">
        <v>6.2</v>
      </c>
      <c r="F20" s="103">
        <v>6.2</v>
      </c>
      <c r="G20" s="103">
        <v>6.2</v>
      </c>
      <c r="H20" s="103">
        <v>6.2</v>
      </c>
      <c r="I20" s="103">
        <v>6.2</v>
      </c>
      <c r="J20" s="103">
        <v>6.2</v>
      </c>
      <c r="K20" s="103">
        <v>6.2</v>
      </c>
      <c r="L20" s="103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03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22.5</v>
      </c>
      <c r="C22" s="103">
        <v>22.5</v>
      </c>
      <c r="D22" s="103">
        <v>22.5</v>
      </c>
      <c r="E22" s="103">
        <v>22.5</v>
      </c>
      <c r="F22" s="103">
        <v>22.5</v>
      </c>
      <c r="G22" s="103">
        <v>22.5</v>
      </c>
      <c r="H22" s="103">
        <v>22.5</v>
      </c>
      <c r="I22" s="103">
        <v>22.5</v>
      </c>
      <c r="J22" s="103">
        <v>22.5</v>
      </c>
      <c r="K22" s="103">
        <v>22.5</v>
      </c>
      <c r="L22" s="103">
        <v>22.6</v>
      </c>
      <c r="M22" s="103">
        <v>22.6</v>
      </c>
      <c r="N22" s="103">
        <v>22.7</v>
      </c>
      <c r="O22" s="103">
        <v>22.7</v>
      </c>
      <c r="P22" s="103">
        <v>22.7</v>
      </c>
      <c r="Q22" s="103">
        <v>22.7</v>
      </c>
      <c r="R22" s="103">
        <v>22.7</v>
      </c>
      <c r="S22" s="103">
        <v>22.7</v>
      </c>
      <c r="T22" s="103">
        <v>22.7</v>
      </c>
      <c r="U22" s="103">
        <v>22.7</v>
      </c>
      <c r="V22" s="103">
        <v>22.7</v>
      </c>
      <c r="W22" s="103">
        <v>22.7</v>
      </c>
      <c r="X22" s="103">
        <v>22.7</v>
      </c>
      <c r="Y22" s="103">
        <v>22.7</v>
      </c>
      <c r="Z22" s="103">
        <v>22.8</v>
      </c>
      <c r="AA22" s="103">
        <v>22.8</v>
      </c>
      <c r="AB22" s="103">
        <v>22.8</v>
      </c>
      <c r="AC22" s="103">
        <v>22.8</v>
      </c>
      <c r="AD22" s="103">
        <v>22.7</v>
      </c>
      <c r="AE22" s="103">
        <v>23</v>
      </c>
      <c r="AF22" s="103">
        <v>23.2</v>
      </c>
      <c r="AG22" s="134">
        <v>25</v>
      </c>
      <c r="AH22" s="21">
        <f t="shared" si="2"/>
        <v>23.2</v>
      </c>
      <c r="AI22" s="20">
        <f t="shared" si="3"/>
        <v>22.5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4.9000000000000004</v>
      </c>
      <c r="C23" s="103">
        <v>4.9000000000000004</v>
      </c>
      <c r="D23" s="103">
        <v>4.9000000000000004</v>
      </c>
      <c r="E23" s="103">
        <v>4.9000000000000004</v>
      </c>
      <c r="F23" s="103">
        <v>4.9000000000000004</v>
      </c>
      <c r="G23" s="103">
        <v>4.9000000000000004</v>
      </c>
      <c r="H23" s="103">
        <v>4.9000000000000004</v>
      </c>
      <c r="I23" s="103">
        <v>4.9000000000000004</v>
      </c>
      <c r="J23" s="103">
        <v>4.9000000000000004</v>
      </c>
      <c r="K23" s="103">
        <v>4.9000000000000004</v>
      </c>
      <c r="L23" s="103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9.4</v>
      </c>
      <c r="C24" s="103">
        <v>9.4</v>
      </c>
      <c r="D24" s="103">
        <v>8.8000000000000007</v>
      </c>
      <c r="E24" s="103">
        <v>8.8000000000000007</v>
      </c>
      <c r="F24" s="103">
        <v>8.8000000000000007</v>
      </c>
      <c r="G24" s="103">
        <v>8.8000000000000007</v>
      </c>
      <c r="H24" s="103">
        <v>8.8000000000000007</v>
      </c>
      <c r="I24" s="103">
        <v>8.8000000000000007</v>
      </c>
      <c r="J24" s="103">
        <v>8.8000000000000007</v>
      </c>
      <c r="K24" s="103">
        <v>8.8000000000000007</v>
      </c>
      <c r="L24" s="103">
        <v>7.7</v>
      </c>
      <c r="M24" s="103">
        <v>7.7</v>
      </c>
      <c r="N24" s="103">
        <v>7.7</v>
      </c>
      <c r="O24" s="103">
        <v>7.7</v>
      </c>
      <c r="P24" s="103">
        <v>7.7</v>
      </c>
      <c r="Q24" s="103">
        <v>7.7</v>
      </c>
      <c r="R24" s="103">
        <v>7.7</v>
      </c>
      <c r="S24" s="103">
        <v>7.7</v>
      </c>
      <c r="T24" s="103">
        <v>7.7</v>
      </c>
      <c r="U24" s="103">
        <v>7.7</v>
      </c>
      <c r="V24" s="103">
        <v>7.7</v>
      </c>
      <c r="W24" s="103">
        <v>7.7</v>
      </c>
      <c r="X24" s="103">
        <v>7.7</v>
      </c>
      <c r="Y24" s="103">
        <v>7.7</v>
      </c>
      <c r="Z24" s="103">
        <v>7.7</v>
      </c>
      <c r="AA24" s="103">
        <v>7.7</v>
      </c>
      <c r="AB24" s="103">
        <v>7.7</v>
      </c>
      <c r="AC24" s="103">
        <v>7.7</v>
      </c>
      <c r="AD24" s="103">
        <v>7.7</v>
      </c>
      <c r="AE24" s="103">
        <v>7.8</v>
      </c>
      <c r="AF24" s="103">
        <v>7.9</v>
      </c>
      <c r="AG24" s="134">
        <v>25</v>
      </c>
      <c r="AH24" s="21">
        <f t="shared" si="2"/>
        <v>9.4</v>
      </c>
      <c r="AI24" s="20">
        <f t="shared" si="3"/>
        <v>7.7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03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11</v>
      </c>
      <c r="C26" s="103">
        <v>11</v>
      </c>
      <c r="D26" s="103">
        <v>11</v>
      </c>
      <c r="E26" s="103">
        <v>11</v>
      </c>
      <c r="F26" s="103">
        <v>11</v>
      </c>
      <c r="G26" s="103">
        <v>11</v>
      </c>
      <c r="H26" s="103">
        <v>11</v>
      </c>
      <c r="I26" s="103">
        <v>11</v>
      </c>
      <c r="J26" s="103">
        <v>11</v>
      </c>
      <c r="K26" s="103">
        <v>11</v>
      </c>
      <c r="L26" s="103">
        <v>11</v>
      </c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5.6</v>
      </c>
      <c r="C28" s="103">
        <v>5.6</v>
      </c>
      <c r="D28" s="103">
        <v>5.6</v>
      </c>
      <c r="E28" s="103">
        <v>5.6</v>
      </c>
      <c r="F28" s="103">
        <v>5.6</v>
      </c>
      <c r="G28" s="103">
        <v>5.6</v>
      </c>
      <c r="H28" s="103">
        <v>5.6</v>
      </c>
      <c r="I28" s="103">
        <v>5.6</v>
      </c>
      <c r="J28" s="103">
        <v>5.6</v>
      </c>
      <c r="K28" s="103">
        <v>5.6</v>
      </c>
      <c r="L28" s="103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03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03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0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03">
        <v>2.5</v>
      </c>
      <c r="L33" s="10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f>34.5+23.4</f>
        <v>57.9</v>
      </c>
      <c r="C37" s="128">
        <f>37.7+23.8</f>
        <v>61.5</v>
      </c>
      <c r="D37" s="128">
        <f>39.8+22.1</f>
        <v>61.9</v>
      </c>
      <c r="E37" s="128">
        <v>62</v>
      </c>
      <c r="F37" s="128">
        <v>62</v>
      </c>
      <c r="G37" s="128">
        <v>63</v>
      </c>
      <c r="H37" s="128">
        <v>60</v>
      </c>
      <c r="I37" s="128">
        <v>59</v>
      </c>
      <c r="J37" s="128">
        <v>51.3</v>
      </c>
      <c r="K37" s="128">
        <v>51.3</v>
      </c>
      <c r="L37" s="128">
        <f>29.4+20.6</f>
        <v>50</v>
      </c>
      <c r="M37" s="128">
        <f>20.8+29.1</f>
        <v>49.900000000000006</v>
      </c>
      <c r="N37" s="128">
        <f>45.5+20.1</f>
        <v>65.599999999999994</v>
      </c>
      <c r="O37" s="128">
        <f>45.5+20.1</f>
        <v>65.599999999999994</v>
      </c>
      <c r="P37" s="128">
        <v>63.8</v>
      </c>
      <c r="Q37" s="128">
        <f>35.9+22.6</f>
        <v>58.5</v>
      </c>
      <c r="R37" s="128">
        <f>33.7+22.5</f>
        <v>56.2</v>
      </c>
      <c r="S37" s="128">
        <v>57.8</v>
      </c>
      <c r="T37" s="128">
        <v>49.5</v>
      </c>
      <c r="U37" s="128">
        <v>48</v>
      </c>
      <c r="V37" s="128">
        <v>55.7</v>
      </c>
      <c r="W37" s="128">
        <v>53.1</v>
      </c>
      <c r="X37" s="128">
        <v>53</v>
      </c>
      <c r="Y37" s="128">
        <v>44</v>
      </c>
      <c r="Z37" s="128">
        <v>49</v>
      </c>
      <c r="AA37" s="128">
        <v>44</v>
      </c>
      <c r="AB37" s="128">
        <v>44</v>
      </c>
      <c r="AC37" s="128">
        <f>27.1+20.4</f>
        <v>47.5</v>
      </c>
      <c r="AD37" s="128">
        <f>27.7+20.9</f>
        <v>48.599999999999994</v>
      </c>
      <c r="AE37" s="128">
        <f>27.2+21.3</f>
        <v>48.5</v>
      </c>
      <c r="AF37" s="128">
        <f>27.2+21.6</f>
        <v>48.8</v>
      </c>
      <c r="AG37" s="106">
        <v>240</v>
      </c>
      <c r="AH37" s="21">
        <f t="shared" si="2"/>
        <v>65.599999999999994</v>
      </c>
      <c r="AI37" s="20">
        <f t="shared" si="3"/>
        <v>44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600.69999999999993</v>
      </c>
      <c r="C38" s="99">
        <f t="shared" ref="C38:AF38" si="5">SUM(C11:C36)</f>
        <v>488.49999999999994</v>
      </c>
      <c r="D38" s="99">
        <f t="shared" si="5"/>
        <v>423.59999999999997</v>
      </c>
      <c r="E38" s="99">
        <f t="shared" si="5"/>
        <v>416.7</v>
      </c>
      <c r="F38" s="99">
        <f t="shared" si="5"/>
        <v>424.7</v>
      </c>
      <c r="G38" s="99">
        <f t="shared" si="5"/>
        <v>434.7</v>
      </c>
      <c r="H38" s="99">
        <f t="shared" si="5"/>
        <v>494.7</v>
      </c>
      <c r="I38" s="99">
        <f t="shared" si="5"/>
        <v>633.5</v>
      </c>
      <c r="J38" s="99">
        <f t="shared" si="5"/>
        <v>475.5</v>
      </c>
      <c r="K38" s="99">
        <f t="shared" si="5"/>
        <v>485.5</v>
      </c>
      <c r="L38" s="99">
        <f t="shared" si="5"/>
        <v>482.9</v>
      </c>
      <c r="M38" s="99">
        <f t="shared" si="5"/>
        <v>471.90000000000003</v>
      </c>
      <c r="N38" s="99">
        <f t="shared" si="5"/>
        <v>472</v>
      </c>
      <c r="O38" s="99">
        <f t="shared" ref="O38" si="6">SUM(O11:O36)</f>
        <v>554</v>
      </c>
      <c r="P38" s="99">
        <f t="shared" si="5"/>
        <v>452</v>
      </c>
      <c r="Q38" s="99">
        <f t="shared" si="5"/>
        <v>532</v>
      </c>
      <c r="R38" s="99">
        <f t="shared" si="5"/>
        <v>530</v>
      </c>
      <c r="S38" s="99">
        <f t="shared" si="5"/>
        <v>562</v>
      </c>
      <c r="T38" s="99">
        <f t="shared" si="5"/>
        <v>511.99999999999994</v>
      </c>
      <c r="U38" s="99">
        <f t="shared" si="5"/>
        <v>511.99999999999994</v>
      </c>
      <c r="V38" s="99">
        <f t="shared" si="5"/>
        <v>572</v>
      </c>
      <c r="W38" s="99">
        <f t="shared" si="5"/>
        <v>552</v>
      </c>
      <c r="X38" s="99">
        <f t="shared" si="5"/>
        <v>582</v>
      </c>
      <c r="Y38" s="99">
        <f t="shared" si="5"/>
        <v>702</v>
      </c>
      <c r="Z38" s="99">
        <f t="shared" si="5"/>
        <v>782.10000000000014</v>
      </c>
      <c r="AA38" s="99">
        <f t="shared" si="5"/>
        <v>782.10000000000014</v>
      </c>
      <c r="AB38" s="99">
        <f t="shared" si="5"/>
        <v>732.60000000000014</v>
      </c>
      <c r="AC38" s="99">
        <f t="shared" si="5"/>
        <v>597.1</v>
      </c>
      <c r="AD38" s="99">
        <f t="shared" si="5"/>
        <v>695.4</v>
      </c>
      <c r="AE38" s="99">
        <f t="shared" si="5"/>
        <v>715.90000000000009</v>
      </c>
      <c r="AF38" s="99">
        <f t="shared" si="5"/>
        <v>660.8</v>
      </c>
      <c r="AG38" s="106">
        <f>SUM(AG11:AG37)</f>
        <v>1492.8299999999997</v>
      </c>
      <c r="AH38" s="21">
        <f t="shared" si="2"/>
        <v>782.10000000000014</v>
      </c>
      <c r="AI38" s="20">
        <f t="shared" si="3"/>
        <v>416.7</v>
      </c>
      <c r="AK38" s="42"/>
    </row>
    <row r="39" spans="1:88" x14ac:dyDescent="0.25">
      <c r="A39" s="109" t="s">
        <v>172</v>
      </c>
      <c r="B39" s="103">
        <v>144.5</v>
      </c>
      <c r="C39" s="103">
        <v>121.4</v>
      </c>
      <c r="D39" s="123">
        <v>90</v>
      </c>
      <c r="E39" s="123">
        <v>70.7</v>
      </c>
      <c r="F39" s="123">
        <v>65.5</v>
      </c>
      <c r="G39" s="123">
        <v>66</v>
      </c>
      <c r="H39" s="123">
        <v>66</v>
      </c>
      <c r="I39" s="123">
        <v>81.400000000000006</v>
      </c>
      <c r="J39" s="123">
        <v>65.7</v>
      </c>
      <c r="K39" s="123">
        <v>110</v>
      </c>
      <c r="L39" s="123">
        <v>131.30000000000001</v>
      </c>
      <c r="M39" s="103">
        <v>121.4</v>
      </c>
      <c r="N39" s="103">
        <v>121.7</v>
      </c>
      <c r="O39" s="103">
        <v>121.8</v>
      </c>
      <c r="P39" s="103">
        <v>106.8</v>
      </c>
      <c r="Q39" s="103">
        <v>106.4</v>
      </c>
      <c r="R39" s="103">
        <v>144.4</v>
      </c>
      <c r="S39" s="103">
        <v>102</v>
      </c>
      <c r="T39" s="103">
        <v>111.8</v>
      </c>
      <c r="U39" s="103">
        <v>131.80000000000001</v>
      </c>
      <c r="V39" s="103">
        <v>111.6</v>
      </c>
      <c r="W39" s="103">
        <v>101.8</v>
      </c>
      <c r="X39" s="103">
        <v>101.8</v>
      </c>
      <c r="Y39" s="103">
        <v>141.6</v>
      </c>
      <c r="Z39" s="103">
        <v>141.6</v>
      </c>
      <c r="AA39" s="103">
        <v>145.4</v>
      </c>
      <c r="AB39" s="103">
        <v>141.4</v>
      </c>
      <c r="AC39" s="103">
        <v>141.4</v>
      </c>
      <c r="AD39" s="103">
        <v>141.4</v>
      </c>
      <c r="AE39" s="103">
        <v>120</v>
      </c>
      <c r="AF39" s="127">
        <v>144.69999999999999</v>
      </c>
      <c r="AG39" s="108">
        <v>144</v>
      </c>
      <c r="AH39" s="21">
        <f t="shared" si="2"/>
        <v>145.4</v>
      </c>
      <c r="AI39" s="20">
        <f t="shared" si="3"/>
        <v>65.5</v>
      </c>
      <c r="AK39" s="42"/>
    </row>
    <row r="40" spans="1:88" x14ac:dyDescent="0.25">
      <c r="A40" s="107" t="s">
        <v>171</v>
      </c>
      <c r="B40" s="73">
        <v>70.599999999999994</v>
      </c>
      <c r="C40" s="73">
        <v>71.099999999999994</v>
      </c>
      <c r="D40" s="123">
        <v>55.5</v>
      </c>
      <c r="E40" s="123">
        <v>25.7</v>
      </c>
      <c r="F40" s="123">
        <v>34</v>
      </c>
      <c r="G40" s="123">
        <v>45</v>
      </c>
      <c r="H40" s="123">
        <v>72</v>
      </c>
      <c r="I40" s="123">
        <v>61.8</v>
      </c>
      <c r="J40" s="123">
        <v>60.8</v>
      </c>
      <c r="K40" s="123">
        <v>70</v>
      </c>
      <c r="L40" s="123">
        <v>69.099999999999994</v>
      </c>
      <c r="M40" s="73">
        <v>69.5</v>
      </c>
      <c r="N40" s="73">
        <v>70.3</v>
      </c>
      <c r="O40" s="73">
        <v>70.900000000000006</v>
      </c>
      <c r="P40" s="73">
        <v>50.7</v>
      </c>
      <c r="Q40" s="73">
        <v>59.6</v>
      </c>
      <c r="R40" s="73">
        <v>69.400000000000006</v>
      </c>
      <c r="S40" s="73">
        <v>61.7</v>
      </c>
      <c r="T40" s="73">
        <v>62</v>
      </c>
      <c r="U40" s="73">
        <v>60.7</v>
      </c>
      <c r="V40" s="73">
        <v>69.7</v>
      </c>
      <c r="W40" s="73">
        <v>71.7</v>
      </c>
      <c r="X40" s="73">
        <v>71.7</v>
      </c>
      <c r="Y40" s="73">
        <v>70.400000000000006</v>
      </c>
      <c r="Z40" s="73">
        <v>70.400000000000006</v>
      </c>
      <c r="AA40" s="73">
        <v>72.7</v>
      </c>
      <c r="AB40" s="73">
        <v>70.599999999999994</v>
      </c>
      <c r="AC40" s="73">
        <v>70.599999999999994</v>
      </c>
      <c r="AD40" s="73">
        <v>72</v>
      </c>
      <c r="AE40" s="73">
        <v>68.5</v>
      </c>
      <c r="AF40" s="123">
        <v>52.7</v>
      </c>
      <c r="AG40" s="106">
        <v>70</v>
      </c>
      <c r="AH40" s="21">
        <f t="shared" si="2"/>
        <v>72.7</v>
      </c>
      <c r="AI40" s="20">
        <f t="shared" si="3"/>
        <v>25.7</v>
      </c>
      <c r="AK40" s="42"/>
    </row>
    <row r="41" spans="1:88" x14ac:dyDescent="0.25">
      <c r="A41" s="107" t="s">
        <v>170</v>
      </c>
      <c r="B41" s="73">
        <v>59.2</v>
      </c>
      <c r="C41" s="73">
        <v>66.2</v>
      </c>
      <c r="D41" s="123">
        <v>66</v>
      </c>
      <c r="E41" s="123">
        <v>39</v>
      </c>
      <c r="F41" s="123">
        <v>63.5</v>
      </c>
      <c r="G41" s="123">
        <v>63.3</v>
      </c>
      <c r="H41" s="123">
        <v>57</v>
      </c>
      <c r="I41" s="123">
        <v>66</v>
      </c>
      <c r="J41" s="123">
        <v>67</v>
      </c>
      <c r="K41" s="123">
        <v>67</v>
      </c>
      <c r="L41" s="123">
        <v>66.400000000000006</v>
      </c>
      <c r="M41" s="73">
        <v>55.5</v>
      </c>
      <c r="N41" s="73">
        <v>61</v>
      </c>
      <c r="O41" s="73">
        <v>61</v>
      </c>
      <c r="P41" s="73">
        <v>35.6</v>
      </c>
      <c r="Q41" s="73">
        <v>44.7</v>
      </c>
      <c r="R41" s="73">
        <v>45.2</v>
      </c>
      <c r="S41" s="73">
        <v>58.6</v>
      </c>
      <c r="T41" s="73">
        <v>66.8</v>
      </c>
      <c r="U41" s="73">
        <v>63.7</v>
      </c>
      <c r="V41" s="73">
        <v>62.1</v>
      </c>
      <c r="W41" s="73">
        <v>66.3</v>
      </c>
      <c r="X41" s="73">
        <v>66.3</v>
      </c>
      <c r="Y41" s="73">
        <v>66.400000000000006</v>
      </c>
      <c r="Z41" s="73">
        <v>66.400000000000006</v>
      </c>
      <c r="AA41" s="73">
        <v>66.400000000000006</v>
      </c>
      <c r="AB41" s="73">
        <v>66</v>
      </c>
      <c r="AC41" s="73">
        <v>66</v>
      </c>
      <c r="AD41" s="73">
        <v>65.900000000000006</v>
      </c>
      <c r="AE41" s="73">
        <v>66.2</v>
      </c>
      <c r="AF41" s="123">
        <v>47.9</v>
      </c>
      <c r="AG41" s="106">
        <v>69</v>
      </c>
      <c r="AH41" s="21">
        <f t="shared" si="2"/>
        <v>67</v>
      </c>
      <c r="AI41" s="20">
        <f t="shared" si="3"/>
        <v>35.6</v>
      </c>
      <c r="AK41" s="42"/>
    </row>
    <row r="42" spans="1:88" x14ac:dyDescent="0.25">
      <c r="A42" s="107" t="s">
        <v>169</v>
      </c>
      <c r="B42" s="73">
        <v>60.9</v>
      </c>
      <c r="C42" s="7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>
        <v>60.9</v>
      </c>
      <c r="M42" s="73">
        <v>60.7</v>
      </c>
      <c r="N42" s="73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60.9</v>
      </c>
      <c r="T42" s="73">
        <v>60.9</v>
      </c>
      <c r="U42" s="73">
        <v>60.9</v>
      </c>
      <c r="V42" s="73">
        <v>60.9</v>
      </c>
      <c r="W42" s="73">
        <v>60.9</v>
      </c>
      <c r="X42" s="73">
        <v>60.9</v>
      </c>
      <c r="Y42" s="73">
        <v>60.9</v>
      </c>
      <c r="Z42" s="73">
        <v>60.9</v>
      </c>
      <c r="AA42" s="73">
        <v>60.9</v>
      </c>
      <c r="AB42" s="73">
        <v>60.9</v>
      </c>
      <c r="AC42" s="73">
        <v>60.9</v>
      </c>
      <c r="AD42" s="73">
        <v>60.9</v>
      </c>
      <c r="AE42" s="73">
        <v>60.9</v>
      </c>
      <c r="AF42" s="73">
        <v>60.9</v>
      </c>
      <c r="AG42" s="106">
        <v>60</v>
      </c>
      <c r="AH42" s="21">
        <f t="shared" si="2"/>
        <v>60.9</v>
      </c>
      <c r="AI42" s="20">
        <f t="shared" si="3"/>
        <v>60.7</v>
      </c>
      <c r="AK42" s="42"/>
    </row>
    <row r="43" spans="1:88" x14ac:dyDescent="0.25">
      <c r="A43" s="107" t="s">
        <v>168</v>
      </c>
      <c r="B43" s="73">
        <v>15</v>
      </c>
      <c r="C43" s="73">
        <v>15</v>
      </c>
      <c r="D43" s="123">
        <v>10</v>
      </c>
      <c r="E43" s="123">
        <v>10</v>
      </c>
      <c r="F43" s="123">
        <v>10</v>
      </c>
      <c r="G43" s="123">
        <v>10</v>
      </c>
      <c r="H43" s="123">
        <v>22</v>
      </c>
      <c r="I43" s="123">
        <v>30</v>
      </c>
      <c r="J43" s="123">
        <v>30</v>
      </c>
      <c r="K43" s="123">
        <v>30</v>
      </c>
      <c r="L43" s="123">
        <v>27.5</v>
      </c>
      <c r="M43" s="103">
        <v>27.5</v>
      </c>
      <c r="N43" s="103">
        <v>23.7</v>
      </c>
      <c r="O43" s="103">
        <v>23.7</v>
      </c>
      <c r="P43" s="103">
        <v>22.9</v>
      </c>
      <c r="Q43" s="103">
        <v>22.9</v>
      </c>
      <c r="R43" s="103">
        <v>22.9</v>
      </c>
      <c r="S43" s="103">
        <v>10.3</v>
      </c>
      <c r="T43" s="103">
        <v>10.1</v>
      </c>
      <c r="U43" s="103">
        <v>10.1</v>
      </c>
      <c r="V43" s="103">
        <v>10.7</v>
      </c>
      <c r="W43" s="103">
        <v>10.7</v>
      </c>
      <c r="X43" s="103">
        <v>10.7</v>
      </c>
      <c r="Y43" s="103">
        <v>15</v>
      </c>
      <c r="Z43" s="73">
        <v>30</v>
      </c>
      <c r="AA43" s="73">
        <v>30</v>
      </c>
      <c r="AB43" s="73">
        <v>30</v>
      </c>
      <c r="AC43" s="73">
        <v>30</v>
      </c>
      <c r="AD43" s="73">
        <v>14.6</v>
      </c>
      <c r="AE43" s="73">
        <v>14.8</v>
      </c>
      <c r="AF43" s="73">
        <v>14.8</v>
      </c>
      <c r="AG43" s="106">
        <v>30</v>
      </c>
      <c r="AH43" s="21">
        <f t="shared" si="2"/>
        <v>30</v>
      </c>
      <c r="AI43" s="20">
        <f t="shared" si="3"/>
        <v>10</v>
      </c>
      <c r="AK43" s="42"/>
    </row>
    <row r="44" spans="1:88" x14ac:dyDescent="0.25">
      <c r="A44" s="107" t="s">
        <v>167</v>
      </c>
      <c r="B44" s="103">
        <v>0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0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17.600000000000001</v>
      </c>
      <c r="C45" s="103">
        <v>17.600000000000001</v>
      </c>
      <c r="D45" s="103">
        <v>17.600000000000001</v>
      </c>
      <c r="E45" s="103">
        <v>17.600000000000001</v>
      </c>
      <c r="F45" s="103">
        <v>17.600000000000001</v>
      </c>
      <c r="G45" s="103">
        <v>17.600000000000001</v>
      </c>
      <c r="H45" s="103">
        <v>17.600000000000001</v>
      </c>
      <c r="I45" s="103">
        <v>17.600000000000001</v>
      </c>
      <c r="J45" s="103">
        <v>17.600000000000001</v>
      </c>
      <c r="K45" s="103">
        <v>17.600000000000001</v>
      </c>
      <c r="L45" s="103">
        <v>17.600000000000001</v>
      </c>
      <c r="M45" s="103">
        <v>17.600000000000001</v>
      </c>
      <c r="N45" s="103">
        <v>17.600000000000001</v>
      </c>
      <c r="O45" s="103">
        <v>17.600000000000001</v>
      </c>
      <c r="P45" s="103">
        <v>17.600000000000001</v>
      </c>
      <c r="Q45" s="103">
        <v>17.600000000000001</v>
      </c>
      <c r="R45" s="103">
        <v>17.600000000000001</v>
      </c>
      <c r="S45" s="103">
        <v>17.600000000000001</v>
      </c>
      <c r="T45" s="103">
        <v>17.600000000000001</v>
      </c>
      <c r="U45" s="103">
        <v>17.600000000000001</v>
      </c>
      <c r="V45" s="103">
        <v>17.600000000000001</v>
      </c>
      <c r="W45" s="103">
        <v>17.600000000000001</v>
      </c>
      <c r="X45" s="103">
        <v>17.600000000000001</v>
      </c>
      <c r="Y45" s="103">
        <v>17.600000000000001</v>
      </c>
      <c r="Z45" s="103">
        <v>17.600000000000001</v>
      </c>
      <c r="AA45" s="103">
        <v>17.600000000000001</v>
      </c>
      <c r="AB45" s="103">
        <v>17.600000000000001</v>
      </c>
      <c r="AC45" s="103">
        <v>17.600000000000001</v>
      </c>
      <c r="AD45" s="103">
        <v>17.600000000000001</v>
      </c>
      <c r="AE45" s="103">
        <v>17.600000000000001</v>
      </c>
      <c r="AF45" s="103">
        <v>17.600000000000001</v>
      </c>
      <c r="AG45" s="106">
        <v>24</v>
      </c>
      <c r="AH45" s="21">
        <f t="shared" si="2"/>
        <v>17.600000000000001</v>
      </c>
      <c r="AI45" s="20">
        <f t="shared" si="3"/>
        <v>17.600000000000001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03">
        <v>12</v>
      </c>
      <c r="H47" s="103">
        <v>12</v>
      </c>
      <c r="I47" s="103">
        <v>12</v>
      </c>
      <c r="J47" s="103">
        <v>12</v>
      </c>
      <c r="K47" s="103">
        <v>12</v>
      </c>
      <c r="L47" s="10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7.2</v>
      </c>
      <c r="C48" s="103">
        <v>7.2</v>
      </c>
      <c r="D48" s="103">
        <v>7.2</v>
      </c>
      <c r="E48" s="103">
        <v>7.2</v>
      </c>
      <c r="F48" s="103">
        <v>7.2</v>
      </c>
      <c r="G48" s="103">
        <v>7.2</v>
      </c>
      <c r="H48" s="103">
        <v>7.2</v>
      </c>
      <c r="I48" s="103">
        <v>7.2</v>
      </c>
      <c r="J48" s="103">
        <v>7.2</v>
      </c>
      <c r="K48" s="103">
        <v>7.2</v>
      </c>
      <c r="L48" s="103">
        <v>7.2</v>
      </c>
      <c r="M48" s="103">
        <v>7.2</v>
      </c>
      <c r="N48" s="103">
        <v>7.2</v>
      </c>
      <c r="O48" s="103">
        <v>7.2</v>
      </c>
      <c r="P48" s="103">
        <v>7.2</v>
      </c>
      <c r="Q48" s="103">
        <v>7.2</v>
      </c>
      <c r="R48" s="10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03">
        <v>6.5</v>
      </c>
      <c r="C49" s="103">
        <v>6.5</v>
      </c>
      <c r="D49" s="103">
        <v>6.5</v>
      </c>
      <c r="E49" s="103">
        <v>6.5</v>
      </c>
      <c r="F49" s="103">
        <v>6.5</v>
      </c>
      <c r="G49" s="103">
        <v>6.5</v>
      </c>
      <c r="H49" s="103">
        <v>6.5</v>
      </c>
      <c r="I49" s="103">
        <v>6.5</v>
      </c>
      <c r="J49" s="103">
        <v>6.5</v>
      </c>
      <c r="K49" s="103">
        <v>6.5</v>
      </c>
      <c r="L49" s="103">
        <v>6.5</v>
      </c>
      <c r="M49" s="103">
        <v>6.5</v>
      </c>
      <c r="N49" s="103">
        <v>6.5</v>
      </c>
      <c r="O49" s="103">
        <v>6.5</v>
      </c>
      <c r="P49" s="103">
        <v>6.5</v>
      </c>
      <c r="Q49" s="103">
        <v>6.5</v>
      </c>
      <c r="R49" s="103">
        <v>6.5</v>
      </c>
      <c r="S49" s="103">
        <v>6.5</v>
      </c>
      <c r="T49" s="103">
        <v>6.5</v>
      </c>
      <c r="U49" s="103">
        <v>6.5</v>
      </c>
      <c r="V49" s="103">
        <v>6.5</v>
      </c>
      <c r="W49" s="103">
        <v>6.5</v>
      </c>
      <c r="X49" s="103">
        <v>6.5</v>
      </c>
      <c r="Y49" s="103">
        <v>6.5</v>
      </c>
      <c r="Z49" s="103">
        <v>6.5</v>
      </c>
      <c r="AA49" s="103">
        <v>6.5</v>
      </c>
      <c r="AB49" s="103">
        <v>6.5</v>
      </c>
      <c r="AC49" s="103">
        <v>6.5</v>
      </c>
      <c r="AD49" s="103">
        <v>6.5</v>
      </c>
      <c r="AE49" s="103">
        <v>6.5</v>
      </c>
      <c r="AF49" s="103">
        <v>6.5</v>
      </c>
      <c r="AG49" s="106">
        <v>10.050000000000001</v>
      </c>
      <c r="AH49" s="21">
        <f t="shared" si="2"/>
        <v>6.5</v>
      </c>
      <c r="AI49" s="20">
        <f t="shared" si="3"/>
        <v>6.5</v>
      </c>
      <c r="AK49" s="42"/>
    </row>
    <row r="50" spans="1:37" x14ac:dyDescent="0.25">
      <c r="A50" s="107" t="s">
        <v>161</v>
      </c>
      <c r="B50" s="103">
        <v>2.5</v>
      </c>
      <c r="C50" s="103">
        <v>2.5</v>
      </c>
      <c r="D50" s="103">
        <v>2.5</v>
      </c>
      <c r="E50" s="103">
        <v>2.5</v>
      </c>
      <c r="F50" s="103">
        <v>2.5</v>
      </c>
      <c r="G50" s="103">
        <v>2.5</v>
      </c>
      <c r="H50" s="103">
        <v>2.5</v>
      </c>
      <c r="I50" s="103">
        <v>2.5</v>
      </c>
      <c r="J50" s="103">
        <v>2.5</v>
      </c>
      <c r="K50" s="103">
        <v>2.5</v>
      </c>
      <c r="L50" s="103">
        <v>2.5</v>
      </c>
      <c r="M50" s="103">
        <v>2.5</v>
      </c>
      <c r="N50" s="103">
        <v>2.5</v>
      </c>
      <c r="O50" s="103">
        <v>2.5</v>
      </c>
      <c r="P50" s="103">
        <v>2.5</v>
      </c>
      <c r="Q50" s="103">
        <v>2.5</v>
      </c>
      <c r="R50" s="103">
        <v>2.5</v>
      </c>
      <c r="S50" s="103">
        <v>2.5</v>
      </c>
      <c r="T50" s="103">
        <v>2.5</v>
      </c>
      <c r="U50" s="103">
        <v>2.5</v>
      </c>
      <c r="V50" s="103">
        <v>2.5</v>
      </c>
      <c r="W50" s="103">
        <v>2.5</v>
      </c>
      <c r="X50" s="103">
        <v>2.5</v>
      </c>
      <c r="Y50" s="103">
        <v>2.5</v>
      </c>
      <c r="Z50" s="103">
        <v>2.5</v>
      </c>
      <c r="AA50" s="103">
        <v>2.5</v>
      </c>
      <c r="AB50" s="103">
        <v>2.5</v>
      </c>
      <c r="AC50" s="103">
        <v>2.5</v>
      </c>
      <c r="AD50" s="103">
        <v>2.5</v>
      </c>
      <c r="AE50" s="103">
        <v>2.5</v>
      </c>
      <c r="AF50" s="103">
        <v>2.5</v>
      </c>
      <c r="AG50" s="106">
        <v>6.2</v>
      </c>
      <c r="AH50" s="21">
        <f t="shared" si="2"/>
        <v>2.5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7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8">U200</f>
        <v>3.54</v>
      </c>
      <c r="V51" s="124">
        <f t="shared" si="8"/>
        <v>3.54</v>
      </c>
      <c r="W51" s="124">
        <f t="shared" si="8"/>
        <v>3.54</v>
      </c>
      <c r="X51" s="124">
        <f t="shared" si="8"/>
        <v>3.54</v>
      </c>
      <c r="Y51" s="124">
        <f t="shared" si="8"/>
        <v>3.54</v>
      </c>
      <c r="Z51" s="124">
        <v>3.54</v>
      </c>
      <c r="AA51" s="124">
        <f t="shared" si="8"/>
        <v>3.54</v>
      </c>
      <c r="AB51" s="124">
        <f t="shared" si="8"/>
        <v>3.54</v>
      </c>
      <c r="AC51" s="124">
        <f t="shared" si="8"/>
        <v>3.54</v>
      </c>
      <c r="AD51" s="124">
        <f t="shared" si="8"/>
        <v>3.54</v>
      </c>
      <c r="AE51" s="124">
        <f t="shared" si="8"/>
        <v>3.54</v>
      </c>
      <c r="AF51" s="124">
        <f t="shared" si="8"/>
        <v>3.54</v>
      </c>
      <c r="AG51" s="124">
        <f t="shared" si="8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9">SUM(B39:B51)</f>
        <v>399.54</v>
      </c>
      <c r="C52" s="99">
        <f t="shared" ref="C52:AF52" si="10">SUM(C39:C51)</f>
        <v>383.94</v>
      </c>
      <c r="D52" s="99">
        <f t="shared" si="10"/>
        <v>331.74</v>
      </c>
      <c r="E52" s="99">
        <f t="shared" si="10"/>
        <v>255.64</v>
      </c>
      <c r="F52" s="99">
        <f t="shared" si="10"/>
        <v>283.24</v>
      </c>
      <c r="G52" s="99">
        <f t="shared" si="10"/>
        <v>294.54000000000002</v>
      </c>
      <c r="H52" s="99">
        <f t="shared" si="10"/>
        <v>327.24</v>
      </c>
      <c r="I52" s="99">
        <f t="shared" si="10"/>
        <v>349.44</v>
      </c>
      <c r="J52" s="99">
        <f t="shared" si="10"/>
        <v>333.74</v>
      </c>
      <c r="K52" s="99">
        <f t="shared" si="10"/>
        <v>387.24</v>
      </c>
      <c r="L52" s="99">
        <f t="shared" si="10"/>
        <v>404.54</v>
      </c>
      <c r="M52" s="99">
        <f t="shared" si="10"/>
        <v>383.94000000000005</v>
      </c>
      <c r="N52" s="99">
        <f t="shared" si="10"/>
        <v>386.94</v>
      </c>
      <c r="O52" s="99">
        <f t="shared" si="10"/>
        <v>387.64</v>
      </c>
      <c r="P52" s="99">
        <f t="shared" si="10"/>
        <v>326.24</v>
      </c>
      <c r="Q52" s="99">
        <f t="shared" si="10"/>
        <v>343.84</v>
      </c>
      <c r="R52" s="99">
        <f t="shared" si="10"/>
        <v>392.14</v>
      </c>
      <c r="S52" s="99">
        <f t="shared" si="10"/>
        <v>342.84000000000003</v>
      </c>
      <c r="T52" s="99">
        <f t="shared" si="10"/>
        <v>360.94000000000005</v>
      </c>
      <c r="U52" s="99">
        <f t="shared" si="10"/>
        <v>376.54</v>
      </c>
      <c r="V52" s="99">
        <f t="shared" si="10"/>
        <v>364.34000000000003</v>
      </c>
      <c r="W52" s="99">
        <f t="shared" si="10"/>
        <v>360.74</v>
      </c>
      <c r="X52" s="99">
        <f t="shared" si="10"/>
        <v>360.74</v>
      </c>
      <c r="Y52" s="99">
        <f t="shared" si="10"/>
        <v>403.64</v>
      </c>
      <c r="Z52" s="99">
        <f t="shared" si="10"/>
        <v>418.64</v>
      </c>
      <c r="AA52" s="99">
        <f t="shared" si="10"/>
        <v>424.74</v>
      </c>
      <c r="AB52" s="99">
        <f t="shared" si="10"/>
        <v>418.24</v>
      </c>
      <c r="AC52" s="99">
        <f t="shared" si="10"/>
        <v>418.24</v>
      </c>
      <c r="AD52" s="99">
        <f t="shared" si="10"/>
        <v>404.14000000000004</v>
      </c>
      <c r="AE52" s="99">
        <f t="shared" si="10"/>
        <v>379.74</v>
      </c>
      <c r="AF52" s="99">
        <f t="shared" si="10"/>
        <v>370.34000000000003</v>
      </c>
      <c r="AG52" s="98">
        <f>SUM(AG39:AG51)</f>
        <v>489.91</v>
      </c>
      <c r="AH52" s="21">
        <f t="shared" si="2"/>
        <v>424.74</v>
      </c>
      <c r="AI52" s="20">
        <f t="shared" si="3"/>
        <v>255.64</v>
      </c>
      <c r="AK52" s="42"/>
    </row>
    <row r="53" spans="1:37" x14ac:dyDescent="0.25">
      <c r="A53" s="109" t="s">
        <v>159</v>
      </c>
      <c r="B53" s="103">
        <v>59.2</v>
      </c>
      <c r="C53" s="123">
        <v>59.3</v>
      </c>
      <c r="D53" s="123">
        <v>59.3</v>
      </c>
      <c r="E53" s="123">
        <v>59.3</v>
      </c>
      <c r="F53" s="123">
        <v>59.3</v>
      </c>
      <c r="G53" s="123">
        <v>43.7</v>
      </c>
      <c r="H53" s="123">
        <v>59.2</v>
      </c>
      <c r="I53" s="123">
        <v>43</v>
      </c>
      <c r="J53" s="123">
        <v>25</v>
      </c>
      <c r="K53" s="123">
        <v>30</v>
      </c>
      <c r="L53" s="123">
        <v>44.2</v>
      </c>
      <c r="M53" s="122">
        <v>44.3</v>
      </c>
      <c r="N53" s="122">
        <v>19.600000000000001</v>
      </c>
      <c r="O53" s="122">
        <v>29.6</v>
      </c>
      <c r="P53" s="122">
        <v>23.6</v>
      </c>
      <c r="Q53" s="103">
        <v>29.8</v>
      </c>
      <c r="R53" s="103">
        <v>58.8</v>
      </c>
      <c r="S53" s="103">
        <v>49.8</v>
      </c>
      <c r="T53" s="103">
        <v>59.3</v>
      </c>
      <c r="U53" s="103">
        <v>59.3</v>
      </c>
      <c r="V53" s="103">
        <v>50</v>
      </c>
      <c r="W53" s="103">
        <v>59.9</v>
      </c>
      <c r="X53" s="103">
        <v>48.9</v>
      </c>
      <c r="Y53" s="103">
        <v>59.5</v>
      </c>
      <c r="Z53" s="103">
        <v>59.5</v>
      </c>
      <c r="AA53" s="103">
        <v>59.5</v>
      </c>
      <c r="AB53" s="103">
        <v>59</v>
      </c>
      <c r="AC53" s="103">
        <v>45</v>
      </c>
      <c r="AD53" s="103">
        <v>59.5</v>
      </c>
      <c r="AE53" s="103">
        <v>59.8</v>
      </c>
      <c r="AF53" s="103">
        <v>54.5</v>
      </c>
      <c r="AG53" s="108">
        <v>60</v>
      </c>
      <c r="AH53" s="21">
        <f t="shared" si="2"/>
        <v>59.9</v>
      </c>
      <c r="AI53" s="20">
        <f t="shared" si="3"/>
        <v>19.600000000000001</v>
      </c>
      <c r="AK53" s="42"/>
    </row>
    <row r="54" spans="1:37" x14ac:dyDescent="0.25">
      <c r="A54" s="107" t="s">
        <v>158</v>
      </c>
      <c r="B54" s="73">
        <v>28.8</v>
      </c>
      <c r="C54" s="123">
        <v>29.6</v>
      </c>
      <c r="D54" s="123">
        <v>29.6</v>
      </c>
      <c r="E54" s="123">
        <v>29.6</v>
      </c>
      <c r="F54" s="123">
        <v>29.6</v>
      </c>
      <c r="G54" s="123">
        <v>19.899999999999999</v>
      </c>
      <c r="H54" s="123">
        <v>28.7</v>
      </c>
      <c r="I54" s="123">
        <v>21</v>
      </c>
      <c r="J54" s="123">
        <v>14</v>
      </c>
      <c r="K54" s="123">
        <v>14.8</v>
      </c>
      <c r="L54" s="123">
        <v>20.399999999999999</v>
      </c>
      <c r="M54" s="122">
        <v>19.8</v>
      </c>
      <c r="N54" s="122">
        <v>9.4</v>
      </c>
      <c r="O54" s="122">
        <v>15.3</v>
      </c>
      <c r="P54" s="122">
        <v>14.8</v>
      </c>
      <c r="Q54" s="73">
        <v>12.4</v>
      </c>
      <c r="R54" s="73">
        <v>17.8</v>
      </c>
      <c r="S54" s="103">
        <v>28</v>
      </c>
      <c r="T54" s="103">
        <v>30.2</v>
      </c>
      <c r="U54" s="103">
        <v>30.2</v>
      </c>
      <c r="V54" s="73">
        <v>22.9</v>
      </c>
      <c r="W54" s="73">
        <v>27.9</v>
      </c>
      <c r="X54" s="73">
        <v>27.1</v>
      </c>
      <c r="Y54" s="73">
        <v>26.8</v>
      </c>
      <c r="Z54" s="73">
        <v>29.4</v>
      </c>
      <c r="AA54" s="73">
        <v>29.4</v>
      </c>
      <c r="AB54" s="73">
        <v>29.3</v>
      </c>
      <c r="AC54" s="73">
        <v>28</v>
      </c>
      <c r="AD54" s="73">
        <v>28.2</v>
      </c>
      <c r="AE54" s="73">
        <v>28.6</v>
      </c>
      <c r="AF54" s="73">
        <v>25.4</v>
      </c>
      <c r="AG54" s="106">
        <v>32</v>
      </c>
      <c r="AH54" s="21">
        <f t="shared" si="2"/>
        <v>30.2</v>
      </c>
      <c r="AI54" s="20">
        <f t="shared" si="3"/>
        <v>9.4</v>
      </c>
      <c r="AK54" s="42"/>
    </row>
    <row r="55" spans="1:37" ht="15.75" thickBot="1" x14ac:dyDescent="0.3">
      <c r="A55" s="121" t="s">
        <v>157</v>
      </c>
      <c r="B55" s="118">
        <v>10.5</v>
      </c>
      <c r="C55" s="120">
        <v>10.8</v>
      </c>
      <c r="D55" s="120">
        <v>10.8</v>
      </c>
      <c r="E55" s="120">
        <v>10.8</v>
      </c>
      <c r="F55" s="120">
        <v>10.8</v>
      </c>
      <c r="G55" s="120">
        <v>7</v>
      </c>
      <c r="H55" s="120">
        <v>10.5</v>
      </c>
      <c r="I55" s="120">
        <v>8</v>
      </c>
      <c r="J55" s="120">
        <v>5</v>
      </c>
      <c r="K55" s="120">
        <v>5.4</v>
      </c>
      <c r="L55" s="120">
        <v>7.4</v>
      </c>
      <c r="M55" s="119">
        <v>7.2</v>
      </c>
      <c r="N55" s="119">
        <v>3.4</v>
      </c>
      <c r="O55" s="119">
        <v>5.6</v>
      </c>
      <c r="P55" s="119">
        <v>5.4</v>
      </c>
      <c r="Q55" s="118">
        <v>4.5</v>
      </c>
      <c r="R55" s="118">
        <v>6.5</v>
      </c>
      <c r="S55" s="103">
        <v>10.199999999999999</v>
      </c>
      <c r="T55" s="103">
        <v>11</v>
      </c>
      <c r="U55" s="103">
        <v>11</v>
      </c>
      <c r="V55" s="118">
        <v>8.4</v>
      </c>
      <c r="W55" s="118">
        <v>10.199999999999999</v>
      </c>
      <c r="X55" s="118">
        <v>9.9</v>
      </c>
      <c r="Y55" s="118">
        <v>9.8000000000000007</v>
      </c>
      <c r="Z55" s="118">
        <v>10.7</v>
      </c>
      <c r="AA55" s="118">
        <v>10.7</v>
      </c>
      <c r="AB55" s="118">
        <v>10.7</v>
      </c>
      <c r="AC55" s="118">
        <v>10.199999999999999</v>
      </c>
      <c r="AD55" s="118">
        <v>10.3</v>
      </c>
      <c r="AE55" s="118">
        <v>10.5</v>
      </c>
      <c r="AF55" s="118">
        <v>9.3000000000000007</v>
      </c>
      <c r="AG55" s="117">
        <v>14</v>
      </c>
      <c r="AH55" s="21">
        <f t="shared" si="2"/>
        <v>11</v>
      </c>
      <c r="AI55" s="20">
        <f t="shared" si="3"/>
        <v>3.4</v>
      </c>
      <c r="AK55" s="42"/>
    </row>
    <row r="56" spans="1:37" ht="15.75" thickBot="1" x14ac:dyDescent="0.3">
      <c r="A56" s="100" t="s">
        <v>156</v>
      </c>
      <c r="B56" s="99">
        <f t="shared" ref="B56" si="11">SUM(B53:B55)</f>
        <v>98.5</v>
      </c>
      <c r="C56" s="99">
        <f>SUM(C53:C55)</f>
        <v>99.7</v>
      </c>
      <c r="D56" s="99">
        <f t="shared" ref="D56:AF56" si="12">SUM(D53:D55)</f>
        <v>99.7</v>
      </c>
      <c r="E56" s="99">
        <f t="shared" si="12"/>
        <v>99.7</v>
      </c>
      <c r="F56" s="99">
        <f t="shared" si="12"/>
        <v>99.7</v>
      </c>
      <c r="G56" s="99">
        <f t="shared" si="12"/>
        <v>70.599999999999994</v>
      </c>
      <c r="H56" s="99">
        <f t="shared" si="12"/>
        <v>98.4</v>
      </c>
      <c r="I56" s="99">
        <f t="shared" si="12"/>
        <v>72</v>
      </c>
      <c r="J56" s="99">
        <f t="shared" si="12"/>
        <v>44</v>
      </c>
      <c r="K56" s="99">
        <f t="shared" si="12"/>
        <v>50.199999999999996</v>
      </c>
      <c r="L56" s="99">
        <f t="shared" si="12"/>
        <v>72</v>
      </c>
      <c r="M56" s="99">
        <f t="shared" si="12"/>
        <v>71.3</v>
      </c>
      <c r="N56" s="99">
        <f t="shared" si="12"/>
        <v>32.4</v>
      </c>
      <c r="O56" s="99">
        <f t="shared" si="12"/>
        <v>50.500000000000007</v>
      </c>
      <c r="P56" s="99">
        <f t="shared" si="12"/>
        <v>43.800000000000004</v>
      </c>
      <c r="Q56" s="99">
        <f t="shared" si="12"/>
        <v>46.7</v>
      </c>
      <c r="R56" s="99">
        <f t="shared" si="12"/>
        <v>83.1</v>
      </c>
      <c r="S56" s="99">
        <f t="shared" si="12"/>
        <v>88</v>
      </c>
      <c r="T56" s="99">
        <f t="shared" si="12"/>
        <v>100.5</v>
      </c>
      <c r="U56" s="99">
        <f t="shared" si="12"/>
        <v>100.5</v>
      </c>
      <c r="V56" s="99">
        <f t="shared" si="12"/>
        <v>81.300000000000011</v>
      </c>
      <c r="W56" s="99">
        <f t="shared" si="12"/>
        <v>98</v>
      </c>
      <c r="X56" s="99">
        <f t="shared" si="12"/>
        <v>85.9</v>
      </c>
      <c r="Y56" s="99">
        <f t="shared" si="12"/>
        <v>96.1</v>
      </c>
      <c r="Z56" s="99">
        <f t="shared" si="12"/>
        <v>99.600000000000009</v>
      </c>
      <c r="AA56" s="99">
        <f t="shared" si="12"/>
        <v>99.600000000000009</v>
      </c>
      <c r="AB56" s="99">
        <f t="shared" si="12"/>
        <v>99</v>
      </c>
      <c r="AC56" s="99">
        <f t="shared" si="12"/>
        <v>83.2</v>
      </c>
      <c r="AD56" s="99">
        <f t="shared" si="12"/>
        <v>98</v>
      </c>
      <c r="AE56" s="99">
        <f t="shared" si="12"/>
        <v>98.9</v>
      </c>
      <c r="AF56" s="99">
        <f t="shared" si="12"/>
        <v>89.2</v>
      </c>
      <c r="AG56" s="98">
        <f>SUM(AG53:AG55)</f>
        <v>106</v>
      </c>
      <c r="AH56" s="21">
        <f t="shared" si="2"/>
        <v>100.5</v>
      </c>
      <c r="AI56" s="20">
        <f t="shared" si="3"/>
        <v>32.4</v>
      </c>
      <c r="AK56" s="42"/>
    </row>
    <row r="57" spans="1:37" x14ac:dyDescent="0.25">
      <c r="A57" s="109" t="s">
        <v>135</v>
      </c>
      <c r="B57" s="103">
        <v>47.1</v>
      </c>
      <c r="C57" s="103">
        <v>43.9</v>
      </c>
      <c r="D57" s="103">
        <v>46.5</v>
      </c>
      <c r="E57" s="103">
        <v>61</v>
      </c>
      <c r="F57" s="103">
        <v>57</v>
      </c>
      <c r="G57" s="103">
        <v>58.2</v>
      </c>
      <c r="H57" s="103">
        <v>47.8</v>
      </c>
      <c r="I57" s="103">
        <v>41</v>
      </c>
      <c r="J57" s="103">
        <v>26.7</v>
      </c>
      <c r="K57" s="103">
        <v>27.6</v>
      </c>
      <c r="L57" s="103">
        <v>27.6</v>
      </c>
      <c r="M57" s="103">
        <v>26.1</v>
      </c>
      <c r="N57" s="103">
        <v>32.299999999999997</v>
      </c>
      <c r="O57" s="103">
        <v>36</v>
      </c>
      <c r="P57" s="103">
        <v>22.6</v>
      </c>
      <c r="Q57" s="103">
        <v>51.4</v>
      </c>
      <c r="R57" s="103">
        <v>52.2</v>
      </c>
      <c r="S57" s="103">
        <v>57.3</v>
      </c>
      <c r="T57" s="103">
        <v>55.1</v>
      </c>
      <c r="U57" s="103">
        <v>54.94</v>
      </c>
      <c r="V57" s="103">
        <v>58.2</v>
      </c>
      <c r="W57" s="103">
        <v>59.1</v>
      </c>
      <c r="X57" s="103">
        <v>60.99</v>
      </c>
      <c r="Y57" s="103">
        <v>53.83</v>
      </c>
      <c r="Z57" s="103">
        <v>52.8</v>
      </c>
      <c r="AA57" s="103">
        <v>53.77</v>
      </c>
      <c r="AB57" s="103">
        <v>57.4</v>
      </c>
      <c r="AC57" s="103">
        <v>55.2</v>
      </c>
      <c r="AD57" s="103">
        <v>62.4</v>
      </c>
      <c r="AE57" s="103">
        <v>56.1</v>
      </c>
      <c r="AF57" s="103">
        <v>47.9</v>
      </c>
      <c r="AG57" s="108"/>
      <c r="AH57" s="21">
        <f t="shared" si="2"/>
        <v>62.4</v>
      </c>
      <c r="AI57" s="20">
        <f t="shared" si="3"/>
        <v>22.6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143</v>
      </c>
      <c r="K58" s="73">
        <v>0</v>
      </c>
      <c r="L58" s="73">
        <v>0</v>
      </c>
      <c r="M58" s="103">
        <v>0</v>
      </c>
      <c r="N58" s="103">
        <v>0</v>
      </c>
      <c r="O58" s="103">
        <v>0</v>
      </c>
      <c r="P58" s="103">
        <v>122</v>
      </c>
      <c r="Q58" s="103">
        <v>45</v>
      </c>
      <c r="R58" s="103">
        <v>38</v>
      </c>
      <c r="S58" s="103">
        <v>39</v>
      </c>
      <c r="T58" s="103">
        <v>77.400000000000006</v>
      </c>
      <c r="U58" s="103">
        <v>77.2</v>
      </c>
      <c r="V58" s="103">
        <v>33</v>
      </c>
      <c r="W58" s="103">
        <v>0</v>
      </c>
      <c r="X58" s="116">
        <v>0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143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32</v>
      </c>
      <c r="C59" s="73">
        <v>160</v>
      </c>
      <c r="D59" s="73">
        <v>285.3</v>
      </c>
      <c r="E59" s="73">
        <v>302</v>
      </c>
      <c r="F59" s="73">
        <v>280</v>
      </c>
      <c r="G59" s="73">
        <v>301</v>
      </c>
      <c r="H59" s="103">
        <v>244</v>
      </c>
      <c r="I59" s="103">
        <v>151</v>
      </c>
      <c r="J59" s="103">
        <v>173</v>
      </c>
      <c r="K59" s="103">
        <v>312</v>
      </c>
      <c r="L59" s="103">
        <v>297.60000000000002</v>
      </c>
      <c r="M59" s="73">
        <v>308</v>
      </c>
      <c r="N59" s="73">
        <v>293</v>
      </c>
      <c r="O59" s="73">
        <v>293</v>
      </c>
      <c r="P59" s="73">
        <v>291</v>
      </c>
      <c r="Q59" s="73">
        <v>304</v>
      </c>
      <c r="R59" s="73">
        <v>289.2</v>
      </c>
      <c r="S59" s="73">
        <v>284.3</v>
      </c>
      <c r="T59" s="73">
        <v>276</v>
      </c>
      <c r="U59" s="73">
        <v>254</v>
      </c>
      <c r="V59" s="73">
        <v>259.7</v>
      </c>
      <c r="W59" s="73">
        <v>302.8</v>
      </c>
      <c r="X59" s="115">
        <v>268</v>
      </c>
      <c r="Y59" s="115">
        <v>201.2</v>
      </c>
      <c r="Z59" s="115">
        <v>179.8</v>
      </c>
      <c r="AA59" s="115">
        <v>160</v>
      </c>
      <c r="AB59" s="73">
        <v>185</v>
      </c>
      <c r="AC59" s="73">
        <v>290</v>
      </c>
      <c r="AD59" s="73">
        <v>195</v>
      </c>
      <c r="AE59" s="73">
        <v>155</v>
      </c>
      <c r="AF59" s="73">
        <v>158</v>
      </c>
      <c r="AG59" s="113"/>
      <c r="AH59" s="21">
        <f t="shared" si="2"/>
        <v>312</v>
      </c>
      <c r="AI59" s="20">
        <f t="shared" si="3"/>
        <v>32</v>
      </c>
      <c r="AK59" s="42"/>
    </row>
    <row r="60" spans="1:37" x14ac:dyDescent="0.25">
      <c r="A60" s="107" t="s">
        <v>139</v>
      </c>
      <c r="B60" s="77">
        <v>15</v>
      </c>
      <c r="C60" s="77">
        <v>15</v>
      </c>
      <c r="D60" s="77">
        <v>15</v>
      </c>
      <c r="E60" s="77">
        <v>15</v>
      </c>
      <c r="F60" s="77">
        <v>17</v>
      </c>
      <c r="G60" s="77">
        <v>17</v>
      </c>
      <c r="H60" s="77">
        <v>17</v>
      </c>
      <c r="I60" s="77">
        <v>17</v>
      </c>
      <c r="J60" s="77">
        <v>53</v>
      </c>
      <c r="K60" s="77">
        <v>52</v>
      </c>
      <c r="L60" s="77">
        <v>50.2</v>
      </c>
      <c r="M60" s="73">
        <v>42.4</v>
      </c>
      <c r="N60" s="73">
        <v>45.6</v>
      </c>
      <c r="O60" s="73">
        <v>44.8</v>
      </c>
      <c r="P60" s="73">
        <v>42</v>
      </c>
      <c r="Q60" s="73">
        <v>44.8</v>
      </c>
      <c r="R60" s="73">
        <v>45</v>
      </c>
      <c r="S60" s="73">
        <v>43.8</v>
      </c>
      <c r="T60" s="73">
        <v>45.4</v>
      </c>
      <c r="U60" s="73">
        <v>45.4</v>
      </c>
      <c r="V60" s="73">
        <v>41.1</v>
      </c>
      <c r="W60" s="73">
        <v>45.3</v>
      </c>
      <c r="X60" s="73">
        <v>45.3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7">
        <v>0</v>
      </c>
      <c r="AG60" s="113"/>
      <c r="AH60" s="21">
        <f t="shared" si="2"/>
        <v>53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>
        <v>0</v>
      </c>
      <c r="J61" s="77">
        <v>80.5</v>
      </c>
      <c r="K61" s="77">
        <v>83.4</v>
      </c>
      <c r="L61" s="77">
        <v>71.2</v>
      </c>
      <c r="M61" s="103">
        <v>65</v>
      </c>
      <c r="N61" s="103">
        <v>84.1</v>
      </c>
      <c r="O61" s="103">
        <v>84.1</v>
      </c>
      <c r="P61" s="103">
        <v>83.8</v>
      </c>
      <c r="Q61" s="103">
        <v>76.099999999999994</v>
      </c>
      <c r="R61" s="103">
        <v>80</v>
      </c>
      <c r="S61" s="103">
        <v>36.9</v>
      </c>
      <c r="T61" s="103">
        <v>35.299999999999997</v>
      </c>
      <c r="U61" s="103">
        <v>35.6</v>
      </c>
      <c r="V61" s="103">
        <v>28.9</v>
      </c>
      <c r="W61" s="103">
        <v>28.5</v>
      </c>
      <c r="X61" s="103">
        <v>27.5</v>
      </c>
      <c r="Y61" s="103">
        <v>27.3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84.1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73">
        <v>8</v>
      </c>
      <c r="N62" s="73">
        <v>8</v>
      </c>
      <c r="O62" s="73">
        <v>8</v>
      </c>
      <c r="P62" s="73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103">
        <v>0</v>
      </c>
      <c r="N63" s="103">
        <v>0</v>
      </c>
      <c r="O63" s="103">
        <v>0</v>
      </c>
      <c r="P63" s="103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13</v>
      </c>
      <c r="C66" s="70">
        <v>13</v>
      </c>
      <c r="D66" s="70">
        <v>13</v>
      </c>
      <c r="E66" s="70">
        <v>13</v>
      </c>
      <c r="F66" s="70">
        <v>13</v>
      </c>
      <c r="G66" s="70">
        <v>13</v>
      </c>
      <c r="H66" s="70">
        <v>13</v>
      </c>
      <c r="I66" s="70">
        <v>13</v>
      </c>
      <c r="J66" s="70">
        <v>13</v>
      </c>
      <c r="K66" s="70">
        <v>13</v>
      </c>
      <c r="L66" s="70">
        <v>13</v>
      </c>
      <c r="M66" s="73">
        <v>13</v>
      </c>
      <c r="N66" s="73">
        <v>13</v>
      </c>
      <c r="O66" s="73">
        <v>13</v>
      </c>
      <c r="P66" s="73">
        <v>13</v>
      </c>
      <c r="Q66" s="70">
        <v>13</v>
      </c>
      <c r="R66" s="70">
        <v>13</v>
      </c>
      <c r="S66" s="70">
        <v>13</v>
      </c>
      <c r="T66" s="70">
        <v>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102"/>
      <c r="AH66" s="21">
        <f t="shared" si="2"/>
        <v>13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103">
        <v>0</v>
      </c>
      <c r="N67" s="103">
        <v>0</v>
      </c>
      <c r="O67" s="103">
        <v>0</v>
      </c>
      <c r="P67" s="103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3">SUM(B57:B67)</f>
        <v>115.1</v>
      </c>
      <c r="C68" s="99">
        <f>SUM(C57:C67)</f>
        <v>239.9</v>
      </c>
      <c r="D68" s="99">
        <f t="shared" ref="D68:AF68" si="14">SUM(D57:D67)</f>
        <v>367.8</v>
      </c>
      <c r="E68" s="99">
        <f t="shared" si="14"/>
        <v>399</v>
      </c>
      <c r="F68" s="99">
        <f t="shared" si="14"/>
        <v>375</v>
      </c>
      <c r="G68" s="99">
        <f t="shared" si="14"/>
        <v>397.2</v>
      </c>
      <c r="H68" s="99">
        <f t="shared" si="14"/>
        <v>329.8</v>
      </c>
      <c r="I68" s="99">
        <f t="shared" si="14"/>
        <v>230</v>
      </c>
      <c r="J68" s="99">
        <f t="shared" si="14"/>
        <v>497.2</v>
      </c>
      <c r="K68" s="99">
        <f t="shared" si="14"/>
        <v>496</v>
      </c>
      <c r="L68" s="99">
        <f t="shared" si="14"/>
        <v>467.6</v>
      </c>
      <c r="M68" s="99">
        <f t="shared" si="14"/>
        <v>462.5</v>
      </c>
      <c r="N68" s="99">
        <f t="shared" si="14"/>
        <v>476</v>
      </c>
      <c r="O68" s="99">
        <f t="shared" si="14"/>
        <v>478.9</v>
      </c>
      <c r="P68" s="99">
        <f t="shared" si="14"/>
        <v>582.4</v>
      </c>
      <c r="Q68" s="99">
        <f t="shared" si="14"/>
        <v>542.29999999999995</v>
      </c>
      <c r="R68" s="99">
        <f t="shared" si="14"/>
        <v>525.4</v>
      </c>
      <c r="S68" s="99">
        <f t="shared" si="14"/>
        <v>482.3</v>
      </c>
      <c r="T68" s="99">
        <f t="shared" si="14"/>
        <v>497.2</v>
      </c>
      <c r="U68" s="99">
        <f t="shared" si="14"/>
        <v>475.14</v>
      </c>
      <c r="V68" s="99">
        <f t="shared" si="14"/>
        <v>428.9</v>
      </c>
      <c r="W68" s="99">
        <f t="shared" si="14"/>
        <v>443.70000000000005</v>
      </c>
      <c r="X68" s="99">
        <f t="shared" si="14"/>
        <v>409.79</v>
      </c>
      <c r="Y68" s="99">
        <f t="shared" si="14"/>
        <v>290.33</v>
      </c>
      <c r="Z68" s="99">
        <f t="shared" si="14"/>
        <v>240.60000000000002</v>
      </c>
      <c r="AA68" s="99">
        <f t="shared" si="14"/>
        <v>221.77</v>
      </c>
      <c r="AB68" s="99">
        <f t="shared" si="14"/>
        <v>250.4</v>
      </c>
      <c r="AC68" s="99">
        <f t="shared" si="14"/>
        <v>353.2</v>
      </c>
      <c r="AD68" s="99">
        <f t="shared" si="14"/>
        <v>265.39999999999998</v>
      </c>
      <c r="AE68" s="99">
        <f t="shared" si="14"/>
        <v>219.1</v>
      </c>
      <c r="AF68" s="99">
        <f t="shared" si="14"/>
        <v>213.9</v>
      </c>
      <c r="AG68" s="98">
        <f>SUM(AG57:AG67)</f>
        <v>0</v>
      </c>
      <c r="AH68" s="21">
        <f t="shared" si="2"/>
        <v>582.4</v>
      </c>
      <c r="AI68" s="20">
        <f t="shared" si="3"/>
        <v>115.1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5">SUM(B69:B71)</f>
        <v>0</v>
      </c>
      <c r="C72" s="99">
        <f>SUM(C69:C71)</f>
        <v>0</v>
      </c>
      <c r="D72" s="99">
        <f t="shared" ref="D72:AF72" si="16">SUM(D69:D71)</f>
        <v>0</v>
      </c>
      <c r="E72" s="99">
        <f t="shared" si="16"/>
        <v>0</v>
      </c>
      <c r="F72" s="99">
        <f t="shared" si="16"/>
        <v>0</v>
      </c>
      <c r="G72" s="99">
        <f t="shared" si="16"/>
        <v>0</v>
      </c>
      <c r="H72" s="99">
        <f t="shared" si="16"/>
        <v>0</v>
      </c>
      <c r="I72" s="99">
        <f t="shared" si="16"/>
        <v>0</v>
      </c>
      <c r="J72" s="99">
        <f t="shared" si="16"/>
        <v>0</v>
      </c>
      <c r="K72" s="99">
        <f t="shared" si="16"/>
        <v>0</v>
      </c>
      <c r="L72" s="99">
        <f t="shared" si="16"/>
        <v>0</v>
      </c>
      <c r="M72" s="99">
        <f t="shared" si="16"/>
        <v>0</v>
      </c>
      <c r="N72" s="99">
        <f t="shared" si="16"/>
        <v>0</v>
      </c>
      <c r="O72" s="99">
        <f t="shared" si="16"/>
        <v>0</v>
      </c>
      <c r="P72" s="99">
        <f t="shared" si="16"/>
        <v>0</v>
      </c>
      <c r="Q72" s="99">
        <f t="shared" si="16"/>
        <v>0</v>
      </c>
      <c r="R72" s="99">
        <f t="shared" si="16"/>
        <v>0</v>
      </c>
      <c r="S72" s="99">
        <f t="shared" si="16"/>
        <v>0</v>
      </c>
      <c r="T72" s="99">
        <f t="shared" si="16"/>
        <v>0</v>
      </c>
      <c r="U72" s="99">
        <f t="shared" si="16"/>
        <v>0</v>
      </c>
      <c r="V72" s="99">
        <f t="shared" si="16"/>
        <v>0</v>
      </c>
      <c r="W72" s="99">
        <f t="shared" si="16"/>
        <v>0</v>
      </c>
      <c r="X72" s="99">
        <f t="shared" si="16"/>
        <v>0</v>
      </c>
      <c r="Y72" s="99">
        <f t="shared" si="16"/>
        <v>0</v>
      </c>
      <c r="Z72" s="99">
        <f t="shared" si="16"/>
        <v>0</v>
      </c>
      <c r="AA72" s="99">
        <f t="shared" si="16"/>
        <v>0</v>
      </c>
      <c r="AB72" s="99">
        <f t="shared" si="16"/>
        <v>0</v>
      </c>
      <c r="AC72" s="99">
        <f t="shared" si="16"/>
        <v>0</v>
      </c>
      <c r="AD72" s="99">
        <f t="shared" si="16"/>
        <v>0</v>
      </c>
      <c r="AE72" s="99">
        <f t="shared" si="16"/>
        <v>0</v>
      </c>
      <c r="AF72" s="99">
        <f t="shared" si="16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7">B68+B56+B52+B38+B72</f>
        <v>1213.8399999999999</v>
      </c>
      <c r="C73" s="110">
        <f>C68+C56+C52+C38+C72</f>
        <v>1212.04</v>
      </c>
      <c r="D73" s="110">
        <f t="shared" ref="D73:AG73" si="18">D68+D56+D52+D38+D72</f>
        <v>1222.8399999999999</v>
      </c>
      <c r="E73" s="110">
        <f t="shared" si="18"/>
        <v>1171.04</v>
      </c>
      <c r="F73" s="110">
        <f t="shared" si="18"/>
        <v>1182.6400000000001</v>
      </c>
      <c r="G73" s="110">
        <f t="shared" si="18"/>
        <v>1197.04</v>
      </c>
      <c r="H73" s="110">
        <f t="shared" si="18"/>
        <v>1250.1400000000001</v>
      </c>
      <c r="I73" s="110">
        <f t="shared" si="18"/>
        <v>1284.94</v>
      </c>
      <c r="J73" s="110">
        <f t="shared" si="18"/>
        <v>1350.44</v>
      </c>
      <c r="K73" s="110">
        <f t="shared" si="18"/>
        <v>1418.94</v>
      </c>
      <c r="L73" s="110">
        <f t="shared" si="18"/>
        <v>1427.04</v>
      </c>
      <c r="M73" s="110">
        <f t="shared" si="18"/>
        <v>1389.64</v>
      </c>
      <c r="N73" s="110">
        <f t="shared" si="18"/>
        <v>1367.34</v>
      </c>
      <c r="O73" s="110">
        <f t="shared" si="18"/>
        <v>1471.04</v>
      </c>
      <c r="P73" s="110">
        <f t="shared" si="18"/>
        <v>1404.44</v>
      </c>
      <c r="Q73" s="110">
        <f t="shared" si="18"/>
        <v>1464.84</v>
      </c>
      <c r="R73" s="110">
        <f t="shared" si="18"/>
        <v>1530.6399999999999</v>
      </c>
      <c r="S73" s="110">
        <f t="shared" si="18"/>
        <v>1475.1399999999999</v>
      </c>
      <c r="T73" s="110">
        <f t="shared" si="18"/>
        <v>1470.64</v>
      </c>
      <c r="U73" s="110">
        <f t="shared" si="18"/>
        <v>1464.18</v>
      </c>
      <c r="V73" s="110">
        <f t="shared" si="18"/>
        <v>1446.54</v>
      </c>
      <c r="W73" s="110">
        <f t="shared" si="18"/>
        <v>1454.44</v>
      </c>
      <c r="X73" s="110">
        <f t="shared" si="18"/>
        <v>1438.43</v>
      </c>
      <c r="Y73" s="110">
        <f t="shared" si="18"/>
        <v>1492.07</v>
      </c>
      <c r="Z73" s="110">
        <f t="shared" si="18"/>
        <v>1540.94</v>
      </c>
      <c r="AA73" s="110">
        <f t="shared" si="18"/>
        <v>1528.21</v>
      </c>
      <c r="AB73" s="110">
        <f t="shared" si="18"/>
        <v>1500.2400000000002</v>
      </c>
      <c r="AC73" s="110">
        <f t="shared" si="18"/>
        <v>1451.74</v>
      </c>
      <c r="AD73" s="110">
        <f t="shared" si="18"/>
        <v>1462.94</v>
      </c>
      <c r="AE73" s="110">
        <f t="shared" si="18"/>
        <v>1413.64</v>
      </c>
      <c r="AF73" s="110">
        <f t="shared" si="18"/>
        <v>1334.24</v>
      </c>
      <c r="AG73" s="110">
        <f t="shared" si="18"/>
        <v>2144.14</v>
      </c>
      <c r="AH73" s="21">
        <f t="shared" si="2"/>
        <v>1540.94</v>
      </c>
      <c r="AI73" s="20">
        <f t="shared" si="3"/>
        <v>1171.04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50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>
        <v>50</v>
      </c>
      <c r="AC74" s="111">
        <v>50</v>
      </c>
      <c r="AD74" s="111"/>
      <c r="AE74" s="111"/>
      <c r="AF74" s="111"/>
      <c r="AG74" s="98"/>
      <c r="AH74" s="21">
        <f t="shared" si="2"/>
        <v>50</v>
      </c>
      <c r="AI74" s="20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9">B72+B68+B56+B52+B38+B74</f>
        <v>1263.8399999999999</v>
      </c>
      <c r="C75" s="110">
        <f>C73+C74</f>
        <v>1212.04</v>
      </c>
      <c r="D75" s="110">
        <f t="shared" ref="D75:AF75" si="20">D72+D68+D56+D52+D38+D74</f>
        <v>1222.8399999999999</v>
      </c>
      <c r="E75" s="110">
        <f t="shared" si="20"/>
        <v>1171.04</v>
      </c>
      <c r="F75" s="110">
        <f t="shared" si="20"/>
        <v>1182.6400000000001</v>
      </c>
      <c r="G75" s="110">
        <f t="shared" si="20"/>
        <v>1197.04</v>
      </c>
      <c r="H75" s="110">
        <f t="shared" si="20"/>
        <v>1250.1400000000001</v>
      </c>
      <c r="I75" s="110">
        <f t="shared" si="20"/>
        <v>1284.94</v>
      </c>
      <c r="J75" s="110">
        <f t="shared" si="20"/>
        <v>1350.44</v>
      </c>
      <c r="K75" s="110">
        <f t="shared" si="20"/>
        <v>1418.94</v>
      </c>
      <c r="L75" s="110">
        <f t="shared" si="20"/>
        <v>1427.04</v>
      </c>
      <c r="M75" s="110">
        <f t="shared" si="20"/>
        <v>1389.64</v>
      </c>
      <c r="N75" s="110">
        <f t="shared" si="20"/>
        <v>1367.34</v>
      </c>
      <c r="O75" s="110">
        <f t="shared" si="20"/>
        <v>1471.04</v>
      </c>
      <c r="P75" s="110">
        <f t="shared" si="20"/>
        <v>1404.44</v>
      </c>
      <c r="Q75" s="110">
        <f t="shared" si="20"/>
        <v>1464.84</v>
      </c>
      <c r="R75" s="110">
        <f t="shared" si="20"/>
        <v>1530.6399999999999</v>
      </c>
      <c r="S75" s="110">
        <f t="shared" si="20"/>
        <v>1475.1399999999999</v>
      </c>
      <c r="T75" s="110">
        <f t="shared" si="20"/>
        <v>1470.64</v>
      </c>
      <c r="U75" s="110">
        <f t="shared" si="20"/>
        <v>1464.18</v>
      </c>
      <c r="V75" s="110">
        <f t="shared" si="20"/>
        <v>1446.54</v>
      </c>
      <c r="W75" s="110">
        <f t="shared" si="20"/>
        <v>1454.44</v>
      </c>
      <c r="X75" s="110">
        <f t="shared" si="20"/>
        <v>1438.43</v>
      </c>
      <c r="Y75" s="110">
        <f t="shared" si="20"/>
        <v>1492.07</v>
      </c>
      <c r="Z75" s="110">
        <f t="shared" si="20"/>
        <v>1540.94</v>
      </c>
      <c r="AA75" s="110">
        <f t="shared" si="20"/>
        <v>1528.21</v>
      </c>
      <c r="AB75" s="110">
        <f t="shared" si="20"/>
        <v>1550.2400000000002</v>
      </c>
      <c r="AC75" s="110">
        <f t="shared" si="20"/>
        <v>1501.74</v>
      </c>
      <c r="AD75" s="110">
        <f t="shared" si="20"/>
        <v>1462.94</v>
      </c>
      <c r="AE75" s="110">
        <f t="shared" si="20"/>
        <v>1413.64</v>
      </c>
      <c r="AF75" s="110">
        <f t="shared" si="20"/>
        <v>1334.24</v>
      </c>
      <c r="AG75" s="98">
        <f>AG72+AG68+AG56+AG52+AG38+AG74</f>
        <v>2144.14</v>
      </c>
      <c r="AH75" s="21">
        <f t="shared" si="2"/>
        <v>1550.2400000000002</v>
      </c>
      <c r="AI75" s="20">
        <f t="shared" si="3"/>
        <v>1171.04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1">IF(B60&lt;0,B60*-1,0)</f>
        <v>0</v>
      </c>
      <c r="C76" s="77">
        <f>IF(C60&lt;0,C60*-1,0)</f>
        <v>0</v>
      </c>
      <c r="D76" s="77">
        <f t="shared" ref="D76:AF76" si="22">IF(D60&lt;0,D60*-1,0)</f>
        <v>0</v>
      </c>
      <c r="E76" s="77">
        <f t="shared" si="22"/>
        <v>0</v>
      </c>
      <c r="F76" s="77">
        <f t="shared" si="22"/>
        <v>0</v>
      </c>
      <c r="G76" s="77">
        <f t="shared" si="22"/>
        <v>0</v>
      </c>
      <c r="H76" s="77">
        <f t="shared" si="22"/>
        <v>0</v>
      </c>
      <c r="I76" s="77">
        <f t="shared" si="22"/>
        <v>0</v>
      </c>
      <c r="J76" s="77">
        <f t="shared" si="22"/>
        <v>0</v>
      </c>
      <c r="K76" s="77">
        <f t="shared" si="22"/>
        <v>0</v>
      </c>
      <c r="L76" s="77">
        <f t="shared" si="22"/>
        <v>0</v>
      </c>
      <c r="M76" s="77">
        <f t="shared" si="22"/>
        <v>0</v>
      </c>
      <c r="N76" s="77">
        <f t="shared" si="22"/>
        <v>0</v>
      </c>
      <c r="O76" s="77">
        <f t="shared" si="22"/>
        <v>0</v>
      </c>
      <c r="P76" s="77">
        <f t="shared" si="22"/>
        <v>0</v>
      </c>
      <c r="Q76" s="77">
        <f t="shared" si="22"/>
        <v>0</v>
      </c>
      <c r="R76" s="77">
        <f t="shared" si="22"/>
        <v>0</v>
      </c>
      <c r="S76" s="77">
        <f t="shared" si="22"/>
        <v>0</v>
      </c>
      <c r="T76" s="77">
        <f t="shared" si="22"/>
        <v>0</v>
      </c>
      <c r="U76" s="77">
        <f t="shared" si="22"/>
        <v>0</v>
      </c>
      <c r="V76" s="77">
        <f t="shared" si="22"/>
        <v>0</v>
      </c>
      <c r="W76" s="77">
        <f t="shared" si="22"/>
        <v>0</v>
      </c>
      <c r="X76" s="77">
        <f t="shared" si="22"/>
        <v>0</v>
      </c>
      <c r="Y76" s="77">
        <f t="shared" si="22"/>
        <v>0</v>
      </c>
      <c r="Z76" s="77">
        <f t="shared" si="22"/>
        <v>0</v>
      </c>
      <c r="AA76" s="77">
        <f t="shared" si="22"/>
        <v>0</v>
      </c>
      <c r="AB76" s="77">
        <f t="shared" si="22"/>
        <v>0</v>
      </c>
      <c r="AC76" s="77">
        <f t="shared" si="22"/>
        <v>0</v>
      </c>
      <c r="AD76" s="77">
        <f t="shared" si="22"/>
        <v>0</v>
      </c>
      <c r="AE76" s="77">
        <f t="shared" si="22"/>
        <v>0</v>
      </c>
      <c r="AF76" s="77">
        <f t="shared" si="22"/>
        <v>0</v>
      </c>
      <c r="AG76" s="108"/>
      <c r="AH76" s="21">
        <f t="shared" ref="AH76:AH91" si="23">MAX(B76:AF76)</f>
        <v>0</v>
      </c>
      <c r="AI76" s="20">
        <f t="shared" ref="AI76:AI91" si="2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5">IF(B58&lt;0,B58*-1,0)</f>
        <v>0</v>
      </c>
      <c r="C77" s="77">
        <f>IF(C58&lt;0,C58*-1,0)</f>
        <v>0</v>
      </c>
      <c r="D77" s="77">
        <f t="shared" ref="D77:AF77" si="26">IF(D58&lt;0,D58*-1,0)</f>
        <v>0</v>
      </c>
      <c r="E77" s="77">
        <f t="shared" si="26"/>
        <v>0</v>
      </c>
      <c r="F77" s="77">
        <f t="shared" si="26"/>
        <v>0</v>
      </c>
      <c r="G77" s="77">
        <f t="shared" si="26"/>
        <v>0</v>
      </c>
      <c r="H77" s="77">
        <f t="shared" si="26"/>
        <v>0</v>
      </c>
      <c r="I77" s="77">
        <f t="shared" si="26"/>
        <v>0</v>
      </c>
      <c r="J77" s="77">
        <f t="shared" si="26"/>
        <v>0</v>
      </c>
      <c r="K77" s="77">
        <f t="shared" si="26"/>
        <v>0</v>
      </c>
      <c r="L77" s="77">
        <f t="shared" si="26"/>
        <v>0</v>
      </c>
      <c r="M77" s="77">
        <f t="shared" si="26"/>
        <v>0</v>
      </c>
      <c r="N77" s="77">
        <f t="shared" si="26"/>
        <v>0</v>
      </c>
      <c r="O77" s="77">
        <f t="shared" si="26"/>
        <v>0</v>
      </c>
      <c r="P77" s="77">
        <f t="shared" si="26"/>
        <v>0</v>
      </c>
      <c r="Q77" s="77">
        <f t="shared" si="26"/>
        <v>0</v>
      </c>
      <c r="R77" s="77">
        <f t="shared" si="26"/>
        <v>0</v>
      </c>
      <c r="S77" s="77">
        <f t="shared" si="26"/>
        <v>0</v>
      </c>
      <c r="T77" s="77">
        <f t="shared" si="26"/>
        <v>0</v>
      </c>
      <c r="U77" s="77">
        <f t="shared" si="26"/>
        <v>0</v>
      </c>
      <c r="V77" s="77">
        <f t="shared" si="26"/>
        <v>0</v>
      </c>
      <c r="W77" s="77">
        <f t="shared" si="26"/>
        <v>0</v>
      </c>
      <c r="X77" s="77">
        <f t="shared" si="26"/>
        <v>0</v>
      </c>
      <c r="Y77" s="77">
        <f t="shared" si="26"/>
        <v>0</v>
      </c>
      <c r="Z77" s="77">
        <f t="shared" si="26"/>
        <v>0</v>
      </c>
      <c r="AA77" s="77">
        <f t="shared" si="26"/>
        <v>0</v>
      </c>
      <c r="AB77" s="77">
        <f t="shared" si="26"/>
        <v>0</v>
      </c>
      <c r="AC77" s="77">
        <f t="shared" si="26"/>
        <v>0</v>
      </c>
      <c r="AD77" s="77">
        <f t="shared" si="26"/>
        <v>0</v>
      </c>
      <c r="AE77" s="77">
        <f t="shared" si="26"/>
        <v>0</v>
      </c>
      <c r="AF77" s="77">
        <f t="shared" si="26"/>
        <v>0</v>
      </c>
      <c r="AG77" s="106"/>
      <c r="AH77" s="21">
        <f t="shared" si="23"/>
        <v>0</v>
      </c>
      <c r="AI77" s="20">
        <f t="shared" si="2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7">IF(B61&lt;0,B61*-1,0)</f>
        <v>0</v>
      </c>
      <c r="C78" s="77">
        <f>IF(C61&lt;0,C61*-1,0)</f>
        <v>0</v>
      </c>
      <c r="D78" s="77">
        <f t="shared" ref="D78:AF78" si="28">IF(D61&lt;0,D61*-1,0)</f>
        <v>0</v>
      </c>
      <c r="E78" s="77">
        <f t="shared" si="28"/>
        <v>0</v>
      </c>
      <c r="F78" s="77">
        <f t="shared" si="28"/>
        <v>0</v>
      </c>
      <c r="G78" s="77">
        <f t="shared" si="28"/>
        <v>0</v>
      </c>
      <c r="H78" s="77">
        <f t="shared" si="28"/>
        <v>0</v>
      </c>
      <c r="I78" s="77">
        <f t="shared" si="28"/>
        <v>0</v>
      </c>
      <c r="J78" s="77">
        <f t="shared" si="28"/>
        <v>0</v>
      </c>
      <c r="K78" s="77">
        <f t="shared" si="28"/>
        <v>0</v>
      </c>
      <c r="L78" s="77">
        <f t="shared" si="28"/>
        <v>0</v>
      </c>
      <c r="M78" s="77">
        <f t="shared" si="28"/>
        <v>0</v>
      </c>
      <c r="N78" s="77">
        <f t="shared" si="28"/>
        <v>0</v>
      </c>
      <c r="O78" s="77">
        <f t="shared" si="28"/>
        <v>0</v>
      </c>
      <c r="P78" s="77">
        <f t="shared" si="28"/>
        <v>0</v>
      </c>
      <c r="Q78" s="77">
        <f t="shared" si="28"/>
        <v>0</v>
      </c>
      <c r="R78" s="77">
        <f t="shared" si="28"/>
        <v>0</v>
      </c>
      <c r="S78" s="77">
        <f t="shared" si="28"/>
        <v>0</v>
      </c>
      <c r="T78" s="77">
        <f t="shared" si="28"/>
        <v>0</v>
      </c>
      <c r="U78" s="77">
        <f t="shared" si="28"/>
        <v>0</v>
      </c>
      <c r="V78" s="77">
        <f t="shared" si="28"/>
        <v>0</v>
      </c>
      <c r="W78" s="77">
        <f t="shared" si="28"/>
        <v>0</v>
      </c>
      <c r="X78" s="77">
        <f t="shared" si="28"/>
        <v>0</v>
      </c>
      <c r="Y78" s="77">
        <f t="shared" si="28"/>
        <v>0</v>
      </c>
      <c r="Z78" s="77">
        <f t="shared" si="28"/>
        <v>0</v>
      </c>
      <c r="AA78" s="77">
        <f t="shared" si="28"/>
        <v>0</v>
      </c>
      <c r="AB78" s="77">
        <f t="shared" si="28"/>
        <v>0</v>
      </c>
      <c r="AC78" s="77">
        <f t="shared" si="28"/>
        <v>0</v>
      </c>
      <c r="AD78" s="77">
        <f t="shared" si="28"/>
        <v>0</v>
      </c>
      <c r="AE78" s="77">
        <f t="shared" si="28"/>
        <v>0</v>
      </c>
      <c r="AF78" s="77">
        <f t="shared" si="28"/>
        <v>0</v>
      </c>
      <c r="AG78" s="105"/>
      <c r="AH78" s="21">
        <f t="shared" si="23"/>
        <v>0</v>
      </c>
      <c r="AI78" s="20">
        <f t="shared" si="2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9">IF(B59&lt;0,B59*-1,0)</f>
        <v>0</v>
      </c>
      <c r="C79" s="77">
        <f>IF(C59&lt;0,C59*-1,0)</f>
        <v>0</v>
      </c>
      <c r="D79" s="77">
        <f t="shared" ref="D79:AF79" si="30">IF(D59&lt;0,D59*-1,0)</f>
        <v>0</v>
      </c>
      <c r="E79" s="77">
        <f t="shared" si="30"/>
        <v>0</v>
      </c>
      <c r="F79" s="77">
        <f t="shared" si="30"/>
        <v>0</v>
      </c>
      <c r="G79" s="77">
        <f t="shared" si="30"/>
        <v>0</v>
      </c>
      <c r="H79" s="77">
        <f t="shared" si="30"/>
        <v>0</v>
      </c>
      <c r="I79" s="77">
        <f t="shared" si="30"/>
        <v>0</v>
      </c>
      <c r="J79" s="77">
        <f t="shared" si="30"/>
        <v>0</v>
      </c>
      <c r="K79" s="77">
        <f t="shared" si="30"/>
        <v>0</v>
      </c>
      <c r="L79" s="77">
        <f t="shared" si="30"/>
        <v>0</v>
      </c>
      <c r="M79" s="77">
        <f t="shared" si="30"/>
        <v>0</v>
      </c>
      <c r="N79" s="77">
        <f t="shared" si="30"/>
        <v>0</v>
      </c>
      <c r="O79" s="77">
        <f t="shared" si="30"/>
        <v>0</v>
      </c>
      <c r="P79" s="77">
        <f t="shared" si="30"/>
        <v>0</v>
      </c>
      <c r="Q79" s="77">
        <f t="shared" si="30"/>
        <v>0</v>
      </c>
      <c r="R79" s="77">
        <f t="shared" si="30"/>
        <v>0</v>
      </c>
      <c r="S79" s="77">
        <f t="shared" si="30"/>
        <v>0</v>
      </c>
      <c r="T79" s="77">
        <f t="shared" si="30"/>
        <v>0</v>
      </c>
      <c r="U79" s="77">
        <f t="shared" si="30"/>
        <v>0</v>
      </c>
      <c r="V79" s="77">
        <f t="shared" si="30"/>
        <v>0</v>
      </c>
      <c r="W79" s="77">
        <f t="shared" si="30"/>
        <v>0</v>
      </c>
      <c r="X79" s="77">
        <f t="shared" si="30"/>
        <v>0</v>
      </c>
      <c r="Y79" s="77">
        <f t="shared" si="30"/>
        <v>0</v>
      </c>
      <c r="Z79" s="77">
        <f t="shared" si="30"/>
        <v>0</v>
      </c>
      <c r="AA79" s="77">
        <f t="shared" si="30"/>
        <v>0</v>
      </c>
      <c r="AB79" s="77">
        <f t="shared" si="30"/>
        <v>0</v>
      </c>
      <c r="AC79" s="77">
        <f t="shared" si="30"/>
        <v>0</v>
      </c>
      <c r="AD79" s="77">
        <f t="shared" si="30"/>
        <v>0</v>
      </c>
      <c r="AE79" s="77">
        <f t="shared" si="30"/>
        <v>0</v>
      </c>
      <c r="AF79" s="77">
        <f t="shared" si="30"/>
        <v>0</v>
      </c>
      <c r="AG79" s="105"/>
      <c r="AH79" s="21">
        <f t="shared" si="23"/>
        <v>0</v>
      </c>
      <c r="AI79" s="20">
        <f t="shared" si="2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1">IF(B57&lt;0,B57*-1,0)</f>
        <v>0</v>
      </c>
      <c r="C80" s="77">
        <f>IF(C57&lt;0,C57*-1,0)</f>
        <v>0</v>
      </c>
      <c r="D80" s="77">
        <f t="shared" ref="D80:AF80" si="32">IF(D57&lt;0,D57*-1,0)</f>
        <v>0</v>
      </c>
      <c r="E80" s="77">
        <f t="shared" si="32"/>
        <v>0</v>
      </c>
      <c r="F80" s="77">
        <f t="shared" si="32"/>
        <v>0</v>
      </c>
      <c r="G80" s="77">
        <f t="shared" si="32"/>
        <v>0</v>
      </c>
      <c r="H80" s="77">
        <f t="shared" si="32"/>
        <v>0</v>
      </c>
      <c r="I80" s="77">
        <f t="shared" si="32"/>
        <v>0</v>
      </c>
      <c r="J80" s="77">
        <f t="shared" si="32"/>
        <v>0</v>
      </c>
      <c r="K80" s="77">
        <f t="shared" si="32"/>
        <v>0</v>
      </c>
      <c r="L80" s="77">
        <f t="shared" si="32"/>
        <v>0</v>
      </c>
      <c r="M80" s="77">
        <f t="shared" si="32"/>
        <v>0</v>
      </c>
      <c r="N80" s="77">
        <f t="shared" si="32"/>
        <v>0</v>
      </c>
      <c r="O80" s="77">
        <f t="shared" si="32"/>
        <v>0</v>
      </c>
      <c r="P80" s="77">
        <f t="shared" si="32"/>
        <v>0</v>
      </c>
      <c r="Q80" s="77">
        <f t="shared" si="32"/>
        <v>0</v>
      </c>
      <c r="R80" s="77">
        <f t="shared" si="32"/>
        <v>0</v>
      </c>
      <c r="S80" s="77">
        <f t="shared" si="32"/>
        <v>0</v>
      </c>
      <c r="T80" s="77">
        <f t="shared" si="32"/>
        <v>0</v>
      </c>
      <c r="U80" s="77">
        <f t="shared" si="32"/>
        <v>0</v>
      </c>
      <c r="V80" s="77">
        <f t="shared" si="32"/>
        <v>0</v>
      </c>
      <c r="W80" s="77">
        <f t="shared" si="32"/>
        <v>0</v>
      </c>
      <c r="X80" s="77">
        <f t="shared" si="32"/>
        <v>0</v>
      </c>
      <c r="Y80" s="77">
        <f t="shared" si="32"/>
        <v>0</v>
      </c>
      <c r="Z80" s="77">
        <f t="shared" si="32"/>
        <v>0</v>
      </c>
      <c r="AA80" s="77">
        <f t="shared" si="32"/>
        <v>0</v>
      </c>
      <c r="AB80" s="77">
        <f t="shared" si="32"/>
        <v>0</v>
      </c>
      <c r="AC80" s="77">
        <f t="shared" si="32"/>
        <v>0</v>
      </c>
      <c r="AD80" s="77">
        <f t="shared" si="32"/>
        <v>0</v>
      </c>
      <c r="AE80" s="77">
        <f t="shared" si="32"/>
        <v>0</v>
      </c>
      <c r="AF80" s="77">
        <f t="shared" si="32"/>
        <v>0</v>
      </c>
      <c r="AG80" s="105"/>
      <c r="AH80" s="21">
        <f t="shared" si="23"/>
        <v>0</v>
      </c>
      <c r="AI80" s="20">
        <f t="shared" si="2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3"/>
        <v>0</v>
      </c>
      <c r="AI81" s="20">
        <f t="shared" si="2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3">SUM(B76:B81)</f>
        <v>0</v>
      </c>
      <c r="C82" s="99">
        <f t="shared" ref="C82:AG82" si="34">SUM(C76:C81)</f>
        <v>0</v>
      </c>
      <c r="D82" s="99">
        <f t="shared" si="34"/>
        <v>0</v>
      </c>
      <c r="E82" s="99">
        <f t="shared" si="34"/>
        <v>0</v>
      </c>
      <c r="F82" s="99">
        <f t="shared" si="34"/>
        <v>0</v>
      </c>
      <c r="G82" s="99">
        <f t="shared" si="34"/>
        <v>0</v>
      </c>
      <c r="H82" s="99">
        <f t="shared" si="34"/>
        <v>0</v>
      </c>
      <c r="I82" s="99">
        <f t="shared" si="34"/>
        <v>0</v>
      </c>
      <c r="J82" s="99">
        <f t="shared" si="34"/>
        <v>0</v>
      </c>
      <c r="K82" s="99">
        <f t="shared" si="34"/>
        <v>0</v>
      </c>
      <c r="L82" s="99">
        <f t="shared" si="34"/>
        <v>0</v>
      </c>
      <c r="M82" s="99">
        <f t="shared" si="34"/>
        <v>0</v>
      </c>
      <c r="N82" s="99">
        <f t="shared" si="34"/>
        <v>0</v>
      </c>
      <c r="O82" s="99">
        <f t="shared" si="34"/>
        <v>0</v>
      </c>
      <c r="P82" s="99">
        <f t="shared" si="34"/>
        <v>0</v>
      </c>
      <c r="Q82" s="99">
        <f t="shared" si="34"/>
        <v>0</v>
      </c>
      <c r="R82" s="99">
        <f t="shared" si="34"/>
        <v>0</v>
      </c>
      <c r="S82" s="99">
        <f t="shared" si="34"/>
        <v>0</v>
      </c>
      <c r="T82" s="99">
        <f t="shared" si="34"/>
        <v>0</v>
      </c>
      <c r="U82" s="99">
        <f t="shared" si="34"/>
        <v>0</v>
      </c>
      <c r="V82" s="99">
        <f t="shared" si="34"/>
        <v>0</v>
      </c>
      <c r="W82" s="99">
        <f t="shared" si="34"/>
        <v>0</v>
      </c>
      <c r="X82" s="99">
        <f t="shared" si="34"/>
        <v>0</v>
      </c>
      <c r="Y82" s="99">
        <f t="shared" si="34"/>
        <v>0</v>
      </c>
      <c r="Z82" s="99">
        <f t="shared" si="34"/>
        <v>0</v>
      </c>
      <c r="AA82" s="99">
        <f t="shared" si="34"/>
        <v>0</v>
      </c>
      <c r="AB82" s="99">
        <f t="shared" si="34"/>
        <v>0</v>
      </c>
      <c r="AC82" s="99">
        <f t="shared" si="34"/>
        <v>0</v>
      </c>
      <c r="AD82" s="99">
        <f t="shared" si="34"/>
        <v>0</v>
      </c>
      <c r="AE82" s="99">
        <f t="shared" si="34"/>
        <v>0</v>
      </c>
      <c r="AF82" s="99">
        <f t="shared" si="34"/>
        <v>0</v>
      </c>
      <c r="AG82" s="98">
        <f t="shared" si="34"/>
        <v>0</v>
      </c>
      <c r="AH82" s="21">
        <f t="shared" si="23"/>
        <v>0</v>
      </c>
      <c r="AI82" s="20">
        <f t="shared" si="24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5">SUM(B70:B82)</f>
        <v>2527.6799999999998</v>
      </c>
      <c r="C83" s="99">
        <f t="shared" ref="C83:AG83" si="36">SUM(C70:C82)</f>
        <v>2424.08</v>
      </c>
      <c r="D83" s="99">
        <f t="shared" si="36"/>
        <v>2445.6799999999998</v>
      </c>
      <c r="E83" s="99">
        <f t="shared" si="36"/>
        <v>2342.08</v>
      </c>
      <c r="F83" s="99">
        <f t="shared" si="36"/>
        <v>2365.2800000000002</v>
      </c>
      <c r="G83" s="99">
        <f t="shared" si="36"/>
        <v>2394.08</v>
      </c>
      <c r="H83" s="99">
        <f t="shared" si="36"/>
        <v>2500.2800000000002</v>
      </c>
      <c r="I83" s="99">
        <f t="shared" si="36"/>
        <v>2569.88</v>
      </c>
      <c r="J83" s="99">
        <f t="shared" si="36"/>
        <v>2700.88</v>
      </c>
      <c r="K83" s="99">
        <f t="shared" si="36"/>
        <v>2837.88</v>
      </c>
      <c r="L83" s="99">
        <f t="shared" si="36"/>
        <v>2854.08</v>
      </c>
      <c r="M83" s="99">
        <f t="shared" si="36"/>
        <v>2779.28</v>
      </c>
      <c r="N83" s="99">
        <f t="shared" si="36"/>
        <v>2734.68</v>
      </c>
      <c r="O83" s="99">
        <f t="shared" si="36"/>
        <v>2942.08</v>
      </c>
      <c r="P83" s="99">
        <f t="shared" si="36"/>
        <v>2808.88</v>
      </c>
      <c r="Q83" s="99">
        <f t="shared" si="36"/>
        <v>2929.68</v>
      </c>
      <c r="R83" s="99">
        <f t="shared" si="36"/>
        <v>3061.2799999999997</v>
      </c>
      <c r="S83" s="99">
        <f t="shared" si="36"/>
        <v>2950.2799999999997</v>
      </c>
      <c r="T83" s="99">
        <f t="shared" si="36"/>
        <v>2941.28</v>
      </c>
      <c r="U83" s="99">
        <f t="shared" si="36"/>
        <v>2928.36</v>
      </c>
      <c r="V83" s="99">
        <f t="shared" si="36"/>
        <v>2893.08</v>
      </c>
      <c r="W83" s="99">
        <f t="shared" si="36"/>
        <v>2908.88</v>
      </c>
      <c r="X83" s="99">
        <f t="shared" si="36"/>
        <v>2876.86</v>
      </c>
      <c r="Y83" s="99">
        <f t="shared" si="36"/>
        <v>2984.14</v>
      </c>
      <c r="Z83" s="99">
        <f t="shared" si="36"/>
        <v>3081.88</v>
      </c>
      <c r="AA83" s="99">
        <f t="shared" si="36"/>
        <v>3056.42</v>
      </c>
      <c r="AB83" s="99">
        <f t="shared" si="36"/>
        <v>3100.4800000000005</v>
      </c>
      <c r="AC83" s="99">
        <f t="shared" si="36"/>
        <v>3003.48</v>
      </c>
      <c r="AD83" s="99">
        <f t="shared" si="36"/>
        <v>2925.88</v>
      </c>
      <c r="AE83" s="99">
        <f t="shared" si="36"/>
        <v>2827.28</v>
      </c>
      <c r="AF83" s="99">
        <f t="shared" si="36"/>
        <v>2668.48</v>
      </c>
      <c r="AG83" s="98">
        <f t="shared" si="36"/>
        <v>4360.08</v>
      </c>
      <c r="AH83" s="21">
        <f t="shared" si="23"/>
        <v>3100.4800000000005</v>
      </c>
      <c r="AI83" s="20">
        <f t="shared" si="24"/>
        <v>2342.08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49.99</v>
      </c>
      <c r="C84" s="96">
        <v>50.01</v>
      </c>
      <c r="D84" s="96">
        <v>50.01</v>
      </c>
      <c r="E84" s="96">
        <v>50.033000000000001</v>
      </c>
      <c r="F84" s="96">
        <v>50</v>
      </c>
      <c r="G84" s="96">
        <v>49.94</v>
      </c>
      <c r="H84" s="96">
        <v>49.813000000000002</v>
      </c>
      <c r="I84" s="96">
        <v>49.917000000000002</v>
      </c>
      <c r="J84" s="96">
        <v>49.851999999999997</v>
      </c>
      <c r="K84" s="96">
        <v>49.982999999999997</v>
      </c>
      <c r="L84" s="96">
        <v>49.92</v>
      </c>
      <c r="M84" s="96">
        <v>50.04</v>
      </c>
      <c r="N84" s="96">
        <v>49.91</v>
      </c>
      <c r="O84" s="96">
        <v>49.91</v>
      </c>
      <c r="P84" s="96">
        <v>50.01</v>
      </c>
      <c r="Q84" s="96">
        <v>50.05</v>
      </c>
      <c r="R84" s="96">
        <v>49.99</v>
      </c>
      <c r="S84" s="96">
        <v>49.965000000000003</v>
      </c>
      <c r="T84" s="96">
        <v>49.761000000000003</v>
      </c>
      <c r="U84" s="96">
        <v>49.945999999999998</v>
      </c>
      <c r="V84" s="96">
        <v>49.893999999999998</v>
      </c>
      <c r="W84" s="96">
        <v>49.834000000000003</v>
      </c>
      <c r="X84" s="96">
        <v>49.792999999999999</v>
      </c>
      <c r="Y84" s="96">
        <v>49.933999999999997</v>
      </c>
      <c r="Z84" s="96">
        <v>49.722999999999999</v>
      </c>
      <c r="AA84" s="96">
        <v>49.671999999999997</v>
      </c>
      <c r="AB84" s="96">
        <v>50.037999999999997</v>
      </c>
      <c r="AC84" s="96">
        <v>50.02</v>
      </c>
      <c r="AD84" s="96">
        <v>49.8</v>
      </c>
      <c r="AE84" s="96">
        <v>49.7</v>
      </c>
      <c r="AF84" s="96">
        <v>49.76</v>
      </c>
      <c r="AG84" s="95"/>
      <c r="AH84" s="21">
        <f t="shared" si="23"/>
        <v>50.05</v>
      </c>
      <c r="AI84" s="20">
        <f t="shared" si="24"/>
        <v>49.671999999999997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125.6</v>
      </c>
      <c r="C85" s="73">
        <v>124.8</v>
      </c>
      <c r="D85" s="73">
        <v>125.3</v>
      </c>
      <c r="E85" s="73">
        <v>127</v>
      </c>
      <c r="F85" s="73">
        <v>127</v>
      </c>
      <c r="G85" s="73">
        <v>126</v>
      </c>
      <c r="H85" s="73">
        <v>125</v>
      </c>
      <c r="I85" s="73">
        <v>124</v>
      </c>
      <c r="J85" s="73">
        <v>126</v>
      </c>
      <c r="K85" s="73">
        <v>125</v>
      </c>
      <c r="L85" s="73">
        <v>126.2</v>
      </c>
      <c r="M85" s="73">
        <v>125.2</v>
      </c>
      <c r="N85" s="73">
        <v>123.6</v>
      </c>
      <c r="O85" s="73">
        <v>123.6</v>
      </c>
      <c r="P85" s="73">
        <v>122.7</v>
      </c>
      <c r="Q85" s="73">
        <v>122.5</v>
      </c>
      <c r="R85" s="73">
        <v>120.8</v>
      </c>
      <c r="S85" s="73">
        <v>122.1</v>
      </c>
      <c r="T85" s="73">
        <v>122.1</v>
      </c>
      <c r="U85" s="94">
        <v>122.7</v>
      </c>
      <c r="V85" s="94">
        <v>122</v>
      </c>
      <c r="W85" s="94">
        <v>122</v>
      </c>
      <c r="X85" s="94">
        <v>124.4</v>
      </c>
      <c r="Y85" s="94">
        <v>124.2</v>
      </c>
      <c r="Z85" s="94">
        <v>124.1</v>
      </c>
      <c r="AA85" s="94">
        <v>124.8</v>
      </c>
      <c r="AB85" s="73">
        <v>125.8</v>
      </c>
      <c r="AC85" s="73">
        <v>125.4</v>
      </c>
      <c r="AD85" s="73">
        <v>124.1</v>
      </c>
      <c r="AE85" s="73">
        <v>124.9</v>
      </c>
      <c r="AF85" s="73">
        <v>125.2</v>
      </c>
      <c r="AG85" s="89"/>
      <c r="AH85" s="21">
        <f t="shared" si="23"/>
        <v>127</v>
      </c>
      <c r="AI85" s="20">
        <f t="shared" si="24"/>
        <v>120.8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129.4</v>
      </c>
      <c r="C86" s="73">
        <v>129</v>
      </c>
      <c r="D86" s="73">
        <v>129.5</v>
      </c>
      <c r="E86" s="73">
        <v>130</v>
      </c>
      <c r="F86" s="73">
        <v>130</v>
      </c>
      <c r="G86" s="73">
        <v>130</v>
      </c>
      <c r="H86" s="73">
        <v>129</v>
      </c>
      <c r="I86" s="73">
        <v>128</v>
      </c>
      <c r="J86" s="73">
        <v>128</v>
      </c>
      <c r="K86" s="73">
        <v>128</v>
      </c>
      <c r="L86" s="73">
        <v>128.9</v>
      </c>
      <c r="M86" s="73">
        <v>128.1</v>
      </c>
      <c r="N86" s="73">
        <v>126.9</v>
      </c>
      <c r="O86" s="73">
        <v>127.1</v>
      </c>
      <c r="P86" s="73">
        <v>126.2</v>
      </c>
      <c r="Q86" s="73">
        <v>126.1</v>
      </c>
      <c r="R86" s="73">
        <v>125.5</v>
      </c>
      <c r="S86" s="73">
        <v>126.1</v>
      </c>
      <c r="T86" s="73">
        <v>126.3</v>
      </c>
      <c r="U86" s="94">
        <v>126.7</v>
      </c>
      <c r="V86" s="94">
        <v>126</v>
      </c>
      <c r="W86" s="94">
        <v>126.5</v>
      </c>
      <c r="X86" s="94">
        <v>128.19999999999999</v>
      </c>
      <c r="Y86" s="94">
        <v>127.9</v>
      </c>
      <c r="Z86" s="94">
        <v>127.6</v>
      </c>
      <c r="AA86" s="94">
        <v>128.30000000000001</v>
      </c>
      <c r="AB86" s="73">
        <v>129.69999999999999</v>
      </c>
      <c r="AC86" s="73">
        <v>129.69999999999999</v>
      </c>
      <c r="AD86" s="73">
        <v>129.19999999999999</v>
      </c>
      <c r="AE86" s="73">
        <v>129.30000000000001</v>
      </c>
      <c r="AF86" s="73">
        <v>129.5</v>
      </c>
      <c r="AG86" s="89"/>
      <c r="AH86" s="21">
        <f t="shared" si="23"/>
        <v>130</v>
      </c>
      <c r="AI86" s="20">
        <f t="shared" si="24"/>
        <v>125.5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129.5</v>
      </c>
      <c r="C87" s="73">
        <v>127.2</v>
      </c>
      <c r="D87" s="73">
        <v>127</v>
      </c>
      <c r="E87" s="73">
        <v>127</v>
      </c>
      <c r="F87" s="73">
        <v>127</v>
      </c>
      <c r="G87" s="73">
        <v>129.69999999999999</v>
      </c>
      <c r="H87" s="73">
        <v>131</v>
      </c>
      <c r="I87" s="73">
        <v>128</v>
      </c>
      <c r="J87" s="73">
        <v>130</v>
      </c>
      <c r="K87" s="73">
        <v>125</v>
      </c>
      <c r="L87" s="73">
        <v>126.9</v>
      </c>
      <c r="M87" s="73">
        <v>128.6</v>
      </c>
      <c r="N87" s="73">
        <v>125.1</v>
      </c>
      <c r="O87" s="73">
        <v>119.6</v>
      </c>
      <c r="P87" s="73">
        <v>131.19999999999999</v>
      </c>
      <c r="Q87" s="73">
        <v>130</v>
      </c>
      <c r="R87" s="73">
        <v>124.6</v>
      </c>
      <c r="S87" s="73">
        <v>131.19999999999999</v>
      </c>
      <c r="T87" s="73">
        <v>128.30000000000001</v>
      </c>
      <c r="U87" s="73">
        <v>130</v>
      </c>
      <c r="V87" s="73">
        <v>131.4</v>
      </c>
      <c r="W87" s="73">
        <v>125.6</v>
      </c>
      <c r="X87" s="94">
        <v>126.5</v>
      </c>
      <c r="Y87" s="94">
        <v>123.5</v>
      </c>
      <c r="Z87" s="94">
        <v>123.8</v>
      </c>
      <c r="AA87" s="94">
        <v>126</v>
      </c>
      <c r="AB87" s="73">
        <v>127.1</v>
      </c>
      <c r="AC87" s="73">
        <v>127.1</v>
      </c>
      <c r="AD87" s="73">
        <v>128.1</v>
      </c>
      <c r="AE87" s="73">
        <v>126.6</v>
      </c>
      <c r="AF87" s="73">
        <v>128</v>
      </c>
      <c r="AG87" s="89"/>
      <c r="AH87" s="21">
        <f t="shared" si="23"/>
        <v>131.4</v>
      </c>
      <c r="AI87" s="20">
        <f t="shared" si="24"/>
        <v>119.6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132.1</v>
      </c>
      <c r="C88" s="73">
        <v>130.19999999999999</v>
      </c>
      <c r="D88" s="73">
        <v>130</v>
      </c>
      <c r="E88" s="73">
        <v>131</v>
      </c>
      <c r="F88" s="73">
        <v>131</v>
      </c>
      <c r="G88" s="73">
        <v>132</v>
      </c>
      <c r="H88" s="73">
        <v>133</v>
      </c>
      <c r="I88" s="73">
        <v>130</v>
      </c>
      <c r="J88" s="73">
        <v>131</v>
      </c>
      <c r="K88" s="73">
        <v>126</v>
      </c>
      <c r="L88" s="73">
        <v>126.3</v>
      </c>
      <c r="M88" s="73">
        <v>129.1</v>
      </c>
      <c r="N88" s="73">
        <v>126.1</v>
      </c>
      <c r="O88" s="73">
        <v>119.7</v>
      </c>
      <c r="P88" s="73">
        <v>119.3</v>
      </c>
      <c r="Q88" s="73">
        <v>124</v>
      </c>
      <c r="R88" s="73">
        <v>126.3</v>
      </c>
      <c r="S88" s="73">
        <v>124.1</v>
      </c>
      <c r="T88" s="73">
        <v>125.1</v>
      </c>
      <c r="U88" s="73">
        <v>126.2</v>
      </c>
      <c r="V88" s="73">
        <v>126.6</v>
      </c>
      <c r="W88" s="73">
        <v>126.5</v>
      </c>
      <c r="X88" s="94">
        <v>127.9</v>
      </c>
      <c r="Y88" s="94">
        <v>124.4</v>
      </c>
      <c r="Z88" s="94">
        <v>124.6</v>
      </c>
      <c r="AA88" s="94">
        <v>127.5</v>
      </c>
      <c r="AB88" s="73">
        <v>129.80000000000001</v>
      </c>
      <c r="AC88" s="73">
        <v>129.80000000000001</v>
      </c>
      <c r="AD88" s="73">
        <v>131</v>
      </c>
      <c r="AE88" s="73">
        <v>130.6</v>
      </c>
      <c r="AF88" s="73">
        <v>31.4</v>
      </c>
      <c r="AG88" s="89"/>
      <c r="AH88" s="21">
        <f t="shared" si="23"/>
        <v>133</v>
      </c>
      <c r="AI88" s="20">
        <f t="shared" si="24"/>
        <v>31.4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129.69999999999999</v>
      </c>
      <c r="C89" s="66">
        <v>131.1</v>
      </c>
      <c r="D89" s="66">
        <v>132</v>
      </c>
      <c r="E89" s="66">
        <v>133.5</v>
      </c>
      <c r="F89" s="66">
        <v>133.5</v>
      </c>
      <c r="G89" s="66">
        <v>133</v>
      </c>
      <c r="H89" s="66">
        <v>130.5</v>
      </c>
      <c r="I89" s="66">
        <v>130</v>
      </c>
      <c r="J89" s="66">
        <v>132.5</v>
      </c>
      <c r="K89" s="66">
        <v>135</v>
      </c>
      <c r="L89" s="66">
        <v>134.6</v>
      </c>
      <c r="M89" s="66">
        <v>130.9</v>
      </c>
      <c r="N89" s="66">
        <v>131.69999999999999</v>
      </c>
      <c r="O89" s="66">
        <v>133.80000000000001</v>
      </c>
      <c r="P89" s="66">
        <v>130</v>
      </c>
      <c r="Q89" s="66">
        <v>133.9</v>
      </c>
      <c r="R89" s="66">
        <v>130.19999999999999</v>
      </c>
      <c r="S89" s="66">
        <v>130.6</v>
      </c>
      <c r="T89" s="66">
        <v>134.80000000000001</v>
      </c>
      <c r="U89" s="66">
        <v>131.9</v>
      </c>
      <c r="V89" s="66">
        <v>133.5</v>
      </c>
      <c r="W89" s="66">
        <v>130.69999999999999</v>
      </c>
      <c r="X89" s="94">
        <v>136.19999999999999</v>
      </c>
      <c r="Y89" s="94">
        <v>131.19999999999999</v>
      </c>
      <c r="Z89" s="94">
        <v>133.4</v>
      </c>
      <c r="AA89" s="94">
        <v>134</v>
      </c>
      <c r="AB89" s="66">
        <v>133.6</v>
      </c>
      <c r="AC89" s="66">
        <v>133.6</v>
      </c>
      <c r="AD89" s="66">
        <v>133.1</v>
      </c>
      <c r="AE89" s="66">
        <v>132.80000000000001</v>
      </c>
      <c r="AF89" s="66">
        <v>132.1</v>
      </c>
      <c r="AG89" s="91"/>
      <c r="AH89" s="21">
        <f t="shared" si="23"/>
        <v>136.19999999999999</v>
      </c>
      <c r="AI89" s="20">
        <f t="shared" si="24"/>
        <v>129.69999999999999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127.8</v>
      </c>
      <c r="C90" s="73">
        <v>129.69999999999999</v>
      </c>
      <c r="D90" s="73">
        <v>130.30000000000001</v>
      </c>
      <c r="E90" s="73">
        <v>134.69999999999999</v>
      </c>
      <c r="F90" s="73">
        <v>134.69999999999999</v>
      </c>
      <c r="G90" s="73">
        <v>133</v>
      </c>
      <c r="H90" s="73">
        <v>132</v>
      </c>
      <c r="I90" s="73">
        <v>132</v>
      </c>
      <c r="J90" s="73">
        <v>131</v>
      </c>
      <c r="K90" s="73">
        <v>132</v>
      </c>
      <c r="L90" s="73">
        <v>130.69999999999999</v>
      </c>
      <c r="M90" s="73">
        <v>126.1</v>
      </c>
      <c r="N90" s="73">
        <v>132.6</v>
      </c>
      <c r="O90" s="73">
        <v>132.6</v>
      </c>
      <c r="P90" s="73">
        <v>127.7</v>
      </c>
      <c r="Q90" s="73">
        <v>133.9</v>
      </c>
      <c r="R90" s="73">
        <v>133</v>
      </c>
      <c r="S90" s="73">
        <v>132.9</v>
      </c>
      <c r="T90" s="73">
        <v>131.5</v>
      </c>
      <c r="U90" s="73">
        <v>131.4</v>
      </c>
      <c r="V90" s="73">
        <v>128.9</v>
      </c>
      <c r="W90" s="73">
        <v>127.5</v>
      </c>
      <c r="X90" s="94">
        <v>127.7</v>
      </c>
      <c r="Y90" s="94">
        <v>127.7</v>
      </c>
      <c r="Z90" s="94">
        <v>130.30000000000001</v>
      </c>
      <c r="AA90" s="94">
        <v>132.5</v>
      </c>
      <c r="AB90" s="73">
        <v>132.1</v>
      </c>
      <c r="AC90" s="73">
        <v>132.1</v>
      </c>
      <c r="AD90" s="73">
        <v>133.30000000000001</v>
      </c>
      <c r="AE90" s="73">
        <v>134.30000000000001</v>
      </c>
      <c r="AF90" s="73">
        <v>132.1</v>
      </c>
      <c r="AG90" s="89"/>
      <c r="AH90" s="21">
        <f t="shared" si="23"/>
        <v>134.69999999999999</v>
      </c>
      <c r="AI90" s="20">
        <f t="shared" si="24"/>
        <v>126.1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65.5</v>
      </c>
      <c r="C91" s="87">
        <v>65.400000000000006</v>
      </c>
      <c r="D91" s="87">
        <v>65.400000000000006</v>
      </c>
      <c r="E91" s="87">
        <v>65.900000000000006</v>
      </c>
      <c r="F91" s="87">
        <v>65.900000000000006</v>
      </c>
      <c r="G91" s="87">
        <v>65.599999999999994</v>
      </c>
      <c r="H91" s="87">
        <v>65</v>
      </c>
      <c r="I91" s="87">
        <v>65</v>
      </c>
      <c r="J91" s="87">
        <v>64.8</v>
      </c>
      <c r="K91" s="87">
        <v>64.599999999999994</v>
      </c>
      <c r="L91" s="87">
        <v>64.900000000000006</v>
      </c>
      <c r="M91" s="87">
        <v>64.400000000000006</v>
      </c>
      <c r="N91" s="87">
        <v>67.400000000000006</v>
      </c>
      <c r="O91" s="87">
        <v>63.6</v>
      </c>
      <c r="P91" s="87">
        <v>63.1</v>
      </c>
      <c r="Q91" s="87">
        <v>63.3</v>
      </c>
      <c r="R91" s="87">
        <v>63.2</v>
      </c>
      <c r="S91" s="87">
        <v>63.5</v>
      </c>
      <c r="T91" s="87">
        <v>63.4</v>
      </c>
      <c r="U91" s="87">
        <v>63.5</v>
      </c>
      <c r="V91" s="87">
        <v>63.4</v>
      </c>
      <c r="W91" s="87">
        <v>63.4</v>
      </c>
      <c r="X91" s="87">
        <v>64.5</v>
      </c>
      <c r="Y91" s="87">
        <v>64.3</v>
      </c>
      <c r="Z91" s="87">
        <v>64.3</v>
      </c>
      <c r="AA91" s="87">
        <v>64.7</v>
      </c>
      <c r="AB91" s="87">
        <v>65.400000000000006</v>
      </c>
      <c r="AC91" s="87">
        <v>65.400000000000006</v>
      </c>
      <c r="AD91" s="87">
        <v>65.2</v>
      </c>
      <c r="AE91" s="87">
        <v>65.400000000000006</v>
      </c>
      <c r="AF91" s="87">
        <v>65.400000000000006</v>
      </c>
      <c r="AG91" s="86"/>
      <c r="AH91" s="21">
        <f t="shared" si="23"/>
        <v>67.400000000000006</v>
      </c>
      <c r="AI91" s="20">
        <f t="shared" si="24"/>
        <v>63.1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7">SUM(B15,B18,B21:B22,B42,B44:B45,B47,B49,B94:B97,B103,B109,B115,B124,B126,B138,B145,B148:B149,B156,B158,B160,B164:B166,B168:B170,B175,B181:B182,B184:B186,B194,B199)</f>
        <v>173.43999999999997</v>
      </c>
      <c r="C93" s="82">
        <f t="shared" ref="C93:AF93" si="38">SUM(C15,C18,C21:C22,C42,C44:C45,C47,C49,C94:C97,C103,C109,C115,C124,C126,C138,C145,C148:C149,C156,C158,C160,C164:C166,C168:C170,C175,C181:C182,C184:C186,C194,C199)</f>
        <v>160.53999999999996</v>
      </c>
      <c r="D93" s="82">
        <f t="shared" si="38"/>
        <v>159.83999999999997</v>
      </c>
      <c r="E93" s="82">
        <f t="shared" si="38"/>
        <v>145.63999999999996</v>
      </c>
      <c r="F93" s="82">
        <f t="shared" si="38"/>
        <v>159.73999999999998</v>
      </c>
      <c r="G93" s="80">
        <f t="shared" si="38"/>
        <v>182.83999999999995</v>
      </c>
      <c r="H93" s="80">
        <f t="shared" si="38"/>
        <v>209.23999999999995</v>
      </c>
      <c r="I93" s="80">
        <f t="shared" si="38"/>
        <v>242.44</v>
      </c>
      <c r="J93" s="80">
        <f t="shared" si="38"/>
        <v>287.44</v>
      </c>
      <c r="K93" s="80">
        <f t="shared" si="38"/>
        <v>318.04000000000002</v>
      </c>
      <c r="L93" s="80">
        <f t="shared" si="38"/>
        <v>335.24</v>
      </c>
      <c r="M93" s="80">
        <f t="shared" si="38"/>
        <v>334.34000000000003</v>
      </c>
      <c r="N93" s="80">
        <f t="shared" si="38"/>
        <v>314.54000000000008</v>
      </c>
      <c r="O93" s="80">
        <f t="shared" si="38"/>
        <v>310.24</v>
      </c>
      <c r="P93" s="80">
        <f t="shared" si="38"/>
        <v>309.24</v>
      </c>
      <c r="Q93" s="80">
        <f t="shared" si="38"/>
        <v>310.64000000000004</v>
      </c>
      <c r="R93" s="80">
        <f t="shared" si="38"/>
        <v>307.44000000000005</v>
      </c>
      <c r="S93" s="80">
        <f t="shared" si="38"/>
        <v>309.44000000000005</v>
      </c>
      <c r="T93" s="80">
        <f t="shared" si="38"/>
        <v>314.44000000000005</v>
      </c>
      <c r="U93" s="80">
        <f t="shared" si="38"/>
        <v>321.94000000000005</v>
      </c>
      <c r="V93" s="80">
        <f t="shared" si="38"/>
        <v>325.84000000000003</v>
      </c>
      <c r="W93" s="80">
        <f t="shared" si="38"/>
        <v>326.74</v>
      </c>
      <c r="X93" s="80">
        <f t="shared" si="38"/>
        <v>332.94000000000005</v>
      </c>
      <c r="Y93" s="80">
        <f t="shared" si="38"/>
        <v>370.74</v>
      </c>
      <c r="Z93" s="80">
        <f t="shared" si="38"/>
        <v>400.24000000000007</v>
      </c>
      <c r="AA93" s="80">
        <f t="shared" si="38"/>
        <v>386.54</v>
      </c>
      <c r="AB93" s="80">
        <f t="shared" si="38"/>
        <v>351.54</v>
      </c>
      <c r="AC93" s="80">
        <f t="shared" si="38"/>
        <v>305.54000000000008</v>
      </c>
      <c r="AD93" s="80">
        <f t="shared" si="38"/>
        <v>292.24000000000007</v>
      </c>
      <c r="AE93" s="80">
        <f t="shared" si="38"/>
        <v>250.83999999999995</v>
      </c>
      <c r="AF93" s="80">
        <f t="shared" si="38"/>
        <v>209.03999999999996</v>
      </c>
      <c r="AG93" s="79"/>
      <c r="AH93" s="21">
        <f>MAX(C93:AF93)</f>
        <v>400.24000000000007</v>
      </c>
      <c r="AI93" s="20">
        <f>MIN(C93:AF93)</f>
        <v>145.63999999999996</v>
      </c>
    </row>
    <row r="94" spans="1:88" x14ac:dyDescent="0.25">
      <c r="A94" s="48" t="s">
        <v>122</v>
      </c>
      <c r="B94" s="75">
        <v>32.4</v>
      </c>
      <c r="C94" s="77">
        <v>33.6</v>
      </c>
      <c r="D94" s="77">
        <v>10.199999999999999</v>
      </c>
      <c r="E94" s="77">
        <v>-13.8</v>
      </c>
      <c r="F94" s="77">
        <v>2.1</v>
      </c>
      <c r="G94" s="76">
        <v>9.1999999999999993</v>
      </c>
      <c r="H94" s="76">
        <v>13.1</v>
      </c>
      <c r="I94" s="76">
        <v>16.899999999999999</v>
      </c>
      <c r="J94" s="76">
        <v>9.1</v>
      </c>
      <c r="K94" s="76">
        <v>7.7</v>
      </c>
      <c r="L94" s="76">
        <v>32.700000000000003</v>
      </c>
      <c r="M94" s="75">
        <v>35.700000000000003</v>
      </c>
      <c r="N94" s="76">
        <v>44</v>
      </c>
      <c r="O94" s="76">
        <v>28.2</v>
      </c>
      <c r="P94" s="76">
        <v>6.5</v>
      </c>
      <c r="Q94" s="76">
        <v>7.4</v>
      </c>
      <c r="R94" s="76">
        <v>36.5</v>
      </c>
      <c r="S94" s="76">
        <v>6</v>
      </c>
      <c r="T94" s="76">
        <v>20.9</v>
      </c>
      <c r="U94" s="75">
        <v>24.6</v>
      </c>
      <c r="V94" s="75">
        <v>17.399999999999999</v>
      </c>
      <c r="W94" s="75">
        <v>14.7</v>
      </c>
      <c r="X94" s="76">
        <v>19.8</v>
      </c>
      <c r="Y94" s="76">
        <v>23.6</v>
      </c>
      <c r="Z94" s="76">
        <v>16.899999999999999</v>
      </c>
      <c r="AA94" s="76">
        <v>20.7</v>
      </c>
      <c r="AB94" s="75">
        <v>27.8</v>
      </c>
      <c r="AC94" s="75">
        <v>20.5</v>
      </c>
      <c r="AD94" s="75">
        <v>15.3</v>
      </c>
      <c r="AE94" s="75">
        <v>2.2000000000000002</v>
      </c>
      <c r="AF94" s="75">
        <v>-2.5</v>
      </c>
      <c r="AG94" s="3">
        <v>75</v>
      </c>
      <c r="AH94" s="21">
        <f t="shared" ref="AH94:AH100" si="39">IF(ABS(MAX(C94:AF94))&gt;ABS(MIN(C94:AF94)),MAX(C94:AF94),MIN(C94:AF94))</f>
        <v>44</v>
      </c>
      <c r="AI94" s="64">
        <f t="shared" ref="AI94:AI100" si="40">INDEX($C$9:$AF$9,1,MATCH(AH94,C94:AF94,0))</f>
        <v>0.375</v>
      </c>
    </row>
    <row r="95" spans="1:88" x14ac:dyDescent="0.25">
      <c r="A95" s="45" t="s">
        <v>121</v>
      </c>
      <c r="B95" s="73">
        <f>-27-39.3</f>
        <v>-66.3</v>
      </c>
      <c r="C95" s="67">
        <f>-27.4-40</f>
        <v>-67.400000000000006</v>
      </c>
      <c r="D95" s="67">
        <f>-18.3-29.3</f>
        <v>-47.6</v>
      </c>
      <c r="E95" s="67">
        <v>-46.9</v>
      </c>
      <c r="F95" s="67">
        <v>-48.8</v>
      </c>
      <c r="G95" s="67">
        <v>-38.799999999999997</v>
      </c>
      <c r="H95" s="67">
        <v>-40</v>
      </c>
      <c r="I95" s="67">
        <v>-26.6</v>
      </c>
      <c r="J95" s="67">
        <v>0.7</v>
      </c>
      <c r="K95" s="67">
        <v>14</v>
      </c>
      <c r="L95" s="67">
        <f>-1.2-8.1</f>
        <v>-9.2999999999999989</v>
      </c>
      <c r="M95" s="67">
        <v>-8</v>
      </c>
      <c r="N95" s="67">
        <f>-3.1-6.8</f>
        <v>-9.9</v>
      </c>
      <c r="O95" s="67">
        <f>-3.1-1</f>
        <v>-4.0999999999999996</v>
      </c>
      <c r="P95" s="67">
        <v>-4.3</v>
      </c>
      <c r="Q95" s="67">
        <f>-1.4-6</f>
        <v>-7.4</v>
      </c>
      <c r="R95" s="67">
        <f>-6.4-16.6</f>
        <v>-23</v>
      </c>
      <c r="S95" s="67">
        <v>-14.4</v>
      </c>
      <c r="T95" s="67">
        <v>-12.5</v>
      </c>
      <c r="U95" s="67">
        <v>-12</v>
      </c>
      <c r="V95" s="67">
        <v>-10</v>
      </c>
      <c r="W95" s="67">
        <v>-8</v>
      </c>
      <c r="X95" s="67">
        <v>-1</v>
      </c>
      <c r="Y95" s="67">
        <v>14.8</v>
      </c>
      <c r="Z95" s="67">
        <v>32</v>
      </c>
      <c r="AA95" s="67">
        <v>21.4</v>
      </c>
      <c r="AB95" s="73">
        <v>2</v>
      </c>
      <c r="AC95" s="73">
        <f>-8.1+1</f>
        <v>-7.1</v>
      </c>
      <c r="AD95" s="73">
        <f>-8.3-1</f>
        <v>-9.3000000000000007</v>
      </c>
      <c r="AE95" s="73">
        <f>-17.4-28.6</f>
        <v>-46</v>
      </c>
      <c r="AF95" s="73">
        <f>-26.2-37.2</f>
        <v>-63.400000000000006</v>
      </c>
      <c r="AG95" s="3">
        <v>240</v>
      </c>
      <c r="AH95" s="21">
        <f t="shared" si="39"/>
        <v>-67.400000000000006</v>
      </c>
      <c r="AI95" s="64">
        <f t="shared" si="40"/>
        <v>4.1666666666666664E-2</v>
      </c>
    </row>
    <row r="96" spans="1:88" x14ac:dyDescent="0.25">
      <c r="A96" s="45" t="s">
        <v>120</v>
      </c>
      <c r="B96" s="73">
        <v>16.100000000000001</v>
      </c>
      <c r="C96" s="67">
        <v>10.9</v>
      </c>
      <c r="D96" s="67">
        <v>14.3</v>
      </c>
      <c r="E96" s="67">
        <v>20.7</v>
      </c>
      <c r="F96" s="67">
        <v>16</v>
      </c>
      <c r="G96" s="67">
        <v>11.2</v>
      </c>
      <c r="H96" s="67">
        <v>18.600000000000001</v>
      </c>
      <c r="I96" s="67">
        <v>14.8</v>
      </c>
      <c r="J96" s="67">
        <v>13.8</v>
      </c>
      <c r="K96" s="67">
        <v>16</v>
      </c>
      <c r="L96" s="67">
        <v>23.1</v>
      </c>
      <c r="M96" s="67">
        <v>19.399999999999999</v>
      </c>
      <c r="N96" s="67">
        <v>8.3000000000000007</v>
      </c>
      <c r="O96" s="67">
        <v>20.8</v>
      </c>
      <c r="P96" s="67">
        <v>14.3</v>
      </c>
      <c r="Q96" s="67">
        <v>16.2</v>
      </c>
      <c r="R96" s="67">
        <v>24.6</v>
      </c>
      <c r="S96" s="67">
        <v>24.5</v>
      </c>
      <c r="T96" s="67">
        <v>25.5</v>
      </c>
      <c r="U96" s="67">
        <v>30</v>
      </c>
      <c r="V96" s="67">
        <v>23.9</v>
      </c>
      <c r="W96" s="67">
        <v>30.6</v>
      </c>
      <c r="X96" s="67">
        <v>26.6</v>
      </c>
      <c r="Y96" s="67">
        <v>36.700000000000003</v>
      </c>
      <c r="Z96" s="67">
        <v>42.7</v>
      </c>
      <c r="AA96" s="67">
        <v>39</v>
      </c>
      <c r="AB96" s="73">
        <v>33.6</v>
      </c>
      <c r="AC96" s="73">
        <v>29.9</v>
      </c>
      <c r="AD96" s="73">
        <v>29.8</v>
      </c>
      <c r="AE96" s="73">
        <v>20.2</v>
      </c>
      <c r="AF96" s="73">
        <v>14.8</v>
      </c>
      <c r="AG96" s="3">
        <v>60</v>
      </c>
      <c r="AH96" s="21">
        <f t="shared" si="39"/>
        <v>42.7</v>
      </c>
      <c r="AI96" s="64">
        <f t="shared" si="40"/>
        <v>0.79166666666666663</v>
      </c>
    </row>
    <row r="97" spans="1:37" x14ac:dyDescent="0.25">
      <c r="A97" s="41" t="s">
        <v>119</v>
      </c>
      <c r="B97" s="69">
        <v>2.7</v>
      </c>
      <c r="C97" s="70">
        <v>-5.2</v>
      </c>
      <c r="D97" s="70">
        <v>-5.6</v>
      </c>
      <c r="E97" s="70">
        <v>-2.9</v>
      </c>
      <c r="F97" s="70">
        <v>1.9</v>
      </c>
      <c r="G97" s="70">
        <v>12.7</v>
      </c>
      <c r="H97" s="70">
        <v>29</v>
      </c>
      <c r="I97" s="70">
        <v>48.8</v>
      </c>
      <c r="J97" s="70">
        <v>75.3</v>
      </c>
      <c r="K97" s="70">
        <v>91.8</v>
      </c>
      <c r="L97" s="70">
        <v>100.1</v>
      </c>
      <c r="M97" s="70">
        <v>98.8</v>
      </c>
      <c r="N97" s="70">
        <v>83.4</v>
      </c>
      <c r="O97" s="70">
        <v>76.599999999999994</v>
      </c>
      <c r="P97" s="70">
        <v>104</v>
      </c>
      <c r="Q97" s="70">
        <v>105.7</v>
      </c>
      <c r="R97" s="70">
        <v>80.599999999999994</v>
      </c>
      <c r="S97" s="70">
        <v>104.6</v>
      </c>
      <c r="T97" s="70">
        <v>91.8</v>
      </c>
      <c r="U97" s="70">
        <v>90.6</v>
      </c>
      <c r="V97" s="70">
        <v>105.8</v>
      </c>
      <c r="W97" s="70">
        <v>100.7</v>
      </c>
      <c r="X97" s="70">
        <v>98.8</v>
      </c>
      <c r="Y97" s="70">
        <v>106.9</v>
      </c>
      <c r="Z97" s="70">
        <v>119.8</v>
      </c>
      <c r="AA97" s="70">
        <v>116.6</v>
      </c>
      <c r="AB97" s="69">
        <v>99.3</v>
      </c>
      <c r="AC97" s="69">
        <v>73.400000000000006</v>
      </c>
      <c r="AD97" s="69">
        <v>67.7</v>
      </c>
      <c r="AE97" s="69">
        <v>85.4</v>
      </c>
      <c r="AF97" s="69">
        <v>70.900000000000006</v>
      </c>
      <c r="AG97" s="72">
        <v>120</v>
      </c>
      <c r="AH97" s="21">
        <f t="shared" si="39"/>
        <v>119.8</v>
      </c>
      <c r="AI97" s="64">
        <f t="shared" si="40"/>
        <v>0.79166666666666663</v>
      </c>
    </row>
    <row r="98" spans="1:37" x14ac:dyDescent="0.25">
      <c r="A98" s="41" t="s">
        <v>118</v>
      </c>
      <c r="B98" s="69">
        <v>37.799999999999997</v>
      </c>
      <c r="C98" s="70">
        <v>46.4</v>
      </c>
      <c r="D98" s="70">
        <v>70.400000000000006</v>
      </c>
      <c r="E98" s="70">
        <v>74.8</v>
      </c>
      <c r="F98" s="70">
        <v>72.7</v>
      </c>
      <c r="G98" s="70">
        <v>86.8</v>
      </c>
      <c r="H98" s="70">
        <v>68.400000000000006</v>
      </c>
      <c r="I98" s="70">
        <v>79.900000000000006</v>
      </c>
      <c r="J98" s="70">
        <v>77.599999999999994</v>
      </c>
      <c r="K98" s="70">
        <v>91</v>
      </c>
      <c r="L98" s="70">
        <v>49.5</v>
      </c>
      <c r="M98" s="70">
        <v>55.3</v>
      </c>
      <c r="N98" s="70">
        <v>69.400000000000006</v>
      </c>
      <c r="O98" s="70">
        <v>82.4</v>
      </c>
      <c r="P98" s="70">
        <v>90.7</v>
      </c>
      <c r="Q98" s="70">
        <v>97.6</v>
      </c>
      <c r="R98" s="70">
        <v>76</v>
      </c>
      <c r="S98" s="70">
        <v>94.5</v>
      </c>
      <c r="T98" s="70">
        <v>93.2</v>
      </c>
      <c r="U98" s="70">
        <v>91.3</v>
      </c>
      <c r="V98" s="70">
        <v>100.4</v>
      </c>
      <c r="W98" s="70">
        <v>94.8</v>
      </c>
      <c r="X98" s="70">
        <v>85.8</v>
      </c>
      <c r="Y98" s="70">
        <v>93</v>
      </c>
      <c r="Z98" s="70">
        <v>104</v>
      </c>
      <c r="AA98" s="70">
        <v>95.2</v>
      </c>
      <c r="AB98" s="69">
        <v>85</v>
      </c>
      <c r="AC98" s="69">
        <v>91.5</v>
      </c>
      <c r="AD98" s="69">
        <v>97.8</v>
      </c>
      <c r="AE98" s="69">
        <v>83.5</v>
      </c>
      <c r="AF98" s="69">
        <v>74.599999999999994</v>
      </c>
      <c r="AG98" s="72"/>
      <c r="AH98" s="21">
        <f t="shared" si="39"/>
        <v>104</v>
      </c>
      <c r="AI98" s="64">
        <f t="shared" si="40"/>
        <v>0.79166666666666663</v>
      </c>
    </row>
    <row r="99" spans="1:37" x14ac:dyDescent="0.25">
      <c r="A99" s="41" t="s">
        <v>117</v>
      </c>
      <c r="B99" s="69">
        <v>58.9</v>
      </c>
      <c r="C99" s="70">
        <v>61.5</v>
      </c>
      <c r="D99" s="70">
        <v>78.900000000000006</v>
      </c>
      <c r="E99" s="70">
        <v>75.400000000000006</v>
      </c>
      <c r="F99" s="70">
        <v>71</v>
      </c>
      <c r="G99" s="70">
        <v>69.5</v>
      </c>
      <c r="H99" s="70">
        <v>69.2</v>
      </c>
      <c r="I99" s="70">
        <v>67.400000000000006</v>
      </c>
      <c r="J99" s="70">
        <v>72.3</v>
      </c>
      <c r="K99" s="70">
        <v>60</v>
      </c>
      <c r="L99" s="70">
        <v>46.8</v>
      </c>
      <c r="M99" s="70">
        <v>40.700000000000003</v>
      </c>
      <c r="N99" s="70">
        <v>38.299999999999997</v>
      </c>
      <c r="O99" s="70">
        <v>52.7</v>
      </c>
      <c r="P99" s="70">
        <v>59</v>
      </c>
      <c r="Q99" s="70">
        <v>67.7</v>
      </c>
      <c r="R99" s="70">
        <v>41.8</v>
      </c>
      <c r="S99" s="70">
        <v>72.5</v>
      </c>
      <c r="T99" s="70">
        <v>61.4</v>
      </c>
      <c r="U99" s="70">
        <v>56.6</v>
      </c>
      <c r="V99" s="70">
        <v>66.2</v>
      </c>
      <c r="W99" s="70">
        <v>72.099999999999994</v>
      </c>
      <c r="X99" s="70">
        <v>64.099999999999994</v>
      </c>
      <c r="Y99" s="70">
        <v>68.8</v>
      </c>
      <c r="Z99" s="70">
        <v>73.8</v>
      </c>
      <c r="AA99" s="70">
        <v>76.3</v>
      </c>
      <c r="AB99" s="69">
        <v>67.5</v>
      </c>
      <c r="AC99" s="69">
        <v>73.400000000000006</v>
      </c>
      <c r="AD99" s="69">
        <v>78.8</v>
      </c>
      <c r="AE99" s="69">
        <v>87.2</v>
      </c>
      <c r="AF99" s="69">
        <v>83.6</v>
      </c>
      <c r="AG99" s="65"/>
      <c r="AH99" s="21">
        <f t="shared" si="39"/>
        <v>87.2</v>
      </c>
      <c r="AI99" s="64">
        <f t="shared" si="40"/>
        <v>0.91666666666666696</v>
      </c>
    </row>
    <row r="100" spans="1:37" ht="15.75" thickBot="1" x14ac:dyDescent="0.3">
      <c r="A100" s="68" t="s">
        <v>116</v>
      </c>
      <c r="B100" s="66">
        <v>68.8</v>
      </c>
      <c r="C100" s="67">
        <v>76.099999999999994</v>
      </c>
      <c r="D100" s="67">
        <v>78.099999999999994</v>
      </c>
      <c r="E100" s="67">
        <v>78</v>
      </c>
      <c r="F100" s="67">
        <v>77.5</v>
      </c>
      <c r="G100" s="67">
        <v>77.400000000000006</v>
      </c>
      <c r="H100" s="67">
        <v>77.8</v>
      </c>
      <c r="I100" s="67">
        <v>84.1</v>
      </c>
      <c r="J100" s="67">
        <v>20.399999999999999</v>
      </c>
      <c r="K100" s="67">
        <v>105</v>
      </c>
      <c r="L100" s="67">
        <v>103.2</v>
      </c>
      <c r="M100" s="67">
        <v>101.3</v>
      </c>
      <c r="N100" s="67">
        <v>101.2</v>
      </c>
      <c r="O100" s="67">
        <v>102.7</v>
      </c>
      <c r="P100" s="67">
        <v>77.2</v>
      </c>
      <c r="Q100" s="67">
        <v>80.599999999999994</v>
      </c>
      <c r="R100" s="67">
        <v>79.900000000000006</v>
      </c>
      <c r="S100" s="67">
        <v>84.4</v>
      </c>
      <c r="T100" s="67">
        <v>67.900000000000006</v>
      </c>
      <c r="U100" s="67">
        <v>62.7</v>
      </c>
      <c r="V100" s="67">
        <v>78</v>
      </c>
      <c r="W100" s="67">
        <v>97.6</v>
      </c>
      <c r="X100" s="67">
        <v>96.2</v>
      </c>
      <c r="Y100" s="67">
        <v>118</v>
      </c>
      <c r="Z100" s="67">
        <v>111</v>
      </c>
      <c r="AA100" s="67">
        <v>114</v>
      </c>
      <c r="AB100" s="66">
        <v>114.2</v>
      </c>
      <c r="AC100" s="66">
        <v>106.6</v>
      </c>
      <c r="AD100" s="66">
        <v>108.5</v>
      </c>
      <c r="AE100" s="66">
        <v>105.2</v>
      </c>
      <c r="AF100" s="66">
        <v>100.6</v>
      </c>
      <c r="AG100" s="65"/>
      <c r="AH100" s="21">
        <f t="shared" si="39"/>
        <v>118</v>
      </c>
      <c r="AI100" s="64">
        <f t="shared" si="40"/>
        <v>0.77083333333333337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1">AF102</f>
        <v>9.9</v>
      </c>
      <c r="C102" s="54">
        <v>9.9</v>
      </c>
      <c r="D102" s="58">
        <f t="shared" ref="D102:S107" si="42">C102</f>
        <v>9.9</v>
      </c>
      <c r="E102" s="58">
        <f t="shared" si="42"/>
        <v>9.9</v>
      </c>
      <c r="F102" s="58">
        <f t="shared" si="42"/>
        <v>9.9</v>
      </c>
      <c r="G102" s="58">
        <f t="shared" si="42"/>
        <v>9.9</v>
      </c>
      <c r="H102" s="58">
        <f t="shared" si="42"/>
        <v>9.9</v>
      </c>
      <c r="I102" s="58">
        <f t="shared" si="42"/>
        <v>9.9</v>
      </c>
      <c r="J102" s="58">
        <f t="shared" si="42"/>
        <v>9.9</v>
      </c>
      <c r="K102" s="58">
        <f t="shared" si="42"/>
        <v>9.9</v>
      </c>
      <c r="L102" s="58">
        <f t="shared" si="42"/>
        <v>9.9</v>
      </c>
      <c r="M102" s="58">
        <f t="shared" si="42"/>
        <v>9.9</v>
      </c>
      <c r="N102" s="58">
        <f t="shared" si="42"/>
        <v>9.9</v>
      </c>
      <c r="O102" s="58">
        <f t="shared" si="42"/>
        <v>9.9</v>
      </c>
      <c r="P102" s="58">
        <f t="shared" si="42"/>
        <v>9.9</v>
      </c>
      <c r="Q102" s="58">
        <f t="shared" si="42"/>
        <v>9.9</v>
      </c>
      <c r="R102" s="58">
        <f t="shared" si="42"/>
        <v>9.9</v>
      </c>
      <c r="S102" s="58">
        <f t="shared" si="42"/>
        <v>9.9</v>
      </c>
      <c r="T102" s="58">
        <f t="shared" ref="T102:AF107" si="43">S102</f>
        <v>9.9</v>
      </c>
      <c r="U102" s="58">
        <f t="shared" si="43"/>
        <v>9.9</v>
      </c>
      <c r="V102" s="58">
        <f t="shared" si="43"/>
        <v>9.9</v>
      </c>
      <c r="W102" s="58">
        <f t="shared" si="43"/>
        <v>9.9</v>
      </c>
      <c r="X102" s="58">
        <f t="shared" si="43"/>
        <v>9.9</v>
      </c>
      <c r="Y102" s="58">
        <f t="shared" si="43"/>
        <v>9.9</v>
      </c>
      <c r="Z102" s="58">
        <f t="shared" si="43"/>
        <v>9.9</v>
      </c>
      <c r="AA102" s="58">
        <f t="shared" si="43"/>
        <v>9.9</v>
      </c>
      <c r="AB102" s="58">
        <f t="shared" si="43"/>
        <v>9.9</v>
      </c>
      <c r="AC102" s="58">
        <f t="shared" si="43"/>
        <v>9.9</v>
      </c>
      <c r="AD102" s="58">
        <f t="shared" si="43"/>
        <v>9.9</v>
      </c>
      <c r="AE102" s="58">
        <f t="shared" si="43"/>
        <v>9.9</v>
      </c>
      <c r="AF102" s="58">
        <f t="shared" si="43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1"/>
        <v>9.6</v>
      </c>
      <c r="C103" s="55">
        <v>9.6</v>
      </c>
      <c r="D103" s="44">
        <f t="shared" si="42"/>
        <v>9.6</v>
      </c>
      <c r="E103" s="44">
        <f t="shared" si="42"/>
        <v>9.6</v>
      </c>
      <c r="F103" s="44">
        <f t="shared" si="42"/>
        <v>9.6</v>
      </c>
      <c r="G103" s="44">
        <f t="shared" si="42"/>
        <v>9.6</v>
      </c>
      <c r="H103" s="44">
        <f t="shared" si="42"/>
        <v>9.6</v>
      </c>
      <c r="I103" s="44">
        <f t="shared" si="42"/>
        <v>9.6</v>
      </c>
      <c r="J103" s="44">
        <f t="shared" si="42"/>
        <v>9.6</v>
      </c>
      <c r="K103" s="44">
        <f t="shared" si="42"/>
        <v>9.6</v>
      </c>
      <c r="L103" s="44">
        <f t="shared" si="42"/>
        <v>9.6</v>
      </c>
      <c r="M103" s="44">
        <f t="shared" si="42"/>
        <v>9.6</v>
      </c>
      <c r="N103" s="44">
        <f t="shared" si="42"/>
        <v>9.6</v>
      </c>
      <c r="O103" s="44">
        <f t="shared" si="42"/>
        <v>9.6</v>
      </c>
      <c r="P103" s="44">
        <f t="shared" si="42"/>
        <v>9.6</v>
      </c>
      <c r="Q103" s="44">
        <f t="shared" si="42"/>
        <v>9.6</v>
      </c>
      <c r="R103" s="44">
        <f t="shared" si="42"/>
        <v>9.6</v>
      </c>
      <c r="S103" s="44">
        <f t="shared" si="42"/>
        <v>9.6</v>
      </c>
      <c r="T103" s="44">
        <f t="shared" si="43"/>
        <v>9.6</v>
      </c>
      <c r="U103" s="44">
        <f t="shared" si="43"/>
        <v>9.6</v>
      </c>
      <c r="V103" s="44">
        <f t="shared" si="43"/>
        <v>9.6</v>
      </c>
      <c r="W103" s="44">
        <f t="shared" si="43"/>
        <v>9.6</v>
      </c>
      <c r="X103" s="44">
        <f t="shared" si="43"/>
        <v>9.6</v>
      </c>
      <c r="Y103" s="44">
        <f t="shared" si="43"/>
        <v>9.6</v>
      </c>
      <c r="Z103" s="44">
        <f t="shared" si="43"/>
        <v>9.6</v>
      </c>
      <c r="AA103" s="44">
        <f t="shared" si="43"/>
        <v>9.6</v>
      </c>
      <c r="AB103" s="44">
        <f t="shared" si="43"/>
        <v>9.6</v>
      </c>
      <c r="AC103" s="44">
        <f t="shared" si="43"/>
        <v>9.6</v>
      </c>
      <c r="AD103" s="44">
        <f t="shared" si="43"/>
        <v>9.6</v>
      </c>
      <c r="AE103" s="44">
        <f t="shared" si="43"/>
        <v>9.6</v>
      </c>
      <c r="AF103" s="44">
        <f t="shared" si="43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1"/>
        <v>9.98</v>
      </c>
      <c r="C104" s="55">
        <v>9.98</v>
      </c>
      <c r="D104" s="44">
        <f t="shared" si="42"/>
        <v>9.98</v>
      </c>
      <c r="E104" s="44">
        <f t="shared" si="42"/>
        <v>9.98</v>
      </c>
      <c r="F104" s="44">
        <f t="shared" si="42"/>
        <v>9.98</v>
      </c>
      <c r="G104" s="44">
        <f t="shared" si="42"/>
        <v>9.98</v>
      </c>
      <c r="H104" s="44">
        <f t="shared" si="42"/>
        <v>9.98</v>
      </c>
      <c r="I104" s="44">
        <f t="shared" si="42"/>
        <v>9.98</v>
      </c>
      <c r="J104" s="44">
        <f t="shared" si="42"/>
        <v>9.98</v>
      </c>
      <c r="K104" s="44">
        <f t="shared" si="42"/>
        <v>9.98</v>
      </c>
      <c r="L104" s="44">
        <f t="shared" si="42"/>
        <v>9.98</v>
      </c>
      <c r="M104" s="44">
        <f t="shared" si="42"/>
        <v>9.98</v>
      </c>
      <c r="N104" s="44">
        <f t="shared" si="42"/>
        <v>9.98</v>
      </c>
      <c r="O104" s="44">
        <f t="shared" si="42"/>
        <v>9.98</v>
      </c>
      <c r="P104" s="44">
        <f t="shared" si="42"/>
        <v>9.98</v>
      </c>
      <c r="Q104" s="44">
        <f t="shared" si="42"/>
        <v>9.98</v>
      </c>
      <c r="R104" s="44">
        <f t="shared" si="42"/>
        <v>9.98</v>
      </c>
      <c r="S104" s="44">
        <f t="shared" si="42"/>
        <v>9.98</v>
      </c>
      <c r="T104" s="44">
        <f t="shared" si="43"/>
        <v>9.98</v>
      </c>
      <c r="U104" s="44">
        <f t="shared" si="43"/>
        <v>9.98</v>
      </c>
      <c r="V104" s="44">
        <f t="shared" si="43"/>
        <v>9.98</v>
      </c>
      <c r="W104" s="44">
        <f t="shared" si="43"/>
        <v>9.98</v>
      </c>
      <c r="X104" s="44">
        <f t="shared" si="43"/>
        <v>9.98</v>
      </c>
      <c r="Y104" s="44">
        <f t="shared" si="43"/>
        <v>9.98</v>
      </c>
      <c r="Z104" s="44">
        <f t="shared" si="43"/>
        <v>9.98</v>
      </c>
      <c r="AA104" s="44">
        <f t="shared" si="43"/>
        <v>9.98</v>
      </c>
      <c r="AB104" s="44">
        <f t="shared" si="43"/>
        <v>9.98</v>
      </c>
      <c r="AC104" s="44">
        <f t="shared" si="43"/>
        <v>9.98</v>
      </c>
      <c r="AD104" s="44">
        <f t="shared" si="43"/>
        <v>9.98</v>
      </c>
      <c r="AE104" s="44">
        <f t="shared" si="43"/>
        <v>9.98</v>
      </c>
      <c r="AF104" s="44">
        <f t="shared" si="43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1"/>
        <v>9.1</v>
      </c>
      <c r="C105" s="55">
        <v>9.1</v>
      </c>
      <c r="D105" s="44">
        <f t="shared" si="42"/>
        <v>9.1</v>
      </c>
      <c r="E105" s="44">
        <f t="shared" si="42"/>
        <v>9.1</v>
      </c>
      <c r="F105" s="44">
        <f t="shared" si="42"/>
        <v>9.1</v>
      </c>
      <c r="G105" s="44">
        <f t="shared" si="42"/>
        <v>9.1</v>
      </c>
      <c r="H105" s="44">
        <f t="shared" si="42"/>
        <v>9.1</v>
      </c>
      <c r="I105" s="44">
        <f t="shared" si="42"/>
        <v>9.1</v>
      </c>
      <c r="J105" s="44">
        <f t="shared" si="42"/>
        <v>9.1</v>
      </c>
      <c r="K105" s="44">
        <f t="shared" si="42"/>
        <v>9.1</v>
      </c>
      <c r="L105" s="44">
        <f t="shared" si="42"/>
        <v>9.1</v>
      </c>
      <c r="M105" s="44">
        <f t="shared" si="42"/>
        <v>9.1</v>
      </c>
      <c r="N105" s="44">
        <f t="shared" si="42"/>
        <v>9.1</v>
      </c>
      <c r="O105" s="44">
        <f t="shared" si="42"/>
        <v>9.1</v>
      </c>
      <c r="P105" s="44">
        <f t="shared" si="42"/>
        <v>9.1</v>
      </c>
      <c r="Q105" s="44">
        <f t="shared" si="42"/>
        <v>9.1</v>
      </c>
      <c r="R105" s="44">
        <f t="shared" si="42"/>
        <v>9.1</v>
      </c>
      <c r="S105" s="44">
        <f t="shared" si="42"/>
        <v>9.1</v>
      </c>
      <c r="T105" s="44">
        <f t="shared" si="43"/>
        <v>9.1</v>
      </c>
      <c r="U105" s="44">
        <f t="shared" si="43"/>
        <v>9.1</v>
      </c>
      <c r="V105" s="44">
        <f t="shared" si="43"/>
        <v>9.1</v>
      </c>
      <c r="W105" s="44">
        <f t="shared" si="43"/>
        <v>9.1</v>
      </c>
      <c r="X105" s="44">
        <f t="shared" si="43"/>
        <v>9.1</v>
      </c>
      <c r="Y105" s="44">
        <f t="shared" si="43"/>
        <v>9.1</v>
      </c>
      <c r="Z105" s="44">
        <f t="shared" si="43"/>
        <v>9.1</v>
      </c>
      <c r="AA105" s="44">
        <f t="shared" si="43"/>
        <v>9.1</v>
      </c>
      <c r="AB105" s="44">
        <f t="shared" si="43"/>
        <v>9.1</v>
      </c>
      <c r="AC105" s="44">
        <f t="shared" si="43"/>
        <v>9.1</v>
      </c>
      <c r="AD105" s="44">
        <f t="shared" si="43"/>
        <v>9.1</v>
      </c>
      <c r="AE105" s="44">
        <f t="shared" si="43"/>
        <v>9.1</v>
      </c>
      <c r="AF105" s="44">
        <f t="shared" si="43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1"/>
        <v>9.18</v>
      </c>
      <c r="C106" s="55">
        <v>9.18</v>
      </c>
      <c r="D106" s="44">
        <f t="shared" si="42"/>
        <v>9.18</v>
      </c>
      <c r="E106" s="44">
        <f t="shared" si="42"/>
        <v>9.18</v>
      </c>
      <c r="F106" s="44">
        <f t="shared" si="42"/>
        <v>9.18</v>
      </c>
      <c r="G106" s="44">
        <f t="shared" si="42"/>
        <v>9.18</v>
      </c>
      <c r="H106" s="44">
        <f t="shared" si="42"/>
        <v>9.18</v>
      </c>
      <c r="I106" s="44">
        <f t="shared" si="42"/>
        <v>9.18</v>
      </c>
      <c r="J106" s="44">
        <f t="shared" si="42"/>
        <v>9.18</v>
      </c>
      <c r="K106" s="44">
        <f t="shared" si="42"/>
        <v>9.18</v>
      </c>
      <c r="L106" s="44">
        <f t="shared" si="42"/>
        <v>9.18</v>
      </c>
      <c r="M106" s="44">
        <f t="shared" si="42"/>
        <v>9.18</v>
      </c>
      <c r="N106" s="44">
        <f t="shared" si="42"/>
        <v>9.18</v>
      </c>
      <c r="O106" s="44">
        <f t="shared" si="42"/>
        <v>9.18</v>
      </c>
      <c r="P106" s="44">
        <f t="shared" si="42"/>
        <v>9.18</v>
      </c>
      <c r="Q106" s="44">
        <f t="shared" si="42"/>
        <v>9.18</v>
      </c>
      <c r="R106" s="44">
        <f t="shared" si="42"/>
        <v>9.18</v>
      </c>
      <c r="S106" s="44">
        <f t="shared" si="42"/>
        <v>9.18</v>
      </c>
      <c r="T106" s="44">
        <f t="shared" si="43"/>
        <v>9.18</v>
      </c>
      <c r="U106" s="44">
        <f t="shared" si="43"/>
        <v>9.18</v>
      </c>
      <c r="V106" s="44">
        <f t="shared" si="43"/>
        <v>9.18</v>
      </c>
      <c r="W106" s="44">
        <f t="shared" si="43"/>
        <v>9.18</v>
      </c>
      <c r="X106" s="44">
        <f t="shared" si="43"/>
        <v>9.18</v>
      </c>
      <c r="Y106" s="44">
        <f t="shared" si="43"/>
        <v>9.18</v>
      </c>
      <c r="Z106" s="44">
        <f t="shared" si="43"/>
        <v>9.18</v>
      </c>
      <c r="AA106" s="44">
        <f t="shared" si="43"/>
        <v>9.18</v>
      </c>
      <c r="AB106" s="44">
        <f t="shared" si="43"/>
        <v>9.18</v>
      </c>
      <c r="AC106" s="44">
        <f t="shared" si="43"/>
        <v>9.18</v>
      </c>
      <c r="AD106" s="44">
        <f t="shared" si="43"/>
        <v>9.18</v>
      </c>
      <c r="AE106" s="44">
        <f t="shared" si="43"/>
        <v>9.18</v>
      </c>
      <c r="AF106" s="44">
        <f t="shared" si="43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1"/>
        <v>7</v>
      </c>
      <c r="C107" s="55">
        <v>7</v>
      </c>
      <c r="D107" s="44">
        <f t="shared" si="42"/>
        <v>7</v>
      </c>
      <c r="E107" s="44">
        <f t="shared" si="42"/>
        <v>7</v>
      </c>
      <c r="F107" s="44">
        <f t="shared" si="42"/>
        <v>7</v>
      </c>
      <c r="G107" s="44">
        <f t="shared" si="42"/>
        <v>7</v>
      </c>
      <c r="H107" s="44">
        <f t="shared" si="42"/>
        <v>7</v>
      </c>
      <c r="I107" s="44">
        <f t="shared" si="42"/>
        <v>7</v>
      </c>
      <c r="J107" s="44">
        <f t="shared" si="42"/>
        <v>7</v>
      </c>
      <c r="K107" s="44">
        <f t="shared" si="42"/>
        <v>7</v>
      </c>
      <c r="L107" s="44">
        <f t="shared" si="42"/>
        <v>7</v>
      </c>
      <c r="M107" s="44">
        <f t="shared" si="42"/>
        <v>7</v>
      </c>
      <c r="N107" s="44">
        <f t="shared" si="42"/>
        <v>7</v>
      </c>
      <c r="O107" s="44">
        <f t="shared" si="42"/>
        <v>7</v>
      </c>
      <c r="P107" s="44">
        <f t="shared" si="42"/>
        <v>7</v>
      </c>
      <c r="Q107" s="44">
        <f t="shared" si="42"/>
        <v>7</v>
      </c>
      <c r="R107" s="44">
        <f t="shared" si="42"/>
        <v>7</v>
      </c>
      <c r="S107" s="44">
        <f t="shared" si="42"/>
        <v>7</v>
      </c>
      <c r="T107" s="44">
        <f t="shared" si="43"/>
        <v>7</v>
      </c>
      <c r="U107" s="44">
        <f t="shared" si="43"/>
        <v>7</v>
      </c>
      <c r="V107" s="44">
        <f t="shared" si="43"/>
        <v>7</v>
      </c>
      <c r="W107" s="44">
        <f t="shared" si="43"/>
        <v>7</v>
      </c>
      <c r="X107" s="44">
        <f t="shared" si="43"/>
        <v>7</v>
      </c>
      <c r="Y107" s="44">
        <f t="shared" si="43"/>
        <v>7</v>
      </c>
      <c r="Z107" s="44">
        <f t="shared" si="43"/>
        <v>7</v>
      </c>
      <c r="AA107" s="44">
        <f t="shared" si="43"/>
        <v>7</v>
      </c>
      <c r="AB107" s="44">
        <f t="shared" si="43"/>
        <v>7</v>
      </c>
      <c r="AC107" s="44">
        <f t="shared" si="43"/>
        <v>7</v>
      </c>
      <c r="AD107" s="44">
        <f t="shared" si="43"/>
        <v>7</v>
      </c>
      <c r="AE107" s="44">
        <f t="shared" si="43"/>
        <v>7</v>
      </c>
      <c r="AF107" s="44">
        <f t="shared" si="43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4">C109</f>
        <v>2.25</v>
      </c>
      <c r="E109" s="44">
        <f t="shared" si="44"/>
        <v>2.25</v>
      </c>
      <c r="F109" s="44">
        <f t="shared" si="44"/>
        <v>2.25</v>
      </c>
      <c r="G109" s="44">
        <f t="shared" si="44"/>
        <v>2.25</v>
      </c>
      <c r="H109" s="44">
        <f t="shared" si="44"/>
        <v>2.25</v>
      </c>
      <c r="I109" s="44">
        <f t="shared" si="44"/>
        <v>2.25</v>
      </c>
      <c r="J109" s="44">
        <f t="shared" si="44"/>
        <v>2.25</v>
      </c>
      <c r="K109" s="44">
        <f t="shared" si="44"/>
        <v>2.25</v>
      </c>
      <c r="L109" s="44">
        <f t="shared" si="44"/>
        <v>2.25</v>
      </c>
      <c r="M109" s="44">
        <f t="shared" si="44"/>
        <v>2.25</v>
      </c>
      <c r="N109" s="44">
        <f t="shared" si="44"/>
        <v>2.25</v>
      </c>
      <c r="O109" s="44">
        <f t="shared" si="44"/>
        <v>2.25</v>
      </c>
      <c r="P109" s="44">
        <f t="shared" si="44"/>
        <v>2.25</v>
      </c>
      <c r="Q109" s="44">
        <f t="shared" si="44"/>
        <v>2.25</v>
      </c>
      <c r="R109" s="44">
        <f t="shared" si="44"/>
        <v>2.25</v>
      </c>
      <c r="S109" s="44">
        <f t="shared" si="44"/>
        <v>2.25</v>
      </c>
      <c r="T109" s="44">
        <f t="shared" ref="T109:AF110" si="45">S109</f>
        <v>2.25</v>
      </c>
      <c r="U109" s="44">
        <f t="shared" si="45"/>
        <v>2.25</v>
      </c>
      <c r="V109" s="44">
        <f t="shared" si="45"/>
        <v>2.25</v>
      </c>
      <c r="W109" s="44">
        <f t="shared" si="45"/>
        <v>2.25</v>
      </c>
      <c r="X109" s="44">
        <f t="shared" si="45"/>
        <v>2.25</v>
      </c>
      <c r="Y109" s="44">
        <f t="shared" si="45"/>
        <v>2.25</v>
      </c>
      <c r="Z109" s="44">
        <f t="shared" si="45"/>
        <v>2.25</v>
      </c>
      <c r="AA109" s="44">
        <f t="shared" si="45"/>
        <v>2.25</v>
      </c>
      <c r="AB109" s="44">
        <f t="shared" si="45"/>
        <v>2.25</v>
      </c>
      <c r="AC109" s="44">
        <f t="shared" si="45"/>
        <v>2.25</v>
      </c>
      <c r="AD109" s="44">
        <f t="shared" si="45"/>
        <v>2.25</v>
      </c>
      <c r="AE109" s="44">
        <f t="shared" si="45"/>
        <v>2.25</v>
      </c>
      <c r="AF109" s="44">
        <f t="shared" si="45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4"/>
        <v>1.64</v>
      </c>
      <c r="E110" s="44">
        <f t="shared" si="44"/>
        <v>1.64</v>
      </c>
      <c r="F110" s="44">
        <f t="shared" si="44"/>
        <v>1.64</v>
      </c>
      <c r="G110" s="44">
        <f t="shared" si="44"/>
        <v>1.64</v>
      </c>
      <c r="H110" s="44">
        <f t="shared" si="44"/>
        <v>1.64</v>
      </c>
      <c r="I110" s="44">
        <f t="shared" si="44"/>
        <v>1.64</v>
      </c>
      <c r="J110" s="44">
        <f t="shared" si="44"/>
        <v>1.64</v>
      </c>
      <c r="K110" s="44">
        <f t="shared" si="44"/>
        <v>1.64</v>
      </c>
      <c r="L110" s="44">
        <f t="shared" si="44"/>
        <v>1.64</v>
      </c>
      <c r="M110" s="44">
        <f t="shared" si="44"/>
        <v>1.64</v>
      </c>
      <c r="N110" s="44">
        <f t="shared" si="44"/>
        <v>1.64</v>
      </c>
      <c r="O110" s="44">
        <f t="shared" si="44"/>
        <v>1.64</v>
      </c>
      <c r="P110" s="44">
        <f t="shared" si="44"/>
        <v>1.64</v>
      </c>
      <c r="Q110" s="44">
        <f t="shared" si="44"/>
        <v>1.64</v>
      </c>
      <c r="R110" s="44">
        <f t="shared" si="44"/>
        <v>1.64</v>
      </c>
      <c r="S110" s="44">
        <f t="shared" si="44"/>
        <v>1.64</v>
      </c>
      <c r="T110" s="44">
        <f t="shared" si="45"/>
        <v>1.64</v>
      </c>
      <c r="U110" s="44">
        <f t="shared" si="45"/>
        <v>1.64</v>
      </c>
      <c r="V110" s="44">
        <f t="shared" si="45"/>
        <v>1.64</v>
      </c>
      <c r="W110" s="44">
        <f t="shared" si="45"/>
        <v>1.64</v>
      </c>
      <c r="X110" s="44">
        <f t="shared" si="45"/>
        <v>1.64</v>
      </c>
      <c r="Y110" s="44">
        <f t="shared" si="45"/>
        <v>1.64</v>
      </c>
      <c r="Z110" s="44">
        <f t="shared" si="45"/>
        <v>1.64</v>
      </c>
      <c r="AA110" s="44">
        <f t="shared" si="45"/>
        <v>1.64</v>
      </c>
      <c r="AB110" s="44">
        <f t="shared" si="45"/>
        <v>1.64</v>
      </c>
      <c r="AC110" s="44">
        <f t="shared" si="45"/>
        <v>1.64</v>
      </c>
      <c r="AD110" s="44">
        <f t="shared" si="45"/>
        <v>1.64</v>
      </c>
      <c r="AE110" s="44">
        <f t="shared" si="45"/>
        <v>1.64</v>
      </c>
      <c r="AF110" s="44">
        <f t="shared" si="45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6">AF112</f>
        <v>1.62</v>
      </c>
      <c r="C112" s="55">
        <v>1.62</v>
      </c>
      <c r="D112" s="44">
        <f t="shared" ref="D112:S119" si="47">C112</f>
        <v>1.62</v>
      </c>
      <c r="E112" s="44">
        <f t="shared" si="47"/>
        <v>1.62</v>
      </c>
      <c r="F112" s="44">
        <f t="shared" si="47"/>
        <v>1.62</v>
      </c>
      <c r="G112" s="44">
        <f t="shared" si="47"/>
        <v>1.62</v>
      </c>
      <c r="H112" s="44">
        <f t="shared" si="47"/>
        <v>1.62</v>
      </c>
      <c r="I112" s="44">
        <f t="shared" si="47"/>
        <v>1.62</v>
      </c>
      <c r="J112" s="44">
        <f t="shared" si="47"/>
        <v>1.62</v>
      </c>
      <c r="K112" s="44">
        <f t="shared" si="47"/>
        <v>1.62</v>
      </c>
      <c r="L112" s="44">
        <f t="shared" si="47"/>
        <v>1.62</v>
      </c>
      <c r="M112" s="44">
        <f t="shared" si="47"/>
        <v>1.62</v>
      </c>
      <c r="N112" s="44">
        <f t="shared" si="47"/>
        <v>1.62</v>
      </c>
      <c r="O112" s="44">
        <f t="shared" si="47"/>
        <v>1.62</v>
      </c>
      <c r="P112" s="44">
        <f t="shared" si="47"/>
        <v>1.62</v>
      </c>
      <c r="Q112" s="44">
        <f t="shared" si="47"/>
        <v>1.62</v>
      </c>
      <c r="R112" s="44">
        <f t="shared" si="47"/>
        <v>1.62</v>
      </c>
      <c r="S112" s="44">
        <f t="shared" si="47"/>
        <v>1.62</v>
      </c>
      <c r="T112" s="44">
        <f t="shared" ref="T112:AF127" si="48">S112</f>
        <v>1.62</v>
      </c>
      <c r="U112" s="44">
        <f t="shared" si="48"/>
        <v>1.62</v>
      </c>
      <c r="V112" s="44">
        <f t="shared" si="48"/>
        <v>1.62</v>
      </c>
      <c r="W112" s="44">
        <f t="shared" si="48"/>
        <v>1.62</v>
      </c>
      <c r="X112" s="44">
        <f t="shared" si="48"/>
        <v>1.62</v>
      </c>
      <c r="Y112" s="44">
        <f t="shared" si="48"/>
        <v>1.62</v>
      </c>
      <c r="Z112" s="44">
        <f t="shared" si="48"/>
        <v>1.62</v>
      </c>
      <c r="AA112" s="44">
        <f t="shared" si="48"/>
        <v>1.62</v>
      </c>
      <c r="AB112" s="44">
        <f t="shared" si="48"/>
        <v>1.62</v>
      </c>
      <c r="AC112" s="44">
        <f t="shared" si="48"/>
        <v>1.62</v>
      </c>
      <c r="AD112" s="44">
        <f t="shared" si="48"/>
        <v>1.62</v>
      </c>
      <c r="AE112" s="44">
        <f t="shared" si="48"/>
        <v>1.62</v>
      </c>
      <c r="AF112" s="44">
        <f t="shared" si="48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6"/>
        <v>8.36</v>
      </c>
      <c r="C113" s="55">
        <v>8.36</v>
      </c>
      <c r="D113" s="44">
        <f t="shared" si="47"/>
        <v>8.36</v>
      </c>
      <c r="E113" s="44">
        <f t="shared" si="47"/>
        <v>8.36</v>
      </c>
      <c r="F113" s="44">
        <f t="shared" si="47"/>
        <v>8.36</v>
      </c>
      <c r="G113" s="44">
        <f t="shared" si="47"/>
        <v>8.36</v>
      </c>
      <c r="H113" s="44">
        <f t="shared" si="47"/>
        <v>8.36</v>
      </c>
      <c r="I113" s="44">
        <f t="shared" si="47"/>
        <v>8.36</v>
      </c>
      <c r="J113" s="44">
        <f t="shared" si="47"/>
        <v>8.36</v>
      </c>
      <c r="K113" s="44">
        <f t="shared" si="47"/>
        <v>8.36</v>
      </c>
      <c r="L113" s="44">
        <f t="shared" si="47"/>
        <v>8.36</v>
      </c>
      <c r="M113" s="44">
        <f t="shared" si="47"/>
        <v>8.36</v>
      </c>
      <c r="N113" s="44">
        <f t="shared" si="47"/>
        <v>8.36</v>
      </c>
      <c r="O113" s="44">
        <f t="shared" si="47"/>
        <v>8.36</v>
      </c>
      <c r="P113" s="44">
        <f t="shared" si="47"/>
        <v>8.36</v>
      </c>
      <c r="Q113" s="44">
        <f t="shared" si="47"/>
        <v>8.36</v>
      </c>
      <c r="R113" s="44">
        <f t="shared" si="47"/>
        <v>8.36</v>
      </c>
      <c r="S113" s="44">
        <f t="shared" si="47"/>
        <v>8.36</v>
      </c>
      <c r="T113" s="44">
        <f t="shared" si="48"/>
        <v>8.36</v>
      </c>
      <c r="U113" s="44">
        <f t="shared" si="48"/>
        <v>8.36</v>
      </c>
      <c r="V113" s="44">
        <f t="shared" si="48"/>
        <v>8.36</v>
      </c>
      <c r="W113" s="44">
        <f t="shared" si="48"/>
        <v>8.36</v>
      </c>
      <c r="X113" s="44">
        <f t="shared" si="48"/>
        <v>8.36</v>
      </c>
      <c r="Y113" s="44">
        <f t="shared" si="48"/>
        <v>8.36</v>
      </c>
      <c r="Z113" s="44">
        <f t="shared" si="48"/>
        <v>8.36</v>
      </c>
      <c r="AA113" s="44">
        <f t="shared" si="48"/>
        <v>8.36</v>
      </c>
      <c r="AB113" s="44">
        <f t="shared" si="48"/>
        <v>8.36</v>
      </c>
      <c r="AC113" s="44">
        <f t="shared" si="48"/>
        <v>8.36</v>
      </c>
      <c r="AD113" s="44">
        <f t="shared" si="48"/>
        <v>8.36</v>
      </c>
      <c r="AE113" s="44">
        <f t="shared" si="48"/>
        <v>8.36</v>
      </c>
      <c r="AF113" s="44">
        <f t="shared" si="48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6"/>
        <v>5.4</v>
      </c>
      <c r="C114" s="55">
        <v>8</v>
      </c>
      <c r="D114" s="44">
        <f t="shared" si="47"/>
        <v>8</v>
      </c>
      <c r="E114" s="44">
        <f t="shared" si="47"/>
        <v>8</v>
      </c>
      <c r="F114" s="44">
        <f t="shared" si="47"/>
        <v>8</v>
      </c>
      <c r="G114" s="44">
        <f t="shared" si="47"/>
        <v>8</v>
      </c>
      <c r="H114" s="44">
        <f t="shared" si="47"/>
        <v>8</v>
      </c>
      <c r="I114" s="44">
        <f t="shared" si="47"/>
        <v>8</v>
      </c>
      <c r="J114" s="44">
        <v>5.4</v>
      </c>
      <c r="K114" s="44">
        <f t="shared" si="47"/>
        <v>5.4</v>
      </c>
      <c r="L114" s="44">
        <f t="shared" si="47"/>
        <v>5.4</v>
      </c>
      <c r="M114" s="44">
        <f t="shared" si="47"/>
        <v>5.4</v>
      </c>
      <c r="N114" s="44">
        <f t="shared" si="47"/>
        <v>5.4</v>
      </c>
      <c r="O114" s="44">
        <f t="shared" si="47"/>
        <v>5.4</v>
      </c>
      <c r="P114" s="44">
        <f t="shared" si="47"/>
        <v>5.4</v>
      </c>
      <c r="Q114" s="44">
        <f t="shared" si="47"/>
        <v>5.4</v>
      </c>
      <c r="R114" s="44">
        <f t="shared" si="47"/>
        <v>5.4</v>
      </c>
      <c r="S114" s="44">
        <f t="shared" si="47"/>
        <v>5.4</v>
      </c>
      <c r="T114" s="44">
        <f t="shared" si="48"/>
        <v>5.4</v>
      </c>
      <c r="U114" s="44">
        <f t="shared" si="48"/>
        <v>5.4</v>
      </c>
      <c r="V114" s="44">
        <f t="shared" si="48"/>
        <v>5.4</v>
      </c>
      <c r="W114" s="44">
        <f t="shared" si="48"/>
        <v>5.4</v>
      </c>
      <c r="X114" s="44">
        <f t="shared" si="48"/>
        <v>5.4</v>
      </c>
      <c r="Y114" s="44">
        <f t="shared" si="48"/>
        <v>5.4</v>
      </c>
      <c r="Z114" s="44">
        <f t="shared" si="48"/>
        <v>5.4</v>
      </c>
      <c r="AA114" s="44">
        <f t="shared" si="48"/>
        <v>5.4</v>
      </c>
      <c r="AB114" s="44">
        <f t="shared" si="48"/>
        <v>5.4</v>
      </c>
      <c r="AC114" s="44">
        <f t="shared" si="48"/>
        <v>5.4</v>
      </c>
      <c r="AD114" s="44">
        <f t="shared" si="48"/>
        <v>5.4</v>
      </c>
      <c r="AE114" s="44">
        <f t="shared" si="48"/>
        <v>5.4</v>
      </c>
      <c r="AF114" s="44">
        <f t="shared" si="48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6"/>
        <v>6.57</v>
      </c>
      <c r="C115" s="55">
        <v>6.57</v>
      </c>
      <c r="D115" s="44">
        <f t="shared" si="47"/>
        <v>6.57</v>
      </c>
      <c r="E115" s="44">
        <f t="shared" si="47"/>
        <v>6.57</v>
      </c>
      <c r="F115" s="44">
        <f t="shared" si="47"/>
        <v>6.57</v>
      </c>
      <c r="G115" s="44">
        <f t="shared" si="47"/>
        <v>6.57</v>
      </c>
      <c r="H115" s="44">
        <f t="shared" si="47"/>
        <v>6.57</v>
      </c>
      <c r="I115" s="44">
        <f t="shared" si="47"/>
        <v>6.57</v>
      </c>
      <c r="J115" s="44">
        <f t="shared" si="47"/>
        <v>6.57</v>
      </c>
      <c r="K115" s="44">
        <f t="shared" si="47"/>
        <v>6.57</v>
      </c>
      <c r="L115" s="44">
        <f t="shared" si="47"/>
        <v>6.57</v>
      </c>
      <c r="M115" s="44">
        <f t="shared" si="47"/>
        <v>6.57</v>
      </c>
      <c r="N115" s="44">
        <f t="shared" si="47"/>
        <v>6.57</v>
      </c>
      <c r="O115" s="44">
        <f t="shared" si="47"/>
        <v>6.57</v>
      </c>
      <c r="P115" s="44">
        <f t="shared" si="47"/>
        <v>6.57</v>
      </c>
      <c r="Q115" s="44">
        <f t="shared" si="47"/>
        <v>6.57</v>
      </c>
      <c r="R115" s="44">
        <f t="shared" si="47"/>
        <v>6.57</v>
      </c>
      <c r="S115" s="44">
        <f t="shared" si="47"/>
        <v>6.57</v>
      </c>
      <c r="T115" s="44">
        <f t="shared" si="48"/>
        <v>6.57</v>
      </c>
      <c r="U115" s="44">
        <f t="shared" si="48"/>
        <v>6.57</v>
      </c>
      <c r="V115" s="44">
        <f t="shared" si="48"/>
        <v>6.57</v>
      </c>
      <c r="W115" s="44">
        <f t="shared" si="48"/>
        <v>6.57</v>
      </c>
      <c r="X115" s="44">
        <f t="shared" si="48"/>
        <v>6.57</v>
      </c>
      <c r="Y115" s="44">
        <f t="shared" si="48"/>
        <v>6.57</v>
      </c>
      <c r="Z115" s="44">
        <f t="shared" si="48"/>
        <v>6.57</v>
      </c>
      <c r="AA115" s="44">
        <f t="shared" si="48"/>
        <v>6.57</v>
      </c>
      <c r="AB115" s="44">
        <f t="shared" si="48"/>
        <v>6.57</v>
      </c>
      <c r="AC115" s="44">
        <f t="shared" si="48"/>
        <v>6.57</v>
      </c>
      <c r="AD115" s="44">
        <f t="shared" si="48"/>
        <v>6.57</v>
      </c>
      <c r="AE115" s="44">
        <f t="shared" si="48"/>
        <v>6.57</v>
      </c>
      <c r="AF115" s="44">
        <f t="shared" si="48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6"/>
        <v>3.43</v>
      </c>
      <c r="C116" s="55">
        <v>3.43</v>
      </c>
      <c r="D116" s="44">
        <f t="shared" si="47"/>
        <v>3.43</v>
      </c>
      <c r="E116" s="44">
        <f t="shared" si="47"/>
        <v>3.43</v>
      </c>
      <c r="F116" s="44">
        <f t="shared" si="47"/>
        <v>3.43</v>
      </c>
      <c r="G116" s="44">
        <f t="shared" si="47"/>
        <v>3.43</v>
      </c>
      <c r="H116" s="44">
        <f t="shared" si="47"/>
        <v>3.43</v>
      </c>
      <c r="I116" s="44">
        <f t="shared" si="47"/>
        <v>3.43</v>
      </c>
      <c r="J116" s="44">
        <f t="shared" si="47"/>
        <v>3.43</v>
      </c>
      <c r="K116" s="44">
        <f t="shared" si="47"/>
        <v>3.43</v>
      </c>
      <c r="L116" s="44">
        <f t="shared" si="47"/>
        <v>3.43</v>
      </c>
      <c r="M116" s="44">
        <f t="shared" si="47"/>
        <v>3.43</v>
      </c>
      <c r="N116" s="44">
        <f t="shared" si="47"/>
        <v>3.43</v>
      </c>
      <c r="O116" s="44">
        <f t="shared" si="47"/>
        <v>3.43</v>
      </c>
      <c r="P116" s="44">
        <f t="shared" si="47"/>
        <v>3.43</v>
      </c>
      <c r="Q116" s="44">
        <f t="shared" si="47"/>
        <v>3.43</v>
      </c>
      <c r="R116" s="44">
        <f t="shared" si="47"/>
        <v>3.43</v>
      </c>
      <c r="S116" s="44">
        <f t="shared" si="47"/>
        <v>3.43</v>
      </c>
      <c r="T116" s="44">
        <f t="shared" si="48"/>
        <v>3.43</v>
      </c>
      <c r="U116" s="44">
        <f t="shared" si="48"/>
        <v>3.43</v>
      </c>
      <c r="V116" s="44">
        <f t="shared" si="48"/>
        <v>3.43</v>
      </c>
      <c r="W116" s="44">
        <f t="shared" si="48"/>
        <v>3.43</v>
      </c>
      <c r="X116" s="44">
        <f t="shared" si="48"/>
        <v>3.43</v>
      </c>
      <c r="Y116" s="44">
        <f t="shared" si="48"/>
        <v>3.43</v>
      </c>
      <c r="Z116" s="44">
        <f t="shared" si="48"/>
        <v>3.43</v>
      </c>
      <c r="AA116" s="44">
        <f t="shared" si="48"/>
        <v>3.43</v>
      </c>
      <c r="AB116" s="44">
        <f t="shared" si="48"/>
        <v>3.43</v>
      </c>
      <c r="AC116" s="44">
        <f t="shared" si="48"/>
        <v>3.43</v>
      </c>
      <c r="AD116" s="44">
        <f t="shared" si="48"/>
        <v>3.43</v>
      </c>
      <c r="AE116" s="44">
        <f t="shared" si="48"/>
        <v>3.43</v>
      </c>
      <c r="AF116" s="44">
        <f t="shared" si="48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6"/>
        <v>2.96</v>
      </c>
      <c r="C117" s="55">
        <v>2.96</v>
      </c>
      <c r="D117" s="44">
        <f t="shared" si="47"/>
        <v>2.96</v>
      </c>
      <c r="E117" s="44">
        <f t="shared" si="47"/>
        <v>2.96</v>
      </c>
      <c r="F117" s="44">
        <f t="shared" si="47"/>
        <v>2.96</v>
      </c>
      <c r="G117" s="44">
        <f t="shared" si="47"/>
        <v>2.96</v>
      </c>
      <c r="H117" s="44">
        <f t="shared" si="47"/>
        <v>2.96</v>
      </c>
      <c r="I117" s="44">
        <f t="shared" si="47"/>
        <v>2.96</v>
      </c>
      <c r="J117" s="44">
        <f t="shared" si="47"/>
        <v>2.96</v>
      </c>
      <c r="K117" s="44">
        <f t="shared" si="47"/>
        <v>2.96</v>
      </c>
      <c r="L117" s="44">
        <f t="shared" si="47"/>
        <v>2.96</v>
      </c>
      <c r="M117" s="44">
        <f t="shared" si="47"/>
        <v>2.96</v>
      </c>
      <c r="N117" s="44">
        <f t="shared" si="47"/>
        <v>2.96</v>
      </c>
      <c r="O117" s="44">
        <f t="shared" si="47"/>
        <v>2.96</v>
      </c>
      <c r="P117" s="44">
        <f t="shared" si="47"/>
        <v>2.96</v>
      </c>
      <c r="Q117" s="44">
        <f t="shared" si="47"/>
        <v>2.96</v>
      </c>
      <c r="R117" s="44">
        <f t="shared" si="47"/>
        <v>2.96</v>
      </c>
      <c r="S117" s="44">
        <f t="shared" si="47"/>
        <v>2.96</v>
      </c>
      <c r="T117" s="44">
        <f t="shared" si="48"/>
        <v>2.96</v>
      </c>
      <c r="U117" s="44">
        <f t="shared" si="48"/>
        <v>2.96</v>
      </c>
      <c r="V117" s="44">
        <f t="shared" si="48"/>
        <v>2.96</v>
      </c>
      <c r="W117" s="44">
        <f t="shared" si="48"/>
        <v>2.96</v>
      </c>
      <c r="X117" s="44">
        <f t="shared" si="48"/>
        <v>2.96</v>
      </c>
      <c r="Y117" s="44">
        <f t="shared" si="48"/>
        <v>2.96</v>
      </c>
      <c r="Z117" s="44">
        <f t="shared" si="48"/>
        <v>2.96</v>
      </c>
      <c r="AA117" s="44">
        <f t="shared" si="48"/>
        <v>2.96</v>
      </c>
      <c r="AB117" s="44">
        <f t="shared" si="48"/>
        <v>2.96</v>
      </c>
      <c r="AC117" s="44">
        <f t="shared" si="48"/>
        <v>2.96</v>
      </c>
      <c r="AD117" s="44">
        <f t="shared" si="48"/>
        <v>2.96</v>
      </c>
      <c r="AE117" s="44">
        <f t="shared" si="48"/>
        <v>2.96</v>
      </c>
      <c r="AF117" s="44">
        <f t="shared" si="48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6"/>
        <v>8</v>
      </c>
      <c r="C118" s="55">
        <v>8</v>
      </c>
      <c r="D118" s="44">
        <f t="shared" si="47"/>
        <v>8</v>
      </c>
      <c r="E118" s="44">
        <f t="shared" si="47"/>
        <v>8</v>
      </c>
      <c r="F118" s="44">
        <f t="shared" si="47"/>
        <v>8</v>
      </c>
      <c r="G118" s="44">
        <f t="shared" si="47"/>
        <v>8</v>
      </c>
      <c r="H118" s="44">
        <f t="shared" si="47"/>
        <v>8</v>
      </c>
      <c r="I118" s="44">
        <f t="shared" si="47"/>
        <v>8</v>
      </c>
      <c r="J118" s="44">
        <f t="shared" si="47"/>
        <v>8</v>
      </c>
      <c r="K118" s="44">
        <f t="shared" si="47"/>
        <v>8</v>
      </c>
      <c r="L118" s="44">
        <f t="shared" si="47"/>
        <v>8</v>
      </c>
      <c r="M118" s="44">
        <f t="shared" si="47"/>
        <v>8</v>
      </c>
      <c r="N118" s="44">
        <f t="shared" si="47"/>
        <v>8</v>
      </c>
      <c r="O118" s="44">
        <f t="shared" si="47"/>
        <v>8</v>
      </c>
      <c r="P118" s="44">
        <f t="shared" si="47"/>
        <v>8</v>
      </c>
      <c r="Q118" s="44">
        <f t="shared" si="47"/>
        <v>8</v>
      </c>
      <c r="R118" s="44">
        <f t="shared" si="47"/>
        <v>8</v>
      </c>
      <c r="S118" s="44">
        <f t="shared" si="47"/>
        <v>8</v>
      </c>
      <c r="T118" s="44">
        <f t="shared" si="48"/>
        <v>8</v>
      </c>
      <c r="U118" s="44">
        <f t="shared" si="48"/>
        <v>8</v>
      </c>
      <c r="V118" s="44">
        <f t="shared" si="48"/>
        <v>8</v>
      </c>
      <c r="W118" s="44">
        <f t="shared" si="48"/>
        <v>8</v>
      </c>
      <c r="X118" s="44">
        <f t="shared" si="48"/>
        <v>8</v>
      </c>
      <c r="Y118" s="44">
        <f t="shared" si="48"/>
        <v>8</v>
      </c>
      <c r="Z118" s="44">
        <f t="shared" si="48"/>
        <v>8</v>
      </c>
      <c r="AA118" s="44">
        <f t="shared" si="48"/>
        <v>8</v>
      </c>
      <c r="AB118" s="44">
        <f t="shared" si="48"/>
        <v>8</v>
      </c>
      <c r="AC118" s="44">
        <f t="shared" si="48"/>
        <v>8</v>
      </c>
      <c r="AD118" s="44">
        <f t="shared" si="48"/>
        <v>8</v>
      </c>
      <c r="AE118" s="44">
        <f t="shared" si="48"/>
        <v>8</v>
      </c>
      <c r="AF118" s="44">
        <f t="shared" si="48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6"/>
        <v>7</v>
      </c>
      <c r="C119" s="55">
        <v>7</v>
      </c>
      <c r="D119" s="44">
        <f>C119</f>
        <v>7</v>
      </c>
      <c r="E119" s="44">
        <f t="shared" si="47"/>
        <v>7</v>
      </c>
      <c r="F119" s="44">
        <f t="shared" si="47"/>
        <v>7</v>
      </c>
      <c r="G119" s="44">
        <f t="shared" si="47"/>
        <v>7</v>
      </c>
      <c r="H119" s="44">
        <f t="shared" si="47"/>
        <v>7</v>
      </c>
      <c r="I119" s="44">
        <f t="shared" si="47"/>
        <v>7</v>
      </c>
      <c r="J119" s="44">
        <f t="shared" si="47"/>
        <v>7</v>
      </c>
      <c r="K119" s="44">
        <f t="shared" si="47"/>
        <v>7</v>
      </c>
      <c r="L119" s="44">
        <f t="shared" si="47"/>
        <v>7</v>
      </c>
      <c r="M119" s="44">
        <f t="shared" si="47"/>
        <v>7</v>
      </c>
      <c r="N119" s="44">
        <f t="shared" si="47"/>
        <v>7</v>
      </c>
      <c r="O119" s="44">
        <f t="shared" si="47"/>
        <v>7</v>
      </c>
      <c r="P119" s="44">
        <f t="shared" si="47"/>
        <v>7</v>
      </c>
      <c r="Q119" s="44">
        <f t="shared" si="47"/>
        <v>7</v>
      </c>
      <c r="R119" s="44">
        <f t="shared" si="47"/>
        <v>7</v>
      </c>
      <c r="S119" s="44">
        <f t="shared" si="47"/>
        <v>7</v>
      </c>
      <c r="T119" s="44">
        <f t="shared" si="48"/>
        <v>7</v>
      </c>
      <c r="U119" s="44">
        <f t="shared" si="48"/>
        <v>7</v>
      </c>
      <c r="V119" s="44">
        <f t="shared" si="48"/>
        <v>7</v>
      </c>
      <c r="W119" s="44">
        <f t="shared" si="48"/>
        <v>7</v>
      </c>
      <c r="X119" s="44">
        <f t="shared" si="48"/>
        <v>7</v>
      </c>
      <c r="Y119" s="44">
        <f t="shared" si="48"/>
        <v>7</v>
      </c>
      <c r="Z119" s="44">
        <f t="shared" si="48"/>
        <v>7</v>
      </c>
      <c r="AA119" s="44">
        <f t="shared" si="48"/>
        <v>7</v>
      </c>
      <c r="AB119" s="44">
        <f t="shared" si="48"/>
        <v>7</v>
      </c>
      <c r="AC119" s="44">
        <f t="shared" si="48"/>
        <v>7</v>
      </c>
      <c r="AD119" s="44">
        <f t="shared" si="48"/>
        <v>7</v>
      </c>
      <c r="AE119" s="44">
        <f t="shared" si="48"/>
        <v>7</v>
      </c>
      <c r="AF119" s="44">
        <f t="shared" si="48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6"/>
        <v>3.47</v>
      </c>
      <c r="C120" s="55">
        <v>3.47</v>
      </c>
      <c r="D120" s="44">
        <f t="shared" ref="D120:S129" si="49">C120</f>
        <v>3.47</v>
      </c>
      <c r="E120" s="44">
        <f t="shared" si="49"/>
        <v>3.47</v>
      </c>
      <c r="F120" s="44">
        <f t="shared" si="49"/>
        <v>3.47</v>
      </c>
      <c r="G120" s="44">
        <f t="shared" si="49"/>
        <v>3.47</v>
      </c>
      <c r="H120" s="44">
        <f t="shared" si="49"/>
        <v>3.47</v>
      </c>
      <c r="I120" s="44">
        <f t="shared" si="49"/>
        <v>3.47</v>
      </c>
      <c r="J120" s="44">
        <f t="shared" si="49"/>
        <v>3.47</v>
      </c>
      <c r="K120" s="44">
        <f t="shared" si="49"/>
        <v>3.47</v>
      </c>
      <c r="L120" s="44">
        <f t="shared" si="49"/>
        <v>3.47</v>
      </c>
      <c r="M120" s="44">
        <f t="shared" si="49"/>
        <v>3.47</v>
      </c>
      <c r="N120" s="44">
        <f t="shared" si="49"/>
        <v>3.47</v>
      </c>
      <c r="O120" s="44">
        <f t="shared" si="49"/>
        <v>3.47</v>
      </c>
      <c r="P120" s="44">
        <f t="shared" si="49"/>
        <v>3.47</v>
      </c>
      <c r="Q120" s="44">
        <f t="shared" si="49"/>
        <v>3.47</v>
      </c>
      <c r="R120" s="44">
        <f t="shared" si="49"/>
        <v>3.47</v>
      </c>
      <c r="S120" s="44">
        <f t="shared" si="49"/>
        <v>3.47</v>
      </c>
      <c r="T120" s="44">
        <f t="shared" si="48"/>
        <v>3.47</v>
      </c>
      <c r="U120" s="44">
        <f t="shared" si="48"/>
        <v>3.47</v>
      </c>
      <c r="V120" s="44">
        <f t="shared" si="48"/>
        <v>3.47</v>
      </c>
      <c r="W120" s="44">
        <f t="shared" si="48"/>
        <v>3.47</v>
      </c>
      <c r="X120" s="44">
        <f t="shared" si="48"/>
        <v>3.47</v>
      </c>
      <c r="Y120" s="44">
        <f t="shared" si="48"/>
        <v>3.47</v>
      </c>
      <c r="Z120" s="44">
        <f t="shared" si="48"/>
        <v>3.47</v>
      </c>
      <c r="AA120" s="44">
        <f t="shared" si="48"/>
        <v>3.47</v>
      </c>
      <c r="AB120" s="44">
        <f t="shared" si="48"/>
        <v>3.47</v>
      </c>
      <c r="AC120" s="44">
        <f t="shared" si="48"/>
        <v>3.47</v>
      </c>
      <c r="AD120" s="44">
        <f t="shared" si="48"/>
        <v>3.47</v>
      </c>
      <c r="AE120" s="44">
        <f t="shared" si="48"/>
        <v>3.47</v>
      </c>
      <c r="AF120" s="44">
        <f t="shared" si="48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6"/>
        <v>2.1</v>
      </c>
      <c r="C121" s="55">
        <v>2.1</v>
      </c>
      <c r="D121" s="44">
        <f t="shared" si="49"/>
        <v>2.1</v>
      </c>
      <c r="E121" s="44">
        <f t="shared" si="49"/>
        <v>2.1</v>
      </c>
      <c r="F121" s="44">
        <f t="shared" si="49"/>
        <v>2.1</v>
      </c>
      <c r="G121" s="44">
        <f t="shared" si="49"/>
        <v>2.1</v>
      </c>
      <c r="H121" s="44">
        <f t="shared" si="49"/>
        <v>2.1</v>
      </c>
      <c r="I121" s="44">
        <f t="shared" si="49"/>
        <v>2.1</v>
      </c>
      <c r="J121" s="44">
        <f t="shared" si="49"/>
        <v>2.1</v>
      </c>
      <c r="K121" s="44">
        <f t="shared" si="49"/>
        <v>2.1</v>
      </c>
      <c r="L121" s="44">
        <f t="shared" si="49"/>
        <v>2.1</v>
      </c>
      <c r="M121" s="44">
        <f t="shared" si="49"/>
        <v>2.1</v>
      </c>
      <c r="N121" s="44">
        <f t="shared" si="49"/>
        <v>2.1</v>
      </c>
      <c r="O121" s="44">
        <f t="shared" si="49"/>
        <v>2.1</v>
      </c>
      <c r="P121" s="44">
        <f t="shared" si="49"/>
        <v>2.1</v>
      </c>
      <c r="Q121" s="44">
        <f t="shared" si="49"/>
        <v>2.1</v>
      </c>
      <c r="R121" s="44">
        <f t="shared" si="49"/>
        <v>2.1</v>
      </c>
      <c r="S121" s="44">
        <f t="shared" si="49"/>
        <v>2.1</v>
      </c>
      <c r="T121" s="44">
        <f t="shared" si="48"/>
        <v>2.1</v>
      </c>
      <c r="U121" s="44">
        <f t="shared" si="48"/>
        <v>2.1</v>
      </c>
      <c r="V121" s="44">
        <f t="shared" si="48"/>
        <v>2.1</v>
      </c>
      <c r="W121" s="44">
        <f t="shared" si="48"/>
        <v>2.1</v>
      </c>
      <c r="X121" s="44">
        <f t="shared" si="48"/>
        <v>2.1</v>
      </c>
      <c r="Y121" s="44">
        <f t="shared" si="48"/>
        <v>2.1</v>
      </c>
      <c r="Z121" s="44">
        <f t="shared" si="48"/>
        <v>2.1</v>
      </c>
      <c r="AA121" s="44">
        <f t="shared" si="48"/>
        <v>2.1</v>
      </c>
      <c r="AB121" s="44">
        <f t="shared" si="48"/>
        <v>2.1</v>
      </c>
      <c r="AC121" s="44">
        <f t="shared" si="48"/>
        <v>2.1</v>
      </c>
      <c r="AD121" s="44">
        <f t="shared" si="48"/>
        <v>2.1</v>
      </c>
      <c r="AE121" s="44">
        <f t="shared" si="48"/>
        <v>2.1</v>
      </c>
      <c r="AF121" s="44">
        <f t="shared" si="48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6"/>
        <v>9.3000000000000007</v>
      </c>
      <c r="C122" s="55">
        <v>9.3000000000000007</v>
      </c>
      <c r="D122" s="44">
        <f t="shared" si="49"/>
        <v>9.3000000000000007</v>
      </c>
      <c r="E122" s="44">
        <f t="shared" si="49"/>
        <v>9.3000000000000007</v>
      </c>
      <c r="F122" s="44">
        <f t="shared" si="49"/>
        <v>9.3000000000000007</v>
      </c>
      <c r="G122" s="44">
        <f t="shared" si="49"/>
        <v>9.3000000000000007</v>
      </c>
      <c r="H122" s="44">
        <f t="shared" si="49"/>
        <v>9.3000000000000007</v>
      </c>
      <c r="I122" s="44">
        <f t="shared" si="49"/>
        <v>9.3000000000000007</v>
      </c>
      <c r="J122" s="44">
        <f t="shared" si="49"/>
        <v>9.3000000000000007</v>
      </c>
      <c r="K122" s="44">
        <f t="shared" si="49"/>
        <v>9.3000000000000007</v>
      </c>
      <c r="L122" s="44">
        <f t="shared" si="49"/>
        <v>9.3000000000000007</v>
      </c>
      <c r="M122" s="44">
        <f t="shared" si="49"/>
        <v>9.3000000000000007</v>
      </c>
      <c r="N122" s="44">
        <f t="shared" si="49"/>
        <v>9.3000000000000007</v>
      </c>
      <c r="O122" s="44">
        <f t="shared" si="49"/>
        <v>9.3000000000000007</v>
      </c>
      <c r="P122" s="44">
        <f t="shared" si="49"/>
        <v>9.3000000000000007</v>
      </c>
      <c r="Q122" s="44">
        <f t="shared" si="49"/>
        <v>9.3000000000000007</v>
      </c>
      <c r="R122" s="44">
        <f t="shared" si="49"/>
        <v>9.3000000000000007</v>
      </c>
      <c r="S122" s="44">
        <f t="shared" si="49"/>
        <v>9.3000000000000007</v>
      </c>
      <c r="T122" s="44">
        <f t="shared" si="48"/>
        <v>9.3000000000000007</v>
      </c>
      <c r="U122" s="44">
        <f t="shared" si="48"/>
        <v>9.3000000000000007</v>
      </c>
      <c r="V122" s="44">
        <f t="shared" si="48"/>
        <v>9.3000000000000007</v>
      </c>
      <c r="W122" s="44">
        <f t="shared" si="48"/>
        <v>9.3000000000000007</v>
      </c>
      <c r="X122" s="44">
        <f t="shared" si="48"/>
        <v>9.3000000000000007</v>
      </c>
      <c r="Y122" s="44">
        <f t="shared" si="48"/>
        <v>9.3000000000000007</v>
      </c>
      <c r="Z122" s="44">
        <f t="shared" si="48"/>
        <v>9.3000000000000007</v>
      </c>
      <c r="AA122" s="44">
        <f t="shared" si="48"/>
        <v>9.3000000000000007</v>
      </c>
      <c r="AB122" s="44">
        <f t="shared" si="48"/>
        <v>9.3000000000000007</v>
      </c>
      <c r="AC122" s="44">
        <f t="shared" si="48"/>
        <v>9.3000000000000007</v>
      </c>
      <c r="AD122" s="44">
        <f t="shared" si="48"/>
        <v>9.3000000000000007</v>
      </c>
      <c r="AE122" s="44">
        <f t="shared" si="48"/>
        <v>9.3000000000000007</v>
      </c>
      <c r="AF122" s="44">
        <f t="shared" si="48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6"/>
        <v>0</v>
      </c>
      <c r="C123" s="55">
        <v>0</v>
      </c>
      <c r="D123" s="44">
        <f t="shared" si="49"/>
        <v>0</v>
      </c>
      <c r="E123" s="44">
        <f t="shared" si="49"/>
        <v>0</v>
      </c>
      <c r="F123" s="44">
        <f t="shared" si="49"/>
        <v>0</v>
      </c>
      <c r="G123" s="44">
        <f t="shared" si="49"/>
        <v>0</v>
      </c>
      <c r="H123" s="44">
        <f t="shared" si="49"/>
        <v>0</v>
      </c>
      <c r="I123" s="44">
        <f t="shared" si="49"/>
        <v>0</v>
      </c>
      <c r="J123" s="44">
        <f t="shared" si="49"/>
        <v>0</v>
      </c>
      <c r="K123" s="44">
        <f t="shared" si="49"/>
        <v>0</v>
      </c>
      <c r="L123" s="44">
        <f t="shared" si="49"/>
        <v>0</v>
      </c>
      <c r="M123" s="44">
        <f t="shared" si="49"/>
        <v>0</v>
      </c>
      <c r="N123" s="44">
        <f t="shared" si="49"/>
        <v>0</v>
      </c>
      <c r="O123" s="44">
        <f t="shared" si="49"/>
        <v>0</v>
      </c>
      <c r="P123" s="44">
        <f t="shared" si="49"/>
        <v>0</v>
      </c>
      <c r="Q123" s="44">
        <f t="shared" si="49"/>
        <v>0</v>
      </c>
      <c r="R123" s="44">
        <f t="shared" si="49"/>
        <v>0</v>
      </c>
      <c r="S123" s="44">
        <f t="shared" si="49"/>
        <v>0</v>
      </c>
      <c r="T123" s="44">
        <f t="shared" si="48"/>
        <v>0</v>
      </c>
      <c r="U123" s="44">
        <f t="shared" si="48"/>
        <v>0</v>
      </c>
      <c r="V123" s="44">
        <f t="shared" si="48"/>
        <v>0</v>
      </c>
      <c r="W123" s="44">
        <f t="shared" si="48"/>
        <v>0</v>
      </c>
      <c r="X123" s="44">
        <f t="shared" si="48"/>
        <v>0</v>
      </c>
      <c r="Y123" s="44">
        <f t="shared" si="48"/>
        <v>0</v>
      </c>
      <c r="Z123" s="44">
        <f t="shared" si="48"/>
        <v>0</v>
      </c>
      <c r="AA123" s="44">
        <f t="shared" si="48"/>
        <v>0</v>
      </c>
      <c r="AB123" s="44">
        <f t="shared" si="48"/>
        <v>0</v>
      </c>
      <c r="AC123" s="44">
        <f t="shared" si="48"/>
        <v>0</v>
      </c>
      <c r="AD123" s="44">
        <f t="shared" si="48"/>
        <v>0</v>
      </c>
      <c r="AE123" s="44">
        <f t="shared" si="48"/>
        <v>0</v>
      </c>
      <c r="AF123" s="44">
        <f t="shared" si="48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6"/>
        <v>0</v>
      </c>
      <c r="C124" s="55">
        <v>0</v>
      </c>
      <c r="D124" s="44">
        <f t="shared" si="49"/>
        <v>0</v>
      </c>
      <c r="E124" s="44">
        <f t="shared" si="49"/>
        <v>0</v>
      </c>
      <c r="F124" s="44">
        <f t="shared" si="49"/>
        <v>0</v>
      </c>
      <c r="G124" s="44">
        <f t="shared" si="49"/>
        <v>0</v>
      </c>
      <c r="H124" s="44">
        <f t="shared" si="49"/>
        <v>0</v>
      </c>
      <c r="I124" s="44">
        <f t="shared" si="49"/>
        <v>0</v>
      </c>
      <c r="J124" s="44">
        <f t="shared" si="49"/>
        <v>0</v>
      </c>
      <c r="K124" s="44">
        <f t="shared" si="49"/>
        <v>0</v>
      </c>
      <c r="L124" s="44">
        <f t="shared" si="49"/>
        <v>0</v>
      </c>
      <c r="M124" s="44">
        <f t="shared" si="49"/>
        <v>0</v>
      </c>
      <c r="N124" s="44">
        <f t="shared" si="49"/>
        <v>0</v>
      </c>
      <c r="O124" s="44">
        <f t="shared" si="49"/>
        <v>0</v>
      </c>
      <c r="P124" s="44">
        <f t="shared" si="49"/>
        <v>0</v>
      </c>
      <c r="Q124" s="44">
        <f t="shared" si="49"/>
        <v>0</v>
      </c>
      <c r="R124" s="44">
        <f t="shared" si="49"/>
        <v>0</v>
      </c>
      <c r="S124" s="44">
        <f t="shared" si="49"/>
        <v>0</v>
      </c>
      <c r="T124" s="44">
        <f t="shared" si="48"/>
        <v>0</v>
      </c>
      <c r="U124" s="44">
        <f t="shared" si="48"/>
        <v>0</v>
      </c>
      <c r="V124" s="44">
        <f t="shared" si="48"/>
        <v>0</v>
      </c>
      <c r="W124" s="44">
        <f t="shared" si="48"/>
        <v>0</v>
      </c>
      <c r="X124" s="44">
        <f t="shared" si="48"/>
        <v>0</v>
      </c>
      <c r="Y124" s="44">
        <f t="shared" si="48"/>
        <v>0</v>
      </c>
      <c r="Z124" s="44">
        <f t="shared" si="48"/>
        <v>0</v>
      </c>
      <c r="AA124" s="44">
        <f t="shared" si="48"/>
        <v>0</v>
      </c>
      <c r="AB124" s="44">
        <f t="shared" si="48"/>
        <v>0</v>
      </c>
      <c r="AC124" s="44">
        <f t="shared" si="48"/>
        <v>0</v>
      </c>
      <c r="AD124" s="44">
        <f t="shared" si="48"/>
        <v>0</v>
      </c>
      <c r="AE124" s="44">
        <f t="shared" si="48"/>
        <v>0</v>
      </c>
      <c r="AF124" s="44">
        <f t="shared" si="48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6"/>
        <v>5</v>
      </c>
      <c r="C125" s="55">
        <v>5</v>
      </c>
      <c r="D125" s="44">
        <f t="shared" si="49"/>
        <v>5</v>
      </c>
      <c r="E125" s="44">
        <f t="shared" si="49"/>
        <v>5</v>
      </c>
      <c r="F125" s="44">
        <f t="shared" si="49"/>
        <v>5</v>
      </c>
      <c r="G125" s="44">
        <f t="shared" si="49"/>
        <v>5</v>
      </c>
      <c r="H125" s="44">
        <f t="shared" si="49"/>
        <v>5</v>
      </c>
      <c r="I125" s="44">
        <f t="shared" si="49"/>
        <v>5</v>
      </c>
      <c r="J125" s="44">
        <f t="shared" si="49"/>
        <v>5</v>
      </c>
      <c r="K125" s="44">
        <f t="shared" si="49"/>
        <v>5</v>
      </c>
      <c r="L125" s="44">
        <f t="shared" si="49"/>
        <v>5</v>
      </c>
      <c r="M125" s="44">
        <f t="shared" si="49"/>
        <v>5</v>
      </c>
      <c r="N125" s="44">
        <f t="shared" si="49"/>
        <v>5</v>
      </c>
      <c r="O125" s="44">
        <f t="shared" si="49"/>
        <v>5</v>
      </c>
      <c r="P125" s="44">
        <f t="shared" si="49"/>
        <v>5</v>
      </c>
      <c r="Q125" s="44">
        <f t="shared" si="49"/>
        <v>5</v>
      </c>
      <c r="R125" s="44">
        <f t="shared" si="49"/>
        <v>5</v>
      </c>
      <c r="S125" s="44">
        <f t="shared" si="49"/>
        <v>5</v>
      </c>
      <c r="T125" s="44">
        <f t="shared" si="48"/>
        <v>5</v>
      </c>
      <c r="U125" s="44">
        <f t="shared" si="48"/>
        <v>5</v>
      </c>
      <c r="V125" s="44">
        <f t="shared" si="48"/>
        <v>5</v>
      </c>
      <c r="W125" s="44">
        <f t="shared" si="48"/>
        <v>5</v>
      </c>
      <c r="X125" s="44">
        <f t="shared" si="48"/>
        <v>5</v>
      </c>
      <c r="Y125" s="44">
        <f t="shared" si="48"/>
        <v>5</v>
      </c>
      <c r="Z125" s="44">
        <f t="shared" si="48"/>
        <v>5</v>
      </c>
      <c r="AA125" s="44">
        <f t="shared" si="48"/>
        <v>5</v>
      </c>
      <c r="AB125" s="44">
        <f t="shared" si="48"/>
        <v>5</v>
      </c>
      <c r="AC125" s="44">
        <f t="shared" si="48"/>
        <v>5</v>
      </c>
      <c r="AD125" s="44">
        <f t="shared" si="48"/>
        <v>5</v>
      </c>
      <c r="AE125" s="44">
        <f t="shared" si="48"/>
        <v>5</v>
      </c>
      <c r="AF125" s="44">
        <f t="shared" si="48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6"/>
        <v>1</v>
      </c>
      <c r="C126" s="55">
        <v>1</v>
      </c>
      <c r="D126" s="44">
        <f t="shared" si="49"/>
        <v>1</v>
      </c>
      <c r="E126" s="44">
        <f t="shared" si="49"/>
        <v>1</v>
      </c>
      <c r="F126" s="44">
        <f t="shared" si="49"/>
        <v>1</v>
      </c>
      <c r="G126" s="44">
        <f t="shared" si="49"/>
        <v>1</v>
      </c>
      <c r="H126" s="44">
        <f t="shared" si="49"/>
        <v>1</v>
      </c>
      <c r="I126" s="44">
        <f t="shared" si="49"/>
        <v>1</v>
      </c>
      <c r="J126" s="44">
        <f t="shared" si="49"/>
        <v>1</v>
      </c>
      <c r="K126" s="44">
        <f t="shared" si="49"/>
        <v>1</v>
      </c>
      <c r="L126" s="44">
        <f t="shared" si="49"/>
        <v>1</v>
      </c>
      <c r="M126" s="44">
        <f t="shared" si="49"/>
        <v>1</v>
      </c>
      <c r="N126" s="44">
        <f t="shared" si="49"/>
        <v>1</v>
      </c>
      <c r="O126" s="44">
        <f t="shared" si="49"/>
        <v>1</v>
      </c>
      <c r="P126" s="44">
        <f t="shared" si="49"/>
        <v>1</v>
      </c>
      <c r="Q126" s="44">
        <f t="shared" si="49"/>
        <v>1</v>
      </c>
      <c r="R126" s="44">
        <f t="shared" si="49"/>
        <v>1</v>
      </c>
      <c r="S126" s="44">
        <f t="shared" si="49"/>
        <v>1</v>
      </c>
      <c r="T126" s="44">
        <f t="shared" si="48"/>
        <v>1</v>
      </c>
      <c r="U126" s="44">
        <f t="shared" si="48"/>
        <v>1</v>
      </c>
      <c r="V126" s="44">
        <f t="shared" si="48"/>
        <v>1</v>
      </c>
      <c r="W126" s="44">
        <f t="shared" si="48"/>
        <v>1</v>
      </c>
      <c r="X126" s="44">
        <f t="shared" si="48"/>
        <v>1</v>
      </c>
      <c r="Y126" s="44">
        <f t="shared" si="48"/>
        <v>1</v>
      </c>
      <c r="Z126" s="44">
        <f t="shared" si="48"/>
        <v>1</v>
      </c>
      <c r="AA126" s="44">
        <f t="shared" si="48"/>
        <v>1</v>
      </c>
      <c r="AB126" s="44">
        <f t="shared" si="48"/>
        <v>1</v>
      </c>
      <c r="AC126" s="44">
        <f t="shared" si="48"/>
        <v>1</v>
      </c>
      <c r="AD126" s="44">
        <f t="shared" si="48"/>
        <v>1</v>
      </c>
      <c r="AE126" s="44">
        <f t="shared" si="48"/>
        <v>1</v>
      </c>
      <c r="AF126" s="44">
        <f t="shared" si="48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6"/>
        <v>1.58</v>
      </c>
      <c r="C127" s="55">
        <v>1.58</v>
      </c>
      <c r="D127" s="44">
        <f t="shared" si="49"/>
        <v>1.58</v>
      </c>
      <c r="E127" s="44">
        <f t="shared" si="49"/>
        <v>1.58</v>
      </c>
      <c r="F127" s="44">
        <f t="shared" si="49"/>
        <v>1.58</v>
      </c>
      <c r="G127" s="44">
        <f t="shared" si="49"/>
        <v>1.58</v>
      </c>
      <c r="H127" s="44">
        <f t="shared" si="49"/>
        <v>1.58</v>
      </c>
      <c r="I127" s="44">
        <f t="shared" si="49"/>
        <v>1.58</v>
      </c>
      <c r="J127" s="44">
        <f t="shared" si="49"/>
        <v>1.58</v>
      </c>
      <c r="K127" s="44">
        <f t="shared" si="49"/>
        <v>1.58</v>
      </c>
      <c r="L127" s="44">
        <f t="shared" si="49"/>
        <v>1.58</v>
      </c>
      <c r="M127" s="44">
        <f t="shared" si="49"/>
        <v>1.58</v>
      </c>
      <c r="N127" s="44">
        <f t="shared" si="49"/>
        <v>1.58</v>
      </c>
      <c r="O127" s="44">
        <f t="shared" si="49"/>
        <v>1.58</v>
      </c>
      <c r="P127" s="44">
        <f t="shared" si="49"/>
        <v>1.58</v>
      </c>
      <c r="Q127" s="44">
        <f t="shared" si="49"/>
        <v>1.58</v>
      </c>
      <c r="R127" s="44">
        <f t="shared" si="49"/>
        <v>1.58</v>
      </c>
      <c r="S127" s="44">
        <f t="shared" si="49"/>
        <v>1.58</v>
      </c>
      <c r="T127" s="44">
        <f t="shared" si="48"/>
        <v>1.58</v>
      </c>
      <c r="U127" s="44">
        <f t="shared" si="48"/>
        <v>1.58</v>
      </c>
      <c r="V127" s="44">
        <f t="shared" si="48"/>
        <v>1.58</v>
      </c>
      <c r="W127" s="44">
        <f t="shared" si="48"/>
        <v>1.58</v>
      </c>
      <c r="X127" s="44">
        <f t="shared" si="48"/>
        <v>1.58</v>
      </c>
      <c r="Y127" s="44">
        <f t="shared" si="48"/>
        <v>1.58</v>
      </c>
      <c r="Z127" s="44">
        <f t="shared" si="48"/>
        <v>1.58</v>
      </c>
      <c r="AA127" s="44">
        <f t="shared" si="48"/>
        <v>1.58</v>
      </c>
      <c r="AB127" s="44">
        <f t="shared" si="48"/>
        <v>1.58</v>
      </c>
      <c r="AC127" s="44">
        <f t="shared" si="48"/>
        <v>1.58</v>
      </c>
      <c r="AD127" s="44">
        <f t="shared" si="48"/>
        <v>1.58</v>
      </c>
      <c r="AE127" s="44">
        <f t="shared" si="48"/>
        <v>1.58</v>
      </c>
      <c r="AF127" s="44">
        <f t="shared" si="48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6"/>
        <v>1.46</v>
      </c>
      <c r="C128" s="55">
        <v>1.46</v>
      </c>
      <c r="D128" s="44">
        <f t="shared" si="49"/>
        <v>1.46</v>
      </c>
      <c r="E128" s="44">
        <f t="shared" si="49"/>
        <v>1.46</v>
      </c>
      <c r="F128" s="44">
        <f t="shared" si="49"/>
        <v>1.46</v>
      </c>
      <c r="G128" s="44">
        <f t="shared" si="49"/>
        <v>1.46</v>
      </c>
      <c r="H128" s="44">
        <f t="shared" si="49"/>
        <v>1.46</v>
      </c>
      <c r="I128" s="44">
        <f t="shared" si="49"/>
        <v>1.46</v>
      </c>
      <c r="J128" s="44">
        <f t="shared" si="49"/>
        <v>1.46</v>
      </c>
      <c r="K128" s="44">
        <f t="shared" si="49"/>
        <v>1.46</v>
      </c>
      <c r="L128" s="44">
        <f t="shared" si="49"/>
        <v>1.46</v>
      </c>
      <c r="M128" s="44">
        <f t="shared" si="49"/>
        <v>1.46</v>
      </c>
      <c r="N128" s="44">
        <f t="shared" si="49"/>
        <v>1.46</v>
      </c>
      <c r="O128" s="44">
        <f t="shared" si="49"/>
        <v>1.46</v>
      </c>
      <c r="P128" s="44">
        <f t="shared" si="49"/>
        <v>1.46</v>
      </c>
      <c r="Q128" s="44">
        <f t="shared" si="49"/>
        <v>1.46</v>
      </c>
      <c r="R128" s="44">
        <f t="shared" si="49"/>
        <v>1.46</v>
      </c>
      <c r="S128" s="44">
        <f t="shared" si="49"/>
        <v>1.46</v>
      </c>
      <c r="T128" s="44">
        <f t="shared" ref="T128:AF129" si="50">S128</f>
        <v>1.46</v>
      </c>
      <c r="U128" s="44">
        <f t="shared" si="50"/>
        <v>1.46</v>
      </c>
      <c r="V128" s="44">
        <f t="shared" si="50"/>
        <v>1.46</v>
      </c>
      <c r="W128" s="44">
        <f t="shared" si="50"/>
        <v>1.46</v>
      </c>
      <c r="X128" s="44">
        <f t="shared" si="50"/>
        <v>1.46</v>
      </c>
      <c r="Y128" s="44">
        <f t="shared" si="50"/>
        <v>1.46</v>
      </c>
      <c r="Z128" s="44">
        <f t="shared" si="50"/>
        <v>1.46</v>
      </c>
      <c r="AA128" s="44">
        <f t="shared" si="50"/>
        <v>1.46</v>
      </c>
      <c r="AB128" s="44">
        <f t="shared" si="50"/>
        <v>1.46</v>
      </c>
      <c r="AC128" s="44">
        <f t="shared" si="50"/>
        <v>1.46</v>
      </c>
      <c r="AD128" s="44">
        <f t="shared" si="50"/>
        <v>1.46</v>
      </c>
      <c r="AE128" s="44">
        <f t="shared" si="50"/>
        <v>1.46</v>
      </c>
      <c r="AF128" s="44">
        <f t="shared" si="50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6"/>
        <v>1.48</v>
      </c>
      <c r="C129" s="55">
        <v>1.48</v>
      </c>
      <c r="D129" s="44">
        <f t="shared" si="49"/>
        <v>1.48</v>
      </c>
      <c r="E129" s="44">
        <f t="shared" si="49"/>
        <v>1.48</v>
      </c>
      <c r="F129" s="44">
        <f t="shared" si="49"/>
        <v>1.48</v>
      </c>
      <c r="G129" s="44">
        <f t="shared" si="49"/>
        <v>1.48</v>
      </c>
      <c r="H129" s="44">
        <f t="shared" si="49"/>
        <v>1.48</v>
      </c>
      <c r="I129" s="44">
        <f t="shared" si="49"/>
        <v>1.48</v>
      </c>
      <c r="J129" s="44">
        <f t="shared" si="49"/>
        <v>1.48</v>
      </c>
      <c r="K129" s="44">
        <f t="shared" si="49"/>
        <v>1.48</v>
      </c>
      <c r="L129" s="44">
        <f t="shared" si="49"/>
        <v>1.48</v>
      </c>
      <c r="M129" s="44">
        <f t="shared" si="49"/>
        <v>1.48</v>
      </c>
      <c r="N129" s="44">
        <f t="shared" si="49"/>
        <v>1.48</v>
      </c>
      <c r="O129" s="44">
        <f t="shared" si="49"/>
        <v>1.48</v>
      </c>
      <c r="P129" s="44">
        <f t="shared" si="49"/>
        <v>1.48</v>
      </c>
      <c r="Q129" s="44">
        <f t="shared" si="49"/>
        <v>1.48</v>
      </c>
      <c r="R129" s="44">
        <f t="shared" si="49"/>
        <v>1.48</v>
      </c>
      <c r="S129" s="44">
        <f t="shared" si="49"/>
        <v>1.48</v>
      </c>
      <c r="T129" s="44">
        <f t="shared" si="50"/>
        <v>1.48</v>
      </c>
      <c r="U129" s="44">
        <f t="shared" si="50"/>
        <v>1.48</v>
      </c>
      <c r="V129" s="44">
        <f t="shared" si="50"/>
        <v>1.48</v>
      </c>
      <c r="W129" s="44">
        <f t="shared" si="50"/>
        <v>1.48</v>
      </c>
      <c r="X129" s="44">
        <f t="shared" si="50"/>
        <v>1.48</v>
      </c>
      <c r="Y129" s="44">
        <f t="shared" si="50"/>
        <v>1.48</v>
      </c>
      <c r="Z129" s="44">
        <f t="shared" si="50"/>
        <v>1.48</v>
      </c>
      <c r="AA129" s="44">
        <f t="shared" si="50"/>
        <v>1.48</v>
      </c>
      <c r="AB129" s="44">
        <f t="shared" si="50"/>
        <v>1.48</v>
      </c>
      <c r="AC129" s="44">
        <f t="shared" si="50"/>
        <v>1.48</v>
      </c>
      <c r="AD129" s="44">
        <f t="shared" si="50"/>
        <v>1.48</v>
      </c>
      <c r="AE129" s="44">
        <f t="shared" si="50"/>
        <v>1.48</v>
      </c>
      <c r="AF129" s="44">
        <f t="shared" si="50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1">AF131</f>
        <v>2.2000000000000002</v>
      </c>
      <c r="C131" s="55">
        <v>2.2000000000000002</v>
      </c>
      <c r="D131" s="44">
        <f t="shared" ref="D131:S138" si="52">C131</f>
        <v>2.2000000000000002</v>
      </c>
      <c r="E131" s="44">
        <f t="shared" si="52"/>
        <v>2.2000000000000002</v>
      </c>
      <c r="F131" s="44">
        <f t="shared" si="52"/>
        <v>2.2000000000000002</v>
      </c>
      <c r="G131" s="44">
        <f t="shared" si="52"/>
        <v>2.2000000000000002</v>
      </c>
      <c r="H131" s="44">
        <f t="shared" si="52"/>
        <v>2.2000000000000002</v>
      </c>
      <c r="I131" s="44">
        <f t="shared" si="52"/>
        <v>2.2000000000000002</v>
      </c>
      <c r="J131" s="44">
        <f t="shared" si="52"/>
        <v>2.2000000000000002</v>
      </c>
      <c r="K131" s="44">
        <f t="shared" si="52"/>
        <v>2.2000000000000002</v>
      </c>
      <c r="L131" s="44">
        <f t="shared" si="52"/>
        <v>2.2000000000000002</v>
      </c>
      <c r="M131" s="44">
        <f t="shared" si="52"/>
        <v>2.2000000000000002</v>
      </c>
      <c r="N131" s="44">
        <f t="shared" si="52"/>
        <v>2.2000000000000002</v>
      </c>
      <c r="O131" s="44">
        <f t="shared" si="52"/>
        <v>2.2000000000000002</v>
      </c>
      <c r="P131" s="44">
        <f t="shared" si="52"/>
        <v>2.2000000000000002</v>
      </c>
      <c r="Q131" s="44">
        <f t="shared" si="52"/>
        <v>2.2000000000000002</v>
      </c>
      <c r="R131" s="44">
        <f t="shared" si="52"/>
        <v>2.2000000000000002</v>
      </c>
      <c r="S131" s="44">
        <f t="shared" si="52"/>
        <v>2.2000000000000002</v>
      </c>
      <c r="T131" s="44">
        <f t="shared" ref="T131:AF138" si="53">S131</f>
        <v>2.2000000000000002</v>
      </c>
      <c r="U131" s="44">
        <f t="shared" si="53"/>
        <v>2.2000000000000002</v>
      </c>
      <c r="V131" s="44">
        <f t="shared" si="53"/>
        <v>2.2000000000000002</v>
      </c>
      <c r="W131" s="44">
        <f t="shared" si="53"/>
        <v>2.2000000000000002</v>
      </c>
      <c r="X131" s="44">
        <f t="shared" si="53"/>
        <v>2.2000000000000002</v>
      </c>
      <c r="Y131" s="44">
        <f t="shared" si="53"/>
        <v>2.2000000000000002</v>
      </c>
      <c r="Z131" s="44">
        <f t="shared" si="53"/>
        <v>2.2000000000000002</v>
      </c>
      <c r="AA131" s="44">
        <f t="shared" si="53"/>
        <v>2.2000000000000002</v>
      </c>
      <c r="AB131" s="44">
        <f t="shared" si="53"/>
        <v>2.2000000000000002</v>
      </c>
      <c r="AC131" s="44">
        <f t="shared" si="53"/>
        <v>2.2000000000000002</v>
      </c>
      <c r="AD131" s="44">
        <f t="shared" si="53"/>
        <v>2.2000000000000002</v>
      </c>
      <c r="AE131" s="44">
        <f t="shared" si="53"/>
        <v>2.2000000000000002</v>
      </c>
      <c r="AF131" s="44">
        <f t="shared" si="53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1"/>
        <v>2</v>
      </c>
      <c r="C132" s="55">
        <v>2</v>
      </c>
      <c r="D132" s="44">
        <f t="shared" si="52"/>
        <v>2</v>
      </c>
      <c r="E132" s="44">
        <f t="shared" si="52"/>
        <v>2</v>
      </c>
      <c r="F132" s="44">
        <f t="shared" si="52"/>
        <v>2</v>
      </c>
      <c r="G132" s="44">
        <f t="shared" si="52"/>
        <v>2</v>
      </c>
      <c r="H132" s="44">
        <f t="shared" si="52"/>
        <v>2</v>
      </c>
      <c r="I132" s="44">
        <f t="shared" si="52"/>
        <v>2</v>
      </c>
      <c r="J132" s="44">
        <f t="shared" si="52"/>
        <v>2</v>
      </c>
      <c r="K132" s="44">
        <f t="shared" si="52"/>
        <v>2</v>
      </c>
      <c r="L132" s="44">
        <f t="shared" si="52"/>
        <v>2</v>
      </c>
      <c r="M132" s="44">
        <f t="shared" si="52"/>
        <v>2</v>
      </c>
      <c r="N132" s="44">
        <f t="shared" si="52"/>
        <v>2</v>
      </c>
      <c r="O132" s="44">
        <f t="shared" si="52"/>
        <v>2</v>
      </c>
      <c r="P132" s="44">
        <f t="shared" si="52"/>
        <v>2</v>
      </c>
      <c r="Q132" s="44">
        <f t="shared" si="52"/>
        <v>2</v>
      </c>
      <c r="R132" s="44">
        <f t="shared" si="52"/>
        <v>2</v>
      </c>
      <c r="S132" s="44">
        <f t="shared" si="52"/>
        <v>2</v>
      </c>
      <c r="T132" s="44">
        <f t="shared" si="53"/>
        <v>2</v>
      </c>
      <c r="U132" s="44">
        <f t="shared" si="53"/>
        <v>2</v>
      </c>
      <c r="V132" s="44">
        <f t="shared" si="53"/>
        <v>2</v>
      </c>
      <c r="W132" s="44">
        <f t="shared" si="53"/>
        <v>2</v>
      </c>
      <c r="X132" s="44">
        <f t="shared" si="53"/>
        <v>2</v>
      </c>
      <c r="Y132" s="44">
        <f t="shared" si="53"/>
        <v>2</v>
      </c>
      <c r="Z132" s="44">
        <f t="shared" si="53"/>
        <v>2</v>
      </c>
      <c r="AA132" s="44">
        <f t="shared" si="53"/>
        <v>2</v>
      </c>
      <c r="AB132" s="44">
        <f t="shared" si="53"/>
        <v>2</v>
      </c>
      <c r="AC132" s="44">
        <f t="shared" si="53"/>
        <v>2</v>
      </c>
      <c r="AD132" s="44">
        <f t="shared" si="53"/>
        <v>2</v>
      </c>
      <c r="AE132" s="44">
        <f t="shared" si="53"/>
        <v>2</v>
      </c>
      <c r="AF132" s="44">
        <f t="shared" si="53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1"/>
        <v>1.25</v>
      </c>
      <c r="C133" s="55">
        <v>1.25</v>
      </c>
      <c r="D133" s="44">
        <f t="shared" si="52"/>
        <v>1.25</v>
      </c>
      <c r="E133" s="44">
        <f t="shared" si="52"/>
        <v>1.25</v>
      </c>
      <c r="F133" s="44">
        <f t="shared" si="52"/>
        <v>1.25</v>
      </c>
      <c r="G133" s="44">
        <f t="shared" si="52"/>
        <v>1.25</v>
      </c>
      <c r="H133" s="44">
        <f t="shared" si="52"/>
        <v>1.25</v>
      </c>
      <c r="I133" s="44">
        <f t="shared" si="52"/>
        <v>1.25</v>
      </c>
      <c r="J133" s="44">
        <f t="shared" si="52"/>
        <v>1.25</v>
      </c>
      <c r="K133" s="44">
        <f t="shared" si="52"/>
        <v>1.25</v>
      </c>
      <c r="L133" s="44">
        <f t="shared" si="52"/>
        <v>1.25</v>
      </c>
      <c r="M133" s="44">
        <f t="shared" si="52"/>
        <v>1.25</v>
      </c>
      <c r="N133" s="44">
        <f t="shared" si="52"/>
        <v>1.25</v>
      </c>
      <c r="O133" s="44">
        <f t="shared" si="52"/>
        <v>1.25</v>
      </c>
      <c r="P133" s="44">
        <f t="shared" si="52"/>
        <v>1.25</v>
      </c>
      <c r="Q133" s="44">
        <f t="shared" si="52"/>
        <v>1.25</v>
      </c>
      <c r="R133" s="44">
        <f t="shared" si="52"/>
        <v>1.25</v>
      </c>
      <c r="S133" s="44">
        <f t="shared" si="52"/>
        <v>1.25</v>
      </c>
      <c r="T133" s="44">
        <f t="shared" si="53"/>
        <v>1.25</v>
      </c>
      <c r="U133" s="44">
        <f t="shared" si="53"/>
        <v>1.25</v>
      </c>
      <c r="V133" s="44">
        <f t="shared" si="53"/>
        <v>1.25</v>
      </c>
      <c r="W133" s="44">
        <f t="shared" si="53"/>
        <v>1.25</v>
      </c>
      <c r="X133" s="44">
        <f t="shared" si="53"/>
        <v>1.25</v>
      </c>
      <c r="Y133" s="44">
        <f t="shared" si="53"/>
        <v>1.25</v>
      </c>
      <c r="Z133" s="44">
        <f t="shared" si="53"/>
        <v>1.25</v>
      </c>
      <c r="AA133" s="44">
        <f t="shared" si="53"/>
        <v>1.25</v>
      </c>
      <c r="AB133" s="44">
        <f t="shared" si="53"/>
        <v>1.25</v>
      </c>
      <c r="AC133" s="44">
        <f t="shared" si="53"/>
        <v>1.25</v>
      </c>
      <c r="AD133" s="44">
        <f t="shared" si="53"/>
        <v>1.25</v>
      </c>
      <c r="AE133" s="44">
        <f t="shared" si="53"/>
        <v>1.25</v>
      </c>
      <c r="AF133" s="44">
        <f t="shared" si="53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1"/>
        <v>1.1499999999999999</v>
      </c>
      <c r="C134" s="55">
        <v>1.1499999999999999</v>
      </c>
      <c r="D134" s="44">
        <f t="shared" si="52"/>
        <v>1.1499999999999999</v>
      </c>
      <c r="E134" s="44">
        <f t="shared" si="52"/>
        <v>1.1499999999999999</v>
      </c>
      <c r="F134" s="44">
        <f t="shared" si="52"/>
        <v>1.1499999999999999</v>
      </c>
      <c r="G134" s="44">
        <f t="shared" si="52"/>
        <v>1.1499999999999999</v>
      </c>
      <c r="H134" s="44">
        <f t="shared" si="52"/>
        <v>1.1499999999999999</v>
      </c>
      <c r="I134" s="44">
        <f t="shared" si="52"/>
        <v>1.1499999999999999</v>
      </c>
      <c r="J134" s="44">
        <f t="shared" si="52"/>
        <v>1.1499999999999999</v>
      </c>
      <c r="K134" s="44">
        <f t="shared" si="52"/>
        <v>1.1499999999999999</v>
      </c>
      <c r="L134" s="44">
        <f t="shared" si="52"/>
        <v>1.1499999999999999</v>
      </c>
      <c r="M134" s="44">
        <f t="shared" si="52"/>
        <v>1.1499999999999999</v>
      </c>
      <c r="N134" s="44">
        <f t="shared" si="52"/>
        <v>1.1499999999999999</v>
      </c>
      <c r="O134" s="44">
        <f t="shared" si="52"/>
        <v>1.1499999999999999</v>
      </c>
      <c r="P134" s="44">
        <f t="shared" si="52"/>
        <v>1.1499999999999999</v>
      </c>
      <c r="Q134" s="44">
        <f t="shared" si="52"/>
        <v>1.1499999999999999</v>
      </c>
      <c r="R134" s="44">
        <f t="shared" si="52"/>
        <v>1.1499999999999999</v>
      </c>
      <c r="S134" s="44">
        <f t="shared" si="52"/>
        <v>1.1499999999999999</v>
      </c>
      <c r="T134" s="44">
        <f t="shared" si="53"/>
        <v>1.1499999999999999</v>
      </c>
      <c r="U134" s="44">
        <f t="shared" si="53"/>
        <v>1.1499999999999999</v>
      </c>
      <c r="V134" s="44">
        <f t="shared" si="53"/>
        <v>1.1499999999999999</v>
      </c>
      <c r="W134" s="44">
        <f t="shared" si="53"/>
        <v>1.1499999999999999</v>
      </c>
      <c r="X134" s="44">
        <f t="shared" si="53"/>
        <v>1.1499999999999999</v>
      </c>
      <c r="Y134" s="44">
        <f t="shared" si="53"/>
        <v>1.1499999999999999</v>
      </c>
      <c r="Z134" s="44">
        <f t="shared" si="53"/>
        <v>1.1499999999999999</v>
      </c>
      <c r="AA134" s="44">
        <f t="shared" si="53"/>
        <v>1.1499999999999999</v>
      </c>
      <c r="AB134" s="44">
        <f t="shared" si="53"/>
        <v>1.1499999999999999</v>
      </c>
      <c r="AC134" s="44">
        <f t="shared" si="53"/>
        <v>1.1499999999999999</v>
      </c>
      <c r="AD134" s="44">
        <f t="shared" si="53"/>
        <v>1.1499999999999999</v>
      </c>
      <c r="AE134" s="44">
        <f t="shared" si="53"/>
        <v>1.1499999999999999</v>
      </c>
      <c r="AF134" s="44">
        <f t="shared" si="53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1"/>
        <v>2.133</v>
      </c>
      <c r="C135" s="55">
        <v>2.133</v>
      </c>
      <c r="D135" s="44">
        <f t="shared" si="52"/>
        <v>2.133</v>
      </c>
      <c r="E135" s="44">
        <f t="shared" si="52"/>
        <v>2.133</v>
      </c>
      <c r="F135" s="44">
        <f t="shared" si="52"/>
        <v>2.133</v>
      </c>
      <c r="G135" s="44">
        <f t="shared" si="52"/>
        <v>2.133</v>
      </c>
      <c r="H135" s="44">
        <f t="shared" si="52"/>
        <v>2.133</v>
      </c>
      <c r="I135" s="44">
        <f t="shared" si="52"/>
        <v>2.133</v>
      </c>
      <c r="J135" s="44">
        <f t="shared" si="52"/>
        <v>2.133</v>
      </c>
      <c r="K135" s="44">
        <f t="shared" si="52"/>
        <v>2.133</v>
      </c>
      <c r="L135" s="44">
        <f t="shared" si="52"/>
        <v>2.133</v>
      </c>
      <c r="M135" s="44">
        <f t="shared" si="52"/>
        <v>2.133</v>
      </c>
      <c r="N135" s="44">
        <f t="shared" si="52"/>
        <v>2.133</v>
      </c>
      <c r="O135" s="44">
        <f t="shared" si="52"/>
        <v>2.133</v>
      </c>
      <c r="P135" s="44">
        <f t="shared" si="52"/>
        <v>2.133</v>
      </c>
      <c r="Q135" s="44">
        <f t="shared" si="52"/>
        <v>2.133</v>
      </c>
      <c r="R135" s="44">
        <f t="shared" si="52"/>
        <v>2.133</v>
      </c>
      <c r="S135" s="44">
        <f t="shared" si="52"/>
        <v>2.133</v>
      </c>
      <c r="T135" s="44">
        <f t="shared" si="53"/>
        <v>2.133</v>
      </c>
      <c r="U135" s="44">
        <f t="shared" si="53"/>
        <v>2.133</v>
      </c>
      <c r="V135" s="44">
        <f t="shared" si="53"/>
        <v>2.133</v>
      </c>
      <c r="W135" s="44">
        <f t="shared" si="53"/>
        <v>2.133</v>
      </c>
      <c r="X135" s="44">
        <f t="shared" si="53"/>
        <v>2.133</v>
      </c>
      <c r="Y135" s="44">
        <f t="shared" si="53"/>
        <v>2.133</v>
      </c>
      <c r="Z135" s="44">
        <f t="shared" si="53"/>
        <v>2.133</v>
      </c>
      <c r="AA135" s="44">
        <f t="shared" si="53"/>
        <v>2.133</v>
      </c>
      <c r="AB135" s="44">
        <f t="shared" si="53"/>
        <v>2.133</v>
      </c>
      <c r="AC135" s="44">
        <f t="shared" si="53"/>
        <v>2.133</v>
      </c>
      <c r="AD135" s="44">
        <f t="shared" si="53"/>
        <v>2.133</v>
      </c>
      <c r="AE135" s="44">
        <f t="shared" si="53"/>
        <v>2.133</v>
      </c>
      <c r="AF135" s="44">
        <f t="shared" si="53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1"/>
        <v>2.09</v>
      </c>
      <c r="C136" s="55">
        <v>2.09</v>
      </c>
      <c r="D136" s="44">
        <f t="shared" si="52"/>
        <v>2.09</v>
      </c>
      <c r="E136" s="44">
        <f t="shared" si="52"/>
        <v>2.09</v>
      </c>
      <c r="F136" s="44">
        <f t="shared" si="52"/>
        <v>2.09</v>
      </c>
      <c r="G136" s="44">
        <f t="shared" si="52"/>
        <v>2.09</v>
      </c>
      <c r="H136" s="44">
        <f t="shared" si="52"/>
        <v>2.09</v>
      </c>
      <c r="I136" s="44">
        <f t="shared" si="52"/>
        <v>2.09</v>
      </c>
      <c r="J136" s="44">
        <f t="shared" si="52"/>
        <v>2.09</v>
      </c>
      <c r="K136" s="44">
        <f t="shared" si="52"/>
        <v>2.09</v>
      </c>
      <c r="L136" s="44">
        <f t="shared" si="52"/>
        <v>2.09</v>
      </c>
      <c r="M136" s="44">
        <f t="shared" si="52"/>
        <v>2.09</v>
      </c>
      <c r="N136" s="44">
        <f t="shared" si="52"/>
        <v>2.09</v>
      </c>
      <c r="O136" s="44">
        <f t="shared" si="52"/>
        <v>2.09</v>
      </c>
      <c r="P136" s="44">
        <f t="shared" si="52"/>
        <v>2.09</v>
      </c>
      <c r="Q136" s="44">
        <f t="shared" si="52"/>
        <v>2.09</v>
      </c>
      <c r="R136" s="44">
        <f t="shared" si="52"/>
        <v>2.09</v>
      </c>
      <c r="S136" s="44">
        <f t="shared" si="52"/>
        <v>2.09</v>
      </c>
      <c r="T136" s="44">
        <f t="shared" si="53"/>
        <v>2.09</v>
      </c>
      <c r="U136" s="44">
        <f t="shared" si="53"/>
        <v>2.09</v>
      </c>
      <c r="V136" s="44">
        <f t="shared" si="53"/>
        <v>2.09</v>
      </c>
      <c r="W136" s="44">
        <f t="shared" si="53"/>
        <v>2.09</v>
      </c>
      <c r="X136" s="44">
        <f t="shared" si="53"/>
        <v>2.09</v>
      </c>
      <c r="Y136" s="44">
        <f t="shared" si="53"/>
        <v>2.09</v>
      </c>
      <c r="Z136" s="44">
        <f t="shared" si="53"/>
        <v>2.09</v>
      </c>
      <c r="AA136" s="44">
        <f t="shared" si="53"/>
        <v>2.09</v>
      </c>
      <c r="AB136" s="44">
        <f t="shared" si="53"/>
        <v>2.09</v>
      </c>
      <c r="AC136" s="44">
        <f t="shared" si="53"/>
        <v>2.09</v>
      </c>
      <c r="AD136" s="44">
        <f t="shared" si="53"/>
        <v>2.09</v>
      </c>
      <c r="AE136" s="44">
        <f t="shared" si="53"/>
        <v>2.09</v>
      </c>
      <c r="AF136" s="44">
        <f t="shared" si="53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1"/>
        <v>1.1399999999999999</v>
      </c>
      <c r="C137" s="55">
        <v>1.1399999999999999</v>
      </c>
      <c r="D137" s="44">
        <f t="shared" si="52"/>
        <v>1.1399999999999999</v>
      </c>
      <c r="E137" s="44">
        <f t="shared" si="52"/>
        <v>1.1399999999999999</v>
      </c>
      <c r="F137" s="44">
        <f t="shared" si="52"/>
        <v>1.1399999999999999</v>
      </c>
      <c r="G137" s="44">
        <f t="shared" si="52"/>
        <v>1.1399999999999999</v>
      </c>
      <c r="H137" s="44">
        <f t="shared" si="52"/>
        <v>1.1399999999999999</v>
      </c>
      <c r="I137" s="44">
        <f t="shared" si="52"/>
        <v>1.1399999999999999</v>
      </c>
      <c r="J137" s="44">
        <f t="shared" si="52"/>
        <v>1.1399999999999999</v>
      </c>
      <c r="K137" s="44">
        <f t="shared" si="52"/>
        <v>1.1399999999999999</v>
      </c>
      <c r="L137" s="44">
        <f t="shared" si="52"/>
        <v>1.1399999999999999</v>
      </c>
      <c r="M137" s="44">
        <f t="shared" si="52"/>
        <v>1.1399999999999999</v>
      </c>
      <c r="N137" s="44">
        <f t="shared" si="52"/>
        <v>1.1399999999999999</v>
      </c>
      <c r="O137" s="44">
        <f t="shared" si="52"/>
        <v>1.1399999999999999</v>
      </c>
      <c r="P137" s="44">
        <f t="shared" si="52"/>
        <v>1.1399999999999999</v>
      </c>
      <c r="Q137" s="44">
        <f t="shared" si="52"/>
        <v>1.1399999999999999</v>
      </c>
      <c r="R137" s="44">
        <f t="shared" si="52"/>
        <v>1.1399999999999999</v>
      </c>
      <c r="S137" s="44">
        <f t="shared" si="52"/>
        <v>1.1399999999999999</v>
      </c>
      <c r="T137" s="44">
        <f t="shared" si="53"/>
        <v>1.1399999999999999</v>
      </c>
      <c r="U137" s="44">
        <f t="shared" si="53"/>
        <v>1.1399999999999999</v>
      </c>
      <c r="V137" s="44">
        <f t="shared" si="53"/>
        <v>1.1399999999999999</v>
      </c>
      <c r="W137" s="44">
        <f t="shared" si="53"/>
        <v>1.1399999999999999</v>
      </c>
      <c r="X137" s="44">
        <f t="shared" si="53"/>
        <v>1.1399999999999999</v>
      </c>
      <c r="Y137" s="44">
        <f t="shared" si="53"/>
        <v>1.1399999999999999</v>
      </c>
      <c r="Z137" s="44">
        <f t="shared" si="53"/>
        <v>1.1399999999999999</v>
      </c>
      <c r="AA137" s="44">
        <f t="shared" si="53"/>
        <v>1.1399999999999999</v>
      </c>
      <c r="AB137" s="44">
        <f t="shared" si="53"/>
        <v>1.1399999999999999</v>
      </c>
      <c r="AC137" s="44">
        <f t="shared" si="53"/>
        <v>1.1399999999999999</v>
      </c>
      <c r="AD137" s="44">
        <f t="shared" si="53"/>
        <v>1.1399999999999999</v>
      </c>
      <c r="AE137" s="44">
        <f t="shared" si="53"/>
        <v>1.1399999999999999</v>
      </c>
      <c r="AF137" s="44">
        <f t="shared" si="53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1"/>
        <v>0.82</v>
      </c>
      <c r="C138" s="55">
        <v>0.82</v>
      </c>
      <c r="D138" s="44">
        <f t="shared" si="52"/>
        <v>0.82</v>
      </c>
      <c r="E138" s="44">
        <f t="shared" si="52"/>
        <v>0.82</v>
      </c>
      <c r="F138" s="44">
        <f t="shared" si="52"/>
        <v>0.82</v>
      </c>
      <c r="G138" s="44">
        <f t="shared" si="52"/>
        <v>0.82</v>
      </c>
      <c r="H138" s="44">
        <f t="shared" si="52"/>
        <v>0.82</v>
      </c>
      <c r="I138" s="44">
        <f t="shared" si="52"/>
        <v>0.82</v>
      </c>
      <c r="J138" s="44">
        <f t="shared" si="52"/>
        <v>0.82</v>
      </c>
      <c r="K138" s="44">
        <f t="shared" si="52"/>
        <v>0.82</v>
      </c>
      <c r="L138" s="44">
        <f t="shared" si="52"/>
        <v>0.82</v>
      </c>
      <c r="M138" s="44">
        <f t="shared" si="52"/>
        <v>0.82</v>
      </c>
      <c r="N138" s="44">
        <f t="shared" si="52"/>
        <v>0.82</v>
      </c>
      <c r="O138" s="44">
        <f t="shared" si="52"/>
        <v>0.82</v>
      </c>
      <c r="P138" s="44">
        <f t="shared" si="52"/>
        <v>0.82</v>
      </c>
      <c r="Q138" s="44">
        <f t="shared" si="52"/>
        <v>0.82</v>
      </c>
      <c r="R138" s="44">
        <f t="shared" si="52"/>
        <v>0.82</v>
      </c>
      <c r="S138" s="44">
        <f t="shared" si="52"/>
        <v>0.82</v>
      </c>
      <c r="T138" s="44">
        <f t="shared" si="53"/>
        <v>0.82</v>
      </c>
      <c r="U138" s="44">
        <f t="shared" si="53"/>
        <v>0.82</v>
      </c>
      <c r="V138" s="44">
        <f t="shared" si="53"/>
        <v>0.82</v>
      </c>
      <c r="W138" s="44">
        <f t="shared" si="53"/>
        <v>0.82</v>
      </c>
      <c r="X138" s="44">
        <f t="shared" si="53"/>
        <v>0.82</v>
      </c>
      <c r="Y138" s="44">
        <f t="shared" si="53"/>
        <v>0.82</v>
      </c>
      <c r="Z138" s="44">
        <f t="shared" si="53"/>
        <v>0.82</v>
      </c>
      <c r="AA138" s="44">
        <f t="shared" si="53"/>
        <v>0.82</v>
      </c>
      <c r="AB138" s="44">
        <f t="shared" si="53"/>
        <v>0.82</v>
      </c>
      <c r="AC138" s="44">
        <f t="shared" si="53"/>
        <v>0.82</v>
      </c>
      <c r="AD138" s="44">
        <f t="shared" si="53"/>
        <v>0.82</v>
      </c>
      <c r="AE138" s="44">
        <f t="shared" si="53"/>
        <v>0.82</v>
      </c>
      <c r="AF138" s="44">
        <f t="shared" si="53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4">AF140</f>
        <v>2</v>
      </c>
      <c r="C140" s="55">
        <v>2</v>
      </c>
      <c r="D140" s="44">
        <f t="shared" ref="D140:S146" si="55">C140</f>
        <v>2</v>
      </c>
      <c r="E140" s="44">
        <f t="shared" si="55"/>
        <v>2</v>
      </c>
      <c r="F140" s="44">
        <f t="shared" si="55"/>
        <v>2</v>
      </c>
      <c r="G140" s="44">
        <f t="shared" si="55"/>
        <v>2</v>
      </c>
      <c r="H140" s="44">
        <f t="shared" si="55"/>
        <v>2</v>
      </c>
      <c r="I140" s="44">
        <f t="shared" si="55"/>
        <v>2</v>
      </c>
      <c r="J140" s="44">
        <f t="shared" si="55"/>
        <v>2</v>
      </c>
      <c r="K140" s="44">
        <f t="shared" si="55"/>
        <v>2</v>
      </c>
      <c r="L140" s="44">
        <f t="shared" si="55"/>
        <v>2</v>
      </c>
      <c r="M140" s="44">
        <f t="shared" si="55"/>
        <v>2</v>
      </c>
      <c r="N140" s="44">
        <f t="shared" si="55"/>
        <v>2</v>
      </c>
      <c r="O140" s="44">
        <f t="shared" si="55"/>
        <v>2</v>
      </c>
      <c r="P140" s="44">
        <f t="shared" si="55"/>
        <v>2</v>
      </c>
      <c r="Q140" s="44">
        <f t="shared" si="55"/>
        <v>2</v>
      </c>
      <c r="R140" s="44">
        <f t="shared" si="55"/>
        <v>2</v>
      </c>
      <c r="S140" s="44">
        <f t="shared" si="55"/>
        <v>2</v>
      </c>
      <c r="T140" s="44">
        <f t="shared" ref="T140:AF146" si="56">S140</f>
        <v>2</v>
      </c>
      <c r="U140" s="44">
        <f t="shared" si="56"/>
        <v>2</v>
      </c>
      <c r="V140" s="44">
        <f t="shared" si="56"/>
        <v>2</v>
      </c>
      <c r="W140" s="44">
        <f t="shared" si="56"/>
        <v>2</v>
      </c>
      <c r="X140" s="44">
        <f t="shared" si="56"/>
        <v>2</v>
      </c>
      <c r="Y140" s="44">
        <f t="shared" si="56"/>
        <v>2</v>
      </c>
      <c r="Z140" s="44">
        <f t="shared" si="56"/>
        <v>2</v>
      </c>
      <c r="AA140" s="44">
        <f t="shared" si="56"/>
        <v>2</v>
      </c>
      <c r="AB140" s="44">
        <f t="shared" si="56"/>
        <v>2</v>
      </c>
      <c r="AC140" s="44">
        <f t="shared" si="56"/>
        <v>2</v>
      </c>
      <c r="AD140" s="44">
        <f t="shared" si="56"/>
        <v>2</v>
      </c>
      <c r="AE140" s="44">
        <f t="shared" si="56"/>
        <v>2</v>
      </c>
      <c r="AF140" s="44">
        <f t="shared" si="56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4"/>
        <v>5.61</v>
      </c>
      <c r="C141" s="55">
        <v>5.61</v>
      </c>
      <c r="D141" s="44">
        <f t="shared" si="55"/>
        <v>5.61</v>
      </c>
      <c r="E141" s="44">
        <f t="shared" si="55"/>
        <v>5.61</v>
      </c>
      <c r="F141" s="44">
        <f t="shared" si="55"/>
        <v>5.61</v>
      </c>
      <c r="G141" s="44">
        <f t="shared" si="55"/>
        <v>5.61</v>
      </c>
      <c r="H141" s="44">
        <f t="shared" si="55"/>
        <v>5.61</v>
      </c>
      <c r="I141" s="44">
        <f t="shared" si="55"/>
        <v>5.61</v>
      </c>
      <c r="J141" s="44">
        <f t="shared" si="55"/>
        <v>5.61</v>
      </c>
      <c r="K141" s="44">
        <f t="shared" si="55"/>
        <v>5.61</v>
      </c>
      <c r="L141" s="44">
        <f t="shared" si="55"/>
        <v>5.61</v>
      </c>
      <c r="M141" s="44">
        <f t="shared" si="55"/>
        <v>5.61</v>
      </c>
      <c r="N141" s="44">
        <f t="shared" si="55"/>
        <v>5.61</v>
      </c>
      <c r="O141" s="44">
        <f t="shared" si="55"/>
        <v>5.61</v>
      </c>
      <c r="P141" s="44">
        <f t="shared" si="55"/>
        <v>5.61</v>
      </c>
      <c r="Q141" s="44">
        <f t="shared" si="55"/>
        <v>5.61</v>
      </c>
      <c r="R141" s="44">
        <f t="shared" si="55"/>
        <v>5.61</v>
      </c>
      <c r="S141" s="44">
        <f t="shared" si="55"/>
        <v>5.61</v>
      </c>
      <c r="T141" s="44">
        <f t="shared" si="56"/>
        <v>5.61</v>
      </c>
      <c r="U141" s="44">
        <f t="shared" si="56"/>
        <v>5.61</v>
      </c>
      <c r="V141" s="44">
        <f t="shared" si="56"/>
        <v>5.61</v>
      </c>
      <c r="W141" s="44">
        <f t="shared" si="56"/>
        <v>5.61</v>
      </c>
      <c r="X141" s="44">
        <f t="shared" si="56"/>
        <v>5.61</v>
      </c>
      <c r="Y141" s="44">
        <f t="shared" si="56"/>
        <v>5.61</v>
      </c>
      <c r="Z141" s="44">
        <f t="shared" si="56"/>
        <v>5.61</v>
      </c>
      <c r="AA141" s="44">
        <f t="shared" si="56"/>
        <v>5.61</v>
      </c>
      <c r="AB141" s="44">
        <f t="shared" si="56"/>
        <v>5.61</v>
      </c>
      <c r="AC141" s="44">
        <f t="shared" si="56"/>
        <v>5.61</v>
      </c>
      <c r="AD141" s="44">
        <f t="shared" si="56"/>
        <v>5.61</v>
      </c>
      <c r="AE141" s="44">
        <f t="shared" si="56"/>
        <v>5.61</v>
      </c>
      <c r="AF141" s="44">
        <f t="shared" si="56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4"/>
        <v>1.25</v>
      </c>
      <c r="C142" s="55">
        <v>1.25</v>
      </c>
      <c r="D142" s="44">
        <f t="shared" si="55"/>
        <v>1.25</v>
      </c>
      <c r="E142" s="44">
        <f t="shared" si="55"/>
        <v>1.25</v>
      </c>
      <c r="F142" s="44">
        <f t="shared" si="55"/>
        <v>1.25</v>
      </c>
      <c r="G142" s="44">
        <f t="shared" si="55"/>
        <v>1.25</v>
      </c>
      <c r="H142" s="44">
        <f t="shared" si="55"/>
        <v>1.25</v>
      </c>
      <c r="I142" s="44">
        <f t="shared" si="55"/>
        <v>1.25</v>
      </c>
      <c r="J142" s="44">
        <f t="shared" si="55"/>
        <v>1.25</v>
      </c>
      <c r="K142" s="44">
        <f t="shared" si="55"/>
        <v>1.25</v>
      </c>
      <c r="L142" s="44">
        <f t="shared" si="55"/>
        <v>1.25</v>
      </c>
      <c r="M142" s="44">
        <f t="shared" si="55"/>
        <v>1.25</v>
      </c>
      <c r="N142" s="44">
        <f t="shared" si="55"/>
        <v>1.25</v>
      </c>
      <c r="O142" s="44">
        <f t="shared" si="55"/>
        <v>1.25</v>
      </c>
      <c r="P142" s="44">
        <f t="shared" si="55"/>
        <v>1.25</v>
      </c>
      <c r="Q142" s="44">
        <f t="shared" si="55"/>
        <v>1.25</v>
      </c>
      <c r="R142" s="44">
        <f t="shared" si="55"/>
        <v>1.25</v>
      </c>
      <c r="S142" s="44">
        <f t="shared" si="55"/>
        <v>1.25</v>
      </c>
      <c r="T142" s="44">
        <f t="shared" si="56"/>
        <v>1.25</v>
      </c>
      <c r="U142" s="44">
        <f t="shared" si="56"/>
        <v>1.25</v>
      </c>
      <c r="V142" s="44">
        <f t="shared" si="56"/>
        <v>1.25</v>
      </c>
      <c r="W142" s="44">
        <f t="shared" si="56"/>
        <v>1.25</v>
      </c>
      <c r="X142" s="44">
        <f t="shared" si="56"/>
        <v>1.25</v>
      </c>
      <c r="Y142" s="44">
        <f t="shared" si="56"/>
        <v>1.25</v>
      </c>
      <c r="Z142" s="44">
        <f t="shared" si="56"/>
        <v>1.25</v>
      </c>
      <c r="AA142" s="44">
        <f t="shared" si="56"/>
        <v>1.25</v>
      </c>
      <c r="AB142" s="44">
        <f t="shared" si="56"/>
        <v>1.25</v>
      </c>
      <c r="AC142" s="44">
        <f t="shared" si="56"/>
        <v>1.25</v>
      </c>
      <c r="AD142" s="44">
        <f t="shared" si="56"/>
        <v>1.25</v>
      </c>
      <c r="AE142" s="44">
        <f t="shared" si="56"/>
        <v>1.25</v>
      </c>
      <c r="AF142" s="44">
        <f t="shared" si="56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4"/>
        <v>1.25</v>
      </c>
      <c r="C143" s="55">
        <v>1.25</v>
      </c>
      <c r="D143" s="44">
        <f t="shared" si="55"/>
        <v>1.25</v>
      </c>
      <c r="E143" s="44">
        <f t="shared" si="55"/>
        <v>1.25</v>
      </c>
      <c r="F143" s="44">
        <f t="shared" si="55"/>
        <v>1.25</v>
      </c>
      <c r="G143" s="44">
        <f t="shared" si="55"/>
        <v>1.25</v>
      </c>
      <c r="H143" s="44">
        <f t="shared" si="55"/>
        <v>1.25</v>
      </c>
      <c r="I143" s="44">
        <f t="shared" si="55"/>
        <v>1.25</v>
      </c>
      <c r="J143" s="44">
        <f t="shared" si="55"/>
        <v>1.25</v>
      </c>
      <c r="K143" s="44">
        <f t="shared" si="55"/>
        <v>1.25</v>
      </c>
      <c r="L143" s="44">
        <f t="shared" si="55"/>
        <v>1.25</v>
      </c>
      <c r="M143" s="44">
        <f t="shared" si="55"/>
        <v>1.25</v>
      </c>
      <c r="N143" s="44">
        <f t="shared" si="55"/>
        <v>1.25</v>
      </c>
      <c r="O143" s="44">
        <f t="shared" si="55"/>
        <v>1.25</v>
      </c>
      <c r="P143" s="44">
        <f t="shared" si="55"/>
        <v>1.25</v>
      </c>
      <c r="Q143" s="44">
        <f t="shared" si="55"/>
        <v>1.25</v>
      </c>
      <c r="R143" s="44">
        <f t="shared" si="55"/>
        <v>1.25</v>
      </c>
      <c r="S143" s="44">
        <f t="shared" si="55"/>
        <v>1.25</v>
      </c>
      <c r="T143" s="44">
        <f t="shared" si="56"/>
        <v>1.25</v>
      </c>
      <c r="U143" s="44">
        <f t="shared" si="56"/>
        <v>1.25</v>
      </c>
      <c r="V143" s="44">
        <f t="shared" si="56"/>
        <v>1.25</v>
      </c>
      <c r="W143" s="44">
        <f t="shared" si="56"/>
        <v>1.25</v>
      </c>
      <c r="X143" s="44">
        <f t="shared" si="56"/>
        <v>1.25</v>
      </c>
      <c r="Y143" s="44">
        <f t="shared" si="56"/>
        <v>1.25</v>
      </c>
      <c r="Z143" s="44">
        <f t="shared" si="56"/>
        <v>1.25</v>
      </c>
      <c r="AA143" s="44">
        <f t="shared" si="56"/>
        <v>1.25</v>
      </c>
      <c r="AB143" s="44">
        <f t="shared" si="56"/>
        <v>1.25</v>
      </c>
      <c r="AC143" s="44">
        <f t="shared" si="56"/>
        <v>1.25</v>
      </c>
      <c r="AD143" s="44">
        <f t="shared" si="56"/>
        <v>1.25</v>
      </c>
      <c r="AE143" s="44">
        <f t="shared" si="56"/>
        <v>1.25</v>
      </c>
      <c r="AF143" s="44">
        <f t="shared" si="56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4"/>
        <v>1.46</v>
      </c>
      <c r="C144" s="55">
        <v>1.46</v>
      </c>
      <c r="D144" s="44">
        <f t="shared" si="55"/>
        <v>1.46</v>
      </c>
      <c r="E144" s="44">
        <f t="shared" si="55"/>
        <v>1.46</v>
      </c>
      <c r="F144" s="44">
        <f t="shared" si="55"/>
        <v>1.46</v>
      </c>
      <c r="G144" s="44">
        <f t="shared" si="55"/>
        <v>1.46</v>
      </c>
      <c r="H144" s="44">
        <f t="shared" si="55"/>
        <v>1.46</v>
      </c>
      <c r="I144" s="44">
        <f t="shared" si="55"/>
        <v>1.46</v>
      </c>
      <c r="J144" s="44">
        <f t="shared" si="55"/>
        <v>1.46</v>
      </c>
      <c r="K144" s="44">
        <f t="shared" si="55"/>
        <v>1.46</v>
      </c>
      <c r="L144" s="44">
        <f t="shared" si="55"/>
        <v>1.46</v>
      </c>
      <c r="M144" s="44">
        <f t="shared" si="55"/>
        <v>1.46</v>
      </c>
      <c r="N144" s="44">
        <f t="shared" si="55"/>
        <v>1.46</v>
      </c>
      <c r="O144" s="44">
        <f t="shared" si="55"/>
        <v>1.46</v>
      </c>
      <c r="P144" s="44">
        <f t="shared" si="55"/>
        <v>1.46</v>
      </c>
      <c r="Q144" s="44">
        <f t="shared" si="55"/>
        <v>1.46</v>
      </c>
      <c r="R144" s="44">
        <f t="shared" si="55"/>
        <v>1.46</v>
      </c>
      <c r="S144" s="44">
        <f t="shared" si="55"/>
        <v>1.46</v>
      </c>
      <c r="T144" s="44">
        <f t="shared" si="56"/>
        <v>1.46</v>
      </c>
      <c r="U144" s="44">
        <f t="shared" si="56"/>
        <v>1.46</v>
      </c>
      <c r="V144" s="44">
        <f t="shared" si="56"/>
        <v>1.46</v>
      </c>
      <c r="W144" s="44">
        <f t="shared" si="56"/>
        <v>1.46</v>
      </c>
      <c r="X144" s="44">
        <f t="shared" si="56"/>
        <v>1.46</v>
      </c>
      <c r="Y144" s="44">
        <f t="shared" si="56"/>
        <v>1.46</v>
      </c>
      <c r="Z144" s="44">
        <f t="shared" si="56"/>
        <v>1.46</v>
      </c>
      <c r="AA144" s="44">
        <f t="shared" si="56"/>
        <v>1.46</v>
      </c>
      <c r="AB144" s="44">
        <f t="shared" si="56"/>
        <v>1.46</v>
      </c>
      <c r="AC144" s="44">
        <f t="shared" si="56"/>
        <v>1.46</v>
      </c>
      <c r="AD144" s="44">
        <f t="shared" si="56"/>
        <v>1.46</v>
      </c>
      <c r="AE144" s="44">
        <f t="shared" si="56"/>
        <v>1.46</v>
      </c>
      <c r="AF144" s="44">
        <f t="shared" si="56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4"/>
        <v>3</v>
      </c>
      <c r="C145" s="55">
        <v>3</v>
      </c>
      <c r="D145" s="44">
        <f t="shared" si="55"/>
        <v>3</v>
      </c>
      <c r="E145" s="44">
        <f t="shared" si="55"/>
        <v>3</v>
      </c>
      <c r="F145" s="44">
        <f t="shared" si="55"/>
        <v>3</v>
      </c>
      <c r="G145" s="44">
        <f t="shared" si="55"/>
        <v>3</v>
      </c>
      <c r="H145" s="44">
        <f t="shared" si="55"/>
        <v>3</v>
      </c>
      <c r="I145" s="44">
        <f t="shared" si="55"/>
        <v>3</v>
      </c>
      <c r="J145" s="44">
        <f t="shared" si="55"/>
        <v>3</v>
      </c>
      <c r="K145" s="44">
        <f t="shared" si="55"/>
        <v>3</v>
      </c>
      <c r="L145" s="44">
        <f t="shared" si="55"/>
        <v>3</v>
      </c>
      <c r="M145" s="44">
        <f t="shared" si="55"/>
        <v>3</v>
      </c>
      <c r="N145" s="44">
        <f t="shared" si="55"/>
        <v>3</v>
      </c>
      <c r="O145" s="44">
        <f t="shared" si="55"/>
        <v>3</v>
      </c>
      <c r="P145" s="44">
        <f t="shared" si="55"/>
        <v>3</v>
      </c>
      <c r="Q145" s="44">
        <f t="shared" si="55"/>
        <v>3</v>
      </c>
      <c r="R145" s="44">
        <f t="shared" si="55"/>
        <v>3</v>
      </c>
      <c r="S145" s="44">
        <f t="shared" si="55"/>
        <v>3</v>
      </c>
      <c r="T145" s="44">
        <f t="shared" si="56"/>
        <v>3</v>
      </c>
      <c r="U145" s="44">
        <f t="shared" si="56"/>
        <v>3</v>
      </c>
      <c r="V145" s="44">
        <f t="shared" si="56"/>
        <v>3</v>
      </c>
      <c r="W145" s="44">
        <f t="shared" si="56"/>
        <v>3</v>
      </c>
      <c r="X145" s="44">
        <f t="shared" si="56"/>
        <v>3</v>
      </c>
      <c r="Y145" s="44">
        <f t="shared" si="56"/>
        <v>3</v>
      </c>
      <c r="Z145" s="44">
        <f t="shared" si="56"/>
        <v>3</v>
      </c>
      <c r="AA145" s="44">
        <f t="shared" si="56"/>
        <v>3</v>
      </c>
      <c r="AB145" s="44">
        <f t="shared" si="56"/>
        <v>3</v>
      </c>
      <c r="AC145" s="44">
        <f t="shared" si="56"/>
        <v>3</v>
      </c>
      <c r="AD145" s="44">
        <f t="shared" si="56"/>
        <v>3</v>
      </c>
      <c r="AE145" s="44">
        <f t="shared" si="56"/>
        <v>3</v>
      </c>
      <c r="AF145" s="44">
        <f t="shared" si="56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4"/>
        <v>3.3</v>
      </c>
      <c r="C146" s="55">
        <v>3.3</v>
      </c>
      <c r="D146" s="44">
        <f t="shared" si="55"/>
        <v>3.3</v>
      </c>
      <c r="E146" s="44">
        <f t="shared" si="55"/>
        <v>3.3</v>
      </c>
      <c r="F146" s="44">
        <f t="shared" si="55"/>
        <v>3.3</v>
      </c>
      <c r="G146" s="44">
        <f t="shared" si="55"/>
        <v>3.3</v>
      </c>
      <c r="H146" s="44">
        <f t="shared" si="55"/>
        <v>3.3</v>
      </c>
      <c r="I146" s="44">
        <f t="shared" si="55"/>
        <v>3.3</v>
      </c>
      <c r="J146" s="44">
        <f t="shared" si="55"/>
        <v>3.3</v>
      </c>
      <c r="K146" s="44">
        <f t="shared" si="55"/>
        <v>3.3</v>
      </c>
      <c r="L146" s="44">
        <f t="shared" si="55"/>
        <v>3.3</v>
      </c>
      <c r="M146" s="44">
        <f t="shared" si="55"/>
        <v>3.3</v>
      </c>
      <c r="N146" s="44">
        <f t="shared" si="55"/>
        <v>3.3</v>
      </c>
      <c r="O146" s="44">
        <f t="shared" si="55"/>
        <v>3.3</v>
      </c>
      <c r="P146" s="44">
        <f t="shared" si="55"/>
        <v>3.3</v>
      </c>
      <c r="Q146" s="44">
        <f t="shared" si="55"/>
        <v>3.3</v>
      </c>
      <c r="R146" s="44">
        <f t="shared" si="55"/>
        <v>3.3</v>
      </c>
      <c r="S146" s="44">
        <f t="shared" si="55"/>
        <v>3.3</v>
      </c>
      <c r="T146" s="44">
        <f t="shared" si="56"/>
        <v>3.3</v>
      </c>
      <c r="U146" s="44">
        <f t="shared" si="56"/>
        <v>3.3</v>
      </c>
      <c r="V146" s="44">
        <f t="shared" si="56"/>
        <v>3.3</v>
      </c>
      <c r="W146" s="44">
        <f t="shared" si="56"/>
        <v>3.3</v>
      </c>
      <c r="X146" s="44">
        <f t="shared" si="56"/>
        <v>3.3</v>
      </c>
      <c r="Y146" s="44">
        <f t="shared" si="56"/>
        <v>3.3</v>
      </c>
      <c r="Z146" s="44">
        <f t="shared" si="56"/>
        <v>3.3</v>
      </c>
      <c r="AA146" s="44">
        <f t="shared" si="56"/>
        <v>3.3</v>
      </c>
      <c r="AB146" s="44">
        <f t="shared" si="56"/>
        <v>3.3</v>
      </c>
      <c r="AC146" s="44">
        <f t="shared" si="56"/>
        <v>3.3</v>
      </c>
      <c r="AD146" s="44">
        <f t="shared" si="56"/>
        <v>3.3</v>
      </c>
      <c r="AE146" s="44">
        <f t="shared" si="56"/>
        <v>3.3</v>
      </c>
      <c r="AF146" s="44">
        <f t="shared" si="56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7">C148</f>
        <v>1.76</v>
      </c>
      <c r="E148" s="44">
        <f t="shared" si="57"/>
        <v>1.76</v>
      </c>
      <c r="F148" s="44">
        <f t="shared" si="57"/>
        <v>1.76</v>
      </c>
      <c r="G148" s="44">
        <f t="shared" si="57"/>
        <v>1.76</v>
      </c>
      <c r="H148" s="44">
        <f t="shared" si="57"/>
        <v>1.76</v>
      </c>
      <c r="I148" s="44">
        <f t="shared" si="57"/>
        <v>1.76</v>
      </c>
      <c r="J148" s="44">
        <f t="shared" si="57"/>
        <v>1.76</v>
      </c>
      <c r="K148" s="44">
        <f t="shared" si="57"/>
        <v>1.76</v>
      </c>
      <c r="L148" s="44">
        <f t="shared" si="57"/>
        <v>1.76</v>
      </c>
      <c r="M148" s="44">
        <f t="shared" si="57"/>
        <v>1.76</v>
      </c>
      <c r="N148" s="44">
        <f t="shared" si="57"/>
        <v>1.76</v>
      </c>
      <c r="O148" s="44">
        <f t="shared" si="57"/>
        <v>1.76</v>
      </c>
      <c r="P148" s="44">
        <f t="shared" si="57"/>
        <v>1.76</v>
      </c>
      <c r="Q148" s="44">
        <f t="shared" si="57"/>
        <v>1.76</v>
      </c>
      <c r="R148" s="44">
        <f t="shared" si="57"/>
        <v>1.76</v>
      </c>
      <c r="S148" s="44">
        <f t="shared" si="57"/>
        <v>1.76</v>
      </c>
      <c r="T148" s="44">
        <f t="shared" ref="T148:AF149" si="58">S148</f>
        <v>1.76</v>
      </c>
      <c r="U148" s="44">
        <f t="shared" si="58"/>
        <v>1.76</v>
      </c>
      <c r="V148" s="44">
        <f t="shared" si="58"/>
        <v>1.76</v>
      </c>
      <c r="W148" s="44">
        <f t="shared" si="58"/>
        <v>1.76</v>
      </c>
      <c r="X148" s="44">
        <f t="shared" si="58"/>
        <v>1.76</v>
      </c>
      <c r="Y148" s="44">
        <f t="shared" si="58"/>
        <v>1.76</v>
      </c>
      <c r="Z148" s="44">
        <f t="shared" si="58"/>
        <v>1.76</v>
      </c>
      <c r="AA148" s="44">
        <f t="shared" si="58"/>
        <v>1.76</v>
      </c>
      <c r="AB148" s="44">
        <f t="shared" si="58"/>
        <v>1.76</v>
      </c>
      <c r="AC148" s="44">
        <f t="shared" si="58"/>
        <v>1.76</v>
      </c>
      <c r="AD148" s="44">
        <f t="shared" si="58"/>
        <v>1.76</v>
      </c>
      <c r="AE148" s="44">
        <f t="shared" si="58"/>
        <v>1.76</v>
      </c>
      <c r="AF148" s="44">
        <f t="shared" si="58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7"/>
        <v>0</v>
      </c>
      <c r="E149" s="44">
        <f t="shared" si="57"/>
        <v>0</v>
      </c>
      <c r="F149" s="44">
        <f t="shared" si="57"/>
        <v>0</v>
      </c>
      <c r="G149" s="44">
        <f t="shared" si="57"/>
        <v>0</v>
      </c>
      <c r="H149" s="44">
        <f t="shared" si="57"/>
        <v>0</v>
      </c>
      <c r="I149" s="44">
        <f t="shared" si="57"/>
        <v>0</v>
      </c>
      <c r="J149" s="44">
        <f t="shared" si="57"/>
        <v>0</v>
      </c>
      <c r="K149" s="44">
        <f t="shared" si="57"/>
        <v>0</v>
      </c>
      <c r="L149" s="44">
        <f t="shared" si="57"/>
        <v>0</v>
      </c>
      <c r="M149" s="44">
        <f t="shared" si="57"/>
        <v>0</v>
      </c>
      <c r="N149" s="44">
        <f t="shared" si="57"/>
        <v>0</v>
      </c>
      <c r="O149" s="44">
        <f t="shared" si="57"/>
        <v>0</v>
      </c>
      <c r="P149" s="44">
        <f t="shared" si="57"/>
        <v>0</v>
      </c>
      <c r="Q149" s="44">
        <f t="shared" si="57"/>
        <v>0</v>
      </c>
      <c r="R149" s="44">
        <f t="shared" si="57"/>
        <v>0</v>
      </c>
      <c r="S149" s="44">
        <f t="shared" si="57"/>
        <v>0</v>
      </c>
      <c r="T149" s="44">
        <f t="shared" si="58"/>
        <v>0</v>
      </c>
      <c r="U149" s="44">
        <f t="shared" si="58"/>
        <v>0</v>
      </c>
      <c r="V149" s="44">
        <f t="shared" si="58"/>
        <v>0</v>
      </c>
      <c r="W149" s="44">
        <f t="shared" si="58"/>
        <v>0</v>
      </c>
      <c r="X149" s="44">
        <f t="shared" si="58"/>
        <v>0</v>
      </c>
      <c r="Y149" s="44">
        <f t="shared" si="58"/>
        <v>0</v>
      </c>
      <c r="Z149" s="44">
        <f t="shared" si="58"/>
        <v>0</v>
      </c>
      <c r="AA149" s="44">
        <f t="shared" si="58"/>
        <v>0</v>
      </c>
      <c r="AB149" s="44">
        <f t="shared" si="58"/>
        <v>0</v>
      </c>
      <c r="AC149" s="44">
        <f t="shared" si="58"/>
        <v>0</v>
      </c>
      <c r="AD149" s="44">
        <f t="shared" si="58"/>
        <v>0</v>
      </c>
      <c r="AE149" s="44">
        <f t="shared" si="58"/>
        <v>0</v>
      </c>
      <c r="AF149" s="44">
        <f t="shared" si="58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9">C151</f>
        <v>0.1</v>
      </c>
      <c r="E151" s="44">
        <f t="shared" si="59"/>
        <v>0.1</v>
      </c>
      <c r="F151" s="44">
        <f t="shared" si="59"/>
        <v>0.1</v>
      </c>
      <c r="G151" s="44">
        <f t="shared" si="59"/>
        <v>0.1</v>
      </c>
      <c r="H151" s="44">
        <f t="shared" si="59"/>
        <v>0.1</v>
      </c>
      <c r="I151" s="44">
        <f t="shared" si="59"/>
        <v>0.1</v>
      </c>
      <c r="J151" s="44">
        <f t="shared" si="59"/>
        <v>0.1</v>
      </c>
      <c r="K151" s="44">
        <f t="shared" si="59"/>
        <v>0.1</v>
      </c>
      <c r="L151" s="44">
        <f t="shared" si="59"/>
        <v>0.1</v>
      </c>
      <c r="M151" s="44">
        <f t="shared" si="59"/>
        <v>0.1</v>
      </c>
      <c r="N151" s="44">
        <f t="shared" si="59"/>
        <v>0.1</v>
      </c>
      <c r="O151" s="44">
        <f t="shared" si="59"/>
        <v>0.1</v>
      </c>
      <c r="P151" s="44">
        <f t="shared" si="59"/>
        <v>0.1</v>
      </c>
      <c r="Q151" s="44">
        <f t="shared" si="59"/>
        <v>0.1</v>
      </c>
      <c r="R151" s="44">
        <f t="shared" si="59"/>
        <v>0.1</v>
      </c>
      <c r="S151" s="44">
        <f t="shared" si="59"/>
        <v>0.1</v>
      </c>
      <c r="T151" s="44">
        <f t="shared" ref="T151:AF154" si="60">S151</f>
        <v>0.1</v>
      </c>
      <c r="U151" s="44">
        <f t="shared" si="60"/>
        <v>0.1</v>
      </c>
      <c r="V151" s="44">
        <f t="shared" si="60"/>
        <v>0.1</v>
      </c>
      <c r="W151" s="44">
        <f t="shared" si="60"/>
        <v>0.1</v>
      </c>
      <c r="X151" s="44">
        <f t="shared" si="60"/>
        <v>0.1</v>
      </c>
      <c r="Y151" s="44">
        <f t="shared" si="60"/>
        <v>0.1</v>
      </c>
      <c r="Z151" s="44">
        <f t="shared" si="60"/>
        <v>0.1</v>
      </c>
      <c r="AA151" s="44">
        <f t="shared" si="60"/>
        <v>0.1</v>
      </c>
      <c r="AB151" s="44">
        <f t="shared" si="60"/>
        <v>0.1</v>
      </c>
      <c r="AC151" s="44">
        <f t="shared" si="60"/>
        <v>0.1</v>
      </c>
      <c r="AD151" s="44">
        <f t="shared" si="60"/>
        <v>0.1</v>
      </c>
      <c r="AE151" s="44">
        <f t="shared" si="60"/>
        <v>0.1</v>
      </c>
      <c r="AF151" s="44">
        <f t="shared" si="60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9"/>
        <v>2.0499999999999998</v>
      </c>
      <c r="E152" s="44">
        <f t="shared" si="59"/>
        <v>2.0499999999999998</v>
      </c>
      <c r="F152" s="44">
        <f t="shared" si="59"/>
        <v>2.0499999999999998</v>
      </c>
      <c r="G152" s="44">
        <f t="shared" si="59"/>
        <v>2.0499999999999998</v>
      </c>
      <c r="H152" s="44">
        <f t="shared" si="59"/>
        <v>2.0499999999999998</v>
      </c>
      <c r="I152" s="44">
        <f t="shared" si="59"/>
        <v>2.0499999999999998</v>
      </c>
      <c r="J152" s="44">
        <f t="shared" si="59"/>
        <v>2.0499999999999998</v>
      </c>
      <c r="K152" s="44">
        <f t="shared" si="59"/>
        <v>2.0499999999999998</v>
      </c>
      <c r="L152" s="44">
        <f t="shared" si="59"/>
        <v>2.0499999999999998</v>
      </c>
      <c r="M152" s="44">
        <f t="shared" si="59"/>
        <v>2.0499999999999998</v>
      </c>
      <c r="N152" s="44">
        <f t="shared" si="59"/>
        <v>2.0499999999999998</v>
      </c>
      <c r="O152" s="44">
        <f t="shared" si="59"/>
        <v>2.0499999999999998</v>
      </c>
      <c r="P152" s="44">
        <f t="shared" si="59"/>
        <v>2.0499999999999998</v>
      </c>
      <c r="Q152" s="44">
        <f t="shared" si="59"/>
        <v>2.0499999999999998</v>
      </c>
      <c r="R152" s="44">
        <f t="shared" si="59"/>
        <v>2.0499999999999998</v>
      </c>
      <c r="S152" s="44">
        <f t="shared" si="59"/>
        <v>2.0499999999999998</v>
      </c>
      <c r="T152" s="44">
        <f t="shared" si="60"/>
        <v>2.0499999999999998</v>
      </c>
      <c r="U152" s="44">
        <f t="shared" si="60"/>
        <v>2.0499999999999998</v>
      </c>
      <c r="V152" s="44">
        <f t="shared" si="60"/>
        <v>2.0499999999999998</v>
      </c>
      <c r="W152" s="44">
        <f t="shared" si="60"/>
        <v>2.0499999999999998</v>
      </c>
      <c r="X152" s="44">
        <f t="shared" si="60"/>
        <v>2.0499999999999998</v>
      </c>
      <c r="Y152" s="44">
        <f t="shared" si="60"/>
        <v>2.0499999999999998</v>
      </c>
      <c r="Z152" s="44">
        <f t="shared" si="60"/>
        <v>2.0499999999999998</v>
      </c>
      <c r="AA152" s="44">
        <f t="shared" si="60"/>
        <v>2.0499999999999998</v>
      </c>
      <c r="AB152" s="44">
        <f t="shared" si="60"/>
        <v>2.0499999999999998</v>
      </c>
      <c r="AC152" s="44">
        <f t="shared" si="60"/>
        <v>2.0499999999999998</v>
      </c>
      <c r="AD152" s="44">
        <f t="shared" si="60"/>
        <v>2.0499999999999998</v>
      </c>
      <c r="AE152" s="44">
        <f t="shared" si="60"/>
        <v>2.0499999999999998</v>
      </c>
      <c r="AF152" s="44">
        <f t="shared" si="60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9"/>
        <v>2.7</v>
      </c>
      <c r="E153" s="44">
        <f t="shared" si="59"/>
        <v>2.7</v>
      </c>
      <c r="F153" s="44">
        <f t="shared" si="59"/>
        <v>2.7</v>
      </c>
      <c r="G153" s="44">
        <f t="shared" si="59"/>
        <v>2.7</v>
      </c>
      <c r="H153" s="44">
        <f t="shared" si="59"/>
        <v>2.7</v>
      </c>
      <c r="I153" s="44">
        <f t="shared" si="59"/>
        <v>2.7</v>
      </c>
      <c r="J153" s="44">
        <f t="shared" si="59"/>
        <v>2.7</v>
      </c>
      <c r="K153" s="44">
        <f t="shared" si="59"/>
        <v>2.7</v>
      </c>
      <c r="L153" s="44">
        <f t="shared" si="59"/>
        <v>2.7</v>
      </c>
      <c r="M153" s="44">
        <f t="shared" si="59"/>
        <v>2.7</v>
      </c>
      <c r="N153" s="44">
        <f t="shared" si="59"/>
        <v>2.7</v>
      </c>
      <c r="O153" s="44">
        <f t="shared" si="59"/>
        <v>2.7</v>
      </c>
      <c r="P153" s="44">
        <f t="shared" si="59"/>
        <v>2.7</v>
      </c>
      <c r="Q153" s="44">
        <f t="shared" si="59"/>
        <v>2.7</v>
      </c>
      <c r="R153" s="44">
        <f t="shared" si="59"/>
        <v>2.7</v>
      </c>
      <c r="S153" s="44">
        <f t="shared" si="59"/>
        <v>2.7</v>
      </c>
      <c r="T153" s="44">
        <f t="shared" si="60"/>
        <v>2.7</v>
      </c>
      <c r="U153" s="44">
        <f t="shared" si="60"/>
        <v>2.7</v>
      </c>
      <c r="V153" s="44">
        <f t="shared" si="60"/>
        <v>2.7</v>
      </c>
      <c r="W153" s="44">
        <f t="shared" si="60"/>
        <v>2.7</v>
      </c>
      <c r="X153" s="44">
        <f t="shared" si="60"/>
        <v>2.7</v>
      </c>
      <c r="Y153" s="44">
        <f t="shared" si="60"/>
        <v>2.7</v>
      </c>
      <c r="Z153" s="44">
        <f t="shared" si="60"/>
        <v>2.7</v>
      </c>
      <c r="AA153" s="44">
        <f t="shared" si="60"/>
        <v>2.7</v>
      </c>
      <c r="AB153" s="44">
        <f t="shared" si="60"/>
        <v>2.7</v>
      </c>
      <c r="AC153" s="44">
        <f t="shared" si="60"/>
        <v>2.7</v>
      </c>
      <c r="AD153" s="44">
        <f t="shared" si="60"/>
        <v>2.7</v>
      </c>
      <c r="AE153" s="44">
        <f t="shared" si="60"/>
        <v>2.7</v>
      </c>
      <c r="AF153" s="44">
        <f t="shared" si="60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9"/>
        <v>2.15</v>
      </c>
      <c r="E154" s="44">
        <f t="shared" si="59"/>
        <v>2.15</v>
      </c>
      <c r="F154" s="44">
        <f t="shared" si="59"/>
        <v>2.15</v>
      </c>
      <c r="G154" s="44">
        <f t="shared" si="59"/>
        <v>2.15</v>
      </c>
      <c r="H154" s="44">
        <f t="shared" si="59"/>
        <v>2.15</v>
      </c>
      <c r="I154" s="44">
        <f t="shared" si="59"/>
        <v>2.15</v>
      </c>
      <c r="J154" s="44">
        <f t="shared" si="59"/>
        <v>2.15</v>
      </c>
      <c r="K154" s="44">
        <f t="shared" si="59"/>
        <v>2.15</v>
      </c>
      <c r="L154" s="44">
        <f t="shared" si="59"/>
        <v>2.15</v>
      </c>
      <c r="M154" s="44">
        <f t="shared" si="59"/>
        <v>2.15</v>
      </c>
      <c r="N154" s="44">
        <f t="shared" si="59"/>
        <v>2.15</v>
      </c>
      <c r="O154" s="44">
        <f t="shared" si="59"/>
        <v>2.15</v>
      </c>
      <c r="P154" s="44">
        <f t="shared" si="59"/>
        <v>2.15</v>
      </c>
      <c r="Q154" s="44">
        <f t="shared" si="59"/>
        <v>2.15</v>
      </c>
      <c r="R154" s="44">
        <f t="shared" si="59"/>
        <v>2.15</v>
      </c>
      <c r="S154" s="44">
        <f t="shared" si="59"/>
        <v>2.15</v>
      </c>
      <c r="T154" s="44">
        <f t="shared" si="60"/>
        <v>2.15</v>
      </c>
      <c r="U154" s="44">
        <f t="shared" si="60"/>
        <v>2.15</v>
      </c>
      <c r="V154" s="44">
        <f t="shared" si="60"/>
        <v>2.15</v>
      </c>
      <c r="W154" s="44">
        <f t="shared" si="60"/>
        <v>2.15</v>
      </c>
      <c r="X154" s="44">
        <f t="shared" si="60"/>
        <v>2.15</v>
      </c>
      <c r="Y154" s="44">
        <f t="shared" si="60"/>
        <v>2.15</v>
      </c>
      <c r="Z154" s="44">
        <f t="shared" si="60"/>
        <v>2.15</v>
      </c>
      <c r="AA154" s="44">
        <f t="shared" si="60"/>
        <v>2.15</v>
      </c>
      <c r="AB154" s="44">
        <f t="shared" si="60"/>
        <v>2.15</v>
      </c>
      <c r="AC154" s="44">
        <f t="shared" si="60"/>
        <v>2.15</v>
      </c>
      <c r="AD154" s="44">
        <f t="shared" si="60"/>
        <v>2.15</v>
      </c>
      <c r="AE154" s="44">
        <f t="shared" si="60"/>
        <v>2.15</v>
      </c>
      <c r="AF154" s="44">
        <f t="shared" si="60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1">AF156</f>
        <v>0.9</v>
      </c>
      <c r="C156" s="55">
        <v>0.9</v>
      </c>
      <c r="D156" s="44">
        <f t="shared" ref="D156:S168" si="62">C156</f>
        <v>0.9</v>
      </c>
      <c r="E156" s="44">
        <f t="shared" si="62"/>
        <v>0.9</v>
      </c>
      <c r="F156" s="44">
        <f t="shared" si="62"/>
        <v>0.9</v>
      </c>
      <c r="G156" s="44">
        <f t="shared" si="62"/>
        <v>0.9</v>
      </c>
      <c r="H156" s="44">
        <f t="shared" si="62"/>
        <v>0.9</v>
      </c>
      <c r="I156" s="44">
        <f t="shared" si="62"/>
        <v>0.9</v>
      </c>
      <c r="J156" s="44">
        <f t="shared" si="62"/>
        <v>0.9</v>
      </c>
      <c r="K156" s="44">
        <f t="shared" si="62"/>
        <v>0.9</v>
      </c>
      <c r="L156" s="44">
        <f t="shared" si="62"/>
        <v>0.9</v>
      </c>
      <c r="M156" s="44">
        <f t="shared" si="62"/>
        <v>0.9</v>
      </c>
      <c r="N156" s="44">
        <f t="shared" si="62"/>
        <v>0.9</v>
      </c>
      <c r="O156" s="44">
        <f t="shared" si="62"/>
        <v>0.9</v>
      </c>
      <c r="P156" s="44">
        <f t="shared" si="62"/>
        <v>0.9</v>
      </c>
      <c r="Q156" s="44">
        <f t="shared" si="62"/>
        <v>0.9</v>
      </c>
      <c r="R156" s="44">
        <f t="shared" si="62"/>
        <v>0.9</v>
      </c>
      <c r="S156" s="44">
        <f t="shared" si="62"/>
        <v>0.9</v>
      </c>
      <c r="T156" s="44">
        <f t="shared" ref="S156:AF168" si="63">S156</f>
        <v>0.9</v>
      </c>
      <c r="U156" s="44">
        <f t="shared" si="63"/>
        <v>0.9</v>
      </c>
      <c r="V156" s="44">
        <f t="shared" si="63"/>
        <v>0.9</v>
      </c>
      <c r="W156" s="44">
        <f t="shared" si="63"/>
        <v>0.9</v>
      </c>
      <c r="X156" s="44">
        <f t="shared" si="63"/>
        <v>0.9</v>
      </c>
      <c r="Y156" s="44">
        <f t="shared" si="63"/>
        <v>0.9</v>
      </c>
      <c r="Z156" s="44">
        <f t="shared" si="63"/>
        <v>0.9</v>
      </c>
      <c r="AA156" s="44">
        <f t="shared" si="63"/>
        <v>0.9</v>
      </c>
      <c r="AB156" s="44">
        <f t="shared" si="63"/>
        <v>0.9</v>
      </c>
      <c r="AC156" s="44">
        <f t="shared" si="63"/>
        <v>0.9</v>
      </c>
      <c r="AD156" s="44">
        <f t="shared" si="63"/>
        <v>0.9</v>
      </c>
      <c r="AE156" s="44">
        <f t="shared" si="63"/>
        <v>0.9</v>
      </c>
      <c r="AF156" s="44">
        <f t="shared" si="63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1"/>
        <v>1.08</v>
      </c>
      <c r="C157" s="55">
        <v>1.08</v>
      </c>
      <c r="D157" s="44">
        <f t="shared" si="62"/>
        <v>1.08</v>
      </c>
      <c r="E157" s="44">
        <f t="shared" si="62"/>
        <v>1.08</v>
      </c>
      <c r="F157" s="44">
        <f t="shared" si="62"/>
        <v>1.08</v>
      </c>
      <c r="G157" s="44">
        <f t="shared" si="62"/>
        <v>1.08</v>
      </c>
      <c r="H157" s="44">
        <f t="shared" si="62"/>
        <v>1.08</v>
      </c>
      <c r="I157" s="44">
        <f t="shared" si="62"/>
        <v>1.08</v>
      </c>
      <c r="J157" s="44">
        <f t="shared" si="62"/>
        <v>1.08</v>
      </c>
      <c r="K157" s="44">
        <f t="shared" si="62"/>
        <v>1.08</v>
      </c>
      <c r="L157" s="44">
        <f t="shared" si="62"/>
        <v>1.08</v>
      </c>
      <c r="M157" s="44">
        <f t="shared" si="62"/>
        <v>1.08</v>
      </c>
      <c r="N157" s="44">
        <f t="shared" si="62"/>
        <v>1.08</v>
      </c>
      <c r="O157" s="44">
        <f t="shared" si="62"/>
        <v>1.08</v>
      </c>
      <c r="P157" s="44">
        <f t="shared" si="62"/>
        <v>1.08</v>
      </c>
      <c r="Q157" s="44">
        <f t="shared" si="62"/>
        <v>1.08</v>
      </c>
      <c r="R157" s="44">
        <f t="shared" si="62"/>
        <v>1.08</v>
      </c>
      <c r="S157" s="44">
        <f t="shared" si="62"/>
        <v>1.08</v>
      </c>
      <c r="T157" s="44">
        <f t="shared" si="63"/>
        <v>1.08</v>
      </c>
      <c r="U157" s="44">
        <f t="shared" si="63"/>
        <v>1.08</v>
      </c>
      <c r="V157" s="44">
        <f t="shared" si="63"/>
        <v>1.08</v>
      </c>
      <c r="W157" s="44">
        <f t="shared" si="63"/>
        <v>1.08</v>
      </c>
      <c r="X157" s="44">
        <f t="shared" si="63"/>
        <v>1.08</v>
      </c>
      <c r="Y157" s="44">
        <f t="shared" si="63"/>
        <v>1.08</v>
      </c>
      <c r="Z157" s="44">
        <f t="shared" si="63"/>
        <v>1.08</v>
      </c>
      <c r="AA157" s="44">
        <f t="shared" si="63"/>
        <v>1.08</v>
      </c>
      <c r="AB157" s="44">
        <f t="shared" si="63"/>
        <v>1.08</v>
      </c>
      <c r="AC157" s="44">
        <f t="shared" si="63"/>
        <v>1.08</v>
      </c>
      <c r="AD157" s="44">
        <f t="shared" si="63"/>
        <v>1.08</v>
      </c>
      <c r="AE157" s="44">
        <f t="shared" si="63"/>
        <v>1.08</v>
      </c>
      <c r="AF157" s="44">
        <f t="shared" si="63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1"/>
        <v>2.37</v>
      </c>
      <c r="C158" s="55">
        <v>2.37</v>
      </c>
      <c r="D158" s="44">
        <f t="shared" si="62"/>
        <v>2.37</v>
      </c>
      <c r="E158" s="44">
        <f t="shared" si="62"/>
        <v>2.37</v>
      </c>
      <c r="F158" s="44">
        <f t="shared" si="62"/>
        <v>2.37</v>
      </c>
      <c r="G158" s="44">
        <f t="shared" si="62"/>
        <v>2.37</v>
      </c>
      <c r="H158" s="44">
        <f t="shared" si="62"/>
        <v>2.37</v>
      </c>
      <c r="I158" s="44">
        <f t="shared" si="62"/>
        <v>2.37</v>
      </c>
      <c r="J158" s="44">
        <f t="shared" si="62"/>
        <v>2.37</v>
      </c>
      <c r="K158" s="44">
        <f t="shared" si="62"/>
        <v>2.37</v>
      </c>
      <c r="L158" s="44">
        <f t="shared" si="62"/>
        <v>2.37</v>
      </c>
      <c r="M158" s="44">
        <f t="shared" si="62"/>
        <v>2.37</v>
      </c>
      <c r="N158" s="44">
        <f t="shared" si="62"/>
        <v>2.37</v>
      </c>
      <c r="O158" s="44">
        <f t="shared" si="62"/>
        <v>2.37</v>
      </c>
      <c r="P158" s="44">
        <f t="shared" si="62"/>
        <v>2.37</v>
      </c>
      <c r="Q158" s="44">
        <f t="shared" si="62"/>
        <v>2.37</v>
      </c>
      <c r="R158" s="44">
        <f t="shared" si="62"/>
        <v>2.37</v>
      </c>
      <c r="S158" s="44">
        <f t="shared" si="62"/>
        <v>2.37</v>
      </c>
      <c r="T158" s="44">
        <f t="shared" si="63"/>
        <v>2.37</v>
      </c>
      <c r="U158" s="44">
        <f t="shared" si="63"/>
        <v>2.37</v>
      </c>
      <c r="V158" s="44">
        <f t="shared" si="63"/>
        <v>2.37</v>
      </c>
      <c r="W158" s="44">
        <f t="shared" si="63"/>
        <v>2.37</v>
      </c>
      <c r="X158" s="44">
        <f t="shared" si="63"/>
        <v>2.37</v>
      </c>
      <c r="Y158" s="44">
        <f t="shared" si="63"/>
        <v>2.37</v>
      </c>
      <c r="Z158" s="44">
        <f t="shared" si="63"/>
        <v>2.37</v>
      </c>
      <c r="AA158" s="44">
        <f t="shared" si="63"/>
        <v>2.37</v>
      </c>
      <c r="AB158" s="44">
        <f t="shared" si="63"/>
        <v>2.37</v>
      </c>
      <c r="AC158" s="44">
        <f t="shared" si="63"/>
        <v>2.37</v>
      </c>
      <c r="AD158" s="44">
        <f t="shared" si="63"/>
        <v>2.37</v>
      </c>
      <c r="AE158" s="44">
        <f t="shared" si="63"/>
        <v>2.37</v>
      </c>
      <c r="AF158" s="44">
        <f t="shared" si="63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1"/>
        <v>1.81</v>
      </c>
      <c r="C159" s="55">
        <v>1.81</v>
      </c>
      <c r="D159" s="44">
        <f t="shared" si="62"/>
        <v>1.81</v>
      </c>
      <c r="E159" s="44">
        <f t="shared" si="62"/>
        <v>1.81</v>
      </c>
      <c r="F159" s="44">
        <f t="shared" si="62"/>
        <v>1.81</v>
      </c>
      <c r="G159" s="44">
        <f t="shared" si="62"/>
        <v>1.81</v>
      </c>
      <c r="H159" s="44">
        <f t="shared" si="62"/>
        <v>1.81</v>
      </c>
      <c r="I159" s="44">
        <f t="shared" si="62"/>
        <v>1.81</v>
      </c>
      <c r="J159" s="44">
        <f t="shared" si="62"/>
        <v>1.81</v>
      </c>
      <c r="K159" s="44">
        <f t="shared" si="62"/>
        <v>1.81</v>
      </c>
      <c r="L159" s="44">
        <f t="shared" si="62"/>
        <v>1.81</v>
      </c>
      <c r="M159" s="44">
        <f t="shared" si="62"/>
        <v>1.81</v>
      </c>
      <c r="N159" s="44">
        <f t="shared" si="62"/>
        <v>1.81</v>
      </c>
      <c r="O159" s="44">
        <f t="shared" si="62"/>
        <v>1.81</v>
      </c>
      <c r="P159" s="44">
        <f t="shared" si="62"/>
        <v>1.81</v>
      </c>
      <c r="Q159" s="44">
        <f t="shared" si="62"/>
        <v>1.81</v>
      </c>
      <c r="R159" s="44">
        <f t="shared" si="62"/>
        <v>1.81</v>
      </c>
      <c r="S159" s="44">
        <f t="shared" si="62"/>
        <v>1.81</v>
      </c>
      <c r="T159" s="44">
        <f t="shared" si="63"/>
        <v>1.81</v>
      </c>
      <c r="U159" s="44">
        <f t="shared" si="63"/>
        <v>1.81</v>
      </c>
      <c r="V159" s="44">
        <f t="shared" si="63"/>
        <v>1.81</v>
      </c>
      <c r="W159" s="44">
        <f t="shared" si="63"/>
        <v>1.81</v>
      </c>
      <c r="X159" s="44">
        <f t="shared" si="63"/>
        <v>1.81</v>
      </c>
      <c r="Y159" s="44">
        <f t="shared" si="63"/>
        <v>1.81</v>
      </c>
      <c r="Z159" s="44">
        <f t="shared" si="63"/>
        <v>1.81</v>
      </c>
      <c r="AA159" s="44">
        <f t="shared" si="63"/>
        <v>1.81</v>
      </c>
      <c r="AB159" s="44">
        <f t="shared" si="63"/>
        <v>1.81</v>
      </c>
      <c r="AC159" s="44">
        <f t="shared" si="63"/>
        <v>1.81</v>
      </c>
      <c r="AD159" s="44">
        <f t="shared" si="63"/>
        <v>1.81</v>
      </c>
      <c r="AE159" s="44">
        <f t="shared" si="63"/>
        <v>1.81</v>
      </c>
      <c r="AF159" s="44">
        <f t="shared" si="63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1"/>
        <v>1.0900000000000001</v>
      </c>
      <c r="C160" s="55">
        <v>1.0900000000000001</v>
      </c>
      <c r="D160" s="44">
        <f t="shared" si="62"/>
        <v>1.0900000000000001</v>
      </c>
      <c r="E160" s="44">
        <f t="shared" si="62"/>
        <v>1.0900000000000001</v>
      </c>
      <c r="F160" s="44">
        <f t="shared" si="62"/>
        <v>1.0900000000000001</v>
      </c>
      <c r="G160" s="44">
        <f t="shared" si="62"/>
        <v>1.0900000000000001</v>
      </c>
      <c r="H160" s="44">
        <f t="shared" si="62"/>
        <v>1.0900000000000001</v>
      </c>
      <c r="I160" s="44">
        <f t="shared" si="62"/>
        <v>1.0900000000000001</v>
      </c>
      <c r="J160" s="44">
        <f t="shared" si="62"/>
        <v>1.0900000000000001</v>
      </c>
      <c r="K160" s="44">
        <f t="shared" si="62"/>
        <v>1.0900000000000001</v>
      </c>
      <c r="L160" s="44">
        <f t="shared" si="62"/>
        <v>1.0900000000000001</v>
      </c>
      <c r="M160" s="44">
        <f t="shared" si="62"/>
        <v>1.0900000000000001</v>
      </c>
      <c r="N160" s="44">
        <f t="shared" si="62"/>
        <v>1.0900000000000001</v>
      </c>
      <c r="O160" s="44">
        <f t="shared" si="62"/>
        <v>1.0900000000000001</v>
      </c>
      <c r="P160" s="44">
        <f t="shared" si="62"/>
        <v>1.0900000000000001</v>
      </c>
      <c r="Q160" s="44">
        <f t="shared" si="62"/>
        <v>1.0900000000000001</v>
      </c>
      <c r="R160" s="44">
        <f t="shared" si="62"/>
        <v>1.0900000000000001</v>
      </c>
      <c r="S160" s="44">
        <f t="shared" si="62"/>
        <v>1.0900000000000001</v>
      </c>
      <c r="T160" s="44">
        <f t="shared" si="63"/>
        <v>1.0900000000000001</v>
      </c>
      <c r="U160" s="44">
        <f t="shared" si="63"/>
        <v>1.0900000000000001</v>
      </c>
      <c r="V160" s="44">
        <f t="shared" si="63"/>
        <v>1.0900000000000001</v>
      </c>
      <c r="W160" s="44">
        <f t="shared" si="63"/>
        <v>1.0900000000000001</v>
      </c>
      <c r="X160" s="44">
        <f t="shared" si="63"/>
        <v>1.0900000000000001</v>
      </c>
      <c r="Y160" s="44">
        <f t="shared" si="63"/>
        <v>1.0900000000000001</v>
      </c>
      <c r="Z160" s="44">
        <f t="shared" si="63"/>
        <v>1.0900000000000001</v>
      </c>
      <c r="AA160" s="44">
        <f t="shared" si="63"/>
        <v>1.0900000000000001</v>
      </c>
      <c r="AB160" s="44">
        <f t="shared" si="63"/>
        <v>1.0900000000000001</v>
      </c>
      <c r="AC160" s="44">
        <f t="shared" si="63"/>
        <v>1.0900000000000001</v>
      </c>
      <c r="AD160" s="44">
        <f t="shared" si="63"/>
        <v>1.0900000000000001</v>
      </c>
      <c r="AE160" s="44">
        <f t="shared" si="63"/>
        <v>1.0900000000000001</v>
      </c>
      <c r="AF160" s="44">
        <f t="shared" si="63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1"/>
        <v>1.58</v>
      </c>
      <c r="C161" s="55">
        <v>1.58</v>
      </c>
      <c r="D161" s="44">
        <f t="shared" si="62"/>
        <v>1.58</v>
      </c>
      <c r="E161" s="44">
        <f t="shared" si="62"/>
        <v>1.58</v>
      </c>
      <c r="F161" s="44">
        <f t="shared" si="62"/>
        <v>1.58</v>
      </c>
      <c r="G161" s="44">
        <f t="shared" si="62"/>
        <v>1.58</v>
      </c>
      <c r="H161" s="44">
        <f t="shared" si="62"/>
        <v>1.58</v>
      </c>
      <c r="I161" s="44">
        <f t="shared" si="62"/>
        <v>1.58</v>
      </c>
      <c r="J161" s="44">
        <f t="shared" si="62"/>
        <v>1.58</v>
      </c>
      <c r="K161" s="44">
        <f t="shared" si="62"/>
        <v>1.58</v>
      </c>
      <c r="L161" s="44">
        <f t="shared" si="62"/>
        <v>1.58</v>
      </c>
      <c r="M161" s="44">
        <f t="shared" si="62"/>
        <v>1.58</v>
      </c>
      <c r="N161" s="44">
        <f t="shared" si="62"/>
        <v>1.58</v>
      </c>
      <c r="O161" s="44">
        <f t="shared" si="62"/>
        <v>1.58</v>
      </c>
      <c r="P161" s="44">
        <f t="shared" si="62"/>
        <v>1.58</v>
      </c>
      <c r="Q161" s="44">
        <f t="shared" si="62"/>
        <v>1.58</v>
      </c>
      <c r="R161" s="44">
        <f t="shared" si="62"/>
        <v>1.58</v>
      </c>
      <c r="S161" s="44">
        <f t="shared" si="62"/>
        <v>1.58</v>
      </c>
      <c r="T161" s="44">
        <f t="shared" si="63"/>
        <v>1.58</v>
      </c>
      <c r="U161" s="44">
        <f t="shared" si="63"/>
        <v>1.58</v>
      </c>
      <c r="V161" s="44">
        <f t="shared" si="63"/>
        <v>1.58</v>
      </c>
      <c r="W161" s="44">
        <f t="shared" si="63"/>
        <v>1.58</v>
      </c>
      <c r="X161" s="44">
        <f t="shared" si="63"/>
        <v>1.58</v>
      </c>
      <c r="Y161" s="44">
        <f t="shared" si="63"/>
        <v>1.58</v>
      </c>
      <c r="Z161" s="44">
        <f t="shared" si="63"/>
        <v>1.58</v>
      </c>
      <c r="AA161" s="44">
        <f t="shared" si="63"/>
        <v>1.58</v>
      </c>
      <c r="AB161" s="44">
        <f t="shared" si="63"/>
        <v>1.58</v>
      </c>
      <c r="AC161" s="44">
        <f t="shared" si="63"/>
        <v>1.58</v>
      </c>
      <c r="AD161" s="44">
        <f t="shared" si="63"/>
        <v>1.58</v>
      </c>
      <c r="AE161" s="44">
        <f t="shared" si="63"/>
        <v>1.58</v>
      </c>
      <c r="AF161" s="44">
        <f t="shared" si="63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1"/>
        <v>2</v>
      </c>
      <c r="C162" s="55">
        <v>2</v>
      </c>
      <c r="D162" s="44">
        <f t="shared" si="62"/>
        <v>2</v>
      </c>
      <c r="E162" s="44">
        <f t="shared" si="62"/>
        <v>2</v>
      </c>
      <c r="F162" s="44">
        <f t="shared" si="62"/>
        <v>2</v>
      </c>
      <c r="G162" s="44">
        <f t="shared" si="62"/>
        <v>2</v>
      </c>
      <c r="H162" s="44">
        <f t="shared" si="62"/>
        <v>2</v>
      </c>
      <c r="I162" s="44">
        <f t="shared" si="62"/>
        <v>2</v>
      </c>
      <c r="J162" s="44">
        <f t="shared" si="62"/>
        <v>2</v>
      </c>
      <c r="K162" s="44">
        <f t="shared" si="62"/>
        <v>2</v>
      </c>
      <c r="L162" s="44">
        <f t="shared" si="62"/>
        <v>2</v>
      </c>
      <c r="M162" s="44">
        <f t="shared" si="62"/>
        <v>2</v>
      </c>
      <c r="N162" s="44">
        <f t="shared" si="62"/>
        <v>2</v>
      </c>
      <c r="O162" s="44">
        <f t="shared" si="62"/>
        <v>2</v>
      </c>
      <c r="P162" s="44">
        <f t="shared" si="62"/>
        <v>2</v>
      </c>
      <c r="Q162" s="44">
        <f t="shared" si="62"/>
        <v>2</v>
      </c>
      <c r="R162" s="44">
        <f t="shared" si="62"/>
        <v>2</v>
      </c>
      <c r="S162" s="44">
        <f t="shared" si="62"/>
        <v>2</v>
      </c>
      <c r="T162" s="44">
        <f t="shared" si="63"/>
        <v>2</v>
      </c>
      <c r="U162" s="44">
        <f t="shared" si="63"/>
        <v>2</v>
      </c>
      <c r="V162" s="44">
        <f t="shared" si="63"/>
        <v>2</v>
      </c>
      <c r="W162" s="44">
        <f t="shared" si="63"/>
        <v>2</v>
      </c>
      <c r="X162" s="44">
        <f t="shared" si="63"/>
        <v>2</v>
      </c>
      <c r="Y162" s="44">
        <f t="shared" si="63"/>
        <v>2</v>
      </c>
      <c r="Z162" s="44">
        <f t="shared" si="63"/>
        <v>2</v>
      </c>
      <c r="AA162" s="44">
        <f t="shared" si="63"/>
        <v>2</v>
      </c>
      <c r="AB162" s="44">
        <f t="shared" si="63"/>
        <v>2</v>
      </c>
      <c r="AC162" s="44">
        <f t="shared" si="63"/>
        <v>2</v>
      </c>
      <c r="AD162" s="44">
        <f t="shared" si="63"/>
        <v>2</v>
      </c>
      <c r="AE162" s="44">
        <f t="shared" si="63"/>
        <v>2</v>
      </c>
      <c r="AF162" s="44">
        <f t="shared" si="63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1"/>
        <v>0.47</v>
      </c>
      <c r="C163" s="55">
        <v>0.47</v>
      </c>
      <c r="D163" s="44">
        <f t="shared" si="62"/>
        <v>0.47</v>
      </c>
      <c r="E163" s="44">
        <f t="shared" si="62"/>
        <v>0.47</v>
      </c>
      <c r="F163" s="44">
        <f t="shared" si="62"/>
        <v>0.47</v>
      </c>
      <c r="G163" s="44">
        <f t="shared" si="62"/>
        <v>0.47</v>
      </c>
      <c r="H163" s="44">
        <f t="shared" si="62"/>
        <v>0.47</v>
      </c>
      <c r="I163" s="44">
        <f t="shared" si="62"/>
        <v>0.47</v>
      </c>
      <c r="J163" s="44">
        <f t="shared" si="62"/>
        <v>0.47</v>
      </c>
      <c r="K163" s="44">
        <f t="shared" si="62"/>
        <v>0.47</v>
      </c>
      <c r="L163" s="44">
        <f t="shared" si="62"/>
        <v>0.47</v>
      </c>
      <c r="M163" s="44">
        <f t="shared" si="62"/>
        <v>0.47</v>
      </c>
      <c r="N163" s="44">
        <f t="shared" si="62"/>
        <v>0.47</v>
      </c>
      <c r="O163" s="44">
        <f t="shared" si="62"/>
        <v>0.47</v>
      </c>
      <c r="P163" s="44">
        <f t="shared" si="62"/>
        <v>0.47</v>
      </c>
      <c r="Q163" s="44">
        <f t="shared" si="62"/>
        <v>0.47</v>
      </c>
      <c r="R163" s="44">
        <f t="shared" si="62"/>
        <v>0.47</v>
      </c>
      <c r="S163" s="44">
        <f t="shared" si="62"/>
        <v>0.47</v>
      </c>
      <c r="T163" s="44">
        <f t="shared" si="63"/>
        <v>0.47</v>
      </c>
      <c r="U163" s="44">
        <f t="shared" si="63"/>
        <v>0.47</v>
      </c>
      <c r="V163" s="44">
        <f t="shared" si="63"/>
        <v>0.47</v>
      </c>
      <c r="W163" s="44">
        <f t="shared" si="63"/>
        <v>0.47</v>
      </c>
      <c r="X163" s="44">
        <f t="shared" si="63"/>
        <v>0.47</v>
      </c>
      <c r="Y163" s="44">
        <f t="shared" si="63"/>
        <v>0.47</v>
      </c>
      <c r="Z163" s="44">
        <f t="shared" si="63"/>
        <v>0.47</v>
      </c>
      <c r="AA163" s="44">
        <f t="shared" si="63"/>
        <v>0.47</v>
      </c>
      <c r="AB163" s="44">
        <f t="shared" si="63"/>
        <v>0.47</v>
      </c>
      <c r="AC163" s="44">
        <f t="shared" si="63"/>
        <v>0.47</v>
      </c>
      <c r="AD163" s="44">
        <f t="shared" si="63"/>
        <v>0.47</v>
      </c>
      <c r="AE163" s="44">
        <f t="shared" si="63"/>
        <v>0.47</v>
      </c>
      <c r="AF163" s="44">
        <f t="shared" si="63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1"/>
        <v>0</v>
      </c>
      <c r="C164" s="55">
        <v>0</v>
      </c>
      <c r="D164" s="44">
        <f t="shared" si="62"/>
        <v>0</v>
      </c>
      <c r="E164" s="44">
        <f t="shared" si="62"/>
        <v>0</v>
      </c>
      <c r="F164" s="44">
        <f t="shared" si="62"/>
        <v>0</v>
      </c>
      <c r="G164" s="44">
        <f t="shared" si="62"/>
        <v>0</v>
      </c>
      <c r="H164" s="44">
        <f t="shared" si="62"/>
        <v>0</v>
      </c>
      <c r="I164" s="44">
        <f t="shared" si="62"/>
        <v>0</v>
      </c>
      <c r="J164" s="44">
        <f t="shared" si="62"/>
        <v>0</v>
      </c>
      <c r="K164" s="44">
        <f t="shared" si="62"/>
        <v>0</v>
      </c>
      <c r="L164" s="44">
        <f t="shared" si="62"/>
        <v>0</v>
      </c>
      <c r="M164" s="44">
        <f t="shared" si="62"/>
        <v>0</v>
      </c>
      <c r="N164" s="44">
        <f t="shared" si="62"/>
        <v>0</v>
      </c>
      <c r="O164" s="44">
        <f t="shared" si="62"/>
        <v>0</v>
      </c>
      <c r="P164" s="44">
        <f t="shared" si="62"/>
        <v>0</v>
      </c>
      <c r="Q164" s="44">
        <f t="shared" si="62"/>
        <v>0</v>
      </c>
      <c r="R164" s="44">
        <f t="shared" si="62"/>
        <v>0</v>
      </c>
      <c r="S164" s="44">
        <f t="shared" si="62"/>
        <v>0</v>
      </c>
      <c r="T164" s="44">
        <f t="shared" si="63"/>
        <v>0</v>
      </c>
      <c r="U164" s="44">
        <f t="shared" si="63"/>
        <v>0</v>
      </c>
      <c r="V164" s="44">
        <f t="shared" si="63"/>
        <v>0</v>
      </c>
      <c r="W164" s="44">
        <f t="shared" si="63"/>
        <v>0</v>
      </c>
      <c r="X164" s="44">
        <f t="shared" si="63"/>
        <v>0</v>
      </c>
      <c r="Y164" s="44">
        <f t="shared" si="63"/>
        <v>0</v>
      </c>
      <c r="Z164" s="44">
        <f t="shared" si="63"/>
        <v>0</v>
      </c>
      <c r="AA164" s="44">
        <f t="shared" si="63"/>
        <v>0</v>
      </c>
      <c r="AB164" s="44">
        <f t="shared" si="63"/>
        <v>0</v>
      </c>
      <c r="AC164" s="44">
        <f t="shared" si="63"/>
        <v>0</v>
      </c>
      <c r="AD164" s="44">
        <f t="shared" si="63"/>
        <v>0</v>
      </c>
      <c r="AE164" s="44">
        <f t="shared" si="63"/>
        <v>0</v>
      </c>
      <c r="AF164" s="44">
        <f t="shared" si="63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1"/>
        <v>0</v>
      </c>
      <c r="C165" s="55">
        <v>0</v>
      </c>
      <c r="D165" s="44">
        <f t="shared" si="62"/>
        <v>0</v>
      </c>
      <c r="E165" s="44">
        <f t="shared" si="62"/>
        <v>0</v>
      </c>
      <c r="F165" s="44">
        <f t="shared" si="62"/>
        <v>0</v>
      </c>
      <c r="G165" s="44">
        <f t="shared" si="62"/>
        <v>0</v>
      </c>
      <c r="H165" s="44">
        <f t="shared" si="62"/>
        <v>0</v>
      </c>
      <c r="I165" s="44">
        <f t="shared" si="62"/>
        <v>0</v>
      </c>
      <c r="J165" s="44">
        <f t="shared" si="62"/>
        <v>0</v>
      </c>
      <c r="K165" s="44">
        <f t="shared" si="62"/>
        <v>0</v>
      </c>
      <c r="L165" s="44">
        <f t="shared" si="62"/>
        <v>0</v>
      </c>
      <c r="M165" s="44">
        <f t="shared" si="62"/>
        <v>0</v>
      </c>
      <c r="N165" s="44">
        <f t="shared" si="62"/>
        <v>0</v>
      </c>
      <c r="O165" s="44">
        <f t="shared" si="62"/>
        <v>0</v>
      </c>
      <c r="P165" s="44">
        <f t="shared" si="62"/>
        <v>0</v>
      </c>
      <c r="Q165" s="44">
        <f t="shared" si="62"/>
        <v>0</v>
      </c>
      <c r="R165" s="44">
        <f t="shared" si="62"/>
        <v>0</v>
      </c>
      <c r="S165" s="44">
        <f t="shared" si="63"/>
        <v>0</v>
      </c>
      <c r="T165" s="44">
        <f t="shared" si="63"/>
        <v>0</v>
      </c>
      <c r="U165" s="44">
        <f t="shared" si="63"/>
        <v>0</v>
      </c>
      <c r="V165" s="44">
        <f t="shared" si="63"/>
        <v>0</v>
      </c>
      <c r="W165" s="44">
        <f t="shared" si="63"/>
        <v>0</v>
      </c>
      <c r="X165" s="44">
        <f t="shared" si="63"/>
        <v>0</v>
      </c>
      <c r="Y165" s="44">
        <f t="shared" si="63"/>
        <v>0</v>
      </c>
      <c r="Z165" s="44">
        <f t="shared" si="63"/>
        <v>0</v>
      </c>
      <c r="AA165" s="44">
        <f t="shared" si="63"/>
        <v>0</v>
      </c>
      <c r="AB165" s="44">
        <f t="shared" si="63"/>
        <v>0</v>
      </c>
      <c r="AC165" s="44">
        <f t="shared" si="63"/>
        <v>0</v>
      </c>
      <c r="AD165" s="44">
        <f t="shared" si="63"/>
        <v>0</v>
      </c>
      <c r="AE165" s="44">
        <f t="shared" si="63"/>
        <v>0</v>
      </c>
      <c r="AF165" s="44">
        <f t="shared" si="63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1"/>
        <v>0.8</v>
      </c>
      <c r="C166" s="55">
        <v>0.8</v>
      </c>
      <c r="D166" s="44">
        <f t="shared" si="62"/>
        <v>0.8</v>
      </c>
      <c r="E166" s="44">
        <f t="shared" si="62"/>
        <v>0.8</v>
      </c>
      <c r="F166" s="44">
        <f t="shared" si="62"/>
        <v>0.8</v>
      </c>
      <c r="G166" s="44">
        <f t="shared" si="62"/>
        <v>0.8</v>
      </c>
      <c r="H166" s="44">
        <f t="shared" si="62"/>
        <v>0.8</v>
      </c>
      <c r="I166" s="44">
        <f t="shared" si="62"/>
        <v>0.8</v>
      </c>
      <c r="J166" s="44">
        <f t="shared" si="62"/>
        <v>0.8</v>
      </c>
      <c r="K166" s="44">
        <f t="shared" si="62"/>
        <v>0.8</v>
      </c>
      <c r="L166" s="44">
        <f t="shared" si="62"/>
        <v>0.8</v>
      </c>
      <c r="M166" s="44">
        <f t="shared" si="62"/>
        <v>0.8</v>
      </c>
      <c r="N166" s="44">
        <f t="shared" si="62"/>
        <v>0.8</v>
      </c>
      <c r="O166" s="44">
        <f t="shared" si="62"/>
        <v>0.8</v>
      </c>
      <c r="P166" s="44">
        <f t="shared" si="62"/>
        <v>0.8</v>
      </c>
      <c r="Q166" s="44">
        <f t="shared" si="62"/>
        <v>0.8</v>
      </c>
      <c r="R166" s="44">
        <f t="shared" si="62"/>
        <v>0.8</v>
      </c>
      <c r="S166" s="44">
        <f t="shared" si="63"/>
        <v>0.8</v>
      </c>
      <c r="T166" s="44">
        <f t="shared" si="63"/>
        <v>0.8</v>
      </c>
      <c r="U166" s="44">
        <f t="shared" si="63"/>
        <v>0.8</v>
      </c>
      <c r="V166" s="44">
        <f t="shared" si="63"/>
        <v>0.8</v>
      </c>
      <c r="W166" s="44">
        <f t="shared" si="63"/>
        <v>0.8</v>
      </c>
      <c r="X166" s="44">
        <f t="shared" si="63"/>
        <v>0.8</v>
      </c>
      <c r="Y166" s="44">
        <f t="shared" si="63"/>
        <v>0.8</v>
      </c>
      <c r="Z166" s="44">
        <f t="shared" si="63"/>
        <v>0.8</v>
      </c>
      <c r="AA166" s="44">
        <f t="shared" si="63"/>
        <v>0.8</v>
      </c>
      <c r="AB166" s="44">
        <f t="shared" si="63"/>
        <v>0.8</v>
      </c>
      <c r="AC166" s="44">
        <f t="shared" si="63"/>
        <v>0.8</v>
      </c>
      <c r="AD166" s="44">
        <f t="shared" si="63"/>
        <v>0.8</v>
      </c>
      <c r="AE166" s="44">
        <f t="shared" si="63"/>
        <v>0.8</v>
      </c>
      <c r="AF166" s="44">
        <f t="shared" si="63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1"/>
        <v>1.5</v>
      </c>
      <c r="C167" s="55">
        <v>1.5</v>
      </c>
      <c r="D167" s="44">
        <f t="shared" si="62"/>
        <v>1.5</v>
      </c>
      <c r="E167" s="44">
        <f t="shared" si="62"/>
        <v>1.5</v>
      </c>
      <c r="F167" s="44">
        <f t="shared" si="62"/>
        <v>1.5</v>
      </c>
      <c r="G167" s="44">
        <f t="shared" si="62"/>
        <v>1.5</v>
      </c>
      <c r="H167" s="44">
        <f t="shared" si="62"/>
        <v>1.5</v>
      </c>
      <c r="I167" s="44">
        <f t="shared" si="62"/>
        <v>1.5</v>
      </c>
      <c r="J167" s="44">
        <f t="shared" si="62"/>
        <v>1.5</v>
      </c>
      <c r="K167" s="44">
        <f t="shared" si="62"/>
        <v>1.5</v>
      </c>
      <c r="L167" s="44">
        <f t="shared" si="62"/>
        <v>1.5</v>
      </c>
      <c r="M167" s="44">
        <f t="shared" si="62"/>
        <v>1.5</v>
      </c>
      <c r="N167" s="44">
        <f t="shared" si="62"/>
        <v>1.5</v>
      </c>
      <c r="O167" s="44">
        <f t="shared" si="62"/>
        <v>1.5</v>
      </c>
      <c r="P167" s="44">
        <f t="shared" si="62"/>
        <v>1.5</v>
      </c>
      <c r="Q167" s="44">
        <f t="shared" si="62"/>
        <v>1.5</v>
      </c>
      <c r="R167" s="44">
        <f t="shared" si="62"/>
        <v>1.5</v>
      </c>
      <c r="S167" s="44">
        <f t="shared" si="63"/>
        <v>1.5</v>
      </c>
      <c r="T167" s="44">
        <f t="shared" si="63"/>
        <v>1.5</v>
      </c>
      <c r="U167" s="44">
        <f t="shared" si="63"/>
        <v>1.5</v>
      </c>
      <c r="V167" s="44">
        <f t="shared" si="63"/>
        <v>1.5</v>
      </c>
      <c r="W167" s="44">
        <f t="shared" si="63"/>
        <v>1.5</v>
      </c>
      <c r="X167" s="44">
        <f t="shared" si="63"/>
        <v>1.5</v>
      </c>
      <c r="Y167" s="44">
        <f t="shared" si="63"/>
        <v>1.5</v>
      </c>
      <c r="Z167" s="44">
        <f t="shared" si="63"/>
        <v>1.5</v>
      </c>
      <c r="AA167" s="44">
        <f t="shared" si="63"/>
        <v>1.5</v>
      </c>
      <c r="AB167" s="44">
        <f t="shared" si="63"/>
        <v>1.5</v>
      </c>
      <c r="AC167" s="44">
        <f t="shared" si="63"/>
        <v>1.5</v>
      </c>
      <c r="AD167" s="44">
        <f t="shared" si="63"/>
        <v>1.5</v>
      </c>
      <c r="AE167" s="44">
        <f t="shared" si="63"/>
        <v>1.5</v>
      </c>
      <c r="AF167" s="44">
        <f t="shared" si="63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1"/>
        <v>1</v>
      </c>
      <c r="C168" s="55">
        <v>1</v>
      </c>
      <c r="D168" s="44">
        <f t="shared" si="62"/>
        <v>1</v>
      </c>
      <c r="E168" s="44">
        <f t="shared" si="62"/>
        <v>1</v>
      </c>
      <c r="F168" s="44">
        <f t="shared" si="62"/>
        <v>1</v>
      </c>
      <c r="G168" s="44">
        <f t="shared" si="62"/>
        <v>1</v>
      </c>
      <c r="H168" s="44">
        <f t="shared" si="62"/>
        <v>1</v>
      </c>
      <c r="I168" s="44">
        <f t="shared" si="62"/>
        <v>1</v>
      </c>
      <c r="J168" s="44">
        <f t="shared" si="62"/>
        <v>1</v>
      </c>
      <c r="K168" s="44">
        <f t="shared" si="62"/>
        <v>1</v>
      </c>
      <c r="L168" s="44">
        <f t="shared" si="62"/>
        <v>1</v>
      </c>
      <c r="M168" s="44">
        <f t="shared" si="62"/>
        <v>1</v>
      </c>
      <c r="N168" s="44">
        <f t="shared" si="62"/>
        <v>1</v>
      </c>
      <c r="O168" s="44">
        <f t="shared" si="62"/>
        <v>1</v>
      </c>
      <c r="P168" s="44">
        <f t="shared" si="62"/>
        <v>1</v>
      </c>
      <c r="Q168" s="44">
        <f t="shared" si="62"/>
        <v>1</v>
      </c>
      <c r="R168" s="44">
        <f t="shared" si="62"/>
        <v>1</v>
      </c>
      <c r="S168" s="44">
        <f t="shared" si="63"/>
        <v>1</v>
      </c>
      <c r="T168" s="44">
        <f t="shared" si="63"/>
        <v>1</v>
      </c>
      <c r="U168" s="44">
        <f t="shared" si="63"/>
        <v>1</v>
      </c>
      <c r="V168" s="44">
        <f t="shared" si="63"/>
        <v>1</v>
      </c>
      <c r="W168" s="44">
        <f t="shared" si="63"/>
        <v>1</v>
      </c>
      <c r="X168" s="44">
        <f t="shared" si="63"/>
        <v>1</v>
      </c>
      <c r="Y168" s="44">
        <f t="shared" si="63"/>
        <v>1</v>
      </c>
      <c r="Z168" s="44">
        <f t="shared" si="63"/>
        <v>1</v>
      </c>
      <c r="AA168" s="44">
        <f t="shared" si="63"/>
        <v>1</v>
      </c>
      <c r="AB168" s="44">
        <f t="shared" si="63"/>
        <v>1</v>
      </c>
      <c r="AC168" s="44">
        <f t="shared" si="63"/>
        <v>1</v>
      </c>
      <c r="AD168" s="44">
        <f t="shared" si="63"/>
        <v>1</v>
      </c>
      <c r="AE168" s="44">
        <f t="shared" si="63"/>
        <v>1</v>
      </c>
      <c r="AF168" s="44">
        <f t="shared" si="63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4">AF170</f>
        <v>1</v>
      </c>
      <c r="C170" s="55">
        <v>1</v>
      </c>
      <c r="D170" s="44">
        <f t="shared" ref="D170:S177" si="65">C170</f>
        <v>1</v>
      </c>
      <c r="E170" s="44">
        <f t="shared" si="65"/>
        <v>1</v>
      </c>
      <c r="F170" s="44">
        <f t="shared" si="65"/>
        <v>1</v>
      </c>
      <c r="G170" s="44">
        <f t="shared" si="65"/>
        <v>1</v>
      </c>
      <c r="H170" s="44">
        <f t="shared" si="65"/>
        <v>1</v>
      </c>
      <c r="I170" s="44">
        <f t="shared" si="65"/>
        <v>1</v>
      </c>
      <c r="J170" s="44">
        <f t="shared" si="65"/>
        <v>1</v>
      </c>
      <c r="K170" s="44">
        <f t="shared" si="65"/>
        <v>1</v>
      </c>
      <c r="L170" s="44">
        <f t="shared" si="65"/>
        <v>1</v>
      </c>
      <c r="M170" s="44">
        <f t="shared" si="65"/>
        <v>1</v>
      </c>
      <c r="N170" s="44">
        <f t="shared" si="65"/>
        <v>1</v>
      </c>
      <c r="O170" s="44">
        <f t="shared" si="65"/>
        <v>1</v>
      </c>
      <c r="P170" s="44">
        <f t="shared" si="65"/>
        <v>1</v>
      </c>
      <c r="Q170" s="44">
        <f t="shared" si="65"/>
        <v>1</v>
      </c>
      <c r="R170" s="44">
        <f t="shared" si="65"/>
        <v>1</v>
      </c>
      <c r="S170" s="44">
        <f t="shared" si="65"/>
        <v>1</v>
      </c>
      <c r="T170" s="44">
        <f t="shared" ref="S170:AF177" si="66">S170</f>
        <v>1</v>
      </c>
      <c r="U170" s="44">
        <f t="shared" si="66"/>
        <v>1</v>
      </c>
      <c r="V170" s="44">
        <f t="shared" si="66"/>
        <v>1</v>
      </c>
      <c r="W170" s="44">
        <f t="shared" si="66"/>
        <v>1</v>
      </c>
      <c r="X170" s="44">
        <f t="shared" si="66"/>
        <v>1</v>
      </c>
      <c r="Y170" s="44">
        <f t="shared" si="66"/>
        <v>1</v>
      </c>
      <c r="Z170" s="44">
        <f t="shared" si="66"/>
        <v>1</v>
      </c>
      <c r="AA170" s="44">
        <f t="shared" si="66"/>
        <v>1</v>
      </c>
      <c r="AB170" s="44">
        <f t="shared" si="66"/>
        <v>1</v>
      </c>
      <c r="AC170" s="44">
        <f t="shared" si="66"/>
        <v>1</v>
      </c>
      <c r="AD170" s="44">
        <f t="shared" si="66"/>
        <v>1</v>
      </c>
      <c r="AE170" s="44">
        <f t="shared" si="66"/>
        <v>1</v>
      </c>
      <c r="AF170" s="44">
        <f t="shared" si="66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4"/>
        <v>0.42</v>
      </c>
      <c r="C171" s="55">
        <v>0.42</v>
      </c>
      <c r="D171" s="44">
        <f t="shared" si="65"/>
        <v>0.42</v>
      </c>
      <c r="E171" s="44">
        <f t="shared" si="65"/>
        <v>0.42</v>
      </c>
      <c r="F171" s="44">
        <f t="shared" si="65"/>
        <v>0.42</v>
      </c>
      <c r="G171" s="44">
        <f t="shared" si="65"/>
        <v>0.42</v>
      </c>
      <c r="H171" s="44">
        <f t="shared" si="65"/>
        <v>0.42</v>
      </c>
      <c r="I171" s="44">
        <f t="shared" si="65"/>
        <v>0.42</v>
      </c>
      <c r="J171" s="44">
        <f t="shared" si="65"/>
        <v>0.42</v>
      </c>
      <c r="K171" s="44">
        <f t="shared" si="65"/>
        <v>0.42</v>
      </c>
      <c r="L171" s="44">
        <f t="shared" si="65"/>
        <v>0.42</v>
      </c>
      <c r="M171" s="44">
        <f t="shared" si="65"/>
        <v>0.42</v>
      </c>
      <c r="N171" s="44">
        <f t="shared" si="65"/>
        <v>0.42</v>
      </c>
      <c r="O171" s="44">
        <f t="shared" si="65"/>
        <v>0.42</v>
      </c>
      <c r="P171" s="44">
        <f t="shared" si="65"/>
        <v>0.42</v>
      </c>
      <c r="Q171" s="44">
        <f t="shared" si="65"/>
        <v>0.42</v>
      </c>
      <c r="R171" s="44">
        <f t="shared" si="65"/>
        <v>0.42</v>
      </c>
      <c r="S171" s="44">
        <f t="shared" si="66"/>
        <v>0.42</v>
      </c>
      <c r="T171" s="44">
        <f t="shared" si="66"/>
        <v>0.42</v>
      </c>
      <c r="U171" s="44">
        <f t="shared" si="66"/>
        <v>0.42</v>
      </c>
      <c r="V171" s="44">
        <f t="shared" si="66"/>
        <v>0.42</v>
      </c>
      <c r="W171" s="44">
        <f t="shared" si="66"/>
        <v>0.42</v>
      </c>
      <c r="X171" s="44">
        <f t="shared" si="66"/>
        <v>0.42</v>
      </c>
      <c r="Y171" s="44">
        <f t="shared" si="66"/>
        <v>0.42</v>
      </c>
      <c r="Z171" s="44">
        <f t="shared" si="66"/>
        <v>0.42</v>
      </c>
      <c r="AA171" s="44">
        <f t="shared" si="66"/>
        <v>0.42</v>
      </c>
      <c r="AB171" s="44">
        <f t="shared" si="66"/>
        <v>0.42</v>
      </c>
      <c r="AC171" s="44">
        <f t="shared" si="66"/>
        <v>0.42</v>
      </c>
      <c r="AD171" s="44">
        <f t="shared" si="66"/>
        <v>0.42</v>
      </c>
      <c r="AE171" s="44">
        <f t="shared" si="66"/>
        <v>0.42</v>
      </c>
      <c r="AF171" s="44">
        <f t="shared" si="66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4"/>
        <v>0.46</v>
      </c>
      <c r="C172" s="55">
        <v>0.46</v>
      </c>
      <c r="D172" s="44">
        <f t="shared" si="65"/>
        <v>0.46</v>
      </c>
      <c r="E172" s="44">
        <f t="shared" si="65"/>
        <v>0.46</v>
      </c>
      <c r="F172" s="44">
        <f t="shared" si="65"/>
        <v>0.46</v>
      </c>
      <c r="G172" s="44">
        <f t="shared" si="65"/>
        <v>0.46</v>
      </c>
      <c r="H172" s="44">
        <f t="shared" si="65"/>
        <v>0.46</v>
      </c>
      <c r="I172" s="44">
        <f t="shared" si="65"/>
        <v>0.46</v>
      </c>
      <c r="J172" s="44">
        <f t="shared" si="65"/>
        <v>0.46</v>
      </c>
      <c r="K172" s="44">
        <f t="shared" si="65"/>
        <v>0.46</v>
      </c>
      <c r="L172" s="44">
        <f t="shared" si="65"/>
        <v>0.46</v>
      </c>
      <c r="M172" s="44">
        <f t="shared" si="65"/>
        <v>0.46</v>
      </c>
      <c r="N172" s="44">
        <f t="shared" si="65"/>
        <v>0.46</v>
      </c>
      <c r="O172" s="44">
        <f t="shared" si="65"/>
        <v>0.46</v>
      </c>
      <c r="P172" s="44">
        <f t="shared" si="65"/>
        <v>0.46</v>
      </c>
      <c r="Q172" s="44">
        <f t="shared" si="65"/>
        <v>0.46</v>
      </c>
      <c r="R172" s="44">
        <f t="shared" si="65"/>
        <v>0.46</v>
      </c>
      <c r="S172" s="44">
        <f t="shared" si="66"/>
        <v>0.46</v>
      </c>
      <c r="T172" s="44">
        <f t="shared" si="66"/>
        <v>0.46</v>
      </c>
      <c r="U172" s="44">
        <f t="shared" si="66"/>
        <v>0.46</v>
      </c>
      <c r="V172" s="44">
        <f t="shared" si="66"/>
        <v>0.46</v>
      </c>
      <c r="W172" s="44">
        <f t="shared" si="66"/>
        <v>0.46</v>
      </c>
      <c r="X172" s="44">
        <f t="shared" si="66"/>
        <v>0.46</v>
      </c>
      <c r="Y172" s="44">
        <f t="shared" si="66"/>
        <v>0.46</v>
      </c>
      <c r="Z172" s="44">
        <f t="shared" si="66"/>
        <v>0.46</v>
      </c>
      <c r="AA172" s="44">
        <f t="shared" si="66"/>
        <v>0.46</v>
      </c>
      <c r="AB172" s="44">
        <f t="shared" si="66"/>
        <v>0.46</v>
      </c>
      <c r="AC172" s="44">
        <f t="shared" si="66"/>
        <v>0.46</v>
      </c>
      <c r="AD172" s="44">
        <f t="shared" si="66"/>
        <v>0.46</v>
      </c>
      <c r="AE172" s="44">
        <f t="shared" si="66"/>
        <v>0.46</v>
      </c>
      <c r="AF172" s="44">
        <f t="shared" si="66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4"/>
        <v>0.85</v>
      </c>
      <c r="C173" s="55">
        <v>0.85</v>
      </c>
      <c r="D173" s="44">
        <f t="shared" si="65"/>
        <v>0.85</v>
      </c>
      <c r="E173" s="44">
        <f t="shared" si="65"/>
        <v>0.85</v>
      </c>
      <c r="F173" s="44">
        <f t="shared" si="65"/>
        <v>0.85</v>
      </c>
      <c r="G173" s="44">
        <f t="shared" si="65"/>
        <v>0.85</v>
      </c>
      <c r="H173" s="44">
        <f t="shared" si="65"/>
        <v>0.85</v>
      </c>
      <c r="I173" s="44">
        <f t="shared" si="65"/>
        <v>0.85</v>
      </c>
      <c r="J173" s="44">
        <f t="shared" si="65"/>
        <v>0.85</v>
      </c>
      <c r="K173" s="44">
        <f t="shared" si="65"/>
        <v>0.85</v>
      </c>
      <c r="L173" s="44">
        <f t="shared" si="65"/>
        <v>0.85</v>
      </c>
      <c r="M173" s="44">
        <f t="shared" si="65"/>
        <v>0.85</v>
      </c>
      <c r="N173" s="44">
        <f t="shared" si="65"/>
        <v>0.85</v>
      </c>
      <c r="O173" s="44">
        <f t="shared" si="65"/>
        <v>0.85</v>
      </c>
      <c r="P173" s="44">
        <f t="shared" si="65"/>
        <v>0.85</v>
      </c>
      <c r="Q173" s="44">
        <f t="shared" si="65"/>
        <v>0.85</v>
      </c>
      <c r="R173" s="44">
        <f t="shared" si="65"/>
        <v>0.85</v>
      </c>
      <c r="S173" s="44">
        <f t="shared" si="66"/>
        <v>0.85</v>
      </c>
      <c r="T173" s="44">
        <f t="shared" si="66"/>
        <v>0.85</v>
      </c>
      <c r="U173" s="44">
        <f t="shared" si="66"/>
        <v>0.85</v>
      </c>
      <c r="V173" s="44">
        <f t="shared" si="66"/>
        <v>0.85</v>
      </c>
      <c r="W173" s="44">
        <f t="shared" si="66"/>
        <v>0.85</v>
      </c>
      <c r="X173" s="44">
        <f t="shared" si="66"/>
        <v>0.85</v>
      </c>
      <c r="Y173" s="44">
        <f t="shared" si="66"/>
        <v>0.85</v>
      </c>
      <c r="Z173" s="44">
        <f t="shared" si="66"/>
        <v>0.85</v>
      </c>
      <c r="AA173" s="44">
        <f t="shared" si="66"/>
        <v>0.85</v>
      </c>
      <c r="AB173" s="44">
        <f t="shared" si="66"/>
        <v>0.85</v>
      </c>
      <c r="AC173" s="44">
        <f t="shared" si="66"/>
        <v>0.85</v>
      </c>
      <c r="AD173" s="44">
        <f t="shared" si="66"/>
        <v>0.85</v>
      </c>
      <c r="AE173" s="44">
        <f t="shared" si="66"/>
        <v>0.85</v>
      </c>
      <c r="AF173" s="44">
        <f t="shared" si="66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4"/>
        <v>0.9</v>
      </c>
      <c r="C174" s="55">
        <v>0.9</v>
      </c>
      <c r="D174" s="44">
        <f t="shared" si="65"/>
        <v>0.9</v>
      </c>
      <c r="E174" s="44">
        <f t="shared" si="65"/>
        <v>0.9</v>
      </c>
      <c r="F174" s="44">
        <f t="shared" si="65"/>
        <v>0.9</v>
      </c>
      <c r="G174" s="44">
        <f t="shared" si="65"/>
        <v>0.9</v>
      </c>
      <c r="H174" s="44">
        <f t="shared" si="65"/>
        <v>0.9</v>
      </c>
      <c r="I174" s="44">
        <f t="shared" si="65"/>
        <v>0.9</v>
      </c>
      <c r="J174" s="44">
        <f t="shared" si="65"/>
        <v>0.9</v>
      </c>
      <c r="K174" s="44">
        <f t="shared" si="65"/>
        <v>0.9</v>
      </c>
      <c r="L174" s="44">
        <f t="shared" si="65"/>
        <v>0.9</v>
      </c>
      <c r="M174" s="44">
        <f t="shared" si="65"/>
        <v>0.9</v>
      </c>
      <c r="N174" s="44">
        <f t="shared" si="65"/>
        <v>0.9</v>
      </c>
      <c r="O174" s="44">
        <f t="shared" si="65"/>
        <v>0.9</v>
      </c>
      <c r="P174" s="44">
        <f t="shared" si="65"/>
        <v>0.9</v>
      </c>
      <c r="Q174" s="44">
        <f t="shared" si="65"/>
        <v>0.9</v>
      </c>
      <c r="R174" s="44">
        <f t="shared" si="65"/>
        <v>0.9</v>
      </c>
      <c r="S174" s="44">
        <f t="shared" si="66"/>
        <v>0.9</v>
      </c>
      <c r="T174" s="44">
        <f t="shared" si="66"/>
        <v>0.9</v>
      </c>
      <c r="U174" s="44">
        <f t="shared" si="66"/>
        <v>0.9</v>
      </c>
      <c r="V174" s="44">
        <f t="shared" si="66"/>
        <v>0.9</v>
      </c>
      <c r="W174" s="44">
        <f t="shared" si="66"/>
        <v>0.9</v>
      </c>
      <c r="X174" s="44">
        <f t="shared" si="66"/>
        <v>0.9</v>
      </c>
      <c r="Y174" s="44">
        <f t="shared" si="66"/>
        <v>0.9</v>
      </c>
      <c r="Z174" s="44">
        <f t="shared" si="66"/>
        <v>0.9</v>
      </c>
      <c r="AA174" s="44">
        <f t="shared" si="66"/>
        <v>0.9</v>
      </c>
      <c r="AB174" s="44">
        <f t="shared" si="66"/>
        <v>0.9</v>
      </c>
      <c r="AC174" s="44">
        <f t="shared" si="66"/>
        <v>0.9</v>
      </c>
      <c r="AD174" s="44">
        <f t="shared" si="66"/>
        <v>0.9</v>
      </c>
      <c r="AE174" s="44">
        <f t="shared" si="66"/>
        <v>0.9</v>
      </c>
      <c r="AF174" s="44">
        <f t="shared" si="66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4"/>
        <v>0.44</v>
      </c>
      <c r="C175" s="55">
        <v>0.44</v>
      </c>
      <c r="D175" s="44">
        <f t="shared" si="65"/>
        <v>0.44</v>
      </c>
      <c r="E175" s="44">
        <f t="shared" si="65"/>
        <v>0.44</v>
      </c>
      <c r="F175" s="44">
        <f t="shared" si="65"/>
        <v>0.44</v>
      </c>
      <c r="G175" s="44">
        <f t="shared" si="65"/>
        <v>0.44</v>
      </c>
      <c r="H175" s="44">
        <f t="shared" si="65"/>
        <v>0.44</v>
      </c>
      <c r="I175" s="44">
        <f t="shared" si="65"/>
        <v>0.44</v>
      </c>
      <c r="J175" s="44">
        <f t="shared" si="65"/>
        <v>0.44</v>
      </c>
      <c r="K175" s="44">
        <f t="shared" si="65"/>
        <v>0.44</v>
      </c>
      <c r="L175" s="44">
        <f t="shared" si="65"/>
        <v>0.44</v>
      </c>
      <c r="M175" s="44">
        <f t="shared" si="65"/>
        <v>0.44</v>
      </c>
      <c r="N175" s="44">
        <f t="shared" si="65"/>
        <v>0.44</v>
      </c>
      <c r="O175" s="44">
        <f t="shared" si="65"/>
        <v>0.44</v>
      </c>
      <c r="P175" s="44">
        <f t="shared" si="65"/>
        <v>0.44</v>
      </c>
      <c r="Q175" s="44">
        <f t="shared" si="65"/>
        <v>0.44</v>
      </c>
      <c r="R175" s="44">
        <f t="shared" si="65"/>
        <v>0.44</v>
      </c>
      <c r="S175" s="44">
        <f t="shared" si="66"/>
        <v>0.44</v>
      </c>
      <c r="T175" s="44">
        <f t="shared" si="66"/>
        <v>0.44</v>
      </c>
      <c r="U175" s="44">
        <f t="shared" si="66"/>
        <v>0.44</v>
      </c>
      <c r="V175" s="44">
        <f t="shared" si="66"/>
        <v>0.44</v>
      </c>
      <c r="W175" s="44">
        <f t="shared" si="66"/>
        <v>0.44</v>
      </c>
      <c r="X175" s="44">
        <f t="shared" si="66"/>
        <v>0.44</v>
      </c>
      <c r="Y175" s="44">
        <f t="shared" si="66"/>
        <v>0.44</v>
      </c>
      <c r="Z175" s="44">
        <f t="shared" si="66"/>
        <v>0.44</v>
      </c>
      <c r="AA175" s="44">
        <f t="shared" si="66"/>
        <v>0.44</v>
      </c>
      <c r="AB175" s="44">
        <f t="shared" si="66"/>
        <v>0.44</v>
      </c>
      <c r="AC175" s="44">
        <f t="shared" si="66"/>
        <v>0.44</v>
      </c>
      <c r="AD175" s="44">
        <f t="shared" si="66"/>
        <v>0.44</v>
      </c>
      <c r="AE175" s="44">
        <f t="shared" si="66"/>
        <v>0.44</v>
      </c>
      <c r="AF175" s="44">
        <f t="shared" si="66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4"/>
        <v>2.1</v>
      </c>
      <c r="C176" s="55">
        <v>2.1</v>
      </c>
      <c r="D176" s="44">
        <f t="shared" si="65"/>
        <v>2.1</v>
      </c>
      <c r="E176" s="44">
        <f t="shared" si="65"/>
        <v>2.1</v>
      </c>
      <c r="F176" s="44">
        <f t="shared" si="65"/>
        <v>2.1</v>
      </c>
      <c r="G176" s="44">
        <f t="shared" si="65"/>
        <v>2.1</v>
      </c>
      <c r="H176" s="44">
        <f t="shared" si="65"/>
        <v>2.1</v>
      </c>
      <c r="I176" s="44">
        <f t="shared" si="65"/>
        <v>2.1</v>
      </c>
      <c r="J176" s="44">
        <f t="shared" si="65"/>
        <v>2.1</v>
      </c>
      <c r="K176" s="44">
        <f t="shared" si="65"/>
        <v>2.1</v>
      </c>
      <c r="L176" s="44">
        <f t="shared" si="65"/>
        <v>2.1</v>
      </c>
      <c r="M176" s="44">
        <f t="shared" si="65"/>
        <v>2.1</v>
      </c>
      <c r="N176" s="44">
        <f t="shared" si="65"/>
        <v>2.1</v>
      </c>
      <c r="O176" s="44">
        <f t="shared" si="65"/>
        <v>2.1</v>
      </c>
      <c r="P176" s="44">
        <f t="shared" si="65"/>
        <v>2.1</v>
      </c>
      <c r="Q176" s="44">
        <f t="shared" si="65"/>
        <v>2.1</v>
      </c>
      <c r="R176" s="44">
        <f t="shared" si="65"/>
        <v>2.1</v>
      </c>
      <c r="S176" s="44">
        <f t="shared" si="66"/>
        <v>2.1</v>
      </c>
      <c r="T176" s="44">
        <f t="shared" si="66"/>
        <v>2.1</v>
      </c>
      <c r="U176" s="44">
        <f t="shared" si="66"/>
        <v>2.1</v>
      </c>
      <c r="V176" s="44">
        <f t="shared" si="66"/>
        <v>2.1</v>
      </c>
      <c r="W176" s="44">
        <f t="shared" si="66"/>
        <v>2.1</v>
      </c>
      <c r="X176" s="44">
        <f t="shared" si="66"/>
        <v>2.1</v>
      </c>
      <c r="Y176" s="44">
        <f t="shared" si="66"/>
        <v>2.1</v>
      </c>
      <c r="Z176" s="44">
        <f t="shared" si="66"/>
        <v>2.1</v>
      </c>
      <c r="AA176" s="44">
        <f t="shared" si="66"/>
        <v>2.1</v>
      </c>
      <c r="AB176" s="44">
        <f t="shared" si="66"/>
        <v>2.1</v>
      </c>
      <c r="AC176" s="44">
        <f t="shared" si="66"/>
        <v>2.1</v>
      </c>
      <c r="AD176" s="44">
        <f t="shared" si="66"/>
        <v>2.1</v>
      </c>
      <c r="AE176" s="44">
        <f t="shared" si="66"/>
        <v>2.1</v>
      </c>
      <c r="AF176" s="44">
        <f t="shared" si="66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4"/>
        <v>0.9</v>
      </c>
      <c r="C177" s="55">
        <v>0.9</v>
      </c>
      <c r="D177" s="44">
        <f t="shared" si="65"/>
        <v>0.9</v>
      </c>
      <c r="E177" s="44">
        <f t="shared" si="65"/>
        <v>0.9</v>
      </c>
      <c r="F177" s="44">
        <f t="shared" si="65"/>
        <v>0.9</v>
      </c>
      <c r="G177" s="44">
        <f t="shared" si="65"/>
        <v>0.9</v>
      </c>
      <c r="H177" s="44">
        <f t="shared" si="65"/>
        <v>0.9</v>
      </c>
      <c r="I177" s="44">
        <f t="shared" si="65"/>
        <v>0.9</v>
      </c>
      <c r="J177" s="44">
        <f t="shared" si="65"/>
        <v>0.9</v>
      </c>
      <c r="K177" s="44">
        <f t="shared" si="65"/>
        <v>0.9</v>
      </c>
      <c r="L177" s="44">
        <f t="shared" si="65"/>
        <v>0.9</v>
      </c>
      <c r="M177" s="44">
        <f t="shared" si="65"/>
        <v>0.9</v>
      </c>
      <c r="N177" s="44">
        <f t="shared" si="65"/>
        <v>0.9</v>
      </c>
      <c r="O177" s="44">
        <f t="shared" si="65"/>
        <v>0.9</v>
      </c>
      <c r="P177" s="44">
        <f t="shared" si="65"/>
        <v>0.9</v>
      </c>
      <c r="Q177" s="44">
        <f t="shared" si="65"/>
        <v>0.9</v>
      </c>
      <c r="R177" s="44">
        <f t="shared" si="65"/>
        <v>0.9</v>
      </c>
      <c r="S177" s="44">
        <f t="shared" si="66"/>
        <v>0.9</v>
      </c>
      <c r="T177" s="44">
        <f t="shared" si="66"/>
        <v>0.9</v>
      </c>
      <c r="U177" s="44">
        <f t="shared" si="66"/>
        <v>0.9</v>
      </c>
      <c r="V177" s="44">
        <f t="shared" si="66"/>
        <v>0.9</v>
      </c>
      <c r="W177" s="44">
        <f t="shared" si="66"/>
        <v>0.9</v>
      </c>
      <c r="X177" s="44">
        <f t="shared" si="66"/>
        <v>0.9</v>
      </c>
      <c r="Y177" s="44">
        <f t="shared" si="66"/>
        <v>0.9</v>
      </c>
      <c r="Z177" s="44">
        <f t="shared" si="66"/>
        <v>0.9</v>
      </c>
      <c r="AA177" s="44">
        <f t="shared" si="66"/>
        <v>0.9</v>
      </c>
      <c r="AB177" s="44">
        <f t="shared" si="66"/>
        <v>0.9</v>
      </c>
      <c r="AC177" s="44">
        <f t="shared" si="66"/>
        <v>0.9</v>
      </c>
      <c r="AD177" s="44">
        <f t="shared" si="66"/>
        <v>0.9</v>
      </c>
      <c r="AE177" s="44">
        <f t="shared" si="66"/>
        <v>0.9</v>
      </c>
      <c r="AF177" s="44">
        <f t="shared" si="66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7">AF179</f>
        <v>0.57999999999999996</v>
      </c>
      <c r="C179" s="55">
        <v>0.57999999999999996</v>
      </c>
      <c r="D179" s="44">
        <f t="shared" ref="D179:S191" si="68">C179</f>
        <v>0.57999999999999996</v>
      </c>
      <c r="E179" s="44">
        <f t="shared" si="68"/>
        <v>0.57999999999999996</v>
      </c>
      <c r="F179" s="44">
        <f t="shared" si="68"/>
        <v>0.57999999999999996</v>
      </c>
      <c r="G179" s="44">
        <f t="shared" si="68"/>
        <v>0.57999999999999996</v>
      </c>
      <c r="H179" s="44">
        <f t="shared" si="68"/>
        <v>0.57999999999999996</v>
      </c>
      <c r="I179" s="44">
        <f t="shared" si="68"/>
        <v>0.57999999999999996</v>
      </c>
      <c r="J179" s="44">
        <f t="shared" si="68"/>
        <v>0.57999999999999996</v>
      </c>
      <c r="K179" s="44">
        <f t="shared" si="68"/>
        <v>0.57999999999999996</v>
      </c>
      <c r="L179" s="44">
        <f t="shared" si="68"/>
        <v>0.57999999999999996</v>
      </c>
      <c r="M179" s="44">
        <f t="shared" si="68"/>
        <v>0.57999999999999996</v>
      </c>
      <c r="N179" s="44">
        <f t="shared" si="68"/>
        <v>0.57999999999999996</v>
      </c>
      <c r="O179" s="44">
        <f t="shared" si="68"/>
        <v>0.57999999999999996</v>
      </c>
      <c r="P179" s="44">
        <f t="shared" si="68"/>
        <v>0.57999999999999996</v>
      </c>
      <c r="Q179" s="44">
        <f t="shared" si="68"/>
        <v>0.57999999999999996</v>
      </c>
      <c r="R179" s="44">
        <f t="shared" si="68"/>
        <v>0.57999999999999996</v>
      </c>
      <c r="S179" s="44">
        <f t="shared" si="68"/>
        <v>0.57999999999999996</v>
      </c>
      <c r="T179" s="44">
        <f t="shared" ref="S179:AF191" si="69">S179</f>
        <v>0.57999999999999996</v>
      </c>
      <c r="U179" s="44">
        <f t="shared" si="69"/>
        <v>0.57999999999999996</v>
      </c>
      <c r="V179" s="44">
        <f t="shared" si="69"/>
        <v>0.57999999999999996</v>
      </c>
      <c r="W179" s="44">
        <f t="shared" si="69"/>
        <v>0.57999999999999996</v>
      </c>
      <c r="X179" s="44">
        <f t="shared" si="69"/>
        <v>0.57999999999999996</v>
      </c>
      <c r="Y179" s="44">
        <f t="shared" si="69"/>
        <v>0.57999999999999996</v>
      </c>
      <c r="Z179" s="44">
        <f t="shared" si="69"/>
        <v>0.57999999999999996</v>
      </c>
      <c r="AA179" s="44">
        <f t="shared" si="69"/>
        <v>0.57999999999999996</v>
      </c>
      <c r="AB179" s="44">
        <f t="shared" si="69"/>
        <v>0.57999999999999996</v>
      </c>
      <c r="AC179" s="44">
        <f t="shared" si="69"/>
        <v>0.57999999999999996</v>
      </c>
      <c r="AD179" s="44">
        <f t="shared" si="69"/>
        <v>0.57999999999999996</v>
      </c>
      <c r="AE179" s="44">
        <f t="shared" si="69"/>
        <v>0.57999999999999996</v>
      </c>
      <c r="AF179" s="44">
        <f t="shared" si="69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7"/>
        <v>0.8</v>
      </c>
      <c r="C180" s="55">
        <v>0.8</v>
      </c>
      <c r="D180" s="44">
        <f t="shared" si="68"/>
        <v>0.8</v>
      </c>
      <c r="E180" s="44">
        <f t="shared" si="68"/>
        <v>0.8</v>
      </c>
      <c r="F180" s="44">
        <f t="shared" si="68"/>
        <v>0.8</v>
      </c>
      <c r="G180" s="44">
        <f t="shared" si="68"/>
        <v>0.8</v>
      </c>
      <c r="H180" s="44">
        <f t="shared" si="68"/>
        <v>0.8</v>
      </c>
      <c r="I180" s="44">
        <f t="shared" si="68"/>
        <v>0.8</v>
      </c>
      <c r="J180" s="44">
        <f t="shared" si="68"/>
        <v>0.8</v>
      </c>
      <c r="K180" s="44">
        <f t="shared" si="68"/>
        <v>0.8</v>
      </c>
      <c r="L180" s="44">
        <f t="shared" si="68"/>
        <v>0.8</v>
      </c>
      <c r="M180" s="44">
        <f t="shared" si="68"/>
        <v>0.8</v>
      </c>
      <c r="N180" s="44">
        <f t="shared" si="68"/>
        <v>0.8</v>
      </c>
      <c r="O180" s="44">
        <f t="shared" si="68"/>
        <v>0.8</v>
      </c>
      <c r="P180" s="44">
        <f t="shared" si="68"/>
        <v>0.8</v>
      </c>
      <c r="Q180" s="44">
        <f t="shared" si="68"/>
        <v>0.8</v>
      </c>
      <c r="R180" s="44">
        <f t="shared" si="68"/>
        <v>0.8</v>
      </c>
      <c r="S180" s="44">
        <f t="shared" si="68"/>
        <v>0.8</v>
      </c>
      <c r="T180" s="44">
        <f t="shared" si="69"/>
        <v>0.8</v>
      </c>
      <c r="U180" s="44">
        <f t="shared" si="69"/>
        <v>0.8</v>
      </c>
      <c r="V180" s="44">
        <f t="shared" si="69"/>
        <v>0.8</v>
      </c>
      <c r="W180" s="44">
        <f t="shared" si="69"/>
        <v>0.8</v>
      </c>
      <c r="X180" s="44">
        <f t="shared" si="69"/>
        <v>0.8</v>
      </c>
      <c r="Y180" s="44">
        <f t="shared" si="69"/>
        <v>0.8</v>
      </c>
      <c r="Z180" s="44">
        <f t="shared" si="69"/>
        <v>0.8</v>
      </c>
      <c r="AA180" s="44">
        <f t="shared" si="69"/>
        <v>0.8</v>
      </c>
      <c r="AB180" s="44">
        <f t="shared" si="69"/>
        <v>0.8</v>
      </c>
      <c r="AC180" s="44">
        <f t="shared" si="69"/>
        <v>0.8</v>
      </c>
      <c r="AD180" s="44">
        <f t="shared" si="69"/>
        <v>0.8</v>
      </c>
      <c r="AE180" s="44">
        <f t="shared" si="69"/>
        <v>0.8</v>
      </c>
      <c r="AF180" s="44">
        <f t="shared" si="69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7"/>
        <v>0</v>
      </c>
      <c r="C181" s="55">
        <v>0</v>
      </c>
      <c r="D181" s="44">
        <f t="shared" si="68"/>
        <v>0</v>
      </c>
      <c r="E181" s="44">
        <f t="shared" si="68"/>
        <v>0</v>
      </c>
      <c r="F181" s="44">
        <f t="shared" si="68"/>
        <v>0</v>
      </c>
      <c r="G181" s="44">
        <f t="shared" si="68"/>
        <v>0</v>
      </c>
      <c r="H181" s="44">
        <f t="shared" si="68"/>
        <v>0</v>
      </c>
      <c r="I181" s="44">
        <f t="shared" si="68"/>
        <v>0</v>
      </c>
      <c r="J181" s="44">
        <f t="shared" si="68"/>
        <v>0</v>
      </c>
      <c r="K181" s="44">
        <f t="shared" si="68"/>
        <v>0</v>
      </c>
      <c r="L181" s="44">
        <f t="shared" si="68"/>
        <v>0</v>
      </c>
      <c r="M181" s="44">
        <f t="shared" si="68"/>
        <v>0</v>
      </c>
      <c r="N181" s="44">
        <f t="shared" si="68"/>
        <v>0</v>
      </c>
      <c r="O181" s="44">
        <f t="shared" si="68"/>
        <v>0</v>
      </c>
      <c r="P181" s="44">
        <f t="shared" si="68"/>
        <v>0</v>
      </c>
      <c r="Q181" s="44">
        <f t="shared" si="68"/>
        <v>0</v>
      </c>
      <c r="R181" s="44">
        <f t="shared" si="68"/>
        <v>0</v>
      </c>
      <c r="S181" s="44">
        <f t="shared" si="68"/>
        <v>0</v>
      </c>
      <c r="T181" s="44">
        <f t="shared" si="69"/>
        <v>0</v>
      </c>
      <c r="U181" s="44">
        <f t="shared" si="69"/>
        <v>0</v>
      </c>
      <c r="V181" s="44">
        <f t="shared" si="69"/>
        <v>0</v>
      </c>
      <c r="W181" s="44">
        <f t="shared" si="69"/>
        <v>0</v>
      </c>
      <c r="X181" s="44">
        <f t="shared" si="69"/>
        <v>0</v>
      </c>
      <c r="Y181" s="44">
        <f t="shared" si="69"/>
        <v>0</v>
      </c>
      <c r="Z181" s="44">
        <f t="shared" si="69"/>
        <v>0</v>
      </c>
      <c r="AA181" s="44">
        <f t="shared" si="69"/>
        <v>0</v>
      </c>
      <c r="AB181" s="44">
        <f t="shared" si="69"/>
        <v>0</v>
      </c>
      <c r="AC181" s="44">
        <f t="shared" si="69"/>
        <v>0</v>
      </c>
      <c r="AD181" s="44">
        <f t="shared" si="69"/>
        <v>0</v>
      </c>
      <c r="AE181" s="44">
        <f t="shared" si="69"/>
        <v>0</v>
      </c>
      <c r="AF181" s="44">
        <f t="shared" si="69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7"/>
        <v>0.6</v>
      </c>
      <c r="C182" s="55">
        <v>0.6</v>
      </c>
      <c r="D182" s="44">
        <f t="shared" si="68"/>
        <v>0.6</v>
      </c>
      <c r="E182" s="44">
        <f t="shared" si="68"/>
        <v>0.6</v>
      </c>
      <c r="F182" s="44">
        <f t="shared" si="68"/>
        <v>0.6</v>
      </c>
      <c r="G182" s="44">
        <f t="shared" si="68"/>
        <v>0.6</v>
      </c>
      <c r="H182" s="44">
        <f t="shared" si="68"/>
        <v>0.6</v>
      </c>
      <c r="I182" s="44">
        <f t="shared" si="68"/>
        <v>0.6</v>
      </c>
      <c r="J182" s="44">
        <f t="shared" si="68"/>
        <v>0.6</v>
      </c>
      <c r="K182" s="44">
        <f t="shared" si="68"/>
        <v>0.6</v>
      </c>
      <c r="L182" s="44">
        <f t="shared" si="68"/>
        <v>0.6</v>
      </c>
      <c r="M182" s="44">
        <f t="shared" si="68"/>
        <v>0.6</v>
      </c>
      <c r="N182" s="44">
        <f t="shared" si="68"/>
        <v>0.6</v>
      </c>
      <c r="O182" s="44">
        <f t="shared" si="68"/>
        <v>0.6</v>
      </c>
      <c r="P182" s="44">
        <f t="shared" si="68"/>
        <v>0.6</v>
      </c>
      <c r="Q182" s="44">
        <f t="shared" si="68"/>
        <v>0.6</v>
      </c>
      <c r="R182" s="44">
        <f t="shared" si="68"/>
        <v>0.6</v>
      </c>
      <c r="S182" s="44">
        <f t="shared" si="68"/>
        <v>0.6</v>
      </c>
      <c r="T182" s="44">
        <f t="shared" si="69"/>
        <v>0.6</v>
      </c>
      <c r="U182" s="44">
        <f t="shared" si="69"/>
        <v>0.6</v>
      </c>
      <c r="V182" s="44">
        <f t="shared" si="69"/>
        <v>0.6</v>
      </c>
      <c r="W182" s="44">
        <f t="shared" si="69"/>
        <v>0.6</v>
      </c>
      <c r="X182" s="44">
        <f t="shared" si="69"/>
        <v>0.6</v>
      </c>
      <c r="Y182" s="44">
        <f t="shared" si="69"/>
        <v>0.6</v>
      </c>
      <c r="Z182" s="44">
        <f t="shared" si="69"/>
        <v>0.6</v>
      </c>
      <c r="AA182" s="44">
        <f t="shared" si="69"/>
        <v>0.6</v>
      </c>
      <c r="AB182" s="44">
        <f t="shared" si="69"/>
        <v>0.6</v>
      </c>
      <c r="AC182" s="44">
        <f t="shared" si="69"/>
        <v>0.6</v>
      </c>
      <c r="AD182" s="44">
        <f t="shared" si="69"/>
        <v>0.6</v>
      </c>
      <c r="AE182" s="44">
        <f t="shared" si="69"/>
        <v>0.6</v>
      </c>
      <c r="AF182" s="44">
        <f t="shared" si="69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7"/>
        <v>0.6</v>
      </c>
      <c r="C183" s="55">
        <v>0.6</v>
      </c>
      <c r="D183" s="44">
        <f t="shared" si="68"/>
        <v>0.6</v>
      </c>
      <c r="E183" s="44">
        <f t="shared" si="68"/>
        <v>0.6</v>
      </c>
      <c r="F183" s="44">
        <f t="shared" si="68"/>
        <v>0.6</v>
      </c>
      <c r="G183" s="44">
        <f t="shared" si="68"/>
        <v>0.6</v>
      </c>
      <c r="H183" s="44">
        <f t="shared" si="68"/>
        <v>0.6</v>
      </c>
      <c r="I183" s="44">
        <f t="shared" si="68"/>
        <v>0.6</v>
      </c>
      <c r="J183" s="44">
        <f t="shared" si="68"/>
        <v>0.6</v>
      </c>
      <c r="K183" s="44">
        <f t="shared" si="68"/>
        <v>0.6</v>
      </c>
      <c r="L183" s="44">
        <f t="shared" si="68"/>
        <v>0.6</v>
      </c>
      <c r="M183" s="44">
        <f t="shared" si="68"/>
        <v>0.6</v>
      </c>
      <c r="N183" s="44">
        <f t="shared" si="68"/>
        <v>0.6</v>
      </c>
      <c r="O183" s="44">
        <f t="shared" si="68"/>
        <v>0.6</v>
      </c>
      <c r="P183" s="44">
        <f t="shared" si="68"/>
        <v>0.6</v>
      </c>
      <c r="Q183" s="44">
        <f t="shared" si="68"/>
        <v>0.6</v>
      </c>
      <c r="R183" s="44">
        <f t="shared" si="68"/>
        <v>0.6</v>
      </c>
      <c r="S183" s="44">
        <f t="shared" si="68"/>
        <v>0.6</v>
      </c>
      <c r="T183" s="44">
        <f t="shared" si="69"/>
        <v>0.6</v>
      </c>
      <c r="U183" s="44">
        <f t="shared" si="69"/>
        <v>0.6</v>
      </c>
      <c r="V183" s="44">
        <f t="shared" si="69"/>
        <v>0.6</v>
      </c>
      <c r="W183" s="44">
        <f t="shared" si="69"/>
        <v>0.6</v>
      </c>
      <c r="X183" s="44">
        <f t="shared" si="69"/>
        <v>0.6</v>
      </c>
      <c r="Y183" s="44">
        <f t="shared" si="69"/>
        <v>0.6</v>
      </c>
      <c r="Z183" s="44">
        <f t="shared" si="69"/>
        <v>0.6</v>
      </c>
      <c r="AA183" s="44">
        <f t="shared" si="69"/>
        <v>0.6</v>
      </c>
      <c r="AB183" s="44">
        <f t="shared" si="69"/>
        <v>0.6</v>
      </c>
      <c r="AC183" s="44">
        <f t="shared" si="69"/>
        <v>0.6</v>
      </c>
      <c r="AD183" s="44">
        <f t="shared" si="69"/>
        <v>0.6</v>
      </c>
      <c r="AE183" s="44">
        <f t="shared" si="69"/>
        <v>0.6</v>
      </c>
      <c r="AF183" s="44">
        <f t="shared" si="69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7"/>
        <v>0.35</v>
      </c>
      <c r="C184" s="55">
        <v>0.35</v>
      </c>
      <c r="D184" s="44">
        <f t="shared" si="68"/>
        <v>0.35</v>
      </c>
      <c r="E184" s="44">
        <f t="shared" si="68"/>
        <v>0.35</v>
      </c>
      <c r="F184" s="44">
        <f t="shared" si="68"/>
        <v>0.35</v>
      </c>
      <c r="G184" s="44">
        <f t="shared" si="68"/>
        <v>0.35</v>
      </c>
      <c r="H184" s="44">
        <f t="shared" si="68"/>
        <v>0.35</v>
      </c>
      <c r="I184" s="44">
        <f t="shared" si="68"/>
        <v>0.35</v>
      </c>
      <c r="J184" s="44">
        <f t="shared" si="68"/>
        <v>0.35</v>
      </c>
      <c r="K184" s="44">
        <f t="shared" si="68"/>
        <v>0.35</v>
      </c>
      <c r="L184" s="44">
        <f t="shared" si="68"/>
        <v>0.35</v>
      </c>
      <c r="M184" s="44">
        <f t="shared" si="68"/>
        <v>0.35</v>
      </c>
      <c r="N184" s="44">
        <f t="shared" si="68"/>
        <v>0.35</v>
      </c>
      <c r="O184" s="44">
        <f t="shared" si="68"/>
        <v>0.35</v>
      </c>
      <c r="P184" s="44">
        <f t="shared" si="68"/>
        <v>0.35</v>
      </c>
      <c r="Q184" s="44">
        <f t="shared" si="68"/>
        <v>0.35</v>
      </c>
      <c r="R184" s="44">
        <f t="shared" si="68"/>
        <v>0.35</v>
      </c>
      <c r="S184" s="44">
        <f t="shared" si="68"/>
        <v>0.35</v>
      </c>
      <c r="T184" s="44">
        <f t="shared" si="69"/>
        <v>0.35</v>
      </c>
      <c r="U184" s="44">
        <f t="shared" si="69"/>
        <v>0.35</v>
      </c>
      <c r="V184" s="44">
        <f t="shared" si="69"/>
        <v>0.35</v>
      </c>
      <c r="W184" s="44">
        <f t="shared" si="69"/>
        <v>0.35</v>
      </c>
      <c r="X184" s="44">
        <f t="shared" si="69"/>
        <v>0.35</v>
      </c>
      <c r="Y184" s="44">
        <f t="shared" si="69"/>
        <v>0.35</v>
      </c>
      <c r="Z184" s="44">
        <f t="shared" si="69"/>
        <v>0.35</v>
      </c>
      <c r="AA184" s="44">
        <f t="shared" si="69"/>
        <v>0.35</v>
      </c>
      <c r="AB184" s="44">
        <f t="shared" si="69"/>
        <v>0.35</v>
      </c>
      <c r="AC184" s="44">
        <f t="shared" si="69"/>
        <v>0.35</v>
      </c>
      <c r="AD184" s="44">
        <f t="shared" si="69"/>
        <v>0.35</v>
      </c>
      <c r="AE184" s="44">
        <f t="shared" si="69"/>
        <v>0.35</v>
      </c>
      <c r="AF184" s="44">
        <f t="shared" si="69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7"/>
        <v>0.28999999999999998</v>
      </c>
      <c r="C185" s="55">
        <v>0.28999999999999998</v>
      </c>
      <c r="D185" s="44">
        <f t="shared" si="68"/>
        <v>0.28999999999999998</v>
      </c>
      <c r="E185" s="44">
        <f t="shared" si="68"/>
        <v>0.28999999999999998</v>
      </c>
      <c r="F185" s="44">
        <f t="shared" si="68"/>
        <v>0.28999999999999998</v>
      </c>
      <c r="G185" s="44">
        <f t="shared" si="68"/>
        <v>0.28999999999999998</v>
      </c>
      <c r="H185" s="44">
        <f t="shared" si="68"/>
        <v>0.28999999999999998</v>
      </c>
      <c r="I185" s="44">
        <f t="shared" si="68"/>
        <v>0.28999999999999998</v>
      </c>
      <c r="J185" s="44">
        <f t="shared" si="68"/>
        <v>0.28999999999999998</v>
      </c>
      <c r="K185" s="44">
        <f t="shared" si="68"/>
        <v>0.28999999999999998</v>
      </c>
      <c r="L185" s="44">
        <f t="shared" si="68"/>
        <v>0.28999999999999998</v>
      </c>
      <c r="M185" s="44">
        <f t="shared" si="68"/>
        <v>0.28999999999999998</v>
      </c>
      <c r="N185" s="44">
        <f t="shared" si="68"/>
        <v>0.28999999999999998</v>
      </c>
      <c r="O185" s="44">
        <f t="shared" si="68"/>
        <v>0.28999999999999998</v>
      </c>
      <c r="P185" s="44">
        <f t="shared" si="68"/>
        <v>0.28999999999999998</v>
      </c>
      <c r="Q185" s="44">
        <f t="shared" si="68"/>
        <v>0.28999999999999998</v>
      </c>
      <c r="R185" s="44">
        <f t="shared" si="68"/>
        <v>0.28999999999999998</v>
      </c>
      <c r="S185" s="44">
        <f t="shared" si="68"/>
        <v>0.28999999999999998</v>
      </c>
      <c r="T185" s="44">
        <f t="shared" si="69"/>
        <v>0.28999999999999998</v>
      </c>
      <c r="U185" s="44">
        <f t="shared" si="69"/>
        <v>0.28999999999999998</v>
      </c>
      <c r="V185" s="44">
        <f t="shared" si="69"/>
        <v>0.28999999999999998</v>
      </c>
      <c r="W185" s="44">
        <f t="shared" si="69"/>
        <v>0.28999999999999998</v>
      </c>
      <c r="X185" s="44">
        <f t="shared" si="69"/>
        <v>0.28999999999999998</v>
      </c>
      <c r="Y185" s="44">
        <f t="shared" si="69"/>
        <v>0.28999999999999998</v>
      </c>
      <c r="Z185" s="44">
        <f t="shared" si="69"/>
        <v>0.28999999999999998</v>
      </c>
      <c r="AA185" s="44">
        <f t="shared" si="69"/>
        <v>0.28999999999999998</v>
      </c>
      <c r="AB185" s="44">
        <f t="shared" si="69"/>
        <v>0.28999999999999998</v>
      </c>
      <c r="AC185" s="44">
        <f t="shared" si="69"/>
        <v>0.28999999999999998</v>
      </c>
      <c r="AD185" s="44">
        <f t="shared" si="69"/>
        <v>0.28999999999999998</v>
      </c>
      <c r="AE185" s="44">
        <f t="shared" si="69"/>
        <v>0.28999999999999998</v>
      </c>
      <c r="AF185" s="44">
        <f t="shared" si="69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7"/>
        <v>0.06</v>
      </c>
      <c r="C186" s="55">
        <v>0.06</v>
      </c>
      <c r="D186" s="44">
        <f t="shared" si="68"/>
        <v>0.06</v>
      </c>
      <c r="E186" s="44">
        <f t="shared" si="68"/>
        <v>0.06</v>
      </c>
      <c r="F186" s="44">
        <f t="shared" si="68"/>
        <v>0.06</v>
      </c>
      <c r="G186" s="44">
        <f t="shared" si="68"/>
        <v>0.06</v>
      </c>
      <c r="H186" s="44">
        <f t="shared" si="68"/>
        <v>0.06</v>
      </c>
      <c r="I186" s="44">
        <f t="shared" si="68"/>
        <v>0.06</v>
      </c>
      <c r="J186" s="44">
        <f t="shared" si="68"/>
        <v>0.06</v>
      </c>
      <c r="K186" s="44">
        <f t="shared" si="68"/>
        <v>0.06</v>
      </c>
      <c r="L186" s="44">
        <f t="shared" si="68"/>
        <v>0.06</v>
      </c>
      <c r="M186" s="44">
        <f t="shared" si="68"/>
        <v>0.06</v>
      </c>
      <c r="N186" s="44">
        <f t="shared" si="68"/>
        <v>0.06</v>
      </c>
      <c r="O186" s="44">
        <f t="shared" si="68"/>
        <v>0.06</v>
      </c>
      <c r="P186" s="44">
        <f t="shared" si="68"/>
        <v>0.06</v>
      </c>
      <c r="Q186" s="44">
        <f t="shared" si="68"/>
        <v>0.06</v>
      </c>
      <c r="R186" s="44">
        <f t="shared" si="68"/>
        <v>0.06</v>
      </c>
      <c r="S186" s="44">
        <f t="shared" si="68"/>
        <v>0.06</v>
      </c>
      <c r="T186" s="44">
        <f t="shared" si="69"/>
        <v>0.06</v>
      </c>
      <c r="U186" s="44">
        <f t="shared" si="69"/>
        <v>0.06</v>
      </c>
      <c r="V186" s="44">
        <f t="shared" si="69"/>
        <v>0.06</v>
      </c>
      <c r="W186" s="44">
        <f t="shared" si="69"/>
        <v>0.06</v>
      </c>
      <c r="X186" s="44">
        <f t="shared" si="69"/>
        <v>0.06</v>
      </c>
      <c r="Y186" s="44">
        <f t="shared" si="69"/>
        <v>0.06</v>
      </c>
      <c r="Z186" s="44">
        <f t="shared" si="69"/>
        <v>0.06</v>
      </c>
      <c r="AA186" s="44">
        <f t="shared" si="69"/>
        <v>0.06</v>
      </c>
      <c r="AB186" s="44">
        <f t="shared" si="69"/>
        <v>0.06</v>
      </c>
      <c r="AC186" s="44">
        <f t="shared" si="69"/>
        <v>0.06</v>
      </c>
      <c r="AD186" s="44">
        <f t="shared" si="69"/>
        <v>0.06</v>
      </c>
      <c r="AE186" s="44">
        <f t="shared" si="69"/>
        <v>0.06</v>
      </c>
      <c r="AF186" s="44">
        <f t="shared" si="69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7"/>
        <v>0.11</v>
      </c>
      <c r="C187" s="55">
        <v>0.11</v>
      </c>
      <c r="D187" s="44">
        <f t="shared" si="68"/>
        <v>0.11</v>
      </c>
      <c r="E187" s="44">
        <f t="shared" si="68"/>
        <v>0.11</v>
      </c>
      <c r="F187" s="44">
        <f t="shared" si="68"/>
        <v>0.11</v>
      </c>
      <c r="G187" s="44">
        <f t="shared" si="68"/>
        <v>0.11</v>
      </c>
      <c r="H187" s="44">
        <f t="shared" si="68"/>
        <v>0.11</v>
      </c>
      <c r="I187" s="44">
        <f t="shared" si="68"/>
        <v>0.11</v>
      </c>
      <c r="J187" s="44">
        <f t="shared" si="68"/>
        <v>0.11</v>
      </c>
      <c r="K187" s="44">
        <f t="shared" si="68"/>
        <v>0.11</v>
      </c>
      <c r="L187" s="44">
        <f t="shared" si="68"/>
        <v>0.11</v>
      </c>
      <c r="M187" s="44">
        <f t="shared" si="68"/>
        <v>0.11</v>
      </c>
      <c r="N187" s="44">
        <f t="shared" si="68"/>
        <v>0.11</v>
      </c>
      <c r="O187" s="44">
        <f t="shared" si="68"/>
        <v>0.11</v>
      </c>
      <c r="P187" s="44">
        <f t="shared" si="68"/>
        <v>0.11</v>
      </c>
      <c r="Q187" s="44">
        <f t="shared" si="68"/>
        <v>0.11</v>
      </c>
      <c r="R187" s="44">
        <f t="shared" si="68"/>
        <v>0.11</v>
      </c>
      <c r="S187" s="44">
        <f t="shared" si="68"/>
        <v>0.11</v>
      </c>
      <c r="T187" s="44">
        <f t="shared" si="69"/>
        <v>0.11</v>
      </c>
      <c r="U187" s="44">
        <f t="shared" si="69"/>
        <v>0.11</v>
      </c>
      <c r="V187" s="44">
        <f t="shared" si="69"/>
        <v>0.11</v>
      </c>
      <c r="W187" s="44">
        <f t="shared" si="69"/>
        <v>0.11</v>
      </c>
      <c r="X187" s="44">
        <f t="shared" si="69"/>
        <v>0.11</v>
      </c>
      <c r="Y187" s="44">
        <f t="shared" si="69"/>
        <v>0.11</v>
      </c>
      <c r="Z187" s="44">
        <f t="shared" si="69"/>
        <v>0.11</v>
      </c>
      <c r="AA187" s="44">
        <f t="shared" si="69"/>
        <v>0.11</v>
      </c>
      <c r="AB187" s="44">
        <f t="shared" si="69"/>
        <v>0.11</v>
      </c>
      <c r="AC187" s="44">
        <f t="shared" si="69"/>
        <v>0.11</v>
      </c>
      <c r="AD187" s="44">
        <f t="shared" si="69"/>
        <v>0.11</v>
      </c>
      <c r="AE187" s="44">
        <f t="shared" si="69"/>
        <v>0.11</v>
      </c>
      <c r="AF187" s="44">
        <f t="shared" si="69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7"/>
        <v>0.1</v>
      </c>
      <c r="C188" s="55">
        <v>0.1</v>
      </c>
      <c r="D188" s="44">
        <f t="shared" si="68"/>
        <v>0.1</v>
      </c>
      <c r="E188" s="44">
        <f t="shared" si="68"/>
        <v>0.1</v>
      </c>
      <c r="F188" s="44">
        <f t="shared" si="68"/>
        <v>0.1</v>
      </c>
      <c r="G188" s="44">
        <f t="shared" si="68"/>
        <v>0.1</v>
      </c>
      <c r="H188" s="44">
        <f t="shared" si="68"/>
        <v>0.1</v>
      </c>
      <c r="I188" s="44">
        <f t="shared" si="68"/>
        <v>0.1</v>
      </c>
      <c r="J188" s="44">
        <f t="shared" si="68"/>
        <v>0.1</v>
      </c>
      <c r="K188" s="44">
        <f t="shared" si="68"/>
        <v>0.1</v>
      </c>
      <c r="L188" s="44">
        <f t="shared" si="68"/>
        <v>0.1</v>
      </c>
      <c r="M188" s="44">
        <f t="shared" si="68"/>
        <v>0.1</v>
      </c>
      <c r="N188" s="44">
        <f t="shared" si="68"/>
        <v>0.1</v>
      </c>
      <c r="O188" s="44">
        <f t="shared" si="68"/>
        <v>0.1</v>
      </c>
      <c r="P188" s="44">
        <f t="shared" si="68"/>
        <v>0.1</v>
      </c>
      <c r="Q188" s="44">
        <f t="shared" si="68"/>
        <v>0.1</v>
      </c>
      <c r="R188" s="44">
        <f t="shared" si="68"/>
        <v>0.1</v>
      </c>
      <c r="S188" s="44">
        <f t="shared" si="69"/>
        <v>0.1</v>
      </c>
      <c r="T188" s="44">
        <f t="shared" si="69"/>
        <v>0.1</v>
      </c>
      <c r="U188" s="44">
        <f t="shared" si="69"/>
        <v>0.1</v>
      </c>
      <c r="V188" s="44">
        <f t="shared" si="69"/>
        <v>0.1</v>
      </c>
      <c r="W188" s="44">
        <f t="shared" si="69"/>
        <v>0.1</v>
      </c>
      <c r="X188" s="44">
        <f t="shared" si="69"/>
        <v>0.1</v>
      </c>
      <c r="Y188" s="44">
        <f t="shared" si="69"/>
        <v>0.1</v>
      </c>
      <c r="Z188" s="44">
        <f t="shared" si="69"/>
        <v>0.1</v>
      </c>
      <c r="AA188" s="44">
        <f t="shared" si="69"/>
        <v>0.1</v>
      </c>
      <c r="AB188" s="44">
        <f t="shared" si="69"/>
        <v>0.1</v>
      </c>
      <c r="AC188" s="44">
        <f t="shared" si="69"/>
        <v>0.1</v>
      </c>
      <c r="AD188" s="44">
        <f t="shared" si="69"/>
        <v>0.1</v>
      </c>
      <c r="AE188" s="44">
        <f t="shared" si="69"/>
        <v>0.1</v>
      </c>
      <c r="AF188" s="44">
        <f t="shared" si="69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7"/>
        <v>0.09</v>
      </c>
      <c r="C189" s="55">
        <v>0.09</v>
      </c>
      <c r="D189" s="44">
        <f t="shared" si="68"/>
        <v>0.09</v>
      </c>
      <c r="E189" s="44">
        <f t="shared" si="68"/>
        <v>0.09</v>
      </c>
      <c r="F189" s="44">
        <f t="shared" si="68"/>
        <v>0.09</v>
      </c>
      <c r="G189" s="44">
        <f t="shared" si="68"/>
        <v>0.09</v>
      </c>
      <c r="H189" s="44">
        <f t="shared" si="68"/>
        <v>0.09</v>
      </c>
      <c r="I189" s="44">
        <f t="shared" si="68"/>
        <v>0.09</v>
      </c>
      <c r="J189" s="44">
        <f t="shared" si="68"/>
        <v>0.09</v>
      </c>
      <c r="K189" s="44">
        <f t="shared" si="68"/>
        <v>0.09</v>
      </c>
      <c r="L189" s="44">
        <f t="shared" si="68"/>
        <v>0.09</v>
      </c>
      <c r="M189" s="44">
        <f t="shared" si="68"/>
        <v>0.09</v>
      </c>
      <c r="N189" s="44">
        <f t="shared" si="68"/>
        <v>0.09</v>
      </c>
      <c r="O189" s="44">
        <f t="shared" si="68"/>
        <v>0.09</v>
      </c>
      <c r="P189" s="44">
        <f t="shared" si="68"/>
        <v>0.09</v>
      </c>
      <c r="Q189" s="44">
        <f t="shared" si="68"/>
        <v>0.09</v>
      </c>
      <c r="R189" s="44">
        <f t="shared" si="68"/>
        <v>0.09</v>
      </c>
      <c r="S189" s="44">
        <f t="shared" si="69"/>
        <v>0.09</v>
      </c>
      <c r="T189" s="44">
        <f t="shared" si="69"/>
        <v>0.09</v>
      </c>
      <c r="U189" s="44">
        <f t="shared" si="69"/>
        <v>0.09</v>
      </c>
      <c r="V189" s="44">
        <f t="shared" si="69"/>
        <v>0.09</v>
      </c>
      <c r="W189" s="44">
        <f t="shared" si="69"/>
        <v>0.09</v>
      </c>
      <c r="X189" s="44">
        <f t="shared" si="69"/>
        <v>0.09</v>
      </c>
      <c r="Y189" s="44">
        <f t="shared" si="69"/>
        <v>0.09</v>
      </c>
      <c r="Z189" s="44">
        <f t="shared" si="69"/>
        <v>0.09</v>
      </c>
      <c r="AA189" s="44">
        <f t="shared" si="69"/>
        <v>0.09</v>
      </c>
      <c r="AB189" s="44">
        <f t="shared" si="69"/>
        <v>0.09</v>
      </c>
      <c r="AC189" s="44">
        <f t="shared" si="69"/>
        <v>0.09</v>
      </c>
      <c r="AD189" s="44">
        <f t="shared" si="69"/>
        <v>0.09</v>
      </c>
      <c r="AE189" s="44">
        <f t="shared" si="69"/>
        <v>0.09</v>
      </c>
      <c r="AF189" s="44">
        <f t="shared" si="69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7"/>
        <v>0.04</v>
      </c>
      <c r="C190" s="54">
        <v>0.04</v>
      </c>
      <c r="D190" s="44">
        <f t="shared" si="68"/>
        <v>0.04</v>
      </c>
      <c r="E190" s="44">
        <f t="shared" si="68"/>
        <v>0.04</v>
      </c>
      <c r="F190" s="44">
        <f t="shared" si="68"/>
        <v>0.04</v>
      </c>
      <c r="G190" s="44">
        <f t="shared" si="68"/>
        <v>0.04</v>
      </c>
      <c r="H190" s="44">
        <f t="shared" si="68"/>
        <v>0.04</v>
      </c>
      <c r="I190" s="44">
        <f t="shared" si="68"/>
        <v>0.04</v>
      </c>
      <c r="J190" s="44">
        <f t="shared" si="68"/>
        <v>0.04</v>
      </c>
      <c r="K190" s="44">
        <f t="shared" si="68"/>
        <v>0.04</v>
      </c>
      <c r="L190" s="44">
        <f t="shared" si="68"/>
        <v>0.04</v>
      </c>
      <c r="M190" s="44">
        <f t="shared" si="68"/>
        <v>0.04</v>
      </c>
      <c r="N190" s="44">
        <f t="shared" si="68"/>
        <v>0.04</v>
      </c>
      <c r="O190" s="44">
        <f t="shared" si="68"/>
        <v>0.04</v>
      </c>
      <c r="P190" s="44">
        <f t="shared" si="68"/>
        <v>0.04</v>
      </c>
      <c r="Q190" s="44">
        <f t="shared" si="68"/>
        <v>0.04</v>
      </c>
      <c r="R190" s="44">
        <f t="shared" si="68"/>
        <v>0.04</v>
      </c>
      <c r="S190" s="44">
        <f t="shared" si="69"/>
        <v>0.04</v>
      </c>
      <c r="T190" s="44">
        <f t="shared" si="69"/>
        <v>0.04</v>
      </c>
      <c r="U190" s="44">
        <f t="shared" si="69"/>
        <v>0.04</v>
      </c>
      <c r="V190" s="44">
        <f t="shared" si="69"/>
        <v>0.04</v>
      </c>
      <c r="W190" s="44">
        <f t="shared" si="69"/>
        <v>0.04</v>
      </c>
      <c r="X190" s="44">
        <f t="shared" si="69"/>
        <v>0.04</v>
      </c>
      <c r="Y190" s="44">
        <f t="shared" si="69"/>
        <v>0.04</v>
      </c>
      <c r="Z190" s="44">
        <f t="shared" si="69"/>
        <v>0.04</v>
      </c>
      <c r="AA190" s="44">
        <f t="shared" si="69"/>
        <v>0.04</v>
      </c>
      <c r="AB190" s="44">
        <f t="shared" si="69"/>
        <v>0.04</v>
      </c>
      <c r="AC190" s="44">
        <f t="shared" si="69"/>
        <v>0.04</v>
      </c>
      <c r="AD190" s="44">
        <f t="shared" si="69"/>
        <v>0.04</v>
      </c>
      <c r="AE190" s="44">
        <f t="shared" si="69"/>
        <v>0.04</v>
      </c>
      <c r="AF190" s="44">
        <f t="shared" si="69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7"/>
        <v>2.3E-2</v>
      </c>
      <c r="C191" s="54">
        <v>2.3E-2</v>
      </c>
      <c r="D191" s="44">
        <f>C191</f>
        <v>2.3E-2</v>
      </c>
      <c r="E191" s="44">
        <f t="shared" si="68"/>
        <v>2.3E-2</v>
      </c>
      <c r="F191" s="44">
        <f t="shared" si="68"/>
        <v>2.3E-2</v>
      </c>
      <c r="G191" s="44">
        <f t="shared" si="68"/>
        <v>2.3E-2</v>
      </c>
      <c r="H191" s="44">
        <f t="shared" si="68"/>
        <v>2.3E-2</v>
      </c>
      <c r="I191" s="44">
        <f t="shared" si="68"/>
        <v>2.3E-2</v>
      </c>
      <c r="J191" s="44">
        <f t="shared" si="68"/>
        <v>2.3E-2</v>
      </c>
      <c r="K191" s="44">
        <f t="shared" si="68"/>
        <v>2.3E-2</v>
      </c>
      <c r="L191" s="44">
        <f t="shared" si="68"/>
        <v>2.3E-2</v>
      </c>
      <c r="M191" s="44">
        <f t="shared" si="68"/>
        <v>2.3E-2</v>
      </c>
      <c r="N191" s="44">
        <f t="shared" si="68"/>
        <v>2.3E-2</v>
      </c>
      <c r="O191" s="44">
        <f t="shared" si="68"/>
        <v>2.3E-2</v>
      </c>
      <c r="P191" s="44">
        <f t="shared" si="68"/>
        <v>2.3E-2</v>
      </c>
      <c r="Q191" s="44">
        <f t="shared" si="68"/>
        <v>2.3E-2</v>
      </c>
      <c r="R191" s="44">
        <f t="shared" si="68"/>
        <v>2.3E-2</v>
      </c>
      <c r="S191" s="44">
        <f t="shared" si="69"/>
        <v>2.3E-2</v>
      </c>
      <c r="T191" s="44">
        <f t="shared" si="69"/>
        <v>2.3E-2</v>
      </c>
      <c r="U191" s="44">
        <f t="shared" si="69"/>
        <v>2.3E-2</v>
      </c>
      <c r="V191" s="44">
        <f t="shared" si="69"/>
        <v>2.3E-2</v>
      </c>
      <c r="W191" s="44">
        <f t="shared" si="69"/>
        <v>2.3E-2</v>
      </c>
      <c r="X191" s="44">
        <f t="shared" si="69"/>
        <v>2.3E-2</v>
      </c>
      <c r="Y191" s="44">
        <f t="shared" si="69"/>
        <v>2.3E-2</v>
      </c>
      <c r="Z191" s="44">
        <f t="shared" si="69"/>
        <v>2.3E-2</v>
      </c>
      <c r="AA191" s="44">
        <f t="shared" si="69"/>
        <v>2.3E-2</v>
      </c>
      <c r="AB191" s="44">
        <f t="shared" si="69"/>
        <v>2.3E-2</v>
      </c>
      <c r="AC191" s="44">
        <f t="shared" si="69"/>
        <v>2.3E-2</v>
      </c>
      <c r="AD191" s="44">
        <f t="shared" si="69"/>
        <v>2.3E-2</v>
      </c>
      <c r="AE191" s="44">
        <f t="shared" si="69"/>
        <v>2.3E-2</v>
      </c>
      <c r="AF191" s="44">
        <f t="shared" si="69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70">SUM(C102:C191)</f>
        <v>194.70600000000002</v>
      </c>
      <c r="D192" s="51">
        <f t="shared" si="70"/>
        <v>194.70600000000002</v>
      </c>
      <c r="E192" s="51">
        <f t="shared" si="70"/>
        <v>194.70600000000002</v>
      </c>
      <c r="F192" s="51">
        <f t="shared" si="70"/>
        <v>194.70600000000002</v>
      </c>
      <c r="G192" s="51">
        <f t="shared" si="70"/>
        <v>194.70600000000002</v>
      </c>
      <c r="H192" s="51">
        <f t="shared" si="70"/>
        <v>194.70600000000002</v>
      </c>
      <c r="I192" s="51">
        <f t="shared" si="70"/>
        <v>194.70600000000002</v>
      </c>
      <c r="J192" s="51">
        <f t="shared" si="70"/>
        <v>192.10600000000005</v>
      </c>
      <c r="K192" s="51">
        <f t="shared" si="70"/>
        <v>192.10600000000005</v>
      </c>
      <c r="L192" s="51">
        <f t="shared" si="70"/>
        <v>192.10600000000005</v>
      </c>
      <c r="M192" s="51">
        <f t="shared" si="70"/>
        <v>192.10600000000005</v>
      </c>
      <c r="N192" s="51">
        <f t="shared" si="70"/>
        <v>192.10600000000005</v>
      </c>
      <c r="O192" s="51">
        <f t="shared" si="70"/>
        <v>192.10600000000005</v>
      </c>
      <c r="P192" s="51">
        <f t="shared" si="70"/>
        <v>192.10600000000005</v>
      </c>
      <c r="Q192" s="51">
        <f t="shared" si="70"/>
        <v>192.10600000000005</v>
      </c>
      <c r="R192" s="51">
        <f t="shared" si="70"/>
        <v>192.10600000000005</v>
      </c>
      <c r="S192" s="51">
        <f t="shared" si="70"/>
        <v>192.10600000000005</v>
      </c>
      <c r="T192" s="51">
        <f t="shared" si="70"/>
        <v>192.10600000000005</v>
      </c>
      <c r="U192" s="51">
        <f t="shared" si="70"/>
        <v>192.10600000000005</v>
      </c>
      <c r="V192" s="51">
        <f t="shared" si="70"/>
        <v>192.10600000000005</v>
      </c>
      <c r="W192" s="51">
        <f t="shared" si="70"/>
        <v>192.10600000000005</v>
      </c>
      <c r="X192" s="51">
        <f t="shared" si="70"/>
        <v>192.10600000000005</v>
      </c>
      <c r="Y192" s="51">
        <f t="shared" si="70"/>
        <v>192.10600000000005</v>
      </c>
      <c r="Z192" s="51">
        <f t="shared" si="70"/>
        <v>192.10600000000005</v>
      </c>
      <c r="AA192" s="51">
        <f t="shared" si="70"/>
        <v>192.10600000000005</v>
      </c>
      <c r="AB192" s="51">
        <f t="shared" si="70"/>
        <v>192.10600000000005</v>
      </c>
      <c r="AC192" s="51">
        <f t="shared" si="70"/>
        <v>192.10600000000005</v>
      </c>
      <c r="AD192" s="51">
        <f t="shared" si="70"/>
        <v>192.10600000000005</v>
      </c>
      <c r="AE192" s="51">
        <f t="shared" si="70"/>
        <v>192.10600000000005</v>
      </c>
      <c r="AF192" s="51">
        <f t="shared" si="70"/>
        <v>192.10600000000005</v>
      </c>
      <c r="AG192" s="50">
        <f t="shared" si="70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1">AF194</f>
        <v>0.3</v>
      </c>
      <c r="C194" s="47">
        <v>0.3</v>
      </c>
      <c r="D194" s="47">
        <f t="shared" ref="D194:S199" si="72">C194</f>
        <v>0.3</v>
      </c>
      <c r="E194" s="47">
        <f t="shared" si="72"/>
        <v>0.3</v>
      </c>
      <c r="F194" s="47">
        <f t="shared" si="72"/>
        <v>0.3</v>
      </c>
      <c r="G194" s="47">
        <f t="shared" si="72"/>
        <v>0.3</v>
      </c>
      <c r="H194" s="47">
        <f t="shared" si="72"/>
        <v>0.3</v>
      </c>
      <c r="I194" s="47">
        <f t="shared" si="72"/>
        <v>0.3</v>
      </c>
      <c r="J194" s="47">
        <f t="shared" si="72"/>
        <v>0.3</v>
      </c>
      <c r="K194" s="47">
        <f t="shared" si="72"/>
        <v>0.3</v>
      </c>
      <c r="L194" s="47">
        <f t="shared" si="72"/>
        <v>0.3</v>
      </c>
      <c r="M194" s="47">
        <f t="shared" si="72"/>
        <v>0.3</v>
      </c>
      <c r="N194" s="47">
        <f t="shared" si="72"/>
        <v>0.3</v>
      </c>
      <c r="O194" s="47">
        <f t="shared" si="72"/>
        <v>0.3</v>
      </c>
      <c r="P194" s="47">
        <f t="shared" si="72"/>
        <v>0.3</v>
      </c>
      <c r="Q194" s="47">
        <f t="shared" si="72"/>
        <v>0.3</v>
      </c>
      <c r="R194" s="47">
        <f t="shared" si="72"/>
        <v>0.3</v>
      </c>
      <c r="S194" s="47">
        <f t="shared" si="72"/>
        <v>0.3</v>
      </c>
      <c r="T194" s="47">
        <f t="shared" ref="T194:AF199" si="73">S194</f>
        <v>0.3</v>
      </c>
      <c r="U194" s="47">
        <f t="shared" si="73"/>
        <v>0.3</v>
      </c>
      <c r="V194" s="47">
        <f t="shared" si="73"/>
        <v>0.3</v>
      </c>
      <c r="W194" s="47">
        <f t="shared" si="73"/>
        <v>0.3</v>
      </c>
      <c r="X194" s="47">
        <f t="shared" si="73"/>
        <v>0.3</v>
      </c>
      <c r="Y194" s="47">
        <f t="shared" si="73"/>
        <v>0.3</v>
      </c>
      <c r="Z194" s="47">
        <f t="shared" si="73"/>
        <v>0.3</v>
      </c>
      <c r="AA194" s="47">
        <f t="shared" si="73"/>
        <v>0.3</v>
      </c>
      <c r="AB194" s="47">
        <f t="shared" si="73"/>
        <v>0.3</v>
      </c>
      <c r="AC194" s="47">
        <f t="shared" si="73"/>
        <v>0.3</v>
      </c>
      <c r="AD194" s="47">
        <f t="shared" si="73"/>
        <v>0.3</v>
      </c>
      <c r="AE194" s="47">
        <f t="shared" si="73"/>
        <v>0.3</v>
      </c>
      <c r="AF194" s="47">
        <f t="shared" si="73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1"/>
        <v>0.4</v>
      </c>
      <c r="C195" s="44">
        <v>0.4</v>
      </c>
      <c r="D195" s="44">
        <f t="shared" si="72"/>
        <v>0.4</v>
      </c>
      <c r="E195" s="44">
        <f t="shared" si="72"/>
        <v>0.4</v>
      </c>
      <c r="F195" s="44">
        <f t="shared" si="72"/>
        <v>0.4</v>
      </c>
      <c r="G195" s="44">
        <f t="shared" si="72"/>
        <v>0.4</v>
      </c>
      <c r="H195" s="44">
        <f t="shared" si="72"/>
        <v>0.4</v>
      </c>
      <c r="I195" s="44">
        <f t="shared" si="72"/>
        <v>0.4</v>
      </c>
      <c r="J195" s="44">
        <f t="shared" si="72"/>
        <v>0.4</v>
      </c>
      <c r="K195" s="44">
        <f t="shared" si="72"/>
        <v>0.4</v>
      </c>
      <c r="L195" s="44">
        <f t="shared" si="72"/>
        <v>0.4</v>
      </c>
      <c r="M195" s="44">
        <f t="shared" si="72"/>
        <v>0.4</v>
      </c>
      <c r="N195" s="44">
        <f t="shared" si="72"/>
        <v>0.4</v>
      </c>
      <c r="O195" s="44">
        <f t="shared" si="72"/>
        <v>0.4</v>
      </c>
      <c r="P195" s="44">
        <f t="shared" si="72"/>
        <v>0.4</v>
      </c>
      <c r="Q195" s="44">
        <f t="shared" si="72"/>
        <v>0.4</v>
      </c>
      <c r="R195" s="44">
        <f t="shared" si="72"/>
        <v>0.4</v>
      </c>
      <c r="S195" s="44">
        <f t="shared" si="72"/>
        <v>0.4</v>
      </c>
      <c r="T195" s="44">
        <f t="shared" si="73"/>
        <v>0.4</v>
      </c>
      <c r="U195" s="44">
        <f t="shared" si="73"/>
        <v>0.4</v>
      </c>
      <c r="V195" s="44">
        <f t="shared" si="73"/>
        <v>0.4</v>
      </c>
      <c r="W195" s="44">
        <f>V195</f>
        <v>0.4</v>
      </c>
      <c r="X195" s="44">
        <f>W195</f>
        <v>0.4</v>
      </c>
      <c r="Y195" s="44">
        <f t="shared" si="73"/>
        <v>0.4</v>
      </c>
      <c r="Z195" s="44">
        <f t="shared" si="73"/>
        <v>0.4</v>
      </c>
      <c r="AA195" s="44">
        <f t="shared" si="73"/>
        <v>0.4</v>
      </c>
      <c r="AB195" s="44">
        <f t="shared" si="73"/>
        <v>0.4</v>
      </c>
      <c r="AC195" s="44">
        <f t="shared" si="73"/>
        <v>0.4</v>
      </c>
      <c r="AD195" s="44">
        <f t="shared" si="73"/>
        <v>0.4</v>
      </c>
      <c r="AE195" s="44">
        <f t="shared" si="73"/>
        <v>0.4</v>
      </c>
      <c r="AF195" s="44">
        <f t="shared" si="73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1"/>
        <v>1.5</v>
      </c>
      <c r="C196" s="44">
        <v>1.5</v>
      </c>
      <c r="D196" s="44">
        <f t="shared" si="72"/>
        <v>1.5</v>
      </c>
      <c r="E196" s="44">
        <f t="shared" si="72"/>
        <v>1.5</v>
      </c>
      <c r="F196" s="44">
        <f t="shared" si="72"/>
        <v>1.5</v>
      </c>
      <c r="G196" s="44">
        <f t="shared" si="72"/>
        <v>1.5</v>
      </c>
      <c r="H196" s="44">
        <f t="shared" si="72"/>
        <v>1.5</v>
      </c>
      <c r="I196" s="44">
        <f t="shared" si="72"/>
        <v>1.5</v>
      </c>
      <c r="J196" s="44">
        <f t="shared" si="72"/>
        <v>1.5</v>
      </c>
      <c r="K196" s="44">
        <f t="shared" si="72"/>
        <v>1.5</v>
      </c>
      <c r="L196" s="44">
        <f t="shared" si="72"/>
        <v>1.5</v>
      </c>
      <c r="M196" s="44">
        <f t="shared" si="72"/>
        <v>1.5</v>
      </c>
      <c r="N196" s="44">
        <f t="shared" si="72"/>
        <v>1.5</v>
      </c>
      <c r="O196" s="44">
        <f t="shared" si="72"/>
        <v>1.5</v>
      </c>
      <c r="P196" s="44">
        <f t="shared" si="72"/>
        <v>1.5</v>
      </c>
      <c r="Q196" s="44">
        <f t="shared" si="72"/>
        <v>1.5</v>
      </c>
      <c r="R196" s="44">
        <f t="shared" si="72"/>
        <v>1.5</v>
      </c>
      <c r="S196" s="44">
        <f t="shared" si="72"/>
        <v>1.5</v>
      </c>
      <c r="T196" s="44">
        <f t="shared" si="73"/>
        <v>1.5</v>
      </c>
      <c r="U196" s="44">
        <f t="shared" si="73"/>
        <v>1.5</v>
      </c>
      <c r="V196" s="44">
        <f t="shared" si="73"/>
        <v>1.5</v>
      </c>
      <c r="W196" s="44">
        <f t="shared" si="73"/>
        <v>1.5</v>
      </c>
      <c r="X196" s="44">
        <f t="shared" si="73"/>
        <v>1.5</v>
      </c>
      <c r="Y196" s="44">
        <f t="shared" si="73"/>
        <v>1.5</v>
      </c>
      <c r="Z196" s="44">
        <f t="shared" si="73"/>
        <v>1.5</v>
      </c>
      <c r="AA196" s="44">
        <f t="shared" si="73"/>
        <v>1.5</v>
      </c>
      <c r="AB196" s="44">
        <f t="shared" si="73"/>
        <v>1.5</v>
      </c>
      <c r="AC196" s="44">
        <f t="shared" si="73"/>
        <v>1.5</v>
      </c>
      <c r="AD196" s="44">
        <f t="shared" si="73"/>
        <v>1.5</v>
      </c>
      <c r="AE196" s="44">
        <f t="shared" si="73"/>
        <v>1.5</v>
      </c>
      <c r="AF196" s="44">
        <f t="shared" si="73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1"/>
        <v>0.3</v>
      </c>
      <c r="C197" s="44">
        <v>0.3</v>
      </c>
      <c r="D197" s="44">
        <f t="shared" si="72"/>
        <v>0.3</v>
      </c>
      <c r="E197" s="44">
        <f t="shared" si="72"/>
        <v>0.3</v>
      </c>
      <c r="F197" s="44">
        <f t="shared" si="72"/>
        <v>0.3</v>
      </c>
      <c r="G197" s="44">
        <f t="shared" si="72"/>
        <v>0.3</v>
      </c>
      <c r="H197" s="44">
        <f t="shared" si="72"/>
        <v>0.3</v>
      </c>
      <c r="I197" s="44">
        <f t="shared" si="72"/>
        <v>0.3</v>
      </c>
      <c r="J197" s="44">
        <f t="shared" si="72"/>
        <v>0.3</v>
      </c>
      <c r="K197" s="44">
        <f t="shared" si="72"/>
        <v>0.3</v>
      </c>
      <c r="L197" s="44">
        <f t="shared" si="72"/>
        <v>0.3</v>
      </c>
      <c r="M197" s="44">
        <f t="shared" si="72"/>
        <v>0.3</v>
      </c>
      <c r="N197" s="44">
        <f t="shared" si="72"/>
        <v>0.3</v>
      </c>
      <c r="O197" s="44">
        <f t="shared" si="72"/>
        <v>0.3</v>
      </c>
      <c r="P197" s="44">
        <f t="shared" si="72"/>
        <v>0.3</v>
      </c>
      <c r="Q197" s="44">
        <f t="shared" si="72"/>
        <v>0.3</v>
      </c>
      <c r="R197" s="44">
        <f t="shared" si="72"/>
        <v>0.3</v>
      </c>
      <c r="S197" s="44">
        <f t="shared" si="72"/>
        <v>0.3</v>
      </c>
      <c r="T197" s="44">
        <f t="shared" si="73"/>
        <v>0.3</v>
      </c>
      <c r="U197" s="44">
        <f t="shared" si="73"/>
        <v>0.3</v>
      </c>
      <c r="V197" s="44">
        <f t="shared" si="73"/>
        <v>0.3</v>
      </c>
      <c r="W197" s="44">
        <f t="shared" si="73"/>
        <v>0.3</v>
      </c>
      <c r="X197" s="44">
        <f t="shared" si="73"/>
        <v>0.3</v>
      </c>
      <c r="Y197" s="44">
        <f t="shared" si="73"/>
        <v>0.3</v>
      </c>
      <c r="Z197" s="44">
        <f t="shared" si="73"/>
        <v>0.3</v>
      </c>
      <c r="AA197" s="44">
        <f t="shared" si="73"/>
        <v>0.3</v>
      </c>
      <c r="AB197" s="44">
        <f t="shared" si="73"/>
        <v>0.3</v>
      </c>
      <c r="AC197" s="44">
        <f t="shared" si="73"/>
        <v>0.3</v>
      </c>
      <c r="AD197" s="44">
        <f t="shared" si="73"/>
        <v>0.3</v>
      </c>
      <c r="AE197" s="44">
        <f t="shared" si="73"/>
        <v>0.3</v>
      </c>
      <c r="AF197" s="44">
        <f t="shared" si="73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1"/>
        <v>0.4</v>
      </c>
      <c r="C198" s="44">
        <v>0.4</v>
      </c>
      <c r="D198" s="44">
        <f t="shared" si="72"/>
        <v>0.4</v>
      </c>
      <c r="E198" s="44">
        <f t="shared" si="72"/>
        <v>0.4</v>
      </c>
      <c r="F198" s="44">
        <f t="shared" si="72"/>
        <v>0.4</v>
      </c>
      <c r="G198" s="44">
        <f t="shared" si="72"/>
        <v>0.4</v>
      </c>
      <c r="H198" s="44">
        <f t="shared" si="72"/>
        <v>0.4</v>
      </c>
      <c r="I198" s="44">
        <f t="shared" si="72"/>
        <v>0.4</v>
      </c>
      <c r="J198" s="44">
        <f t="shared" si="72"/>
        <v>0.4</v>
      </c>
      <c r="K198" s="44">
        <f t="shared" si="72"/>
        <v>0.4</v>
      </c>
      <c r="L198" s="44">
        <f t="shared" si="72"/>
        <v>0.4</v>
      </c>
      <c r="M198" s="44">
        <f t="shared" si="72"/>
        <v>0.4</v>
      </c>
      <c r="N198" s="44">
        <f t="shared" si="72"/>
        <v>0.4</v>
      </c>
      <c r="O198" s="44">
        <f t="shared" si="72"/>
        <v>0.4</v>
      </c>
      <c r="P198" s="44">
        <f t="shared" si="72"/>
        <v>0.4</v>
      </c>
      <c r="Q198" s="44">
        <f t="shared" si="72"/>
        <v>0.4</v>
      </c>
      <c r="R198" s="44">
        <f t="shared" si="72"/>
        <v>0.4</v>
      </c>
      <c r="S198" s="44">
        <f t="shared" si="72"/>
        <v>0.4</v>
      </c>
      <c r="T198" s="44">
        <f t="shared" si="73"/>
        <v>0.4</v>
      </c>
      <c r="U198" s="44">
        <f t="shared" si="73"/>
        <v>0.4</v>
      </c>
      <c r="V198" s="44">
        <f t="shared" si="73"/>
        <v>0.4</v>
      </c>
      <c r="W198" s="44">
        <f t="shared" si="73"/>
        <v>0.4</v>
      </c>
      <c r="X198" s="44">
        <f t="shared" si="73"/>
        <v>0.4</v>
      </c>
      <c r="Y198" s="44">
        <f t="shared" si="73"/>
        <v>0.4</v>
      </c>
      <c r="Z198" s="44">
        <f t="shared" si="73"/>
        <v>0.4</v>
      </c>
      <c r="AA198" s="44">
        <f t="shared" si="73"/>
        <v>0.4</v>
      </c>
      <c r="AB198" s="44">
        <f t="shared" si="73"/>
        <v>0.4</v>
      </c>
      <c r="AC198" s="44">
        <f t="shared" si="73"/>
        <v>0.4</v>
      </c>
      <c r="AD198" s="44">
        <f t="shared" si="73"/>
        <v>0.4</v>
      </c>
      <c r="AE198" s="44">
        <f t="shared" si="73"/>
        <v>0.4</v>
      </c>
      <c r="AF198" s="44">
        <f t="shared" si="73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1"/>
        <v>0.64</v>
      </c>
      <c r="C199" s="40">
        <v>0.64</v>
      </c>
      <c r="D199" s="40">
        <f t="shared" si="72"/>
        <v>0.64</v>
      </c>
      <c r="E199" s="40">
        <f t="shared" si="72"/>
        <v>0.64</v>
      </c>
      <c r="F199" s="40">
        <f t="shared" si="72"/>
        <v>0.64</v>
      </c>
      <c r="G199" s="40">
        <f t="shared" si="72"/>
        <v>0.64</v>
      </c>
      <c r="H199" s="40">
        <f t="shared" si="72"/>
        <v>0.64</v>
      </c>
      <c r="I199" s="40">
        <f t="shared" si="72"/>
        <v>0.64</v>
      </c>
      <c r="J199" s="40">
        <f t="shared" si="72"/>
        <v>0.64</v>
      </c>
      <c r="K199" s="40">
        <f t="shared" si="72"/>
        <v>0.64</v>
      </c>
      <c r="L199" s="40">
        <f t="shared" si="72"/>
        <v>0.64</v>
      </c>
      <c r="M199" s="40">
        <f t="shared" si="72"/>
        <v>0.64</v>
      </c>
      <c r="N199" s="40">
        <f t="shared" si="72"/>
        <v>0.64</v>
      </c>
      <c r="O199" s="40">
        <f t="shared" si="72"/>
        <v>0.64</v>
      </c>
      <c r="P199" s="40">
        <f t="shared" si="72"/>
        <v>0.64</v>
      </c>
      <c r="Q199" s="40">
        <f t="shared" si="72"/>
        <v>0.64</v>
      </c>
      <c r="R199" s="40">
        <f t="shared" si="72"/>
        <v>0.64</v>
      </c>
      <c r="S199" s="40">
        <f t="shared" si="72"/>
        <v>0.64</v>
      </c>
      <c r="T199" s="40">
        <f t="shared" si="73"/>
        <v>0.64</v>
      </c>
      <c r="U199" s="40">
        <f t="shared" si="73"/>
        <v>0.64</v>
      </c>
      <c r="V199" s="40">
        <f t="shared" si="73"/>
        <v>0.64</v>
      </c>
      <c r="W199" s="40">
        <f t="shared" si="73"/>
        <v>0.64</v>
      </c>
      <c r="X199" s="40">
        <f t="shared" si="73"/>
        <v>0.64</v>
      </c>
      <c r="Y199" s="40">
        <f t="shared" si="73"/>
        <v>0.64</v>
      </c>
      <c r="Z199" s="40">
        <f t="shared" si="73"/>
        <v>0.64</v>
      </c>
      <c r="AA199" s="40">
        <f t="shared" si="73"/>
        <v>0.64</v>
      </c>
      <c r="AB199" s="40">
        <f t="shared" si="73"/>
        <v>0.64</v>
      </c>
      <c r="AC199" s="40">
        <f t="shared" si="73"/>
        <v>0.64</v>
      </c>
      <c r="AD199" s="40">
        <f t="shared" si="73"/>
        <v>0.64</v>
      </c>
      <c r="AE199" s="40">
        <f t="shared" si="73"/>
        <v>0.64</v>
      </c>
      <c r="AF199" s="40">
        <f t="shared" si="73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4">SUM(D194:D199)</f>
        <v>3.54</v>
      </c>
      <c r="E200" s="37">
        <f t="shared" si="74"/>
        <v>3.54</v>
      </c>
      <c r="F200" s="37">
        <f t="shared" si="74"/>
        <v>3.54</v>
      </c>
      <c r="G200" s="37">
        <f t="shared" si="74"/>
        <v>3.54</v>
      </c>
      <c r="H200" s="37">
        <f t="shared" si="74"/>
        <v>3.54</v>
      </c>
      <c r="I200" s="37">
        <f t="shared" si="74"/>
        <v>3.54</v>
      </c>
      <c r="J200" s="37">
        <f t="shared" si="74"/>
        <v>3.54</v>
      </c>
      <c r="K200" s="37">
        <f t="shared" si="74"/>
        <v>3.54</v>
      </c>
      <c r="L200" s="37">
        <f t="shared" si="74"/>
        <v>3.54</v>
      </c>
      <c r="M200" s="37">
        <f>SUM(M194:M199)</f>
        <v>3.54</v>
      </c>
      <c r="N200" s="37">
        <f t="shared" ref="N200:S200" si="75">SUM(N194:N199)</f>
        <v>3.54</v>
      </c>
      <c r="O200" s="37">
        <f t="shared" si="75"/>
        <v>3.54</v>
      </c>
      <c r="P200" s="37">
        <f t="shared" si="75"/>
        <v>3.54</v>
      </c>
      <c r="Q200" s="37">
        <f t="shared" si="75"/>
        <v>3.54</v>
      </c>
      <c r="R200" s="37">
        <f t="shared" si="75"/>
        <v>3.54</v>
      </c>
      <c r="S200" s="37">
        <f t="shared" si="75"/>
        <v>3.54</v>
      </c>
      <c r="T200" s="37">
        <f>SUM(T194:T199)</f>
        <v>3.54</v>
      </c>
      <c r="U200" s="37">
        <f t="shared" ref="U200:AG200" si="76">SUM(U194:U199)</f>
        <v>3.54</v>
      </c>
      <c r="V200" s="37">
        <f t="shared" si="76"/>
        <v>3.54</v>
      </c>
      <c r="W200" s="37">
        <f t="shared" si="76"/>
        <v>3.54</v>
      </c>
      <c r="X200" s="37">
        <f t="shared" si="76"/>
        <v>3.54</v>
      </c>
      <c r="Y200" s="37">
        <f t="shared" si="76"/>
        <v>3.54</v>
      </c>
      <c r="Z200" s="37">
        <f t="shared" si="76"/>
        <v>3.54</v>
      </c>
      <c r="AA200" s="37">
        <f t="shared" si="76"/>
        <v>3.54</v>
      </c>
      <c r="AB200" s="37">
        <f t="shared" si="76"/>
        <v>3.54</v>
      </c>
      <c r="AC200" s="37">
        <f t="shared" si="76"/>
        <v>3.54</v>
      </c>
      <c r="AD200" s="37">
        <f t="shared" si="76"/>
        <v>3.54</v>
      </c>
      <c r="AE200" s="37">
        <f t="shared" si="76"/>
        <v>3.54</v>
      </c>
      <c r="AF200" s="37">
        <f t="shared" si="76"/>
        <v>3.54</v>
      </c>
      <c r="AG200" s="36">
        <f t="shared" si="76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1427.04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22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2078/12/22)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2078/12/22)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7">B75</f>
        <v>1263.8399999999999</v>
      </c>
      <c r="U214" s="9">
        <f t="shared" si="77"/>
        <v>1212.04</v>
      </c>
      <c r="V214" s="9">
        <f t="shared" si="77"/>
        <v>1222.8399999999999</v>
      </c>
      <c r="W214" s="9">
        <f t="shared" si="77"/>
        <v>1171.04</v>
      </c>
      <c r="X214" s="9">
        <f t="shared" si="77"/>
        <v>1182.6400000000001</v>
      </c>
      <c r="Y214" s="9">
        <f t="shared" si="77"/>
        <v>1197.04</v>
      </c>
      <c r="Z214" s="9">
        <f t="shared" si="77"/>
        <v>1250.1400000000001</v>
      </c>
      <c r="AA214" s="9">
        <f t="shared" si="77"/>
        <v>1284.94</v>
      </c>
      <c r="AB214" s="9">
        <f t="shared" si="77"/>
        <v>1350.44</v>
      </c>
      <c r="AC214" s="9">
        <f t="shared" si="77"/>
        <v>1418.94</v>
      </c>
      <c r="AD214" s="9">
        <f t="shared" si="77"/>
        <v>1427.04</v>
      </c>
      <c r="AE214" s="9">
        <f t="shared" si="77"/>
        <v>1389.64</v>
      </c>
      <c r="AF214" s="9">
        <f t="shared" si="77"/>
        <v>1367.34</v>
      </c>
      <c r="AG214" s="9">
        <f t="shared" si="77"/>
        <v>1471.04</v>
      </c>
      <c r="AH214" s="9">
        <f t="shared" si="77"/>
        <v>1404.44</v>
      </c>
      <c r="AI214" s="9">
        <f t="shared" si="77"/>
        <v>1464.84</v>
      </c>
      <c r="AJ214" s="9">
        <f t="shared" si="77"/>
        <v>1530.6399999999999</v>
      </c>
      <c r="AK214" s="9">
        <f t="shared" si="77"/>
        <v>1475.1399999999999</v>
      </c>
      <c r="AL214" s="9">
        <f t="shared" si="77"/>
        <v>1470.64</v>
      </c>
      <c r="AM214" s="9">
        <f t="shared" si="77"/>
        <v>1464.18</v>
      </c>
      <c r="AN214" s="9">
        <f t="shared" si="77"/>
        <v>1446.54</v>
      </c>
      <c r="AO214" s="9">
        <f t="shared" si="77"/>
        <v>1454.44</v>
      </c>
      <c r="AP214" s="9">
        <f t="shared" si="77"/>
        <v>1438.43</v>
      </c>
      <c r="AQ214" s="9">
        <f t="shared" si="77"/>
        <v>1492.07</v>
      </c>
      <c r="AR214" s="9">
        <f t="shared" si="77"/>
        <v>1540.94</v>
      </c>
      <c r="AS214" s="9">
        <f t="shared" si="77"/>
        <v>1528.21</v>
      </c>
      <c r="AT214" s="9">
        <f t="shared" si="77"/>
        <v>1550.2400000000002</v>
      </c>
      <c r="AU214" s="9">
        <f t="shared" si="77"/>
        <v>1501.74</v>
      </c>
      <c r="AV214" s="9">
        <f t="shared" si="77"/>
        <v>1462.94</v>
      </c>
      <c r="AW214" s="9">
        <f t="shared" si="77"/>
        <v>1413.64</v>
      </c>
      <c r="AX214" s="9">
        <f t="shared" si="77"/>
        <v>1334.24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8">C199</f>
        <v>0.64</v>
      </c>
      <c r="C235" s="4">
        <f t="shared" si="78"/>
        <v>0.64</v>
      </c>
      <c r="D235" s="4">
        <f t="shared" si="78"/>
        <v>0.64</v>
      </c>
      <c r="E235" s="4">
        <f t="shared" si="78"/>
        <v>0.64</v>
      </c>
      <c r="F235" s="4">
        <f t="shared" si="78"/>
        <v>0.64</v>
      </c>
      <c r="G235" s="4">
        <f t="shared" si="78"/>
        <v>0.64</v>
      </c>
      <c r="H235" s="4">
        <f t="shared" si="78"/>
        <v>0.64</v>
      </c>
      <c r="I235" s="4">
        <f t="shared" si="78"/>
        <v>0.64</v>
      </c>
      <c r="J235" s="4">
        <f t="shared" si="78"/>
        <v>0.64</v>
      </c>
      <c r="K235" s="4">
        <f t="shared" si="78"/>
        <v>0.64</v>
      </c>
      <c r="L235" s="4">
        <f t="shared" si="78"/>
        <v>0.64</v>
      </c>
      <c r="M235" s="4">
        <f t="shared" si="78"/>
        <v>0.64</v>
      </c>
      <c r="N235" s="4">
        <f t="shared" si="78"/>
        <v>0.64</v>
      </c>
      <c r="O235" s="4">
        <f t="shared" si="78"/>
        <v>0.64</v>
      </c>
      <c r="P235" s="4">
        <f t="shared" si="78"/>
        <v>0.64</v>
      </c>
      <c r="Q235" s="4">
        <f t="shared" si="78"/>
        <v>0.64</v>
      </c>
      <c r="R235" s="4">
        <f t="shared" si="78"/>
        <v>0.64</v>
      </c>
      <c r="S235" s="4">
        <f t="shared" si="78"/>
        <v>0.64</v>
      </c>
      <c r="T235" s="4">
        <f t="shared" si="78"/>
        <v>0.64</v>
      </c>
      <c r="U235" s="4">
        <f t="shared" si="78"/>
        <v>0.64</v>
      </c>
      <c r="V235" s="4">
        <f t="shared" si="78"/>
        <v>0.64</v>
      </c>
      <c r="W235" s="4">
        <f t="shared" si="78"/>
        <v>0.64</v>
      </c>
      <c r="X235" s="4">
        <f t="shared" si="78"/>
        <v>0.64</v>
      </c>
      <c r="Y235" s="4">
        <f t="shared" si="78"/>
        <v>0.64</v>
      </c>
      <c r="Z235" s="4">
        <f t="shared" si="78"/>
        <v>0.64</v>
      </c>
      <c r="AA235" s="4">
        <f t="shared" si="78"/>
        <v>0.64</v>
      </c>
      <c r="AB235" s="4">
        <f t="shared" si="78"/>
        <v>0.64</v>
      </c>
      <c r="AC235" s="4">
        <f t="shared" si="78"/>
        <v>0.64</v>
      </c>
      <c r="AD235" s="4">
        <f t="shared" si="78"/>
        <v>0.64</v>
      </c>
      <c r="AE235" s="4">
        <f t="shared" si="78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9">IF(C203&lt;100,"",C203-520)</f>
        <v/>
      </c>
      <c r="D236" s="3" t="str">
        <f t="shared" si="79"/>
        <v/>
      </c>
      <c r="E236" s="3" t="str">
        <f t="shared" si="79"/>
        <v/>
      </c>
      <c r="F236" s="3" t="str">
        <f t="shared" si="79"/>
        <v/>
      </c>
      <c r="G236" s="3" t="str">
        <f t="shared" si="79"/>
        <v/>
      </c>
      <c r="H236" s="3" t="str">
        <f t="shared" si="79"/>
        <v/>
      </c>
      <c r="I236" s="3" t="str">
        <f t="shared" si="79"/>
        <v/>
      </c>
      <c r="J236" s="3" t="str">
        <f t="shared" si="79"/>
        <v/>
      </c>
      <c r="K236" s="3" t="str">
        <f t="shared" si="79"/>
        <v/>
      </c>
      <c r="L236" s="3" t="str">
        <f t="shared" si="79"/>
        <v/>
      </c>
      <c r="M236" s="3" t="str">
        <f t="shared" si="79"/>
        <v/>
      </c>
      <c r="N236" s="3" t="str">
        <f t="shared" si="79"/>
        <v/>
      </c>
      <c r="O236" s="3" t="str">
        <f t="shared" si="79"/>
        <v/>
      </c>
      <c r="P236" s="3" t="str">
        <f t="shared" si="79"/>
        <v/>
      </c>
      <c r="Q236" s="3" t="str">
        <f t="shared" si="79"/>
        <v/>
      </c>
      <c r="R236" s="3" t="str">
        <f t="shared" si="79"/>
        <v/>
      </c>
      <c r="S236" s="3" t="str">
        <f t="shared" si="79"/>
        <v/>
      </c>
      <c r="T236" s="3" t="str">
        <f t="shared" si="79"/>
        <v/>
      </c>
      <c r="U236" s="3" t="str">
        <f t="shared" si="79"/>
        <v/>
      </c>
      <c r="V236" s="3" t="str">
        <f t="shared" si="79"/>
        <v/>
      </c>
      <c r="W236" s="3" t="str">
        <f t="shared" si="79"/>
        <v/>
      </c>
      <c r="X236" s="3" t="str">
        <f t="shared" si="79"/>
        <v/>
      </c>
      <c r="Y236" s="3" t="str">
        <f t="shared" si="79"/>
        <v/>
      </c>
      <c r="Z236" s="3" t="str">
        <f t="shared" si="79"/>
        <v/>
      </c>
      <c r="AA236" s="3" t="str">
        <f t="shared" si="79"/>
        <v/>
      </c>
      <c r="AB236" s="3" t="str">
        <f t="shared" si="79"/>
        <v/>
      </c>
      <c r="AC236" s="3" t="str">
        <f t="shared" si="79"/>
        <v/>
      </c>
      <c r="AD236" s="3" t="str">
        <f t="shared" si="79"/>
        <v/>
      </c>
      <c r="AE236" s="3" t="str">
        <f t="shared" si="79"/>
        <v/>
      </c>
      <c r="AF236" s="3" t="str">
        <f t="shared" si="79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80">IF(B204&lt;100,"",B204-620)</f>
        <v/>
      </c>
      <c r="C237" s="3" t="str">
        <f t="shared" si="80"/>
        <v/>
      </c>
      <c r="D237" s="3" t="str">
        <f t="shared" si="80"/>
        <v/>
      </c>
      <c r="E237" s="3" t="str">
        <f t="shared" si="80"/>
        <v/>
      </c>
      <c r="F237" s="3" t="str">
        <f t="shared" si="80"/>
        <v/>
      </c>
      <c r="G237" s="3" t="str">
        <f t="shared" si="80"/>
        <v/>
      </c>
      <c r="H237" s="3" t="str">
        <f t="shared" si="80"/>
        <v/>
      </c>
      <c r="I237" s="3" t="str">
        <f t="shared" si="80"/>
        <v/>
      </c>
      <c r="J237" s="3" t="str">
        <f t="shared" si="80"/>
        <v/>
      </c>
      <c r="K237" s="3" t="str">
        <f t="shared" si="80"/>
        <v/>
      </c>
      <c r="L237" s="3" t="str">
        <f t="shared" si="80"/>
        <v/>
      </c>
      <c r="M237" s="3" t="str">
        <f t="shared" si="80"/>
        <v/>
      </c>
      <c r="N237" s="3" t="str">
        <f t="shared" si="80"/>
        <v/>
      </c>
      <c r="O237" s="3" t="str">
        <f t="shared" si="80"/>
        <v/>
      </c>
      <c r="P237" s="3" t="str">
        <f t="shared" si="80"/>
        <v/>
      </c>
      <c r="Q237" s="3" t="str">
        <f t="shared" si="80"/>
        <v/>
      </c>
      <c r="R237" s="3" t="str">
        <f t="shared" si="80"/>
        <v/>
      </c>
      <c r="S237" s="3" t="str">
        <f t="shared" si="80"/>
        <v/>
      </c>
      <c r="T237" s="3" t="str">
        <f t="shared" si="80"/>
        <v/>
      </c>
      <c r="U237" s="3" t="str">
        <f t="shared" si="80"/>
        <v/>
      </c>
      <c r="V237" s="3" t="str">
        <f t="shared" si="80"/>
        <v/>
      </c>
      <c r="W237" s="3" t="str">
        <f t="shared" si="80"/>
        <v/>
      </c>
      <c r="X237" s="3" t="str">
        <f t="shared" si="80"/>
        <v/>
      </c>
      <c r="Y237" s="3" t="str">
        <f t="shared" si="80"/>
        <v/>
      </c>
      <c r="Z237" s="3" t="str">
        <f t="shared" si="80"/>
        <v/>
      </c>
      <c r="AA237" s="3" t="str">
        <f t="shared" si="80"/>
        <v/>
      </c>
      <c r="AB237" s="3" t="str">
        <f t="shared" si="80"/>
        <v/>
      </c>
      <c r="AC237" s="3" t="str">
        <f t="shared" si="80"/>
        <v/>
      </c>
      <c r="AD237" s="3" t="str">
        <f t="shared" si="80"/>
        <v/>
      </c>
      <c r="AE237" s="3" t="str">
        <f t="shared" si="80"/>
        <v/>
      </c>
      <c r="AF237" s="3" t="str">
        <f t="shared" si="80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1">IF(B205&lt;100,"",B205-330)</f>
        <v/>
      </c>
      <c r="C238" s="3" t="str">
        <f t="shared" si="81"/>
        <v/>
      </c>
      <c r="D238" s="3" t="str">
        <f t="shared" si="81"/>
        <v/>
      </c>
      <c r="E238" s="3" t="str">
        <f t="shared" si="81"/>
        <v/>
      </c>
      <c r="F238" s="3" t="str">
        <f t="shared" si="81"/>
        <v/>
      </c>
      <c r="G238" s="3" t="str">
        <f t="shared" si="81"/>
        <v/>
      </c>
      <c r="H238" s="3" t="str">
        <f t="shared" si="81"/>
        <v/>
      </c>
      <c r="I238" s="3" t="str">
        <f t="shared" si="81"/>
        <v/>
      </c>
      <c r="J238" s="3" t="str">
        <f t="shared" si="81"/>
        <v/>
      </c>
      <c r="K238" s="3" t="str">
        <f t="shared" si="81"/>
        <v/>
      </c>
      <c r="L238" s="3" t="str">
        <f t="shared" si="81"/>
        <v/>
      </c>
      <c r="M238" s="3" t="str">
        <f t="shared" si="81"/>
        <v/>
      </c>
      <c r="N238" s="3" t="str">
        <f t="shared" si="81"/>
        <v/>
      </c>
      <c r="O238" s="3" t="str">
        <f t="shared" si="81"/>
        <v/>
      </c>
      <c r="P238" s="3" t="str">
        <f t="shared" si="81"/>
        <v/>
      </c>
      <c r="Q238" s="3" t="str">
        <f t="shared" si="81"/>
        <v/>
      </c>
      <c r="R238" s="3" t="str">
        <f t="shared" si="81"/>
        <v/>
      </c>
      <c r="S238" s="3" t="str">
        <f t="shared" si="81"/>
        <v/>
      </c>
      <c r="T238" s="3" t="str">
        <f t="shared" si="81"/>
        <v/>
      </c>
      <c r="U238" s="3" t="str">
        <f t="shared" si="81"/>
        <v/>
      </c>
      <c r="V238" s="3" t="str">
        <f t="shared" si="81"/>
        <v/>
      </c>
      <c r="W238" s="3" t="str">
        <f t="shared" si="81"/>
        <v/>
      </c>
      <c r="X238" s="3" t="str">
        <f t="shared" si="81"/>
        <v/>
      </c>
      <c r="Y238" s="3" t="str">
        <f t="shared" si="81"/>
        <v/>
      </c>
      <c r="Z238" s="3" t="str">
        <f t="shared" si="81"/>
        <v/>
      </c>
      <c r="AA238" s="3" t="str">
        <f t="shared" si="81"/>
        <v/>
      </c>
      <c r="AB238" s="3" t="str">
        <f t="shared" si="81"/>
        <v/>
      </c>
      <c r="AC238" s="3" t="str">
        <f t="shared" si="81"/>
        <v/>
      </c>
      <c r="AD238" s="3" t="str">
        <f t="shared" si="81"/>
        <v/>
      </c>
      <c r="AE238" s="3" t="str">
        <f t="shared" si="81"/>
        <v/>
      </c>
      <c r="AF238" s="3" t="str">
        <f t="shared" si="81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2">IF(C206&lt;100,"",C206-1500)</f>
        <v/>
      </c>
      <c r="D239" s="3" t="str">
        <f t="shared" si="82"/>
        <v/>
      </c>
      <c r="E239" s="3" t="str">
        <f t="shared" si="82"/>
        <v/>
      </c>
      <c r="F239" s="3" t="str">
        <f t="shared" si="82"/>
        <v/>
      </c>
      <c r="G239" s="3" t="str">
        <f t="shared" si="82"/>
        <v/>
      </c>
      <c r="H239" s="3" t="str">
        <f t="shared" si="82"/>
        <v/>
      </c>
      <c r="I239" s="3" t="str">
        <f t="shared" si="82"/>
        <v/>
      </c>
      <c r="J239" s="3" t="str">
        <f t="shared" si="82"/>
        <v/>
      </c>
      <c r="K239" s="3" t="str">
        <f t="shared" si="82"/>
        <v/>
      </c>
      <c r="L239" s="3" t="str">
        <f t="shared" si="82"/>
        <v/>
      </c>
      <c r="M239" s="3" t="str">
        <f t="shared" si="82"/>
        <v/>
      </c>
      <c r="N239" s="3" t="str">
        <f t="shared" si="82"/>
        <v/>
      </c>
      <c r="O239" s="3" t="str">
        <f t="shared" si="82"/>
        <v/>
      </c>
      <c r="P239" s="3" t="str">
        <f t="shared" si="82"/>
        <v/>
      </c>
      <c r="Q239" s="3" t="str">
        <f t="shared" si="82"/>
        <v/>
      </c>
      <c r="R239" s="3" t="str">
        <f t="shared" si="82"/>
        <v/>
      </c>
      <c r="S239" s="3" t="str">
        <f t="shared" si="82"/>
        <v/>
      </c>
      <c r="T239" s="3" t="str">
        <f t="shared" si="82"/>
        <v/>
      </c>
      <c r="U239" s="3" t="str">
        <f t="shared" si="82"/>
        <v/>
      </c>
      <c r="V239" s="3" t="str">
        <f t="shared" si="82"/>
        <v/>
      </c>
      <c r="W239" s="3" t="str">
        <f t="shared" si="82"/>
        <v/>
      </c>
      <c r="X239" s="3" t="str">
        <f t="shared" si="82"/>
        <v/>
      </c>
      <c r="Y239" s="3" t="str">
        <f t="shared" si="82"/>
        <v/>
      </c>
      <c r="Z239" s="3" t="str">
        <f t="shared" si="82"/>
        <v/>
      </c>
      <c r="AA239" s="3" t="str">
        <f t="shared" si="82"/>
        <v/>
      </c>
      <c r="AB239" s="3" t="str">
        <f t="shared" si="82"/>
        <v/>
      </c>
      <c r="AC239" s="3" t="str">
        <f t="shared" si="82"/>
        <v/>
      </c>
      <c r="AD239" s="3" t="str">
        <f t="shared" si="82"/>
        <v/>
      </c>
      <c r="AE239" s="3" t="str">
        <f t="shared" si="82"/>
        <v/>
      </c>
      <c r="AF239" s="3" t="str">
        <f t="shared" si="82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P39:R39 J61:M61 P40:Q42 R40:T41 M58:M59 X85:AA91 AB81:AF81 C81:R81 C56:AF56 C82:AF83 D194:AF200 B194:B200 C68:AF80 B9:AF10 B192:AF192 AF57:AF60 AG73 AB94:AF100 U213:AF213 E57:L59 C57:D60 E60:M60 M39:O42 N58:P61 M36:R37 S58:W59 Q58:R67 Q39:S42 U40:Y42 M16:Y32 P45:Y48 S62:Y67 M53:AF55 Z40:AE43 AB84:AF91 Z16:AF31 S36:AF36 M11:AF14 AF42:AF43">
    <cfRule type="expression" dxfId="2852" priority="305">
      <formula>B$9&gt;=20/24</formula>
    </cfRule>
    <cfRule type="expression" dxfId="2851" priority="306">
      <formula>AND(B$9&gt;=14/24,B$9&lt;20/24)</formula>
    </cfRule>
    <cfRule type="expression" dxfId="2850" priority="307">
      <formula>AND(B$9&gt;=8/24,B$9&lt;14/24)</formula>
    </cfRule>
    <cfRule type="expression" dxfId="2849" priority="308">
      <formula>B$9&lt;8/24</formula>
    </cfRule>
  </conditionalFormatting>
  <conditionalFormatting sqref="AL4:AL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848" priority="300">
      <formula>M$9&gt;=20/24</formula>
    </cfRule>
    <cfRule type="expression" dxfId="2847" priority="301">
      <formula>AND(M$9&gt;=14/24,M$9&lt;20/24)</formula>
    </cfRule>
    <cfRule type="expression" dxfId="2846" priority="302">
      <formula>AND(M$9&gt;=8/24,M$9&lt;14/24)</formula>
    </cfRule>
    <cfRule type="expression" dxfId="2845" priority="303">
      <formula>M$9&lt;8/24</formula>
    </cfRule>
  </conditionalFormatting>
  <conditionalFormatting sqref="M43:S43">
    <cfRule type="expression" dxfId="2844" priority="296">
      <formula>M$9&gt;=20/24</formula>
    </cfRule>
    <cfRule type="expression" dxfId="2843" priority="297">
      <formula>AND(M$9&gt;=14/24,M$9&lt;20/24)</formula>
    </cfRule>
    <cfRule type="expression" dxfId="2842" priority="298">
      <formula>AND(M$9&gt;=8/24,M$9&lt;14/24)</formula>
    </cfRule>
    <cfRule type="expression" dxfId="2841" priority="299">
      <formula>M$9&lt;8/24</formula>
    </cfRule>
  </conditionalFormatting>
  <conditionalFormatting sqref="Z32:AF32">
    <cfRule type="expression" dxfId="2840" priority="292">
      <formula>Z$9&gt;=20/24</formula>
    </cfRule>
    <cfRule type="expression" dxfId="2839" priority="293">
      <formula>AND(Z$9&gt;=14/24,Z$9&lt;20/24)</formula>
    </cfRule>
    <cfRule type="expression" dxfId="2838" priority="294">
      <formula>AND(Z$9&gt;=8/24,Z$9&lt;14/24)</formula>
    </cfRule>
    <cfRule type="expression" dxfId="2837" priority="295">
      <formula>Z$9&lt;8/24</formula>
    </cfRule>
  </conditionalFormatting>
  <conditionalFormatting sqref="S39:AE39">
    <cfRule type="expression" dxfId="2836" priority="288">
      <formula>S$9&gt;=20/24</formula>
    </cfRule>
    <cfRule type="expression" dxfId="2835" priority="289">
      <formula>AND(S$9&gt;=14/24,S$9&lt;20/24)</formula>
    </cfRule>
    <cfRule type="expression" dxfId="2834" priority="290">
      <formula>AND(S$9&gt;=8/24,S$9&lt;14/24)</formula>
    </cfRule>
    <cfRule type="expression" dxfId="2833" priority="291">
      <formula>S$9&lt;8/24</formula>
    </cfRule>
  </conditionalFormatting>
  <conditionalFormatting sqref="S57:AE57">
    <cfRule type="expression" dxfId="2832" priority="284">
      <formula>S$9&gt;=20/24</formula>
    </cfRule>
    <cfRule type="expression" dxfId="2831" priority="285">
      <formula>AND(S$9&gt;=14/24,S$9&lt;20/24)</formula>
    </cfRule>
    <cfRule type="expression" dxfId="2830" priority="286">
      <formula>AND(S$9&gt;=8/24,S$9&lt;14/24)</formula>
    </cfRule>
    <cfRule type="expression" dxfId="2829" priority="287">
      <formula>S$9&lt;8/24</formula>
    </cfRule>
  </conditionalFormatting>
  <conditionalFormatting sqref="S81:AA81">
    <cfRule type="expression" dxfId="2828" priority="280">
      <formula>S$9&gt;=20/24</formula>
    </cfRule>
    <cfRule type="expression" dxfId="2827" priority="281">
      <formula>AND(S$9&gt;=14/24,S$9&lt;20/24)</formula>
    </cfRule>
    <cfRule type="expression" dxfId="2826" priority="282">
      <formula>AND(S$9&gt;=8/24,S$9&lt;14/24)</formula>
    </cfRule>
    <cfRule type="expression" dxfId="2825" priority="283">
      <formula>S$9&lt;8/24</formula>
    </cfRule>
  </conditionalFormatting>
  <conditionalFormatting sqref="U84:AA84">
    <cfRule type="expression" dxfId="2824" priority="276">
      <formula>U$9&gt;=20/24</formula>
    </cfRule>
    <cfRule type="expression" dxfId="2823" priority="277">
      <formula>AND(U$9&gt;=14/24,U$9&lt;20/24)</formula>
    </cfRule>
    <cfRule type="expression" dxfId="2822" priority="278">
      <formula>AND(U$9&gt;=8/24,U$9&lt;14/24)</formula>
    </cfRule>
    <cfRule type="expression" dxfId="2821" priority="279">
      <formula>U$9&lt;8/24</formula>
    </cfRule>
  </conditionalFormatting>
  <conditionalFormatting sqref="M35:Y35">
    <cfRule type="expression" dxfId="2820" priority="272">
      <formula>M$9&gt;=20/24</formula>
    </cfRule>
    <cfRule type="expression" dxfId="2819" priority="273">
      <formula>AND(M$9&gt;=14/24,M$9&lt;20/24)</formula>
    </cfRule>
    <cfRule type="expression" dxfId="2818" priority="274">
      <formula>AND(M$9&gt;=8/24,M$9&lt;14/24)</formula>
    </cfRule>
    <cfRule type="expression" dxfId="2817" priority="275">
      <formula>M$9&lt;8/24</formula>
    </cfRule>
  </conditionalFormatting>
  <conditionalFormatting sqref="M49:Y49">
    <cfRule type="expression" dxfId="2816" priority="268">
      <formula>M$9&gt;=20/24</formula>
    </cfRule>
    <cfRule type="expression" dxfId="2815" priority="269">
      <formula>AND(M$9&gt;=14/24,M$9&lt;20/24)</formula>
    </cfRule>
    <cfRule type="expression" dxfId="2814" priority="270">
      <formula>AND(M$9&gt;=8/24,M$9&lt;14/24)</formula>
    </cfRule>
    <cfRule type="expression" dxfId="2813" priority="271">
      <formula>M$9&lt;8/24</formula>
    </cfRule>
  </conditionalFormatting>
  <conditionalFormatting sqref="M50:Y50">
    <cfRule type="expression" dxfId="2812" priority="264">
      <formula>M$9&gt;=20/24</formula>
    </cfRule>
    <cfRule type="expression" dxfId="2811" priority="265">
      <formula>AND(M$9&gt;=14/24,M$9&lt;20/24)</formula>
    </cfRule>
    <cfRule type="expression" dxfId="2810" priority="266">
      <formula>AND(M$9&gt;=8/24,M$9&lt;14/24)</formula>
    </cfRule>
    <cfRule type="expression" dxfId="2809" priority="267">
      <formula>M$9&lt;8/24</formula>
    </cfRule>
  </conditionalFormatting>
  <conditionalFormatting sqref="M45:Y48">
    <cfRule type="expression" dxfId="2808" priority="260">
      <formula>M$9&gt;=20/24</formula>
    </cfRule>
    <cfRule type="expression" dxfId="2807" priority="261">
      <formula>AND(M$9&gt;=14/24,M$9&lt;20/24)</formula>
    </cfRule>
    <cfRule type="expression" dxfId="2806" priority="262">
      <formula>AND(M$9&gt;=8/24,M$9&lt;14/24)</formula>
    </cfRule>
    <cfRule type="expression" dxfId="2805" priority="263">
      <formula>M$9&lt;8/24</formula>
    </cfRule>
  </conditionalFormatting>
  <conditionalFormatting sqref="S37:AF37">
    <cfRule type="expression" dxfId="2804" priority="256">
      <formula>S$9&gt;=20/24</formula>
    </cfRule>
    <cfRule type="expression" dxfId="2803" priority="257">
      <formula>AND(S$9&gt;=14/24,S$9&lt;20/24)</formula>
    </cfRule>
    <cfRule type="expression" dxfId="2802" priority="258">
      <formula>AND(S$9&gt;=8/24,S$9&lt;14/24)</formula>
    </cfRule>
    <cfRule type="expression" dxfId="2801" priority="259">
      <formula>S$9&lt;8/24</formula>
    </cfRule>
  </conditionalFormatting>
  <conditionalFormatting sqref="Z35:AF35">
    <cfRule type="expression" dxfId="2800" priority="252">
      <formula>Z$9&gt;=20/24</formula>
    </cfRule>
    <cfRule type="expression" dxfId="2799" priority="253">
      <formula>AND(Z$9&gt;=14/24,Z$9&lt;20/24)</formula>
    </cfRule>
    <cfRule type="expression" dxfId="2798" priority="254">
      <formula>AND(Z$9&gt;=8/24,Z$9&lt;14/24)</formula>
    </cfRule>
    <cfRule type="expression" dxfId="2797" priority="255">
      <formula>Z$9&lt;8/24</formula>
    </cfRule>
  </conditionalFormatting>
  <conditionalFormatting sqref="S42:U43 U43:Y43 S45:AF48">
    <cfRule type="expression" dxfId="2796" priority="248">
      <formula>S$9&gt;=20/24</formula>
    </cfRule>
    <cfRule type="expression" dxfId="2795" priority="249">
      <formula>AND(S$9&gt;=14/24,S$9&lt;20/24)</formula>
    </cfRule>
    <cfRule type="expression" dxfId="2794" priority="250">
      <formula>AND(S$9&gt;=8/24,S$9&lt;14/24)</formula>
    </cfRule>
    <cfRule type="expression" dxfId="2793" priority="251">
      <formula>S$9&lt;8/24</formula>
    </cfRule>
  </conditionalFormatting>
  <conditionalFormatting sqref="S49:AF49">
    <cfRule type="expression" dxfId="2792" priority="244">
      <formula>S$9&gt;=20/24</formula>
    </cfRule>
    <cfRule type="expression" dxfId="2791" priority="245">
      <formula>AND(S$9&gt;=14/24,S$9&lt;20/24)</formula>
    </cfRule>
    <cfRule type="expression" dxfId="2790" priority="246">
      <formula>AND(S$9&gt;=8/24,S$9&lt;14/24)</formula>
    </cfRule>
    <cfRule type="expression" dxfId="2789" priority="247">
      <formula>S$9&lt;8/24</formula>
    </cfRule>
  </conditionalFormatting>
  <conditionalFormatting sqref="S50:AF50">
    <cfRule type="expression" dxfId="2788" priority="240">
      <formula>S$9&gt;=20/24</formula>
    </cfRule>
    <cfRule type="expression" dxfId="2787" priority="241">
      <formula>AND(S$9&gt;=14/24,S$9&lt;20/24)</formula>
    </cfRule>
    <cfRule type="expression" dxfId="2786" priority="242">
      <formula>AND(S$9&gt;=8/24,S$9&lt;14/24)</formula>
    </cfRule>
    <cfRule type="expression" dxfId="2785" priority="243">
      <formula>S$9&lt;8/24</formula>
    </cfRule>
  </conditionalFormatting>
  <conditionalFormatting sqref="S60:T61 X60:Z61 Z62:Z67 AA60:AE67 AF61:AF67">
    <cfRule type="expression" dxfId="2784" priority="236">
      <formula>S$9&gt;=20/24</formula>
    </cfRule>
    <cfRule type="expression" dxfId="2783" priority="237">
      <formula>AND(S$9&gt;=14/24,S$9&lt;20/24)</formula>
    </cfRule>
    <cfRule type="expression" dxfId="2782" priority="238">
      <formula>AND(S$9&gt;=8/24,S$9&lt;14/24)</formula>
    </cfRule>
    <cfRule type="expression" dxfId="2781" priority="239">
      <formula>S$9&lt;8/24</formula>
    </cfRule>
  </conditionalFormatting>
  <conditionalFormatting sqref="U94:AA97">
    <cfRule type="expression" dxfId="2780" priority="228">
      <formula>U$9&gt;=20/24</formula>
    </cfRule>
    <cfRule type="expression" dxfId="2779" priority="229">
      <formula>AND(U$9&gt;=14/24,U$9&lt;20/24)</formula>
    </cfRule>
    <cfRule type="expression" dxfId="2778" priority="230">
      <formula>AND(U$9&gt;=8/24,U$9&lt;14/24)</formula>
    </cfRule>
    <cfRule type="expression" dxfId="2777" priority="231">
      <formula>U$9&lt;8/24</formula>
    </cfRule>
  </conditionalFormatting>
  <conditionalFormatting sqref="AG51 E11:K11 C38:N38 J12:K12 D39:M43 L11:L12 M44:M50 N39:N50 M16:Y32 M11:Y14 C51:AF56 M34:AF37 Z11:AF32 O38:AF50">
    <cfRule type="expression" dxfId="2776" priority="227">
      <formula>C11&gt;$AG11</formula>
    </cfRule>
  </conditionalFormatting>
  <conditionalFormatting sqref="A101:A157 A84:A97 A11:A14 A16:A32 A45:A72 A80:A82 A74:A78 A35:A43 A170:A200">
    <cfRule type="expression" dxfId="2775" priority="226">
      <formula>$AH11=0</formula>
    </cfRule>
  </conditionalFormatting>
  <conditionalFormatting sqref="U98:AA98">
    <cfRule type="expression" dxfId="2774" priority="222">
      <formula>U$9&gt;=20/24</formula>
    </cfRule>
    <cfRule type="expression" dxfId="2773" priority="223">
      <formula>AND(U$9&gt;=14/24,U$9&lt;20/24)</formula>
    </cfRule>
    <cfRule type="expression" dxfId="2772" priority="224">
      <formula>AND(U$9&gt;=8/24,U$9&lt;14/24)</formula>
    </cfRule>
    <cfRule type="expression" dxfId="2771" priority="225">
      <formula>U$9&lt;8/24</formula>
    </cfRule>
  </conditionalFormatting>
  <conditionalFormatting sqref="A98">
    <cfRule type="expression" dxfId="2770" priority="221">
      <formula>$AH98=0</formula>
    </cfRule>
  </conditionalFormatting>
  <conditionalFormatting sqref="M62:P67">
    <cfRule type="expression" dxfId="2769" priority="209">
      <formula>M$9&gt;=20/24</formula>
    </cfRule>
    <cfRule type="expression" dxfId="2768" priority="210">
      <formula>AND(M$9&gt;=14/24,M$9&lt;20/24)</formula>
    </cfRule>
    <cfRule type="expression" dxfId="2767" priority="211">
      <formula>AND(M$9&gt;=8/24,M$9&lt;14/24)</formula>
    </cfRule>
    <cfRule type="expression" dxfId="2766" priority="212">
      <formula>M$9&lt;8/24</formula>
    </cfRule>
  </conditionalFormatting>
  <conditionalFormatting sqref="AL32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2765" priority="204">
      <formula>Z$9&gt;=20/24</formula>
    </cfRule>
    <cfRule type="expression" dxfId="2764" priority="205">
      <formula>AND(Z$9&gt;=14/24,Z$9&lt;20/24)</formula>
    </cfRule>
    <cfRule type="expression" dxfId="2763" priority="206">
      <formula>AND(Z$9&gt;=8/24,Z$9&lt;14/24)</formula>
    </cfRule>
    <cfRule type="expression" dxfId="2762" priority="207">
      <formula>Z$9&lt;8/24</formula>
    </cfRule>
  </conditionalFormatting>
  <conditionalFormatting sqref="M34:Y34">
    <cfRule type="expression" dxfId="2761" priority="200">
      <formula>M$9&gt;=20/24</formula>
    </cfRule>
    <cfRule type="expression" dxfId="2760" priority="201">
      <formula>AND(M$9&gt;=14/24,M$9&lt;20/24)</formula>
    </cfRule>
    <cfRule type="expression" dxfId="2759" priority="202">
      <formula>AND(M$9&gt;=8/24,M$9&lt;14/24)</formula>
    </cfRule>
    <cfRule type="expression" dxfId="2758" priority="203">
      <formula>M$9&lt;8/24</formula>
    </cfRule>
  </conditionalFormatting>
  <conditionalFormatting sqref="A34">
    <cfRule type="expression" dxfId="2757" priority="195">
      <formula>$AH34=0</formula>
    </cfRule>
  </conditionalFormatting>
  <conditionalFormatting sqref="A83">
    <cfRule type="expression" dxfId="2756" priority="194">
      <formula>$AH83=0</formula>
    </cfRule>
  </conditionalFormatting>
  <conditionalFormatting sqref="Z15:AF15">
    <cfRule type="expression" dxfId="2755" priority="190">
      <formula>Z$9&gt;=20/24</formula>
    </cfRule>
    <cfRule type="expression" dxfId="2754" priority="191">
      <formula>AND(Z$9&gt;=14/24,Z$9&lt;20/24)</formula>
    </cfRule>
    <cfRule type="expression" dxfId="2753" priority="192">
      <formula>AND(Z$9&gt;=8/24,Z$9&lt;14/24)</formula>
    </cfRule>
    <cfRule type="expression" dxfId="2752" priority="193">
      <formula>Z$9&lt;8/24</formula>
    </cfRule>
  </conditionalFormatting>
  <conditionalFormatting sqref="M15:Y15">
    <cfRule type="expression" dxfId="2751" priority="186">
      <formula>M$9&gt;=20/24</formula>
    </cfRule>
    <cfRule type="expression" dxfId="2750" priority="187">
      <formula>AND(M$9&gt;=14/24,M$9&lt;20/24)</formula>
    </cfRule>
    <cfRule type="expression" dxfId="2749" priority="188">
      <formula>AND(M$9&gt;=8/24,M$9&lt;14/24)</formula>
    </cfRule>
    <cfRule type="expression" dxfId="2748" priority="189">
      <formula>M$9&lt;8/24</formula>
    </cfRule>
  </conditionalFormatting>
  <conditionalFormatting sqref="M15:Y15">
    <cfRule type="expression" dxfId="2747" priority="185">
      <formula>M15&gt;$AG15</formula>
    </cfRule>
  </conditionalFormatting>
  <conditionalFormatting sqref="A15">
    <cfRule type="expression" dxfId="2746" priority="184">
      <formula>$AH15=0</formula>
    </cfRule>
  </conditionalFormatting>
  <conditionalFormatting sqref="A164:A169">
    <cfRule type="expression" dxfId="2745" priority="183">
      <formula>$AH164=0</formula>
    </cfRule>
  </conditionalFormatting>
  <conditionalFormatting sqref="A158:A163">
    <cfRule type="expression" dxfId="2744" priority="182">
      <formula>$AH158=0</formula>
    </cfRule>
  </conditionalFormatting>
  <conditionalFormatting sqref="Z44:AF44">
    <cfRule type="expression" dxfId="2743" priority="178">
      <formula>Z$9&gt;=20/24</formula>
    </cfRule>
    <cfRule type="expression" dxfId="2742" priority="179">
      <formula>AND(Z$9&gt;=14/24,Z$9&lt;20/24)</formula>
    </cfRule>
    <cfRule type="expression" dxfId="2741" priority="180">
      <formula>AND(Z$9&gt;=8/24,Z$9&lt;14/24)</formula>
    </cfRule>
    <cfRule type="expression" dxfId="2740" priority="181">
      <formula>Z$9&lt;8/24</formula>
    </cfRule>
  </conditionalFormatting>
  <conditionalFormatting sqref="M44:Y44">
    <cfRule type="expression" dxfId="2739" priority="174">
      <formula>M$9&gt;=20/24</formula>
    </cfRule>
    <cfRule type="expression" dxfId="2738" priority="175">
      <formula>AND(M$9&gt;=14/24,M$9&lt;20/24)</formula>
    </cfRule>
    <cfRule type="expression" dxfId="2737" priority="176">
      <formula>AND(M$9&gt;=8/24,M$9&lt;14/24)</formula>
    </cfRule>
    <cfRule type="expression" dxfId="2736" priority="177">
      <formula>M$9&lt;8/24</formula>
    </cfRule>
  </conditionalFormatting>
  <conditionalFormatting sqref="S44:Y44">
    <cfRule type="expression" dxfId="2735" priority="170">
      <formula>S$9&gt;=20/24</formula>
    </cfRule>
    <cfRule type="expression" dxfId="2734" priority="171">
      <formula>AND(S$9&gt;=14/24,S$9&lt;20/24)</formula>
    </cfRule>
    <cfRule type="expression" dxfId="2733" priority="172">
      <formula>AND(S$9&gt;=8/24,S$9&lt;14/24)</formula>
    </cfRule>
    <cfRule type="expression" dxfId="2732" priority="173">
      <formula>S$9&lt;8/24</formula>
    </cfRule>
  </conditionalFormatting>
  <conditionalFormatting sqref="A44">
    <cfRule type="expression" dxfId="2731" priority="169">
      <formula>$AH44=0</formula>
    </cfRule>
  </conditionalFormatting>
  <conditionalFormatting sqref="A79">
    <cfRule type="expression" dxfId="2730" priority="168">
      <formula>$AH79=0</formula>
    </cfRule>
  </conditionalFormatting>
  <conditionalFormatting sqref="A73">
    <cfRule type="expression" dxfId="2729" priority="167">
      <formula>$AH73=0</formula>
    </cfRule>
  </conditionalFormatting>
  <conditionalFormatting sqref="AL34:AL35 AL7:AL31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2728" priority="163">
      <formula>U$9&gt;=20/24</formula>
    </cfRule>
    <cfRule type="expression" dxfId="2727" priority="164">
      <formula>AND(U$9&gt;=14/24,U$9&lt;20/24)</formula>
    </cfRule>
    <cfRule type="expression" dxfId="2726" priority="165">
      <formula>AND(U$9&gt;=8/24,U$9&lt;14/24)</formula>
    </cfRule>
    <cfRule type="expression" dxfId="2725" priority="166">
      <formula>U$9&lt;8/24</formula>
    </cfRule>
  </conditionalFormatting>
  <conditionalFormatting sqref="U85:W91">
    <cfRule type="expression" dxfId="2724" priority="159">
      <formula>U$9&gt;=20/24</formula>
    </cfRule>
    <cfRule type="expression" dxfId="2723" priority="160">
      <formula>AND(U$9&gt;=14/24,U$9&lt;20/24)</formula>
    </cfRule>
    <cfRule type="expression" dxfId="2722" priority="161">
      <formula>AND(U$9&gt;=8/24,U$9&lt;14/24)</formula>
    </cfRule>
    <cfRule type="expression" dxfId="2721" priority="162">
      <formula>U$9&lt;8/24</formula>
    </cfRule>
  </conditionalFormatting>
  <conditionalFormatting sqref="S85:T91 C84:R91">
    <cfRule type="expression" dxfId="2720" priority="155">
      <formula>C$9&gt;=20/24</formula>
    </cfRule>
    <cfRule type="expression" dxfId="2719" priority="156">
      <formula>AND(C$9&gt;=14/24,C$9&lt;20/24)</formula>
    </cfRule>
    <cfRule type="expression" dxfId="2718" priority="157">
      <formula>AND(C$9&gt;=8/24,C$9&lt;14/24)</formula>
    </cfRule>
    <cfRule type="expression" dxfId="2717" priority="158">
      <formula>C$9&lt;8/24</formula>
    </cfRule>
  </conditionalFormatting>
  <conditionalFormatting sqref="S84:T84">
    <cfRule type="expression" dxfId="2716" priority="151">
      <formula>S$9&gt;=20/24</formula>
    </cfRule>
    <cfRule type="expression" dxfId="2715" priority="152">
      <formula>AND(S$9&gt;=14/24,S$9&lt;20/24)</formula>
    </cfRule>
    <cfRule type="expression" dxfId="2714" priority="153">
      <formula>AND(S$9&gt;=8/24,S$9&lt;14/24)</formula>
    </cfRule>
    <cfRule type="expression" dxfId="2713" priority="154">
      <formula>S$9&lt;8/24</formula>
    </cfRule>
  </conditionalFormatting>
  <conditionalFormatting sqref="C95:M97 C94:F94">
    <cfRule type="expression" dxfId="2712" priority="147">
      <formula>C$9&gt;=20/24</formula>
    </cfRule>
    <cfRule type="expression" dxfId="2711" priority="148">
      <formula>AND(C$9&gt;=14/24,C$9&lt;20/24)</formula>
    </cfRule>
    <cfRule type="expression" dxfId="2710" priority="149">
      <formula>AND(C$9&gt;=8/24,C$9&lt;14/24)</formula>
    </cfRule>
    <cfRule type="expression" dxfId="2709" priority="150">
      <formula>C$9&lt;8/24</formula>
    </cfRule>
  </conditionalFormatting>
  <conditionalFormatting sqref="N95:R97 O94:R94">
    <cfRule type="expression" dxfId="2708" priority="143">
      <formula>N$9&gt;=20/24</formula>
    </cfRule>
    <cfRule type="expression" dxfId="2707" priority="144">
      <formula>AND(N$9&gt;=14/24,N$9&lt;20/24)</formula>
    </cfRule>
    <cfRule type="expression" dxfId="2706" priority="145">
      <formula>AND(N$9&gt;=8/24,N$9&lt;14/24)</formula>
    </cfRule>
    <cfRule type="expression" dxfId="2705" priority="146">
      <formula>N$9&lt;8/24</formula>
    </cfRule>
  </conditionalFormatting>
  <conditionalFormatting sqref="S94:T97">
    <cfRule type="expression" dxfId="2704" priority="139">
      <formula>S$9&gt;=20/24</formula>
    </cfRule>
    <cfRule type="expression" dxfId="2703" priority="140">
      <formula>AND(S$9&gt;=14/24,S$9&lt;20/24)</formula>
    </cfRule>
    <cfRule type="expression" dxfId="2702" priority="141">
      <formula>AND(S$9&gt;=8/24,S$9&lt;14/24)</formula>
    </cfRule>
    <cfRule type="expression" dxfId="2701" priority="142">
      <formula>S$9&lt;8/24</formula>
    </cfRule>
  </conditionalFormatting>
  <conditionalFormatting sqref="C98:M98">
    <cfRule type="expression" dxfId="2700" priority="135">
      <formula>C$9&gt;=20/24</formula>
    </cfRule>
    <cfRule type="expression" dxfId="2699" priority="136">
      <formula>AND(C$9&gt;=14/24,C$9&lt;20/24)</formula>
    </cfRule>
    <cfRule type="expression" dxfId="2698" priority="137">
      <formula>AND(C$9&gt;=8/24,C$9&lt;14/24)</formula>
    </cfRule>
    <cfRule type="expression" dxfId="2697" priority="138">
      <formula>C$9&lt;8/24</formula>
    </cfRule>
  </conditionalFormatting>
  <conditionalFormatting sqref="N98:R98">
    <cfRule type="expression" dxfId="2696" priority="131">
      <formula>N$9&gt;=20/24</formula>
    </cfRule>
    <cfRule type="expression" dxfId="2695" priority="132">
      <formula>AND(N$9&gt;=14/24,N$9&lt;20/24)</formula>
    </cfRule>
    <cfRule type="expression" dxfId="2694" priority="133">
      <formula>AND(N$9&gt;=8/24,N$9&lt;14/24)</formula>
    </cfRule>
    <cfRule type="expression" dxfId="2693" priority="134">
      <formula>N$9&lt;8/24</formula>
    </cfRule>
  </conditionalFormatting>
  <conditionalFormatting sqref="S98:T98">
    <cfRule type="expression" dxfId="2692" priority="127">
      <formula>S$9&gt;=20/24</formula>
    </cfRule>
    <cfRule type="expression" dxfId="2691" priority="128">
      <formula>AND(S$9&gt;=14/24,S$9&lt;20/24)</formula>
    </cfRule>
    <cfRule type="expression" dxfId="2690" priority="129">
      <formula>AND(S$9&gt;=8/24,S$9&lt;14/24)</formula>
    </cfRule>
    <cfRule type="expression" dxfId="2689" priority="130">
      <formula>S$9&lt;8/24</formula>
    </cfRule>
  </conditionalFormatting>
  <conditionalFormatting sqref="M94:N94">
    <cfRule type="expression" dxfId="2688" priority="123">
      <formula>M$9&gt;=20/24</formula>
    </cfRule>
    <cfRule type="expression" dxfId="2687" priority="124">
      <formula>AND(M$9&gt;=14/24,M$9&lt;20/24)</formula>
    </cfRule>
    <cfRule type="expression" dxfId="2686" priority="125">
      <formula>AND(M$9&gt;=8/24,M$9&lt;14/24)</formula>
    </cfRule>
    <cfRule type="expression" dxfId="2685" priority="126">
      <formula>M$9&lt;8/24</formula>
    </cfRule>
  </conditionalFormatting>
  <conditionalFormatting sqref="G94:L94">
    <cfRule type="expression" dxfId="2684" priority="119">
      <formula>G$9&gt;=20/24</formula>
    </cfRule>
    <cfRule type="expression" dxfId="2683" priority="120">
      <formula>AND(G$9&gt;=14/24,G$9&lt;20/24)</formula>
    </cfRule>
    <cfRule type="expression" dxfId="2682" priority="121">
      <formula>AND(G$9&gt;=8/24,G$9&lt;14/24)</formula>
    </cfRule>
    <cfRule type="expression" dxfId="2681" priority="122">
      <formula>G$9&lt;8/24</formula>
    </cfRule>
  </conditionalFormatting>
  <conditionalFormatting sqref="U94:W94">
    <cfRule type="expression" dxfId="2680" priority="115">
      <formula>U$9&gt;=20/24</formula>
    </cfRule>
    <cfRule type="expression" dxfId="2679" priority="116">
      <formula>AND(U$9&gt;=14/24,U$9&lt;20/24)</formula>
    </cfRule>
    <cfRule type="expression" dxfId="2678" priority="117">
      <formula>AND(U$9&gt;=8/24,U$9&lt;14/24)</formula>
    </cfRule>
    <cfRule type="expression" dxfId="2677" priority="118">
      <formula>U$9&lt;8/24</formula>
    </cfRule>
  </conditionalFormatting>
  <conditionalFormatting sqref="N94:T94">
    <cfRule type="expression" dxfId="2676" priority="111">
      <formula>N$9&gt;=20/24</formula>
    </cfRule>
    <cfRule type="expression" dxfId="2675" priority="112">
      <formula>AND(N$9&gt;=14/24,N$9&lt;20/24)</formula>
    </cfRule>
    <cfRule type="expression" dxfId="2674" priority="113">
      <formula>AND(N$9&gt;=8/24,N$9&lt;14/24)</formula>
    </cfRule>
    <cfRule type="expression" dxfId="2673" priority="114">
      <formula>N$9&lt;8/24</formula>
    </cfRule>
  </conditionalFormatting>
  <conditionalFormatting sqref="U99:AA100">
    <cfRule type="expression" dxfId="2672" priority="107">
      <formula>U$9&gt;=20/24</formula>
    </cfRule>
    <cfRule type="expression" dxfId="2671" priority="108">
      <formula>AND(U$9&gt;=14/24,U$9&lt;20/24)</formula>
    </cfRule>
    <cfRule type="expression" dxfId="2670" priority="109">
      <formula>AND(U$9&gt;=8/24,U$9&lt;14/24)</formula>
    </cfRule>
    <cfRule type="expression" dxfId="2669" priority="110">
      <formula>U$9&lt;8/24</formula>
    </cfRule>
  </conditionalFormatting>
  <conditionalFormatting sqref="C99:M100">
    <cfRule type="expression" dxfId="2668" priority="103">
      <formula>C$9&gt;=20/24</formula>
    </cfRule>
    <cfRule type="expression" dxfId="2667" priority="104">
      <formula>AND(C$9&gt;=14/24,C$9&lt;20/24)</formula>
    </cfRule>
    <cfRule type="expression" dxfId="2666" priority="105">
      <formula>AND(C$9&gt;=8/24,C$9&lt;14/24)</formula>
    </cfRule>
    <cfRule type="expression" dxfId="2665" priority="106">
      <formula>C$9&lt;8/24</formula>
    </cfRule>
  </conditionalFormatting>
  <conditionalFormatting sqref="N99:R100">
    <cfRule type="expression" dxfId="2664" priority="99">
      <formula>N$9&gt;=20/24</formula>
    </cfRule>
    <cfRule type="expression" dxfId="2663" priority="100">
      <formula>AND(N$9&gt;=14/24,N$9&lt;20/24)</formula>
    </cfRule>
    <cfRule type="expression" dxfId="2662" priority="101">
      <formula>AND(N$9&gt;=8/24,N$9&lt;14/24)</formula>
    </cfRule>
    <cfRule type="expression" dxfId="2661" priority="102">
      <formula>N$9&lt;8/24</formula>
    </cfRule>
  </conditionalFormatting>
  <conditionalFormatting sqref="S99:T100">
    <cfRule type="expression" dxfId="2660" priority="95">
      <formula>S$9&gt;=20/24</formula>
    </cfRule>
    <cfRule type="expression" dxfId="2659" priority="96">
      <formula>AND(S$9&gt;=14/24,S$9&lt;20/24)</formula>
    </cfRule>
    <cfRule type="expression" dxfId="2658" priority="97">
      <formula>AND(S$9&gt;=8/24,S$9&lt;14/24)</formula>
    </cfRule>
    <cfRule type="expression" dxfId="2657" priority="98">
      <formula>S$9&lt;8/24</formula>
    </cfRule>
  </conditionalFormatting>
  <conditionalFormatting sqref="AB58:AE59">
    <cfRule type="expression" dxfId="2656" priority="79">
      <formula>AB$9&gt;=20/24</formula>
    </cfRule>
    <cfRule type="expression" dxfId="2655" priority="80">
      <formula>AND(AB$9&gt;=14/24,AB$9&lt;20/24)</formula>
    </cfRule>
    <cfRule type="expression" dxfId="2654" priority="81">
      <formula>AND(AB$9&gt;=8/24,AB$9&lt;14/24)</formula>
    </cfRule>
    <cfRule type="expression" dxfId="2653" priority="82">
      <formula>AB$9&lt;8/24</formula>
    </cfRule>
  </conditionalFormatting>
  <conditionalFormatting sqref="AL3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652" priority="312">
      <formula>C$9&gt;=20/24</formula>
    </cfRule>
    <cfRule type="expression" dxfId="2651" priority="313">
      <formula>AND(C$9&gt;=14/24,C$9&lt;20/24)</formula>
    </cfRule>
    <cfRule type="expression" dxfId="2650" priority="314">
      <formula>AND(C$9&gt;=8/24,C$9&lt;14/24)</formula>
    </cfRule>
    <cfRule type="expression" dxfId="2649" priority="315">
      <formula>C$9&lt;8/24</formula>
    </cfRule>
  </conditionalFormatting>
  <conditionalFormatting sqref="A201">
    <cfRule type="expression" dxfId="2648" priority="316">
      <formula>$AH201=0</formula>
    </cfRule>
  </conditionalFormatting>
  <conditionalFormatting sqref="AG213">
    <cfRule type="expression" dxfId="2647" priority="317">
      <formula>B$9&gt;=20/24</formula>
    </cfRule>
    <cfRule type="expression" dxfId="2646" priority="318">
      <formula>AND(B$9&gt;=14/24,B$9&lt;20/24)</formula>
    </cfRule>
    <cfRule type="expression" dxfId="2645" priority="319">
      <formula>AND(B$9&gt;=8/24,B$9&lt;14/24)</formula>
    </cfRule>
    <cfRule type="expression" dxfId="2644" priority="320">
      <formula>B$9&lt;8/24</formula>
    </cfRule>
  </conditionalFormatting>
  <conditionalFormatting sqref="S8">
    <cfRule type="expression" dxfId="2643" priority="73">
      <formula>U$9&gt;=20/24</formula>
    </cfRule>
    <cfRule type="expression" dxfId="2642" priority="74">
      <formula>AND(U$9&gt;=14/24,U$9&lt;20/24)</formula>
    </cfRule>
    <cfRule type="expression" dxfId="2641" priority="75">
      <formula>AND(U$9&gt;=8/24,U$9&lt;14/24)</formula>
    </cfRule>
    <cfRule type="expression" dxfId="2640" priority="76">
      <formula>U$9&lt;8/24</formula>
    </cfRule>
  </conditionalFormatting>
  <conditionalFormatting sqref="AB8">
    <cfRule type="expression" dxfId="2639" priority="69">
      <formula>AD$9&gt;=20/24</formula>
    </cfRule>
    <cfRule type="expression" dxfId="2638" priority="70">
      <formula>AND(AD$9&gt;=14/24,AD$9&lt;20/24)</formula>
    </cfRule>
    <cfRule type="expression" dxfId="2637" priority="71">
      <formula>AND(AD$9&gt;=8/24,AD$9&lt;14/24)</formula>
    </cfRule>
    <cfRule type="expression" dxfId="2636" priority="72">
      <formula>AD$9&lt;8/24</formula>
    </cfRule>
  </conditionalFormatting>
  <conditionalFormatting sqref="AH213:AX213">
    <cfRule type="expression" dxfId="2635" priority="321">
      <formula>AG$9&gt;=20/24</formula>
    </cfRule>
    <cfRule type="expression" dxfId="2634" priority="322">
      <formula>AND(AG$9&gt;=14/24,AG$9&lt;20/24)</formula>
    </cfRule>
    <cfRule type="expression" dxfId="2633" priority="323">
      <formula>AND(AG$9&gt;=8/24,AG$9&lt;14/24)</formula>
    </cfRule>
    <cfRule type="expression" dxfId="2632" priority="324">
      <formula>AG$9&lt;8/24</formula>
    </cfRule>
  </conditionalFormatting>
  <conditionalFormatting sqref="T213">
    <cfRule type="expression" dxfId="2631" priority="325">
      <formula>AX$9&gt;=20/24</formula>
    </cfRule>
    <cfRule type="expression" dxfId="2630" priority="326">
      <formula>AND(AX$9&gt;=14/24,AX$9&lt;20/24)</formula>
    </cfRule>
    <cfRule type="expression" dxfId="2629" priority="327">
      <formula>AND(AX$9&gt;=8/24,AX$9&lt;14/24)</formula>
    </cfRule>
    <cfRule type="expression" dxfId="2628" priority="328">
      <formula>AX$9&lt;8/24</formula>
    </cfRule>
  </conditionalFormatting>
  <conditionalFormatting sqref="A99:A100">
    <cfRule type="expression" dxfId="2627" priority="68">
      <formula>$AH99=0</formula>
    </cfRule>
  </conditionalFormatting>
  <conditionalFormatting sqref="M33:Y33">
    <cfRule type="expression" dxfId="2626" priority="64">
      <formula>M$9&gt;=20/24</formula>
    </cfRule>
    <cfRule type="expression" dxfId="2625" priority="65">
      <formula>AND(M$9&gt;=14/24,M$9&lt;20/24)</formula>
    </cfRule>
    <cfRule type="expression" dxfId="2624" priority="66">
      <formula>AND(M$9&gt;=8/24,M$9&lt;14/24)</formula>
    </cfRule>
    <cfRule type="expression" dxfId="2623" priority="67">
      <formula>M$9&lt;8/24</formula>
    </cfRule>
  </conditionalFormatting>
  <conditionalFormatting sqref="Z33:AF33">
    <cfRule type="expression" dxfId="2622" priority="60">
      <formula>Z$9&gt;=20/24</formula>
    </cfRule>
    <cfRule type="expression" dxfId="2621" priority="61">
      <formula>AND(Z$9&gt;=14/24,Z$9&lt;20/24)</formula>
    </cfRule>
    <cfRule type="expression" dxfId="2620" priority="62">
      <formula>AND(Z$9&gt;=8/24,Z$9&lt;14/24)</formula>
    </cfRule>
    <cfRule type="expression" dxfId="2619" priority="63">
      <formula>Z$9&lt;8/24</formula>
    </cfRule>
  </conditionalFormatting>
  <conditionalFormatting sqref="M33:AF33">
    <cfRule type="expression" dxfId="2618" priority="55">
      <formula>M33&gt;$AG33</formula>
    </cfRule>
  </conditionalFormatting>
  <conditionalFormatting sqref="B94:B100 B53:B61 B68:B91 B40:C43 B11:D14 E12:I14 C61:I61 B28:L31 B36:L36 J13:L14 B16:L26">
    <cfRule type="expression" dxfId="2617" priority="51">
      <formula>B$9&gt;=20/24</formula>
    </cfRule>
    <cfRule type="expression" dxfId="2616" priority="52">
      <formula>AND(B$9&gt;=14/24,B$9&lt;20/24)</formula>
    </cfRule>
    <cfRule type="expression" dxfId="2615" priority="53">
      <formula>AND(B$9&gt;=8/24,B$9&lt;14/24)</formula>
    </cfRule>
    <cfRule type="expression" dxfId="2614" priority="54">
      <formula>B$9&lt;8/24</formula>
    </cfRule>
  </conditionalFormatting>
  <conditionalFormatting sqref="B32:L32">
    <cfRule type="expression" dxfId="2613" priority="47">
      <formula>B$9&gt;=20/24</formula>
    </cfRule>
    <cfRule type="expression" dxfId="2612" priority="48">
      <formula>AND(B$9&gt;=14/24,B$9&lt;20/24)</formula>
    </cfRule>
    <cfRule type="expression" dxfId="2611" priority="49">
      <formula>AND(B$9&gt;=8/24,B$9&lt;14/24)</formula>
    </cfRule>
    <cfRule type="expression" dxfId="2610" priority="50">
      <formula>B$9&lt;8/24</formula>
    </cfRule>
  </conditionalFormatting>
  <conditionalFormatting sqref="B39:C39">
    <cfRule type="expression" dxfId="2609" priority="43">
      <formula>B$9&gt;=20/24</formula>
    </cfRule>
    <cfRule type="expression" dxfId="2608" priority="44">
      <formula>AND(B$9&gt;=14/24,B$9&lt;20/24)</formula>
    </cfRule>
    <cfRule type="expression" dxfId="2607" priority="45">
      <formula>AND(B$9&gt;=8/24,B$9&lt;14/24)</formula>
    </cfRule>
    <cfRule type="expression" dxfId="2606" priority="46">
      <formula>B$9&lt;8/24</formula>
    </cfRule>
  </conditionalFormatting>
  <conditionalFormatting sqref="B37:L37">
    <cfRule type="expression" dxfId="2605" priority="39">
      <formula>B$9&gt;=20/24</formula>
    </cfRule>
    <cfRule type="expression" dxfId="2604" priority="40">
      <formula>AND(B$9&gt;=14/24,B$9&lt;20/24)</formula>
    </cfRule>
    <cfRule type="expression" dxfId="2603" priority="41">
      <formula>AND(B$9&gt;=8/24,B$9&lt;14/24)</formula>
    </cfRule>
    <cfRule type="expression" dxfId="2602" priority="42">
      <formula>B$9&lt;8/24</formula>
    </cfRule>
  </conditionalFormatting>
  <conditionalFormatting sqref="B35:L35">
    <cfRule type="expression" dxfId="2601" priority="35">
      <formula>B$9&gt;=20/24</formula>
    </cfRule>
    <cfRule type="expression" dxfId="2600" priority="36">
      <formula>AND(B$9&gt;=14/24,B$9&lt;20/24)</formula>
    </cfRule>
    <cfRule type="expression" dxfId="2599" priority="37">
      <formula>AND(B$9&gt;=8/24,B$9&lt;14/24)</formula>
    </cfRule>
    <cfRule type="expression" dxfId="2598" priority="38">
      <formula>B$9&lt;8/24</formula>
    </cfRule>
  </conditionalFormatting>
  <conditionalFormatting sqref="B45:L48">
    <cfRule type="expression" dxfId="2597" priority="31">
      <formula>B$9&gt;=20/24</formula>
    </cfRule>
    <cfRule type="expression" dxfId="2596" priority="32">
      <formula>AND(B$9&gt;=14/24,B$9&lt;20/24)</formula>
    </cfRule>
    <cfRule type="expression" dxfId="2595" priority="33">
      <formula>AND(B$9&gt;=8/24,B$9&lt;14/24)</formula>
    </cfRule>
    <cfRule type="expression" dxfId="2594" priority="34">
      <formula>B$9&lt;8/24</formula>
    </cfRule>
  </conditionalFormatting>
  <conditionalFormatting sqref="B49:L49">
    <cfRule type="expression" dxfId="2593" priority="27">
      <formula>B$9&gt;=20/24</formula>
    </cfRule>
    <cfRule type="expression" dxfId="2592" priority="28">
      <formula>AND(B$9&gt;=14/24,B$9&lt;20/24)</formula>
    </cfRule>
    <cfRule type="expression" dxfId="2591" priority="29">
      <formula>AND(B$9&gt;=8/24,B$9&lt;14/24)</formula>
    </cfRule>
    <cfRule type="expression" dxfId="2590" priority="30">
      <formula>B$9&lt;8/24</formula>
    </cfRule>
  </conditionalFormatting>
  <conditionalFormatting sqref="B50:L50">
    <cfRule type="expression" dxfId="2589" priority="23">
      <formula>B$9&gt;=20/24</formula>
    </cfRule>
    <cfRule type="expression" dxfId="2588" priority="24">
      <formula>AND(B$9&gt;=14/24,B$9&lt;20/24)</formula>
    </cfRule>
    <cfRule type="expression" dxfId="2587" priority="25">
      <formula>AND(B$9&gt;=8/24,B$9&lt;14/24)</formula>
    </cfRule>
    <cfRule type="expression" dxfId="2586" priority="26">
      <formula>B$9&lt;8/24</formula>
    </cfRule>
  </conditionalFormatting>
  <conditionalFormatting sqref="B62:L67">
    <cfRule type="expression" dxfId="2585" priority="19">
      <formula>B$9&gt;=20/24</formula>
    </cfRule>
    <cfRule type="expression" dxfId="2584" priority="20">
      <formula>AND(B$9&gt;=14/24,B$9&lt;20/24)</formula>
    </cfRule>
    <cfRule type="expression" dxfId="2583" priority="21">
      <formula>AND(B$9&gt;=8/24,B$9&lt;14/24)</formula>
    </cfRule>
    <cfRule type="expression" dxfId="2582" priority="22">
      <formula>B$9&lt;8/24</formula>
    </cfRule>
  </conditionalFormatting>
  <conditionalFormatting sqref="B34:B56 C39:C50 B11:D32 C17:E17 C22:E22 E12:I32 C34:L37 J13:L32 D44:L50">
    <cfRule type="expression" dxfId="2581" priority="18">
      <formula>B11&gt;$AG11</formula>
    </cfRule>
  </conditionalFormatting>
  <conditionalFormatting sqref="B34:L34">
    <cfRule type="expression" dxfId="2580" priority="14">
      <formula>B$9&gt;=20/24</formula>
    </cfRule>
    <cfRule type="expression" dxfId="2579" priority="15">
      <formula>AND(B$9&gt;=14/24,B$9&lt;20/24)</formula>
    </cfRule>
    <cfRule type="expression" dxfId="2578" priority="16">
      <formula>AND(B$9&gt;=8/24,B$9&lt;14/24)</formula>
    </cfRule>
    <cfRule type="expression" dxfId="2577" priority="17">
      <formula>B$9&lt;8/24</formula>
    </cfRule>
  </conditionalFormatting>
  <conditionalFormatting sqref="B15:L15">
    <cfRule type="expression" dxfId="2576" priority="10">
      <formula>B$9&gt;=20/24</formula>
    </cfRule>
    <cfRule type="expression" dxfId="2575" priority="11">
      <formula>AND(B$9&gt;=14/24,B$9&lt;20/24)</formula>
    </cfRule>
    <cfRule type="expression" dxfId="2574" priority="12">
      <formula>AND(B$9&gt;=8/24,B$9&lt;14/24)</formula>
    </cfRule>
    <cfRule type="expression" dxfId="2573" priority="13">
      <formula>B$9&lt;8/24</formula>
    </cfRule>
  </conditionalFormatting>
  <conditionalFormatting sqref="B44:L44">
    <cfRule type="expression" dxfId="2572" priority="6">
      <formula>B$9&gt;=20/24</formula>
    </cfRule>
    <cfRule type="expression" dxfId="2571" priority="7">
      <formula>AND(B$9&gt;=14/24,B$9&lt;20/24)</formula>
    </cfRule>
    <cfRule type="expression" dxfId="2570" priority="8">
      <formula>AND(B$9&gt;=8/24,B$9&lt;14/24)</formula>
    </cfRule>
    <cfRule type="expression" dxfId="2569" priority="9">
      <formula>B$9&lt;8/24</formula>
    </cfRule>
  </conditionalFormatting>
  <conditionalFormatting sqref="B33:L33">
    <cfRule type="expression" dxfId="2568" priority="2">
      <formula>B$9&gt;=20/24</formula>
    </cfRule>
    <cfRule type="expression" dxfId="2567" priority="3">
      <formula>AND(B$9&gt;=14/24,B$9&lt;20/24)</formula>
    </cfRule>
    <cfRule type="expression" dxfId="2566" priority="4">
      <formula>AND(B$9&gt;=8/24,B$9&lt;14/24)</formula>
    </cfRule>
    <cfRule type="expression" dxfId="2565" priority="5">
      <formula>B$9&lt;8/24</formula>
    </cfRule>
  </conditionalFormatting>
  <conditionalFormatting sqref="B33:L33">
    <cfRule type="expression" dxfId="2564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" id="{BAC96F4F-1396-4FFD-AE18-3A63CDFA6DC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CJ472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M46" sqref="M4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2078/12/23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241.29999999999998</v>
      </c>
      <c r="C5" s="157">
        <f t="shared" si="0"/>
        <v>237.3</v>
      </c>
      <c r="D5" s="157">
        <f t="shared" si="0"/>
        <v>232.9</v>
      </c>
      <c r="E5" s="157">
        <f t="shared" si="0"/>
        <v>228</v>
      </c>
      <c r="F5" s="157">
        <f t="shared" si="0"/>
        <v>226.3</v>
      </c>
      <c r="G5" s="157">
        <f t="shared" si="0"/>
        <v>243.70000000000002</v>
      </c>
      <c r="H5" s="157">
        <f t="shared" si="0"/>
        <v>258</v>
      </c>
      <c r="I5" s="157">
        <f t="shared" si="0"/>
        <v>433.9</v>
      </c>
      <c r="J5" s="157">
        <f t="shared" si="0"/>
        <v>366.9</v>
      </c>
      <c r="K5" s="157">
        <f t="shared" si="0"/>
        <v>0</v>
      </c>
      <c r="L5" s="157">
        <f t="shared" si="0"/>
        <v>376.1</v>
      </c>
      <c r="M5" s="157">
        <f t="shared" si="0"/>
        <v>374.90000000000003</v>
      </c>
      <c r="N5" s="157">
        <f t="shared" si="0"/>
        <v>508.70000000000005</v>
      </c>
      <c r="O5" s="157">
        <f t="shared" si="0"/>
        <v>432.04</v>
      </c>
      <c r="P5" s="157">
        <f t="shared" si="0"/>
        <v>531.4</v>
      </c>
      <c r="Q5" s="157">
        <f t="shared" si="0"/>
        <v>565.1</v>
      </c>
      <c r="R5" s="157">
        <f t="shared" si="0"/>
        <v>541.69999999999993</v>
      </c>
      <c r="S5" s="157">
        <f t="shared" si="0"/>
        <v>597.6</v>
      </c>
      <c r="T5" s="157">
        <f t="shared" si="0"/>
        <v>456.1</v>
      </c>
      <c r="U5" s="157">
        <f t="shared" si="0"/>
        <v>405.7</v>
      </c>
      <c r="V5" s="157">
        <f t="shared" si="0"/>
        <v>393</v>
      </c>
      <c r="W5" s="157">
        <f t="shared" si="0"/>
        <v>405.5</v>
      </c>
      <c r="X5" s="157">
        <f t="shared" si="0"/>
        <v>214.5</v>
      </c>
      <c r="Y5" s="157">
        <f t="shared" si="0"/>
        <v>209.5</v>
      </c>
      <c r="Z5" s="157">
        <f t="shared" si="0"/>
        <v>228</v>
      </c>
      <c r="AA5" s="157">
        <f t="shared" si="0"/>
        <v>247.85999999999999</v>
      </c>
      <c r="AB5" s="157">
        <f t="shared" si="0"/>
        <v>256.49</v>
      </c>
      <c r="AC5" s="157">
        <f t="shared" si="0"/>
        <v>234.3</v>
      </c>
      <c r="AD5" s="157">
        <f t="shared" si="0"/>
        <v>233.1</v>
      </c>
      <c r="AE5" s="157">
        <f t="shared" si="0"/>
        <v>241.7</v>
      </c>
      <c r="AF5" s="157">
        <f>B68</f>
        <v>214.32999999999998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1440MW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Load=4</v>
      </c>
      <c r="B7" s="146">
        <f>B75</f>
        <v>1308.47</v>
      </c>
      <c r="C7" s="146">
        <f t="shared" ref="C7:AF7" si="1">C75</f>
        <v>1269.44</v>
      </c>
      <c r="D7" s="146">
        <f t="shared" si="1"/>
        <v>1261.8399999999999</v>
      </c>
      <c r="E7" s="146">
        <f t="shared" si="1"/>
        <v>1219.24</v>
      </c>
      <c r="F7" s="146">
        <f t="shared" si="1"/>
        <v>1211.8399999999999</v>
      </c>
      <c r="G7" s="146">
        <f t="shared" si="1"/>
        <v>1224.6399999999999</v>
      </c>
      <c r="H7" s="146">
        <f t="shared" si="1"/>
        <v>1262.24</v>
      </c>
      <c r="I7" s="146">
        <f t="shared" si="1"/>
        <v>1284.6399999999999</v>
      </c>
      <c r="J7" s="146">
        <f t="shared" si="1"/>
        <v>1343.54</v>
      </c>
      <c r="K7" s="146">
        <f t="shared" si="1"/>
        <v>1397.94</v>
      </c>
      <c r="L7" s="146">
        <f t="shared" si="1"/>
        <v>3.54</v>
      </c>
      <c r="M7" s="146">
        <f t="shared" si="1"/>
        <v>1439.64</v>
      </c>
      <c r="N7" s="146">
        <f t="shared" si="1"/>
        <v>1391.74</v>
      </c>
      <c r="O7" s="146">
        <f t="shared" si="1"/>
        <v>1449.6399999999999</v>
      </c>
      <c r="P7" s="146">
        <f t="shared" si="1"/>
        <v>1451.58</v>
      </c>
      <c r="Q7" s="146">
        <f t="shared" si="1"/>
        <v>1462.7399999999998</v>
      </c>
      <c r="R7" s="146">
        <f t="shared" si="1"/>
        <v>1484.47</v>
      </c>
      <c r="S7" s="146">
        <f t="shared" si="1"/>
        <v>1478.7399999999998</v>
      </c>
      <c r="T7" s="146">
        <f t="shared" si="1"/>
        <v>1484.7399999999998</v>
      </c>
      <c r="U7" s="146">
        <f t="shared" si="1"/>
        <v>1495.1399999999999</v>
      </c>
      <c r="V7" s="146">
        <f t="shared" si="1"/>
        <v>1441.94</v>
      </c>
      <c r="W7" s="146">
        <f t="shared" si="1"/>
        <v>1437.6399999999999</v>
      </c>
      <c r="X7" s="146">
        <f t="shared" si="1"/>
        <v>1421.24</v>
      </c>
      <c r="Y7" s="146">
        <f t="shared" si="1"/>
        <v>1480.64</v>
      </c>
      <c r="Z7" s="146">
        <f t="shared" si="1"/>
        <v>1681.3400000000001</v>
      </c>
      <c r="AA7" s="146">
        <f t="shared" si="1"/>
        <v>1673.1400000000003</v>
      </c>
      <c r="AB7" s="146">
        <f t="shared" si="1"/>
        <v>1516.5</v>
      </c>
      <c r="AC7" s="146">
        <f t="shared" si="1"/>
        <v>1476.93</v>
      </c>
      <c r="AD7" s="146">
        <f t="shared" si="1"/>
        <v>1434.24</v>
      </c>
      <c r="AE7" s="146">
        <f t="shared" si="1"/>
        <v>1340.3400000000001</v>
      </c>
      <c r="AF7" s="146">
        <f t="shared" si="1"/>
        <v>1305.8399999999999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03">
        <v>240</v>
      </c>
      <c r="C11" s="103">
        <v>220</v>
      </c>
      <c r="D11" s="103">
        <v>200</v>
      </c>
      <c r="E11" s="127">
        <v>180</v>
      </c>
      <c r="F11" s="127">
        <v>180</v>
      </c>
      <c r="G11" s="127">
        <v>180</v>
      </c>
      <c r="H11" s="127">
        <v>200</v>
      </c>
      <c r="I11" s="127">
        <v>220</v>
      </c>
      <c r="J11" s="127">
        <v>90</v>
      </c>
      <c r="K11" s="127">
        <v>200</v>
      </c>
      <c r="L11" s="127"/>
      <c r="M11" s="103">
        <v>180</v>
      </c>
      <c r="N11" s="103">
        <v>150</v>
      </c>
      <c r="O11" s="103">
        <v>90</v>
      </c>
      <c r="P11" s="103">
        <v>155</v>
      </c>
      <c r="Q11" s="103">
        <v>75</v>
      </c>
      <c r="R11" s="103">
        <v>75</v>
      </c>
      <c r="S11" s="103">
        <v>90</v>
      </c>
      <c r="T11" s="103">
        <v>40</v>
      </c>
      <c r="U11" s="103">
        <v>200</v>
      </c>
      <c r="V11" s="103">
        <v>200</v>
      </c>
      <c r="W11" s="103">
        <v>200</v>
      </c>
      <c r="X11" s="103">
        <v>200</v>
      </c>
      <c r="Y11" s="103">
        <v>350</v>
      </c>
      <c r="Z11" s="179">
        <v>456</v>
      </c>
      <c r="AA11" s="103">
        <v>440</v>
      </c>
      <c r="AB11" s="103">
        <v>365</v>
      </c>
      <c r="AC11" s="103">
        <v>330</v>
      </c>
      <c r="AD11" s="103">
        <v>310</v>
      </c>
      <c r="AE11" s="103">
        <v>230</v>
      </c>
      <c r="AF11" s="103">
        <v>170</v>
      </c>
      <c r="AG11" s="54">
        <v>456</v>
      </c>
      <c r="AH11" s="21">
        <f>MAX(B11:AF11)</f>
        <v>456</v>
      </c>
      <c r="AI11" s="20">
        <f>MIN(B11:AF11)</f>
        <v>40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27</v>
      </c>
      <c r="C12" s="103">
        <v>27</v>
      </c>
      <c r="D12" s="103">
        <v>27</v>
      </c>
      <c r="E12" s="103">
        <v>27</v>
      </c>
      <c r="F12" s="103">
        <v>27</v>
      </c>
      <c r="G12" s="103">
        <v>27</v>
      </c>
      <c r="H12" s="127">
        <v>27</v>
      </c>
      <c r="I12" s="127">
        <v>27</v>
      </c>
      <c r="J12" s="127">
        <v>27</v>
      </c>
      <c r="K12" s="127">
        <v>27</v>
      </c>
      <c r="L12" s="127"/>
      <c r="M12" s="127">
        <v>28</v>
      </c>
      <c r="N12" s="127">
        <v>28</v>
      </c>
      <c r="O12" s="127">
        <v>27</v>
      </c>
      <c r="P12" s="127">
        <v>27</v>
      </c>
      <c r="Q12" s="127">
        <v>27</v>
      </c>
      <c r="R12" s="127">
        <v>27</v>
      </c>
      <c r="S12" s="77">
        <v>27</v>
      </c>
      <c r="T12" s="77">
        <v>27</v>
      </c>
      <c r="U12" s="77">
        <v>27</v>
      </c>
      <c r="V12" s="77">
        <v>27</v>
      </c>
      <c r="W12" s="77">
        <v>27</v>
      </c>
      <c r="X12" s="77">
        <v>27</v>
      </c>
      <c r="Y12" s="7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28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17.3</v>
      </c>
      <c r="C13" s="103">
        <v>17.100000000000001</v>
      </c>
      <c r="D13" s="103">
        <v>17.3</v>
      </c>
      <c r="E13" s="103">
        <v>17.3</v>
      </c>
      <c r="F13" s="103">
        <v>17.3</v>
      </c>
      <c r="G13" s="103">
        <v>17.3</v>
      </c>
      <c r="H13" s="103">
        <v>17.3</v>
      </c>
      <c r="I13" s="103">
        <v>17.3</v>
      </c>
      <c r="J13" s="103">
        <v>17.3</v>
      </c>
      <c r="K13" s="103">
        <v>17.3</v>
      </c>
      <c r="L13" s="127"/>
      <c r="M13" s="127">
        <v>18.3</v>
      </c>
      <c r="N13" s="127">
        <v>18.3</v>
      </c>
      <c r="O13" s="127">
        <v>18.2</v>
      </c>
      <c r="P13" s="127">
        <v>18.2</v>
      </c>
      <c r="Q13" s="127">
        <v>18.2</v>
      </c>
      <c r="R13" s="127">
        <v>16.5</v>
      </c>
      <c r="S13" s="77">
        <v>17.3</v>
      </c>
      <c r="T13" s="77">
        <v>18.3</v>
      </c>
      <c r="U13" s="77">
        <v>17.7</v>
      </c>
      <c r="V13" s="77">
        <v>16.100000000000001</v>
      </c>
      <c r="W13" s="77">
        <v>17.600000000000001</v>
      </c>
      <c r="X13" s="77">
        <v>17.5</v>
      </c>
      <c r="Y13" s="77">
        <v>17.600000000000001</v>
      </c>
      <c r="Z13" s="103">
        <v>17</v>
      </c>
      <c r="AA13" s="103">
        <v>16.100000000000001</v>
      </c>
      <c r="AB13" s="103">
        <v>16.100000000000001</v>
      </c>
      <c r="AC13" s="103">
        <v>16.100000000000001</v>
      </c>
      <c r="AD13" s="103">
        <v>20</v>
      </c>
      <c r="AE13" s="103">
        <v>20</v>
      </c>
      <c r="AF13" s="103">
        <v>20</v>
      </c>
      <c r="AG13" s="134">
        <v>52.4</v>
      </c>
      <c r="AH13" s="21">
        <f t="shared" si="2"/>
        <v>20</v>
      </c>
      <c r="AI13" s="20">
        <f t="shared" si="3"/>
        <v>16.100000000000001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25.3</v>
      </c>
      <c r="C14" s="103">
        <v>25.3</v>
      </c>
      <c r="D14" s="103">
        <v>25.4</v>
      </c>
      <c r="E14" s="103">
        <v>25.4</v>
      </c>
      <c r="F14" s="103">
        <v>25.4</v>
      </c>
      <c r="G14" s="103">
        <v>25.4</v>
      </c>
      <c r="H14" s="103">
        <v>25.4</v>
      </c>
      <c r="I14" s="103">
        <v>25.4</v>
      </c>
      <c r="J14" s="103">
        <v>25.4</v>
      </c>
      <c r="K14" s="103">
        <v>25.4</v>
      </c>
      <c r="L14" s="127"/>
      <c r="M14" s="103">
        <v>25.4</v>
      </c>
      <c r="N14" s="103">
        <v>25.4</v>
      </c>
      <c r="O14" s="103">
        <v>25.4</v>
      </c>
      <c r="P14" s="103">
        <v>25.4</v>
      </c>
      <c r="Q14" s="103">
        <v>25.4</v>
      </c>
      <c r="R14" s="103">
        <v>25.03</v>
      </c>
      <c r="S14" s="67">
        <v>25</v>
      </c>
      <c r="T14" s="67">
        <v>25.1</v>
      </c>
      <c r="U14" s="67">
        <v>25.2</v>
      </c>
      <c r="V14" s="67">
        <v>25.2</v>
      </c>
      <c r="W14" s="67">
        <v>25</v>
      </c>
      <c r="X14" s="67">
        <v>25.3</v>
      </c>
      <c r="Y14" s="67">
        <v>25.3</v>
      </c>
      <c r="Z14" s="103">
        <v>25.4</v>
      </c>
      <c r="AA14" s="103">
        <v>25.3</v>
      </c>
      <c r="AB14" s="103">
        <v>25.3</v>
      </c>
      <c r="AC14" s="103">
        <v>25.3</v>
      </c>
      <c r="AD14" s="103">
        <v>25.5</v>
      </c>
      <c r="AE14" s="103">
        <v>25.5</v>
      </c>
      <c r="AF14" s="103">
        <v>25.5</v>
      </c>
      <c r="AG14" s="134">
        <v>50</v>
      </c>
      <c r="AH14" s="21">
        <f t="shared" si="2"/>
        <v>25.5</v>
      </c>
      <c r="AI14" s="20">
        <f t="shared" si="3"/>
        <v>25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23</v>
      </c>
      <c r="C15" s="103">
        <v>22.7</v>
      </c>
      <c r="D15" s="103">
        <v>22.8</v>
      </c>
      <c r="E15" s="103">
        <v>22.8</v>
      </c>
      <c r="F15" s="103">
        <v>22.8</v>
      </c>
      <c r="G15" s="103">
        <v>22.8</v>
      </c>
      <c r="H15" s="103">
        <v>22.8</v>
      </c>
      <c r="I15" s="103">
        <v>22.8</v>
      </c>
      <c r="J15" s="103">
        <v>22.8</v>
      </c>
      <c r="K15" s="103">
        <v>22.8</v>
      </c>
      <c r="L15" s="123"/>
      <c r="M15" s="103">
        <v>22.7</v>
      </c>
      <c r="N15" s="103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67">
        <v>22.7</v>
      </c>
      <c r="T15" s="67">
        <v>22.7</v>
      </c>
      <c r="U15" s="67">
        <v>22.7</v>
      </c>
      <c r="V15" s="67">
        <v>22.7</v>
      </c>
      <c r="W15" s="67">
        <v>25.4</v>
      </c>
      <c r="X15" s="67">
        <v>22.7</v>
      </c>
      <c r="Y15" s="67">
        <v>22.7</v>
      </c>
      <c r="Z15" s="103">
        <v>22.7</v>
      </c>
      <c r="AA15" s="103">
        <v>22.7</v>
      </c>
      <c r="AB15" s="103">
        <v>22.7</v>
      </c>
      <c r="AC15" s="103">
        <v>22.7</v>
      </c>
      <c r="AD15" s="103">
        <v>22.7</v>
      </c>
      <c r="AE15" s="103">
        <v>22.7</v>
      </c>
      <c r="AF15" s="103">
        <v>22.7</v>
      </c>
      <c r="AG15" s="108">
        <v>45</v>
      </c>
      <c r="AH15" s="21">
        <f t="shared" si="2"/>
        <v>25.4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14</v>
      </c>
      <c r="C16" s="103">
        <v>14</v>
      </c>
      <c r="D16" s="103">
        <v>14</v>
      </c>
      <c r="E16" s="103">
        <v>14</v>
      </c>
      <c r="F16" s="103">
        <v>14</v>
      </c>
      <c r="G16" s="103">
        <v>14</v>
      </c>
      <c r="H16" s="103">
        <v>14</v>
      </c>
      <c r="I16" s="103">
        <v>14</v>
      </c>
      <c r="J16" s="103">
        <v>14</v>
      </c>
      <c r="K16" s="103">
        <v>14</v>
      </c>
      <c r="L16" s="127"/>
      <c r="M16" s="103">
        <v>13</v>
      </c>
      <c r="N16" s="103">
        <v>13</v>
      </c>
      <c r="O16" s="103">
        <v>13</v>
      </c>
      <c r="P16" s="103">
        <v>13</v>
      </c>
      <c r="Q16" s="103">
        <v>13</v>
      </c>
      <c r="R16" s="103">
        <v>13</v>
      </c>
      <c r="S16" s="103">
        <v>13</v>
      </c>
      <c r="T16" s="103">
        <v>13</v>
      </c>
      <c r="U16" s="103">
        <v>13</v>
      </c>
      <c r="V16" s="103">
        <v>13</v>
      </c>
      <c r="W16" s="70">
        <v>14</v>
      </c>
      <c r="X16" s="70">
        <v>14</v>
      </c>
      <c r="Y16" s="70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13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12</v>
      </c>
      <c r="C17" s="103">
        <v>12</v>
      </c>
      <c r="D17" s="103">
        <v>12</v>
      </c>
      <c r="E17" s="103">
        <v>12</v>
      </c>
      <c r="F17" s="103">
        <v>12</v>
      </c>
      <c r="G17" s="103">
        <v>12</v>
      </c>
      <c r="H17" s="103">
        <v>12</v>
      </c>
      <c r="I17" s="103">
        <v>12</v>
      </c>
      <c r="J17" s="103">
        <v>12</v>
      </c>
      <c r="K17" s="103">
        <v>12</v>
      </c>
      <c r="L17" s="127"/>
      <c r="M17" s="103">
        <v>12</v>
      </c>
      <c r="N17" s="103">
        <v>12</v>
      </c>
      <c r="O17" s="103">
        <v>12</v>
      </c>
      <c r="P17" s="103">
        <v>12</v>
      </c>
      <c r="Q17" s="103">
        <v>12</v>
      </c>
      <c r="R17" s="103">
        <v>12</v>
      </c>
      <c r="S17" s="103">
        <v>12</v>
      </c>
      <c r="T17" s="103">
        <v>12</v>
      </c>
      <c r="U17" s="103">
        <v>12</v>
      </c>
      <c r="V17" s="103">
        <v>12</v>
      </c>
      <c r="W17" s="103">
        <v>12</v>
      </c>
      <c r="X17" s="103">
        <v>12</v>
      </c>
      <c r="Y17" s="103">
        <v>12</v>
      </c>
      <c r="Z17" s="103">
        <v>12</v>
      </c>
      <c r="AA17" s="103">
        <v>12</v>
      </c>
      <c r="AB17" s="103">
        <v>12</v>
      </c>
      <c r="AC17" s="103">
        <v>12</v>
      </c>
      <c r="AD17" s="103">
        <v>12</v>
      </c>
      <c r="AE17" s="103">
        <v>12</v>
      </c>
      <c r="AF17" s="103">
        <v>12</v>
      </c>
      <c r="AG17" s="134">
        <v>42</v>
      </c>
      <c r="AH17" s="21">
        <f t="shared" si="2"/>
        <v>12</v>
      </c>
      <c r="AI17" s="20">
        <f t="shared" si="3"/>
        <v>12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27"/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13.2</v>
      </c>
      <c r="C19" s="103">
        <v>13.1</v>
      </c>
      <c r="D19" s="103">
        <v>13.2</v>
      </c>
      <c r="E19" s="103">
        <v>13.2</v>
      </c>
      <c r="F19" s="103">
        <v>13.2</v>
      </c>
      <c r="G19" s="103">
        <v>13.2</v>
      </c>
      <c r="H19" s="103">
        <v>13.2</v>
      </c>
      <c r="I19" s="103">
        <v>13.2</v>
      </c>
      <c r="J19" s="103">
        <v>13.2</v>
      </c>
      <c r="K19" s="103">
        <v>13.2</v>
      </c>
      <c r="L19" s="127"/>
      <c r="M19" s="103">
        <v>13.2</v>
      </c>
      <c r="N19" s="103">
        <v>13.2</v>
      </c>
      <c r="O19" s="103">
        <v>13.2</v>
      </c>
      <c r="P19" s="103">
        <v>13.2</v>
      </c>
      <c r="Q19" s="103">
        <v>13.2</v>
      </c>
      <c r="R19" s="103">
        <v>13.2</v>
      </c>
      <c r="S19" s="103">
        <v>13.2</v>
      </c>
      <c r="T19" s="103">
        <v>13.2</v>
      </c>
      <c r="U19" s="103">
        <v>13.2</v>
      </c>
      <c r="V19" s="103">
        <v>13.2</v>
      </c>
      <c r="W19" s="103">
        <v>13.2</v>
      </c>
      <c r="X19" s="103">
        <v>13.2</v>
      </c>
      <c r="Y19" s="103">
        <v>13.2</v>
      </c>
      <c r="Z19" s="103">
        <v>13.2</v>
      </c>
      <c r="AA19" s="103">
        <v>13.2</v>
      </c>
      <c r="AB19" s="103">
        <v>13.2</v>
      </c>
      <c r="AC19" s="103">
        <v>13.2</v>
      </c>
      <c r="AD19" s="103">
        <v>13.2</v>
      </c>
      <c r="AE19" s="103">
        <v>13.2</v>
      </c>
      <c r="AF19" s="103">
        <v>13.2</v>
      </c>
      <c r="AG19" s="134">
        <v>30</v>
      </c>
      <c r="AH19" s="21">
        <f t="shared" si="2"/>
        <v>13.2</v>
      </c>
      <c r="AI19" s="20">
        <f t="shared" si="3"/>
        <v>13.1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6.2</v>
      </c>
      <c r="C20" s="103">
        <v>6.2</v>
      </c>
      <c r="D20" s="103">
        <v>6.2</v>
      </c>
      <c r="E20" s="103">
        <v>6.2</v>
      </c>
      <c r="F20" s="103">
        <v>6.2</v>
      </c>
      <c r="G20" s="103">
        <v>6.2</v>
      </c>
      <c r="H20" s="103">
        <v>6.2</v>
      </c>
      <c r="I20" s="103">
        <v>6.2</v>
      </c>
      <c r="J20" s="103">
        <v>6.2</v>
      </c>
      <c r="K20" s="103">
        <v>6.2</v>
      </c>
      <c r="L20" s="127"/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27"/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22.9</v>
      </c>
      <c r="C22" s="103">
        <v>23</v>
      </c>
      <c r="D22" s="103">
        <v>23.2</v>
      </c>
      <c r="E22" s="103">
        <v>23.2</v>
      </c>
      <c r="F22" s="103">
        <v>23.2</v>
      </c>
      <c r="G22" s="103">
        <v>23.2</v>
      </c>
      <c r="H22" s="103">
        <v>23.2</v>
      </c>
      <c r="I22" s="103">
        <v>23.2</v>
      </c>
      <c r="J22" s="103">
        <v>23.2</v>
      </c>
      <c r="K22" s="103">
        <v>23.2</v>
      </c>
      <c r="L22" s="127"/>
      <c r="M22" s="103">
        <v>23.2</v>
      </c>
      <c r="N22" s="103">
        <v>23.2</v>
      </c>
      <c r="O22" s="103">
        <v>23.2</v>
      </c>
      <c r="P22" s="103">
        <v>23.2</v>
      </c>
      <c r="Q22" s="103">
        <v>23.2</v>
      </c>
      <c r="R22" s="103">
        <v>23.2</v>
      </c>
      <c r="S22" s="103">
        <v>23.2</v>
      </c>
      <c r="T22" s="103">
        <v>23.2</v>
      </c>
      <c r="U22" s="103">
        <v>22.4</v>
      </c>
      <c r="V22" s="103">
        <v>22.4</v>
      </c>
      <c r="W22" s="103">
        <v>22.4</v>
      </c>
      <c r="X22" s="103">
        <v>22.4</v>
      </c>
      <c r="Y22" s="103">
        <v>22.4</v>
      </c>
      <c r="Z22" s="103">
        <v>22.4</v>
      </c>
      <c r="AA22" s="103">
        <v>22.4</v>
      </c>
      <c r="AB22" s="103">
        <v>22.4</v>
      </c>
      <c r="AC22" s="103">
        <v>22.4</v>
      </c>
      <c r="AD22" s="103">
        <v>22.4</v>
      </c>
      <c r="AE22" s="103">
        <v>22.4</v>
      </c>
      <c r="AF22" s="103">
        <v>22.4</v>
      </c>
      <c r="AG22" s="134">
        <v>25</v>
      </c>
      <c r="AH22" s="21">
        <f t="shared" si="2"/>
        <v>23.2</v>
      </c>
      <c r="AI22" s="20">
        <f t="shared" si="3"/>
        <v>22.4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4.9000000000000004</v>
      </c>
      <c r="C23" s="103">
        <v>4.9000000000000004</v>
      </c>
      <c r="D23" s="103">
        <v>4.9000000000000004</v>
      </c>
      <c r="E23" s="103">
        <v>4.9000000000000004</v>
      </c>
      <c r="F23" s="103">
        <v>4.9000000000000004</v>
      </c>
      <c r="G23" s="103">
        <v>4.9000000000000004</v>
      </c>
      <c r="H23" s="103">
        <v>4.9000000000000004</v>
      </c>
      <c r="I23" s="103">
        <v>4.9000000000000004</v>
      </c>
      <c r="J23" s="103">
        <v>4.9000000000000004</v>
      </c>
      <c r="K23" s="103">
        <v>4.9000000000000004</v>
      </c>
      <c r="L23" s="127"/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8.3000000000000007</v>
      </c>
      <c r="C24" s="103">
        <v>8.6999999999999993</v>
      </c>
      <c r="D24" s="103">
        <v>8.6999999999999993</v>
      </c>
      <c r="E24" s="103">
        <v>8.6999999999999993</v>
      </c>
      <c r="F24" s="103">
        <v>8.6999999999999993</v>
      </c>
      <c r="G24" s="103">
        <v>8.6999999999999993</v>
      </c>
      <c r="H24" s="103">
        <v>8.6999999999999993</v>
      </c>
      <c r="I24" s="103">
        <v>8.6999999999999993</v>
      </c>
      <c r="J24" s="103">
        <v>8.6999999999999993</v>
      </c>
      <c r="K24" s="103">
        <v>8.6999999999999993</v>
      </c>
      <c r="L24" s="127"/>
      <c r="M24" s="103">
        <v>8.6999999999999993</v>
      </c>
      <c r="N24" s="103">
        <v>8.6999999999999993</v>
      </c>
      <c r="O24" s="103">
        <v>8.6999999999999993</v>
      </c>
      <c r="P24" s="103">
        <v>8.6999999999999993</v>
      </c>
      <c r="Q24" s="103">
        <v>8.6999999999999993</v>
      </c>
      <c r="R24" s="103">
        <v>8.6999999999999993</v>
      </c>
      <c r="S24" s="103">
        <v>8.6999999999999993</v>
      </c>
      <c r="T24" s="103">
        <v>8.6999999999999993</v>
      </c>
      <c r="U24" s="103">
        <v>8.6999999999999993</v>
      </c>
      <c r="V24" s="103">
        <v>8.6999999999999993</v>
      </c>
      <c r="W24" s="103">
        <v>8.6999999999999993</v>
      </c>
      <c r="X24" s="103">
        <v>8.6999999999999993</v>
      </c>
      <c r="Y24" s="103">
        <v>8.6999999999999993</v>
      </c>
      <c r="Z24" s="103">
        <v>8.6999999999999993</v>
      </c>
      <c r="AA24" s="103">
        <v>8.6999999999999993</v>
      </c>
      <c r="AB24" s="103">
        <v>8.6999999999999993</v>
      </c>
      <c r="AC24" s="103">
        <v>8.6999999999999993</v>
      </c>
      <c r="AD24" s="103">
        <v>8.6999999999999993</v>
      </c>
      <c r="AE24" s="103">
        <v>8.6999999999999993</v>
      </c>
      <c r="AF24" s="103">
        <v>8.6999999999999993</v>
      </c>
      <c r="AG24" s="134">
        <v>25</v>
      </c>
      <c r="AH24" s="21">
        <f t="shared" si="2"/>
        <v>8.6999999999999993</v>
      </c>
      <c r="AI24" s="20">
        <f t="shared" si="3"/>
        <v>8.3000000000000007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27"/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11</v>
      </c>
      <c r="C26" s="103">
        <v>11</v>
      </c>
      <c r="D26" s="103">
        <v>11</v>
      </c>
      <c r="E26" s="103">
        <v>11</v>
      </c>
      <c r="F26" s="103">
        <v>11</v>
      </c>
      <c r="G26" s="103">
        <v>11</v>
      </c>
      <c r="H26" s="103">
        <v>11</v>
      </c>
      <c r="I26" s="103">
        <v>11</v>
      </c>
      <c r="J26" s="103">
        <v>11</v>
      </c>
      <c r="K26" s="103">
        <v>11</v>
      </c>
      <c r="L26" s="127"/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03">
        <v>2.5</v>
      </c>
      <c r="C27" s="103">
        <v>2.5</v>
      </c>
      <c r="D27" s="103">
        <v>2.5</v>
      </c>
      <c r="E27" s="103">
        <v>2.5</v>
      </c>
      <c r="F27" s="103">
        <v>2.5</v>
      </c>
      <c r="G27" s="103">
        <v>2.5</v>
      </c>
      <c r="H27" s="103">
        <v>2.5</v>
      </c>
      <c r="I27" s="103">
        <v>2.5</v>
      </c>
      <c r="J27" s="103">
        <v>2.5</v>
      </c>
      <c r="K27" s="103">
        <v>2.5</v>
      </c>
      <c r="L27" s="127"/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5.6</v>
      </c>
      <c r="C28" s="103">
        <v>5.6</v>
      </c>
      <c r="D28" s="103">
        <v>5.6</v>
      </c>
      <c r="E28" s="103">
        <v>5.6</v>
      </c>
      <c r="F28" s="103">
        <v>5.6</v>
      </c>
      <c r="G28" s="103">
        <v>5.6</v>
      </c>
      <c r="H28" s="103">
        <v>5.6</v>
      </c>
      <c r="I28" s="103">
        <v>5.6</v>
      </c>
      <c r="J28" s="103">
        <v>5.6</v>
      </c>
      <c r="K28" s="103">
        <v>5.6</v>
      </c>
      <c r="L28" s="127"/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27"/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27"/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23"/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23"/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03">
        <v>2.5</v>
      </c>
      <c r="L33" s="123"/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23"/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23"/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/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f>27.3+20.3</f>
        <v>47.6</v>
      </c>
      <c r="C37" s="128">
        <f>27.8+19.8</f>
        <v>47.6</v>
      </c>
      <c r="D37" s="128">
        <f>28+19.5</f>
        <v>47.5</v>
      </c>
      <c r="E37" s="123">
        <f>28+20.1</f>
        <v>48.1</v>
      </c>
      <c r="F37" s="123">
        <f>28+20.8</f>
        <v>48.8</v>
      </c>
      <c r="G37" s="123">
        <f>28.1+20.4</f>
        <v>48.5</v>
      </c>
      <c r="H37" s="123">
        <f>28.4+19.7</f>
        <v>48.099999999999994</v>
      </c>
      <c r="I37" s="123">
        <f>28.6+19.1</f>
        <v>47.7</v>
      </c>
      <c r="J37" s="123">
        <f>28.3+19.4</f>
        <v>47.7</v>
      </c>
      <c r="K37" s="123">
        <f>28.6+19.3</f>
        <v>47.900000000000006</v>
      </c>
      <c r="L37" s="123"/>
      <c r="M37" s="128">
        <f>27.9+19.9</f>
        <v>47.8</v>
      </c>
      <c r="N37" s="128">
        <f>28.2+20.3</f>
        <v>48.5</v>
      </c>
      <c r="O37" s="128">
        <f>27.7+20</f>
        <v>47.7</v>
      </c>
      <c r="P37" s="128">
        <f>27.6+19</f>
        <v>46.6</v>
      </c>
      <c r="Q37" s="128">
        <f>23.6+19.2</f>
        <v>42.8</v>
      </c>
      <c r="R37" s="128">
        <f>27.2+19.6</f>
        <v>46.8</v>
      </c>
      <c r="S37" s="128">
        <v>46.6</v>
      </c>
      <c r="T37" s="128">
        <v>48.7</v>
      </c>
      <c r="U37" s="128">
        <v>45.4</v>
      </c>
      <c r="V37" s="128">
        <v>44.4</v>
      </c>
      <c r="W37" s="128">
        <v>44.1</v>
      </c>
      <c r="X37" s="128">
        <v>39.5</v>
      </c>
      <c r="Y37" s="128">
        <v>41.9</v>
      </c>
      <c r="Z37" s="128">
        <v>40.9</v>
      </c>
      <c r="AA37" s="128">
        <v>43.4</v>
      </c>
      <c r="AB37" s="128">
        <v>43.4</v>
      </c>
      <c r="AC37" s="128">
        <v>43.4</v>
      </c>
      <c r="AD37" s="128">
        <f>26.2+20.3</f>
        <v>46.5</v>
      </c>
      <c r="AE37" s="128">
        <f>26.7+22</f>
        <v>48.7</v>
      </c>
      <c r="AF37" s="128">
        <f>26.3+22.1</f>
        <v>48.400000000000006</v>
      </c>
      <c r="AG37" s="106">
        <v>240</v>
      </c>
      <c r="AH37" s="21">
        <f t="shared" si="2"/>
        <v>48.8</v>
      </c>
      <c r="AI37" s="20">
        <f t="shared" si="3"/>
        <v>39.5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641.5</v>
      </c>
      <c r="C38" s="99">
        <f t="shared" ref="C38:AF38" si="5">SUM(C11:C36)</f>
        <v>621.40000000000009</v>
      </c>
      <c r="D38" s="99">
        <f t="shared" si="5"/>
        <v>602.09999999999991</v>
      </c>
      <c r="E38" s="99">
        <f t="shared" si="5"/>
        <v>582.09999999999991</v>
      </c>
      <c r="F38" s="99">
        <f t="shared" si="5"/>
        <v>582.09999999999991</v>
      </c>
      <c r="G38" s="99">
        <f t="shared" si="5"/>
        <v>582.09999999999991</v>
      </c>
      <c r="H38" s="99">
        <f t="shared" si="5"/>
        <v>602.09999999999991</v>
      </c>
      <c r="I38" s="99">
        <f t="shared" si="5"/>
        <v>622.09999999999991</v>
      </c>
      <c r="J38" s="99">
        <f t="shared" si="5"/>
        <v>492.1</v>
      </c>
      <c r="K38" s="99">
        <f t="shared" si="5"/>
        <v>602.09999999999991</v>
      </c>
      <c r="L38" s="99">
        <f t="shared" si="5"/>
        <v>0</v>
      </c>
      <c r="M38" s="99">
        <f t="shared" si="5"/>
        <v>583</v>
      </c>
      <c r="N38" s="99">
        <f t="shared" si="5"/>
        <v>553</v>
      </c>
      <c r="O38" s="99">
        <f t="shared" si="5"/>
        <v>491.9</v>
      </c>
      <c r="P38" s="99">
        <f t="shared" si="5"/>
        <v>556.89999999999986</v>
      </c>
      <c r="Q38" s="99">
        <f t="shared" si="5"/>
        <v>476.9</v>
      </c>
      <c r="R38" s="99">
        <f t="shared" si="5"/>
        <v>474.83</v>
      </c>
      <c r="S38" s="99">
        <f t="shared" si="5"/>
        <v>490.59999999999997</v>
      </c>
      <c r="T38" s="99">
        <f>SUM(T11:T36)</f>
        <v>441.69999999999993</v>
      </c>
      <c r="U38" s="99">
        <f t="shared" si="5"/>
        <v>600.39999999999986</v>
      </c>
      <c r="V38" s="99">
        <f t="shared" si="5"/>
        <v>598.79999999999995</v>
      </c>
      <c r="W38" s="99">
        <f t="shared" si="5"/>
        <v>603.79999999999995</v>
      </c>
      <c r="X38" s="99">
        <f t="shared" si="5"/>
        <v>601.29999999999995</v>
      </c>
      <c r="Y38" s="99">
        <f>SUM(Y11:Y36)</f>
        <v>751.40000000000009</v>
      </c>
      <c r="Z38" s="99">
        <f t="shared" si="5"/>
        <v>856.9000000000002</v>
      </c>
      <c r="AA38" s="99">
        <f t="shared" si="5"/>
        <v>839.9000000000002</v>
      </c>
      <c r="AB38" s="99">
        <f t="shared" si="5"/>
        <v>764.90000000000009</v>
      </c>
      <c r="AC38" s="99">
        <f t="shared" si="5"/>
        <v>729.90000000000009</v>
      </c>
      <c r="AD38" s="99">
        <f t="shared" si="5"/>
        <v>714</v>
      </c>
      <c r="AE38" s="99">
        <f t="shared" si="5"/>
        <v>634</v>
      </c>
      <c r="AF38" s="99">
        <f t="shared" si="5"/>
        <v>574</v>
      </c>
      <c r="AG38" s="106">
        <f>SUM(AG11:AG37)</f>
        <v>1492.8299999999997</v>
      </c>
      <c r="AH38" s="21">
        <f t="shared" si="2"/>
        <v>856.9000000000002</v>
      </c>
      <c r="AI38" s="20">
        <f t="shared" si="3"/>
        <v>0</v>
      </c>
      <c r="AK38" s="42"/>
    </row>
    <row r="39" spans="1:88" x14ac:dyDescent="0.25">
      <c r="A39" s="109" t="s">
        <v>172</v>
      </c>
      <c r="B39" s="127">
        <v>144.30000000000001</v>
      </c>
      <c r="C39" s="123">
        <v>125.4</v>
      </c>
      <c r="D39" s="123">
        <v>121.5</v>
      </c>
      <c r="E39" s="123">
        <v>106.9</v>
      </c>
      <c r="F39" s="123">
        <v>101.4</v>
      </c>
      <c r="G39" s="123">
        <v>97</v>
      </c>
      <c r="H39" s="123">
        <v>97.2</v>
      </c>
      <c r="I39" s="123">
        <v>80</v>
      </c>
      <c r="J39" s="123">
        <v>75</v>
      </c>
      <c r="K39" s="123">
        <v>76.099999999999994</v>
      </c>
      <c r="L39" s="123"/>
      <c r="M39" s="103">
        <v>112.1</v>
      </c>
      <c r="N39" s="103">
        <v>96</v>
      </c>
      <c r="O39" s="103">
        <v>96</v>
      </c>
      <c r="P39" s="103">
        <v>100</v>
      </c>
      <c r="Q39" s="103">
        <v>86.2</v>
      </c>
      <c r="R39" s="103">
        <v>86.3</v>
      </c>
      <c r="S39" s="103">
        <v>111.6</v>
      </c>
      <c r="T39" s="103">
        <v>111.1</v>
      </c>
      <c r="U39" s="103">
        <v>111.2</v>
      </c>
      <c r="V39" s="103">
        <v>121.3</v>
      </c>
      <c r="W39" s="103">
        <v>121.4</v>
      </c>
      <c r="X39" s="103">
        <v>113.4</v>
      </c>
      <c r="Y39" s="103">
        <v>146</v>
      </c>
      <c r="Z39" s="103">
        <v>145</v>
      </c>
      <c r="AA39" s="103">
        <v>144.9</v>
      </c>
      <c r="AB39" s="103">
        <v>126</v>
      </c>
      <c r="AC39" s="103">
        <v>115</v>
      </c>
      <c r="AD39" s="103">
        <v>106</v>
      </c>
      <c r="AE39" s="103">
        <v>91.5</v>
      </c>
      <c r="AF39" s="103">
        <v>111</v>
      </c>
      <c r="AG39" s="108">
        <v>144</v>
      </c>
      <c r="AH39" s="21">
        <f t="shared" si="2"/>
        <v>146</v>
      </c>
      <c r="AI39" s="20">
        <f t="shared" si="3"/>
        <v>75</v>
      </c>
      <c r="AK39" s="42"/>
    </row>
    <row r="40" spans="1:88" x14ac:dyDescent="0.25">
      <c r="A40" s="107" t="s">
        <v>171</v>
      </c>
      <c r="B40" s="123">
        <v>61.7</v>
      </c>
      <c r="C40" s="123">
        <v>51.2</v>
      </c>
      <c r="D40" s="123">
        <v>52.5</v>
      </c>
      <c r="E40" s="123">
        <v>50.4</v>
      </c>
      <c r="F40" s="123">
        <v>52.4</v>
      </c>
      <c r="G40" s="123">
        <v>52.7</v>
      </c>
      <c r="H40" s="123">
        <v>54.4</v>
      </c>
      <c r="I40" s="123">
        <v>53.8</v>
      </c>
      <c r="J40" s="123">
        <v>71.8</v>
      </c>
      <c r="K40" s="123">
        <v>70.900000000000006</v>
      </c>
      <c r="L40" s="123"/>
      <c r="M40" s="73">
        <v>69.8</v>
      </c>
      <c r="N40" s="73">
        <v>69.8</v>
      </c>
      <c r="O40" s="73">
        <v>71</v>
      </c>
      <c r="P40" s="73">
        <v>70</v>
      </c>
      <c r="Q40" s="73">
        <v>70.5</v>
      </c>
      <c r="R40" s="73">
        <v>69.900000000000006</v>
      </c>
      <c r="S40" s="73">
        <v>70.5</v>
      </c>
      <c r="T40" s="73">
        <v>72.099999999999994</v>
      </c>
      <c r="U40" s="73">
        <v>62.4</v>
      </c>
      <c r="V40" s="73">
        <v>55.5</v>
      </c>
      <c r="W40" s="73">
        <v>56.1</v>
      </c>
      <c r="X40" s="73">
        <v>55.7</v>
      </c>
      <c r="Y40" s="73">
        <v>71.400000000000006</v>
      </c>
      <c r="Z40" s="73">
        <v>71.2</v>
      </c>
      <c r="AA40" s="73">
        <v>71.099999999999994</v>
      </c>
      <c r="AB40" s="73">
        <v>68</v>
      </c>
      <c r="AC40" s="73">
        <v>67.2</v>
      </c>
      <c r="AD40" s="73">
        <v>70.900000000000006</v>
      </c>
      <c r="AE40" s="73">
        <v>72.400000000000006</v>
      </c>
      <c r="AF40" s="73">
        <v>70.7</v>
      </c>
      <c r="AG40" s="106">
        <v>70</v>
      </c>
      <c r="AH40" s="21">
        <f t="shared" si="2"/>
        <v>72.400000000000006</v>
      </c>
      <c r="AI40" s="20">
        <f t="shared" si="3"/>
        <v>50.4</v>
      </c>
      <c r="AK40" s="42"/>
    </row>
    <row r="41" spans="1:88" x14ac:dyDescent="0.25">
      <c r="A41" s="107" t="s">
        <v>170</v>
      </c>
      <c r="B41" s="123">
        <v>47.6</v>
      </c>
      <c r="C41" s="123">
        <v>47.2</v>
      </c>
      <c r="D41" s="123">
        <v>47.4</v>
      </c>
      <c r="E41" s="123">
        <v>46.6</v>
      </c>
      <c r="F41" s="123">
        <v>46.8</v>
      </c>
      <c r="G41" s="123">
        <v>46.9</v>
      </c>
      <c r="H41" s="123">
        <v>46.6</v>
      </c>
      <c r="I41" s="123">
        <v>46.5</v>
      </c>
      <c r="J41" s="123">
        <v>45.7</v>
      </c>
      <c r="K41" s="123">
        <v>58.6</v>
      </c>
      <c r="L41" s="123"/>
      <c r="M41" s="73">
        <v>66.900000000000006</v>
      </c>
      <c r="N41" s="73">
        <v>66.599999999999994</v>
      </c>
      <c r="O41" s="73">
        <v>66.599999999999994</v>
      </c>
      <c r="P41" s="73">
        <v>66.2</v>
      </c>
      <c r="Q41" s="73">
        <v>66</v>
      </c>
      <c r="R41" s="73">
        <v>65.7</v>
      </c>
      <c r="S41" s="73">
        <v>45.8</v>
      </c>
      <c r="T41" s="73">
        <v>45</v>
      </c>
      <c r="U41" s="73">
        <v>34.5</v>
      </c>
      <c r="V41" s="73">
        <v>35.700000000000003</v>
      </c>
      <c r="W41" s="73">
        <v>34.200000000000003</v>
      </c>
      <c r="X41" s="73">
        <v>34.1</v>
      </c>
      <c r="Y41" s="73">
        <v>68</v>
      </c>
      <c r="Z41" s="73">
        <v>67.2</v>
      </c>
      <c r="AA41" s="73">
        <v>67.7</v>
      </c>
      <c r="AB41" s="73">
        <v>67.400000000000006</v>
      </c>
      <c r="AC41" s="73">
        <v>66.900000000000006</v>
      </c>
      <c r="AD41" s="73">
        <v>67.2</v>
      </c>
      <c r="AE41" s="73">
        <v>66.5</v>
      </c>
      <c r="AF41" s="73">
        <v>66.5</v>
      </c>
      <c r="AG41" s="106">
        <v>69</v>
      </c>
      <c r="AH41" s="21">
        <f t="shared" si="2"/>
        <v>68</v>
      </c>
      <c r="AI41" s="20">
        <f t="shared" si="3"/>
        <v>34.1</v>
      </c>
      <c r="AK41" s="42"/>
    </row>
    <row r="42" spans="1:88" x14ac:dyDescent="0.25">
      <c r="A42" s="107" t="s">
        <v>169</v>
      </c>
      <c r="B42" s="73">
        <v>60.9</v>
      </c>
      <c r="C42" s="123">
        <v>60.9</v>
      </c>
      <c r="D42" s="123">
        <v>60.9</v>
      </c>
      <c r="E42" s="123">
        <v>60.9</v>
      </c>
      <c r="F42" s="123">
        <v>60.9</v>
      </c>
      <c r="G42" s="123">
        <v>60.9</v>
      </c>
      <c r="H42" s="123">
        <v>60.9</v>
      </c>
      <c r="I42" s="123">
        <v>60.9</v>
      </c>
      <c r="J42" s="123">
        <v>60.9</v>
      </c>
      <c r="K42" s="123">
        <v>60.9</v>
      </c>
      <c r="L42" s="123"/>
      <c r="M42" s="73">
        <v>60.9</v>
      </c>
      <c r="N42" s="73">
        <v>60.9</v>
      </c>
      <c r="O42" s="73">
        <v>60.9</v>
      </c>
      <c r="P42" s="73">
        <v>60.9</v>
      </c>
      <c r="Q42" s="73">
        <v>60.9</v>
      </c>
      <c r="R42" s="73">
        <v>60.9</v>
      </c>
      <c r="S42" s="73">
        <v>60.7</v>
      </c>
      <c r="T42" s="73">
        <v>60.4</v>
      </c>
      <c r="U42" s="73">
        <v>60.4</v>
      </c>
      <c r="V42" s="73">
        <v>60.9</v>
      </c>
      <c r="W42" s="73">
        <v>60.9</v>
      </c>
      <c r="X42" s="73">
        <v>60.9</v>
      </c>
      <c r="Y42" s="73">
        <v>60.7</v>
      </c>
      <c r="Z42" s="73">
        <v>60.4</v>
      </c>
      <c r="AA42" s="73">
        <v>60.4</v>
      </c>
      <c r="AB42" s="73">
        <v>60.9</v>
      </c>
      <c r="AC42" s="73">
        <v>60.9</v>
      </c>
      <c r="AD42" s="73">
        <v>60.9</v>
      </c>
      <c r="AE42" s="73">
        <v>60.9</v>
      </c>
      <c r="AF42" s="73">
        <v>60.9</v>
      </c>
      <c r="AG42" s="106">
        <v>60</v>
      </c>
      <c r="AH42" s="21">
        <f t="shared" si="2"/>
        <v>60.9</v>
      </c>
      <c r="AI42" s="20">
        <f t="shared" si="3"/>
        <v>60.4</v>
      </c>
      <c r="AK42" s="42"/>
    </row>
    <row r="43" spans="1:88" x14ac:dyDescent="0.25">
      <c r="A43" s="107" t="s">
        <v>168</v>
      </c>
      <c r="B43" s="73">
        <v>14.8</v>
      </c>
      <c r="C43" s="123">
        <v>10</v>
      </c>
      <c r="D43" s="123">
        <v>10.4</v>
      </c>
      <c r="E43" s="123">
        <v>10</v>
      </c>
      <c r="F43" s="123">
        <v>10</v>
      </c>
      <c r="G43" s="123">
        <v>10</v>
      </c>
      <c r="H43" s="123">
        <v>10</v>
      </c>
      <c r="I43" s="123">
        <v>15</v>
      </c>
      <c r="J43" s="123">
        <v>15</v>
      </c>
      <c r="K43" s="123">
        <v>15.1</v>
      </c>
      <c r="L43" s="123"/>
      <c r="M43" s="103">
        <v>20</v>
      </c>
      <c r="N43" s="103">
        <v>20</v>
      </c>
      <c r="O43" s="103">
        <v>20</v>
      </c>
      <c r="P43" s="103">
        <v>20</v>
      </c>
      <c r="Q43" s="103">
        <v>19.899999999999999</v>
      </c>
      <c r="R43" s="103">
        <v>20.100000000000001</v>
      </c>
      <c r="S43" s="103">
        <v>20</v>
      </c>
      <c r="T43" s="103">
        <v>20</v>
      </c>
      <c r="U43" s="103">
        <v>15</v>
      </c>
      <c r="V43" s="103">
        <v>15</v>
      </c>
      <c r="W43" s="103">
        <v>15</v>
      </c>
      <c r="X43" s="103">
        <v>10</v>
      </c>
      <c r="Y43" s="103">
        <v>15</v>
      </c>
      <c r="Z43" s="73">
        <v>30</v>
      </c>
      <c r="AA43" s="7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30</v>
      </c>
      <c r="AG43" s="106">
        <v>30</v>
      </c>
      <c r="AH43" s="21">
        <f t="shared" si="2"/>
        <v>30</v>
      </c>
      <c r="AI43" s="20">
        <f t="shared" si="3"/>
        <v>10</v>
      </c>
      <c r="AK43" s="42"/>
    </row>
    <row r="44" spans="1:88" x14ac:dyDescent="0.25">
      <c r="A44" s="107" t="s">
        <v>167</v>
      </c>
      <c r="B44" s="103">
        <v>0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23"/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5</v>
      </c>
      <c r="T44" s="103">
        <v>5</v>
      </c>
      <c r="U44" s="103">
        <v>5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5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17.600000000000001</v>
      </c>
      <c r="C45" s="103">
        <v>17.600000000000001</v>
      </c>
      <c r="D45" s="103">
        <v>17.600000000000001</v>
      </c>
      <c r="E45" s="103">
        <v>17.600000000000001</v>
      </c>
      <c r="F45" s="103">
        <v>17.600000000000001</v>
      </c>
      <c r="G45" s="103">
        <v>17.600000000000001</v>
      </c>
      <c r="H45" s="103">
        <v>17.600000000000001</v>
      </c>
      <c r="I45" s="103">
        <v>17.600000000000001</v>
      </c>
      <c r="J45" s="103">
        <v>17.600000000000001</v>
      </c>
      <c r="K45" s="103">
        <v>17.600000000000001</v>
      </c>
      <c r="L45" s="120"/>
      <c r="M45" s="103">
        <v>17.600000000000001</v>
      </c>
      <c r="N45" s="103">
        <v>17.600000000000001</v>
      </c>
      <c r="O45" s="103">
        <v>17.600000000000001</v>
      </c>
      <c r="P45" s="103">
        <v>17.600000000000001</v>
      </c>
      <c r="Q45" s="103">
        <v>17.600000000000001</v>
      </c>
      <c r="R45" s="103">
        <v>17.600000000000001</v>
      </c>
      <c r="S45" s="103">
        <v>17.600000000000001</v>
      </c>
      <c r="T45" s="103">
        <v>17.600000000000001</v>
      </c>
      <c r="U45" s="103">
        <v>17.600000000000001</v>
      </c>
      <c r="V45" s="103">
        <v>17.600000000000001</v>
      </c>
      <c r="W45" s="103">
        <v>17.600000000000001</v>
      </c>
      <c r="X45" s="103">
        <v>17.600000000000001</v>
      </c>
      <c r="Y45" s="103">
        <v>17.600000000000001</v>
      </c>
      <c r="Z45" s="103">
        <v>17.600000000000001</v>
      </c>
      <c r="AA45" s="103">
        <v>17.600000000000001</v>
      </c>
      <c r="AB45" s="103">
        <v>17.600000000000001</v>
      </c>
      <c r="AC45" s="103">
        <v>17.600000000000001</v>
      </c>
      <c r="AD45" s="103">
        <v>17.600000000000001</v>
      </c>
      <c r="AE45" s="103">
        <v>17.600000000000001</v>
      </c>
      <c r="AF45" s="103">
        <v>17.600000000000001</v>
      </c>
      <c r="AG45" s="106">
        <v>24</v>
      </c>
      <c r="AH45" s="21">
        <f t="shared" si="2"/>
        <v>17.600000000000001</v>
      </c>
      <c r="AI45" s="20">
        <f t="shared" si="3"/>
        <v>17.600000000000001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23"/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03">
        <v>12</v>
      </c>
      <c r="H47" s="103">
        <v>12</v>
      </c>
      <c r="I47" s="103">
        <v>12</v>
      </c>
      <c r="J47" s="103">
        <v>12</v>
      </c>
      <c r="K47" s="103">
        <v>12</v>
      </c>
      <c r="L47" s="123"/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7.2</v>
      </c>
      <c r="C48" s="103">
        <v>7.2</v>
      </c>
      <c r="D48" s="103">
        <v>7.2</v>
      </c>
      <c r="E48" s="103">
        <v>7.2</v>
      </c>
      <c r="F48" s="103">
        <v>7.2</v>
      </c>
      <c r="G48" s="103">
        <v>7.2</v>
      </c>
      <c r="H48" s="103">
        <v>7.2</v>
      </c>
      <c r="I48" s="103">
        <v>7.2</v>
      </c>
      <c r="J48" s="103">
        <v>7.2</v>
      </c>
      <c r="K48" s="103">
        <v>7.2</v>
      </c>
      <c r="L48" s="120"/>
      <c r="M48" s="103">
        <v>7.2</v>
      </c>
      <c r="N48" s="103">
        <v>7.2</v>
      </c>
      <c r="O48" s="103">
        <v>7.2</v>
      </c>
      <c r="P48" s="103">
        <v>7.2</v>
      </c>
      <c r="Q48" s="103">
        <v>7.2</v>
      </c>
      <c r="R48" s="10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03">
        <v>6.5</v>
      </c>
      <c r="C49" s="103">
        <v>6.5</v>
      </c>
      <c r="D49" s="103">
        <v>6.5</v>
      </c>
      <c r="E49" s="103">
        <v>6.5</v>
      </c>
      <c r="F49" s="103">
        <v>6.5</v>
      </c>
      <c r="G49" s="103">
        <v>6.5</v>
      </c>
      <c r="H49" s="103">
        <v>6.5</v>
      </c>
      <c r="I49" s="103">
        <v>6.5</v>
      </c>
      <c r="J49" s="103">
        <v>6.5</v>
      </c>
      <c r="K49" s="103">
        <v>6.5</v>
      </c>
      <c r="L49" s="123"/>
      <c r="M49" s="103">
        <v>8.6999999999999993</v>
      </c>
      <c r="N49" s="103">
        <v>8.6999999999999993</v>
      </c>
      <c r="O49" s="103">
        <v>8.6999999999999993</v>
      </c>
      <c r="P49" s="103">
        <v>8.6999999999999993</v>
      </c>
      <c r="Q49" s="103">
        <v>8.6999999999999993</v>
      </c>
      <c r="R49" s="103">
        <v>8.6999999999999993</v>
      </c>
      <c r="S49" s="103">
        <v>8.6999999999999993</v>
      </c>
      <c r="T49" s="103">
        <v>8.6999999999999993</v>
      </c>
      <c r="U49" s="103">
        <v>8.6999999999999993</v>
      </c>
      <c r="V49" s="103">
        <v>8.6999999999999993</v>
      </c>
      <c r="W49" s="103">
        <v>8.6999999999999993</v>
      </c>
      <c r="X49" s="103">
        <v>8.6999999999999993</v>
      </c>
      <c r="Y49" s="10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0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6.5</v>
      </c>
      <c r="AK49" s="42"/>
    </row>
    <row r="50" spans="1:37" x14ac:dyDescent="0.25">
      <c r="A50" s="107" t="s">
        <v>161</v>
      </c>
      <c r="B50" s="103">
        <v>2.5</v>
      </c>
      <c r="C50" s="103">
        <v>2.5</v>
      </c>
      <c r="D50" s="103">
        <v>2.5</v>
      </c>
      <c r="E50" s="103">
        <v>2.5</v>
      </c>
      <c r="F50" s="103">
        <v>2.5</v>
      </c>
      <c r="G50" s="103">
        <v>2.5</v>
      </c>
      <c r="H50" s="103">
        <v>2.5</v>
      </c>
      <c r="I50" s="103">
        <v>2.5</v>
      </c>
      <c r="J50" s="103">
        <v>2.5</v>
      </c>
      <c r="K50" s="103">
        <v>2.5</v>
      </c>
      <c r="L50" s="123"/>
      <c r="M50" s="103">
        <v>3</v>
      </c>
      <c r="N50" s="103">
        <v>3</v>
      </c>
      <c r="O50" s="103">
        <v>3</v>
      </c>
      <c r="P50" s="103">
        <v>3</v>
      </c>
      <c r="Q50" s="103">
        <v>3</v>
      </c>
      <c r="R50" s="103">
        <v>3</v>
      </c>
      <c r="S50" s="103">
        <v>3</v>
      </c>
      <c r="T50" s="103">
        <v>3</v>
      </c>
      <c r="U50" s="103">
        <v>3</v>
      </c>
      <c r="V50" s="103">
        <v>3</v>
      </c>
      <c r="W50" s="103">
        <v>3</v>
      </c>
      <c r="X50" s="103">
        <v>3</v>
      </c>
      <c r="Y50" s="10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03">
        <v>3</v>
      </c>
      <c r="AG50" s="106">
        <v>6.2</v>
      </c>
      <c r="AH50" s="21">
        <f t="shared" si="2"/>
        <v>3</v>
      </c>
      <c r="AI50" s="20">
        <f t="shared" si="3"/>
        <v>2.5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378.64000000000004</v>
      </c>
      <c r="C52" s="99">
        <f t="shared" ref="C52:AF52" si="9">SUM(C39:C51)</f>
        <v>344.04</v>
      </c>
      <c r="D52" s="99">
        <f t="shared" si="9"/>
        <v>342.04</v>
      </c>
      <c r="E52" s="99">
        <f t="shared" si="9"/>
        <v>324.14000000000004</v>
      </c>
      <c r="F52" s="99">
        <f t="shared" si="9"/>
        <v>320.84000000000003</v>
      </c>
      <c r="G52" s="99">
        <f t="shared" si="9"/>
        <v>316.84000000000003</v>
      </c>
      <c r="H52" s="99">
        <f t="shared" si="9"/>
        <v>318.44</v>
      </c>
      <c r="I52" s="99">
        <f t="shared" si="9"/>
        <v>305.54000000000008</v>
      </c>
      <c r="J52" s="99">
        <f t="shared" si="9"/>
        <v>317.74</v>
      </c>
      <c r="K52" s="99">
        <f t="shared" si="9"/>
        <v>330.94000000000005</v>
      </c>
      <c r="L52" s="99">
        <f t="shared" si="9"/>
        <v>3.54</v>
      </c>
      <c r="M52" s="99">
        <f t="shared" si="9"/>
        <v>381.74</v>
      </c>
      <c r="N52" s="99">
        <f t="shared" si="9"/>
        <v>365.34000000000003</v>
      </c>
      <c r="O52" s="99">
        <f t="shared" si="9"/>
        <v>366.54</v>
      </c>
      <c r="P52" s="99">
        <f t="shared" si="9"/>
        <v>369.14</v>
      </c>
      <c r="Q52" s="99">
        <f t="shared" si="9"/>
        <v>355.53999999999996</v>
      </c>
      <c r="R52" s="99">
        <f t="shared" si="9"/>
        <v>354.94</v>
      </c>
      <c r="S52" s="99">
        <f t="shared" si="9"/>
        <v>365.64</v>
      </c>
      <c r="T52" s="99">
        <f t="shared" si="9"/>
        <v>365.64</v>
      </c>
      <c r="U52" s="99">
        <f t="shared" si="9"/>
        <v>340.54</v>
      </c>
      <c r="V52" s="99">
        <f t="shared" si="9"/>
        <v>340.44</v>
      </c>
      <c r="W52" s="99">
        <f t="shared" si="9"/>
        <v>339.64</v>
      </c>
      <c r="X52" s="99">
        <f t="shared" si="9"/>
        <v>326.14000000000004</v>
      </c>
      <c r="Y52" s="99">
        <f t="shared" si="9"/>
        <v>413.14</v>
      </c>
      <c r="Z52" s="99">
        <f t="shared" si="9"/>
        <v>425.84</v>
      </c>
      <c r="AA52" s="99">
        <f t="shared" si="9"/>
        <v>426.14</v>
      </c>
      <c r="AB52" s="99">
        <f t="shared" si="9"/>
        <v>404.34</v>
      </c>
      <c r="AC52" s="99">
        <f t="shared" si="9"/>
        <v>392.04</v>
      </c>
      <c r="AD52" s="99">
        <f t="shared" si="9"/>
        <v>387.04</v>
      </c>
      <c r="AE52" s="99">
        <f t="shared" si="9"/>
        <v>373.34000000000003</v>
      </c>
      <c r="AF52" s="99">
        <f t="shared" si="9"/>
        <v>391.14</v>
      </c>
      <c r="AG52" s="98">
        <f>SUM(AG39:AG51)</f>
        <v>489.91</v>
      </c>
      <c r="AH52" s="21">
        <f t="shared" si="2"/>
        <v>426.14</v>
      </c>
      <c r="AI52" s="20">
        <f t="shared" si="3"/>
        <v>3.54</v>
      </c>
      <c r="AK52" s="42"/>
    </row>
    <row r="53" spans="1:37" x14ac:dyDescent="0.25">
      <c r="A53" s="109" t="s">
        <v>159</v>
      </c>
      <c r="B53" s="103">
        <v>45</v>
      </c>
      <c r="C53" s="123">
        <v>38</v>
      </c>
      <c r="D53" s="123">
        <v>49.3</v>
      </c>
      <c r="E53" s="123">
        <v>49.3</v>
      </c>
      <c r="F53" s="123">
        <v>49</v>
      </c>
      <c r="G53" s="123">
        <v>59.5</v>
      </c>
      <c r="H53" s="123">
        <v>59.1</v>
      </c>
      <c r="I53" s="123">
        <v>59.2</v>
      </c>
      <c r="J53" s="123">
        <v>59.5</v>
      </c>
      <c r="K53" s="123">
        <v>59.6</v>
      </c>
      <c r="L53" s="123"/>
      <c r="M53" s="122">
        <v>59.1</v>
      </c>
      <c r="N53" s="122">
        <v>59</v>
      </c>
      <c r="O53" s="122">
        <v>50</v>
      </c>
      <c r="P53" s="122">
        <v>59</v>
      </c>
      <c r="Q53" s="103">
        <v>59.4</v>
      </c>
      <c r="R53" s="103">
        <v>49.5</v>
      </c>
      <c r="S53" s="103">
        <v>49.8</v>
      </c>
      <c r="T53" s="103">
        <v>49.5</v>
      </c>
      <c r="U53" s="103">
        <v>58.9</v>
      </c>
      <c r="V53" s="103">
        <v>59.9</v>
      </c>
      <c r="W53" s="103">
        <v>59.7</v>
      </c>
      <c r="X53" s="103">
        <v>48.8</v>
      </c>
      <c r="Y53" s="103">
        <v>60</v>
      </c>
      <c r="Z53" s="103">
        <v>59.9</v>
      </c>
      <c r="AA53" s="103">
        <v>59.9</v>
      </c>
      <c r="AB53" s="103">
        <v>59.4</v>
      </c>
      <c r="AC53" s="103">
        <v>59.2</v>
      </c>
      <c r="AD53" s="103">
        <v>59.7</v>
      </c>
      <c r="AE53" s="103">
        <v>59.6</v>
      </c>
      <c r="AF53" s="103">
        <v>59.5</v>
      </c>
      <c r="AG53" s="108">
        <v>60</v>
      </c>
      <c r="AH53" s="21">
        <f t="shared" si="2"/>
        <v>60</v>
      </c>
      <c r="AI53" s="20">
        <f t="shared" si="3"/>
        <v>38</v>
      </c>
      <c r="AK53" s="42"/>
    </row>
    <row r="54" spans="1:37" x14ac:dyDescent="0.25">
      <c r="A54" s="107" t="s">
        <v>158</v>
      </c>
      <c r="B54" s="73">
        <v>21.4</v>
      </c>
      <c r="C54" s="123">
        <v>18.100000000000001</v>
      </c>
      <c r="D54" s="123">
        <v>22.8</v>
      </c>
      <c r="E54" s="123">
        <v>22.6</v>
      </c>
      <c r="F54" s="123">
        <v>23.4</v>
      </c>
      <c r="G54" s="123">
        <v>29.2</v>
      </c>
      <c r="H54" s="123">
        <v>28.5</v>
      </c>
      <c r="I54" s="123">
        <v>29.4</v>
      </c>
      <c r="J54" s="123">
        <v>29.5</v>
      </c>
      <c r="K54" s="123">
        <v>28.1</v>
      </c>
      <c r="L54" s="123"/>
      <c r="M54" s="122">
        <v>29.1</v>
      </c>
      <c r="N54" s="122">
        <v>28.9</v>
      </c>
      <c r="O54" s="122">
        <v>23.8</v>
      </c>
      <c r="P54" s="122">
        <v>25.3</v>
      </c>
      <c r="Q54" s="73">
        <v>28.9</v>
      </c>
      <c r="R54" s="73">
        <v>29.4</v>
      </c>
      <c r="S54" s="103">
        <v>22.7</v>
      </c>
      <c r="T54" s="103">
        <v>22.2</v>
      </c>
      <c r="U54" s="103">
        <v>28.7</v>
      </c>
      <c r="V54" s="73">
        <v>27.2</v>
      </c>
      <c r="W54" s="73">
        <v>30.4</v>
      </c>
      <c r="X54" s="73">
        <v>28.9</v>
      </c>
      <c r="Y54" s="73">
        <v>30.5</v>
      </c>
      <c r="Z54" s="73">
        <v>28.7</v>
      </c>
      <c r="AA54" s="73">
        <v>28.7</v>
      </c>
      <c r="AB54" s="73">
        <v>29.3</v>
      </c>
      <c r="AC54" s="73">
        <v>28.8</v>
      </c>
      <c r="AD54" s="73">
        <v>28.7</v>
      </c>
      <c r="AE54" s="73">
        <v>29.5</v>
      </c>
      <c r="AF54" s="73">
        <v>28.9</v>
      </c>
      <c r="AG54" s="106">
        <v>32</v>
      </c>
      <c r="AH54" s="21">
        <f t="shared" si="2"/>
        <v>30.5</v>
      </c>
      <c r="AI54" s="20">
        <f t="shared" si="3"/>
        <v>18.100000000000001</v>
      </c>
      <c r="AK54" s="42"/>
    </row>
    <row r="55" spans="1:37" ht="15.75" thickBot="1" x14ac:dyDescent="0.3">
      <c r="A55" s="121" t="s">
        <v>157</v>
      </c>
      <c r="B55" s="118">
        <v>7.6</v>
      </c>
      <c r="C55" s="120">
        <v>6.6</v>
      </c>
      <c r="D55" s="120">
        <v>8.3000000000000007</v>
      </c>
      <c r="E55" s="120">
        <v>8.1999999999999993</v>
      </c>
      <c r="F55" s="120">
        <v>8.5</v>
      </c>
      <c r="G55" s="120">
        <v>10.7</v>
      </c>
      <c r="H55" s="120">
        <v>10.4</v>
      </c>
      <c r="I55" s="120">
        <v>10.4</v>
      </c>
      <c r="J55" s="120">
        <v>10.8</v>
      </c>
      <c r="K55" s="120">
        <v>10.3</v>
      </c>
      <c r="L55" s="120"/>
      <c r="M55" s="119">
        <v>10.6</v>
      </c>
      <c r="N55" s="119">
        <v>10.6</v>
      </c>
      <c r="O55" s="119">
        <v>8.6999999999999993</v>
      </c>
      <c r="P55" s="119">
        <v>9.1999999999999993</v>
      </c>
      <c r="Q55" s="118">
        <v>10.6</v>
      </c>
      <c r="R55" s="118">
        <v>10.7</v>
      </c>
      <c r="S55" s="103">
        <v>8.3000000000000007</v>
      </c>
      <c r="T55" s="103">
        <v>8.1</v>
      </c>
      <c r="U55" s="103">
        <v>10.5</v>
      </c>
      <c r="V55" s="118">
        <v>9.9</v>
      </c>
      <c r="W55" s="118">
        <v>11.1</v>
      </c>
      <c r="X55" s="118">
        <v>10.6</v>
      </c>
      <c r="Y55" s="118">
        <v>11.1</v>
      </c>
      <c r="Z55" s="118">
        <v>10.5</v>
      </c>
      <c r="AA55" s="118">
        <v>10.5</v>
      </c>
      <c r="AB55" s="118">
        <v>10.7</v>
      </c>
      <c r="AC55" s="118">
        <v>10.5</v>
      </c>
      <c r="AD55" s="118">
        <v>10.5</v>
      </c>
      <c r="AE55" s="118">
        <v>10.8</v>
      </c>
      <c r="AF55" s="118">
        <v>10.6</v>
      </c>
      <c r="AG55" s="117">
        <v>14</v>
      </c>
      <c r="AH55" s="21">
        <f t="shared" si="2"/>
        <v>11.1</v>
      </c>
      <c r="AI55" s="20">
        <f t="shared" si="3"/>
        <v>6.6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74</v>
      </c>
      <c r="C56" s="99">
        <f>SUM(C53:C55)</f>
        <v>62.7</v>
      </c>
      <c r="D56" s="99">
        <f t="shared" ref="D56:AF56" si="11">SUM(D53:D55)</f>
        <v>80.399999999999991</v>
      </c>
      <c r="E56" s="99">
        <f t="shared" si="11"/>
        <v>80.100000000000009</v>
      </c>
      <c r="F56" s="99">
        <f t="shared" si="11"/>
        <v>80.900000000000006</v>
      </c>
      <c r="G56" s="99">
        <f t="shared" si="11"/>
        <v>99.4</v>
      </c>
      <c r="H56" s="99">
        <f t="shared" si="11"/>
        <v>98</v>
      </c>
      <c r="I56" s="99">
        <f t="shared" si="11"/>
        <v>99</v>
      </c>
      <c r="J56" s="99">
        <f t="shared" si="11"/>
        <v>99.8</v>
      </c>
      <c r="K56" s="99">
        <f t="shared" si="11"/>
        <v>98</v>
      </c>
      <c r="L56" s="99">
        <f t="shared" si="11"/>
        <v>0</v>
      </c>
      <c r="M56" s="99">
        <f t="shared" si="11"/>
        <v>98.8</v>
      </c>
      <c r="N56" s="99">
        <f t="shared" si="11"/>
        <v>98.5</v>
      </c>
      <c r="O56" s="99">
        <f t="shared" si="11"/>
        <v>82.5</v>
      </c>
      <c r="P56" s="99">
        <f t="shared" si="11"/>
        <v>93.5</v>
      </c>
      <c r="Q56" s="99">
        <f t="shared" si="11"/>
        <v>98.899999999999991</v>
      </c>
      <c r="R56" s="99">
        <f t="shared" si="11"/>
        <v>89.600000000000009</v>
      </c>
      <c r="S56" s="99">
        <f t="shared" si="11"/>
        <v>80.8</v>
      </c>
      <c r="T56" s="99">
        <f t="shared" si="11"/>
        <v>79.8</v>
      </c>
      <c r="U56" s="99">
        <f t="shared" si="11"/>
        <v>98.1</v>
      </c>
      <c r="V56" s="99">
        <f t="shared" si="11"/>
        <v>97</v>
      </c>
      <c r="W56" s="99">
        <f t="shared" si="11"/>
        <v>101.19999999999999</v>
      </c>
      <c r="X56" s="99">
        <f t="shared" si="11"/>
        <v>88.299999999999983</v>
      </c>
      <c r="Y56" s="99">
        <f t="shared" si="11"/>
        <v>101.6</v>
      </c>
      <c r="Z56" s="99">
        <f t="shared" si="11"/>
        <v>99.1</v>
      </c>
      <c r="AA56" s="99">
        <f t="shared" si="11"/>
        <v>99.1</v>
      </c>
      <c r="AB56" s="99">
        <f t="shared" si="11"/>
        <v>99.4</v>
      </c>
      <c r="AC56" s="99">
        <f t="shared" si="11"/>
        <v>98.5</v>
      </c>
      <c r="AD56" s="99">
        <f t="shared" si="11"/>
        <v>98.9</v>
      </c>
      <c r="AE56" s="99">
        <f t="shared" si="11"/>
        <v>99.899999999999991</v>
      </c>
      <c r="AF56" s="99">
        <f t="shared" si="11"/>
        <v>99</v>
      </c>
      <c r="AG56" s="98">
        <f>SUM(AG53:AG55)</f>
        <v>106</v>
      </c>
      <c r="AH56" s="21">
        <f t="shared" si="2"/>
        <v>101.6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44.33</v>
      </c>
      <c r="C57" s="103">
        <v>47.1</v>
      </c>
      <c r="D57" s="103">
        <v>45.5</v>
      </c>
      <c r="E57" s="103">
        <v>43</v>
      </c>
      <c r="F57" s="103">
        <v>40.9</v>
      </c>
      <c r="G57" s="103">
        <v>42.4</v>
      </c>
      <c r="H57" s="103">
        <v>44.4</v>
      </c>
      <c r="I57" s="103">
        <v>39.4</v>
      </c>
      <c r="J57" s="103">
        <v>40.9</v>
      </c>
      <c r="K57" s="103">
        <v>42.4</v>
      </c>
      <c r="L57" s="103"/>
      <c r="M57" s="103">
        <v>37.299999999999997</v>
      </c>
      <c r="N57" s="103">
        <v>36.1</v>
      </c>
      <c r="O57" s="103">
        <v>38.4</v>
      </c>
      <c r="P57" s="103">
        <v>38.94</v>
      </c>
      <c r="Q57" s="103">
        <v>39.6</v>
      </c>
      <c r="R57" s="103">
        <v>44</v>
      </c>
      <c r="S57" s="103">
        <v>46.8</v>
      </c>
      <c r="T57" s="103">
        <v>48.7</v>
      </c>
      <c r="U57" s="103">
        <v>53.4</v>
      </c>
      <c r="V57" s="103">
        <v>29.7</v>
      </c>
      <c r="W57" s="103">
        <v>38</v>
      </c>
      <c r="X57" s="103">
        <v>31.9</v>
      </c>
      <c r="Y57" s="103">
        <v>28.8</v>
      </c>
      <c r="Z57" s="103">
        <v>20.2</v>
      </c>
      <c r="AA57" s="103">
        <v>27</v>
      </c>
      <c r="AB57" s="103">
        <v>30.96</v>
      </c>
      <c r="AC57" s="103">
        <v>30.59</v>
      </c>
      <c r="AD57" s="103">
        <v>30.8</v>
      </c>
      <c r="AE57" s="103">
        <v>44.9</v>
      </c>
      <c r="AF57" s="103">
        <v>45.7</v>
      </c>
      <c r="AG57" s="108"/>
      <c r="AH57" s="21">
        <f t="shared" si="2"/>
        <v>53.4</v>
      </c>
      <c r="AI57" s="20">
        <f t="shared" si="3"/>
        <v>20.2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f>104.8+20</f>
        <v>124.8</v>
      </c>
      <c r="K58" s="73">
        <f>39.3</f>
        <v>39.299999999999997</v>
      </c>
      <c r="L58" s="73"/>
      <c r="M58" s="103">
        <v>81.7</v>
      </c>
      <c r="N58" s="103">
        <v>81.7</v>
      </c>
      <c r="O58" s="103">
        <v>87.2</v>
      </c>
      <c r="P58" s="103">
        <v>96.3</v>
      </c>
      <c r="Q58" s="103">
        <v>115</v>
      </c>
      <c r="R58" s="103">
        <f>73+50</f>
        <v>123</v>
      </c>
      <c r="S58" s="103">
        <v>97.1</v>
      </c>
      <c r="T58" s="103">
        <v>162</v>
      </c>
      <c r="U58" s="103">
        <v>147</v>
      </c>
      <c r="V58" s="103">
        <v>146</v>
      </c>
      <c r="W58" s="103">
        <v>134.4</v>
      </c>
      <c r="X58" s="116">
        <v>136.4</v>
      </c>
      <c r="Y58" s="116">
        <v>0</v>
      </c>
      <c r="Z58" s="116">
        <v>0</v>
      </c>
      <c r="AA58" s="116">
        <v>0</v>
      </c>
      <c r="AB58" s="116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162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159</v>
      </c>
      <c r="C59" s="73">
        <v>168.2</v>
      </c>
      <c r="D59" s="73">
        <v>165.8</v>
      </c>
      <c r="E59" s="73">
        <v>163.9</v>
      </c>
      <c r="F59" s="73">
        <v>161.1</v>
      </c>
      <c r="G59" s="73">
        <v>157.9</v>
      </c>
      <c r="H59" s="103">
        <v>167.3</v>
      </c>
      <c r="I59" s="103">
        <v>160</v>
      </c>
      <c r="J59" s="103">
        <v>140</v>
      </c>
      <c r="K59" s="103">
        <v>144</v>
      </c>
      <c r="L59" s="103"/>
      <c r="M59" s="73">
        <v>169</v>
      </c>
      <c r="N59" s="73">
        <v>169</v>
      </c>
      <c r="O59" s="73">
        <v>278</v>
      </c>
      <c r="P59" s="73">
        <v>196</v>
      </c>
      <c r="Q59" s="73">
        <v>267</v>
      </c>
      <c r="R59" s="73">
        <v>287</v>
      </c>
      <c r="S59" s="73">
        <v>288</v>
      </c>
      <c r="T59" s="73">
        <v>282.7</v>
      </c>
      <c r="U59" s="73">
        <v>151.4</v>
      </c>
      <c r="V59" s="73">
        <v>135.19999999999999</v>
      </c>
      <c r="W59" s="73">
        <v>123.1</v>
      </c>
      <c r="X59" s="115">
        <v>138.5</v>
      </c>
      <c r="Y59" s="115">
        <v>123.4</v>
      </c>
      <c r="Z59" s="115">
        <v>128</v>
      </c>
      <c r="AA59" s="115">
        <v>138.4</v>
      </c>
      <c r="AB59" s="115">
        <v>154</v>
      </c>
      <c r="AC59" s="73">
        <v>163</v>
      </c>
      <c r="AD59" s="73">
        <v>166.5</v>
      </c>
      <c r="AE59" s="73">
        <v>151.19999999999999</v>
      </c>
      <c r="AF59" s="73">
        <v>159</v>
      </c>
      <c r="AG59" s="113"/>
      <c r="AH59" s="21">
        <f t="shared" si="2"/>
        <v>288</v>
      </c>
      <c r="AI59" s="20">
        <f t="shared" si="3"/>
        <v>123.1</v>
      </c>
      <c r="AK59" s="42"/>
    </row>
    <row r="60" spans="1:37" x14ac:dyDescent="0.25">
      <c r="A60" s="107" t="s">
        <v>139</v>
      </c>
      <c r="B60" s="77">
        <v>0</v>
      </c>
      <c r="C60" s="77">
        <v>15</v>
      </c>
      <c r="D60" s="77">
        <v>15</v>
      </c>
      <c r="E60" s="77">
        <v>15</v>
      </c>
      <c r="F60" s="77">
        <v>15</v>
      </c>
      <c r="G60" s="77">
        <v>15</v>
      </c>
      <c r="H60" s="77">
        <v>21</v>
      </c>
      <c r="I60" s="77">
        <v>47.6</v>
      </c>
      <c r="J60" s="77">
        <v>50</v>
      </c>
      <c r="K60" s="77">
        <v>41.9</v>
      </c>
      <c r="L60" s="77"/>
      <c r="M60" s="73">
        <v>43.5</v>
      </c>
      <c r="N60" s="73">
        <v>43.5</v>
      </c>
      <c r="O60" s="73">
        <v>54</v>
      </c>
      <c r="P60" s="73">
        <v>53</v>
      </c>
      <c r="Q60" s="73">
        <v>51.5</v>
      </c>
      <c r="R60" s="73">
        <v>54.5</v>
      </c>
      <c r="S60" s="73">
        <v>53.9</v>
      </c>
      <c r="T60" s="73">
        <v>54.2</v>
      </c>
      <c r="U60" s="73">
        <v>52.2</v>
      </c>
      <c r="V60" s="73">
        <v>52.5</v>
      </c>
      <c r="W60" s="73">
        <v>52.2</v>
      </c>
      <c r="X60" s="73">
        <v>53.4</v>
      </c>
      <c r="Y60" s="73">
        <v>20.100000000000001</v>
      </c>
      <c r="Z60" s="73">
        <v>16</v>
      </c>
      <c r="AA60" s="73">
        <v>18.2</v>
      </c>
      <c r="AB60" s="73">
        <v>18.2</v>
      </c>
      <c r="AC60" s="73">
        <v>18</v>
      </c>
      <c r="AD60" s="73">
        <v>19</v>
      </c>
      <c r="AE60" s="73">
        <v>19</v>
      </c>
      <c r="AF60" s="77">
        <v>19</v>
      </c>
      <c r="AG60" s="113"/>
      <c r="AH60" s="21">
        <f t="shared" si="2"/>
        <v>54.5</v>
      </c>
      <c r="AI60" s="20">
        <f t="shared" si="3"/>
        <v>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67.2</v>
      </c>
      <c r="K61" s="77">
        <v>76.3</v>
      </c>
      <c r="L61" s="77"/>
      <c r="M61" s="103">
        <v>33.6</v>
      </c>
      <c r="N61" s="103">
        <v>33.6</v>
      </c>
      <c r="O61" s="103">
        <v>40.1</v>
      </c>
      <c r="P61" s="103">
        <v>36.799999999999997</v>
      </c>
      <c r="Q61" s="103">
        <v>40.299999999999997</v>
      </c>
      <c r="R61" s="103">
        <v>38.6</v>
      </c>
      <c r="S61" s="103">
        <v>37.9</v>
      </c>
      <c r="T61" s="103">
        <v>32</v>
      </c>
      <c r="U61" s="103">
        <v>34.1</v>
      </c>
      <c r="V61" s="103">
        <v>24.3</v>
      </c>
      <c r="W61" s="103">
        <v>27.3</v>
      </c>
      <c r="X61" s="103">
        <v>27.3</v>
      </c>
      <c r="Y61" s="103">
        <v>24.2</v>
      </c>
      <c r="Z61" s="103">
        <v>27.3</v>
      </c>
      <c r="AA61" s="103">
        <v>26.4</v>
      </c>
      <c r="AB61" s="103">
        <v>26.7</v>
      </c>
      <c r="AC61" s="103">
        <v>26.9</v>
      </c>
      <c r="AD61" s="103">
        <v>0</v>
      </c>
      <c r="AE61" s="103">
        <v>0</v>
      </c>
      <c r="AF61" s="103">
        <v>0</v>
      </c>
      <c r="AG61" s="113"/>
      <c r="AH61" s="21">
        <f t="shared" si="2"/>
        <v>76.3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73"/>
      <c r="M62" s="73">
        <v>8</v>
      </c>
      <c r="N62" s="73">
        <v>8</v>
      </c>
      <c r="O62" s="73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103"/>
      <c r="M63" s="103">
        <v>0</v>
      </c>
      <c r="N63" s="103">
        <v>0</v>
      </c>
      <c r="O63" s="103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/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6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/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12</v>
      </c>
      <c r="L66" s="73"/>
      <c r="M66" s="73">
        <v>0</v>
      </c>
      <c r="N66" s="73">
        <v>0</v>
      </c>
      <c r="O66" s="73">
        <v>0</v>
      </c>
      <c r="P66" s="70">
        <v>0</v>
      </c>
      <c r="Q66" s="70">
        <v>7</v>
      </c>
      <c r="R66" s="70">
        <v>7</v>
      </c>
      <c r="S66" s="70">
        <v>7</v>
      </c>
      <c r="T66" s="70">
        <v>7</v>
      </c>
      <c r="U66" s="70">
        <v>7</v>
      </c>
      <c r="V66" s="70">
        <v>7</v>
      </c>
      <c r="W66" s="70">
        <v>7</v>
      </c>
      <c r="X66" s="70">
        <v>7</v>
      </c>
      <c r="Y66" s="70">
        <v>7</v>
      </c>
      <c r="Z66" s="70">
        <v>7</v>
      </c>
      <c r="AA66" s="70">
        <v>7</v>
      </c>
      <c r="AB66" s="70">
        <v>7</v>
      </c>
      <c r="AC66" s="70">
        <v>7</v>
      </c>
      <c r="AD66" s="70">
        <v>7</v>
      </c>
      <c r="AE66" s="70">
        <v>7</v>
      </c>
      <c r="AF66" s="67">
        <v>7</v>
      </c>
      <c r="AG66" s="102"/>
      <c r="AH66" s="21">
        <f t="shared" si="2"/>
        <v>12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103"/>
      <c r="M67" s="103">
        <v>0</v>
      </c>
      <c r="N67" s="103">
        <v>0</v>
      </c>
      <c r="O67" s="103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67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214.32999999999998</v>
      </c>
      <c r="C68" s="99">
        <f>SUM(C57:C67)</f>
        <v>241.29999999999998</v>
      </c>
      <c r="D68" s="99">
        <f t="shared" ref="D68:AF68" si="13">SUM(D57:D67)</f>
        <v>237.3</v>
      </c>
      <c r="E68" s="99">
        <f t="shared" si="13"/>
        <v>232.9</v>
      </c>
      <c r="F68" s="99">
        <f t="shared" si="13"/>
        <v>228</v>
      </c>
      <c r="G68" s="99">
        <f t="shared" si="13"/>
        <v>226.3</v>
      </c>
      <c r="H68" s="99">
        <f t="shared" si="13"/>
        <v>243.70000000000002</v>
      </c>
      <c r="I68" s="99">
        <f t="shared" si="13"/>
        <v>258</v>
      </c>
      <c r="J68" s="99">
        <f t="shared" si="13"/>
        <v>433.9</v>
      </c>
      <c r="K68" s="99">
        <f t="shared" si="13"/>
        <v>366.9</v>
      </c>
      <c r="L68" s="99">
        <f t="shared" si="13"/>
        <v>0</v>
      </c>
      <c r="M68" s="99">
        <f t="shared" si="13"/>
        <v>376.1</v>
      </c>
      <c r="N68" s="99">
        <f t="shared" si="13"/>
        <v>374.90000000000003</v>
      </c>
      <c r="O68" s="99">
        <f t="shared" si="13"/>
        <v>508.70000000000005</v>
      </c>
      <c r="P68" s="99">
        <f t="shared" si="13"/>
        <v>432.04</v>
      </c>
      <c r="Q68" s="99">
        <f t="shared" si="13"/>
        <v>531.4</v>
      </c>
      <c r="R68" s="99">
        <f t="shared" si="13"/>
        <v>565.1</v>
      </c>
      <c r="S68" s="99">
        <f t="shared" si="13"/>
        <v>541.69999999999993</v>
      </c>
      <c r="T68" s="99">
        <f t="shared" si="13"/>
        <v>597.6</v>
      </c>
      <c r="U68" s="99">
        <f t="shared" si="13"/>
        <v>456.1</v>
      </c>
      <c r="V68" s="99">
        <f t="shared" si="13"/>
        <v>405.7</v>
      </c>
      <c r="W68" s="99">
        <f t="shared" si="13"/>
        <v>393</v>
      </c>
      <c r="X68" s="99">
        <f t="shared" si="13"/>
        <v>405.5</v>
      </c>
      <c r="Y68" s="99">
        <f t="shared" si="13"/>
        <v>214.5</v>
      </c>
      <c r="Z68" s="99">
        <f t="shared" si="13"/>
        <v>209.5</v>
      </c>
      <c r="AA68" s="99">
        <f t="shared" si="13"/>
        <v>228</v>
      </c>
      <c r="AB68" s="99">
        <f t="shared" si="13"/>
        <v>247.85999999999999</v>
      </c>
      <c r="AC68" s="99">
        <f t="shared" si="13"/>
        <v>256.49</v>
      </c>
      <c r="AD68" s="99">
        <f t="shared" si="13"/>
        <v>234.3</v>
      </c>
      <c r="AE68" s="99">
        <f t="shared" si="13"/>
        <v>233.1</v>
      </c>
      <c r="AF68" s="99">
        <f t="shared" si="13"/>
        <v>241.7</v>
      </c>
      <c r="AG68" s="98">
        <f>SUM(AG57:AG67)</f>
        <v>0</v>
      </c>
      <c r="AH68" s="21">
        <f t="shared" si="2"/>
        <v>597.6</v>
      </c>
      <c r="AI68" s="20">
        <f t="shared" si="3"/>
        <v>0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f t="shared" si="15"/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1308.47</v>
      </c>
      <c r="C73" s="110">
        <f>C68+C56+C52+C38+C72</f>
        <v>1269.44</v>
      </c>
      <c r="D73" s="110">
        <f t="shared" ref="D73:AG73" si="17">D68+D56+D52+D38+D72</f>
        <v>1261.8399999999999</v>
      </c>
      <c r="E73" s="110">
        <f t="shared" si="17"/>
        <v>1219.24</v>
      </c>
      <c r="F73" s="110">
        <f t="shared" si="17"/>
        <v>1211.8399999999999</v>
      </c>
      <c r="G73" s="110">
        <f t="shared" si="17"/>
        <v>1224.6399999999999</v>
      </c>
      <c r="H73" s="110">
        <f t="shared" si="17"/>
        <v>1262.24</v>
      </c>
      <c r="I73" s="110">
        <f t="shared" si="17"/>
        <v>1284.6399999999999</v>
      </c>
      <c r="J73" s="110">
        <f t="shared" si="17"/>
        <v>1343.54</v>
      </c>
      <c r="K73" s="110">
        <f t="shared" si="17"/>
        <v>1397.94</v>
      </c>
      <c r="L73" s="110">
        <f t="shared" si="17"/>
        <v>3.54</v>
      </c>
      <c r="M73" s="110">
        <f t="shared" si="17"/>
        <v>1439.64</v>
      </c>
      <c r="N73" s="110">
        <f t="shared" si="17"/>
        <v>1391.74</v>
      </c>
      <c r="O73" s="110">
        <f t="shared" si="17"/>
        <v>1449.6399999999999</v>
      </c>
      <c r="P73" s="110">
        <f t="shared" si="17"/>
        <v>1451.58</v>
      </c>
      <c r="Q73" s="110">
        <f t="shared" si="17"/>
        <v>1462.7399999999998</v>
      </c>
      <c r="R73" s="110">
        <f t="shared" si="17"/>
        <v>1484.47</v>
      </c>
      <c r="S73" s="110">
        <f t="shared" si="17"/>
        <v>1478.7399999999998</v>
      </c>
      <c r="T73" s="110">
        <f t="shared" si="17"/>
        <v>1484.7399999999998</v>
      </c>
      <c r="U73" s="110">
        <f t="shared" si="17"/>
        <v>1495.1399999999999</v>
      </c>
      <c r="V73" s="110">
        <f t="shared" si="17"/>
        <v>1441.94</v>
      </c>
      <c r="W73" s="110">
        <f t="shared" si="17"/>
        <v>1437.6399999999999</v>
      </c>
      <c r="X73" s="110">
        <f t="shared" si="17"/>
        <v>1421.24</v>
      </c>
      <c r="Y73" s="110">
        <f t="shared" si="17"/>
        <v>1480.64</v>
      </c>
      <c r="Z73" s="110">
        <f t="shared" si="17"/>
        <v>1591.3400000000001</v>
      </c>
      <c r="AA73" s="110">
        <f t="shared" si="17"/>
        <v>1593.1400000000003</v>
      </c>
      <c r="AB73" s="110">
        <f t="shared" si="17"/>
        <v>1516.5</v>
      </c>
      <c r="AC73" s="110">
        <f t="shared" si="17"/>
        <v>1476.93</v>
      </c>
      <c r="AD73" s="110">
        <f t="shared" si="17"/>
        <v>1434.24</v>
      </c>
      <c r="AE73" s="110">
        <f t="shared" si="17"/>
        <v>1340.3400000000001</v>
      </c>
      <c r="AF73" s="110">
        <f t="shared" si="17"/>
        <v>1305.8399999999999</v>
      </c>
      <c r="AG73" s="110">
        <f t="shared" si="17"/>
        <v>2144.14</v>
      </c>
      <c r="AH73" s="21">
        <f t="shared" si="2"/>
        <v>1593.1400000000003</v>
      </c>
      <c r="AI73" s="20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>
        <v>90</v>
      </c>
      <c r="AA74" s="111">
        <v>80</v>
      </c>
      <c r="AB74" s="111"/>
      <c r="AC74" s="111"/>
      <c r="AD74" s="111"/>
      <c r="AE74" s="111"/>
      <c r="AF74" s="111"/>
      <c r="AG74" s="98"/>
      <c r="AH74" s="21">
        <f t="shared" si="2"/>
        <v>90</v>
      </c>
      <c r="AI74" s="20">
        <f t="shared" si="3"/>
        <v>80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1308.47</v>
      </c>
      <c r="C75" s="110">
        <f>C73+C74</f>
        <v>1269.44</v>
      </c>
      <c r="D75" s="110">
        <f t="shared" ref="D75:AF75" si="19">D72+D68+D56+D52+D38+D74</f>
        <v>1261.8399999999999</v>
      </c>
      <c r="E75" s="110">
        <f t="shared" si="19"/>
        <v>1219.24</v>
      </c>
      <c r="F75" s="110">
        <f t="shared" si="19"/>
        <v>1211.8399999999999</v>
      </c>
      <c r="G75" s="110">
        <f t="shared" si="19"/>
        <v>1224.6399999999999</v>
      </c>
      <c r="H75" s="110">
        <f t="shared" si="19"/>
        <v>1262.24</v>
      </c>
      <c r="I75" s="110">
        <f t="shared" si="19"/>
        <v>1284.6399999999999</v>
      </c>
      <c r="J75" s="110">
        <f t="shared" si="19"/>
        <v>1343.54</v>
      </c>
      <c r="K75" s="110">
        <f t="shared" si="19"/>
        <v>1397.94</v>
      </c>
      <c r="L75" s="110">
        <f t="shared" si="19"/>
        <v>3.54</v>
      </c>
      <c r="M75" s="110">
        <f t="shared" si="19"/>
        <v>1439.64</v>
      </c>
      <c r="N75" s="110">
        <f t="shared" si="19"/>
        <v>1391.74</v>
      </c>
      <c r="O75" s="110">
        <f t="shared" si="19"/>
        <v>1449.6399999999999</v>
      </c>
      <c r="P75" s="110">
        <f t="shared" si="19"/>
        <v>1451.58</v>
      </c>
      <c r="Q75" s="110">
        <f t="shared" si="19"/>
        <v>1462.7399999999998</v>
      </c>
      <c r="R75" s="110">
        <f t="shared" si="19"/>
        <v>1484.47</v>
      </c>
      <c r="S75" s="110">
        <f t="shared" si="19"/>
        <v>1478.7399999999998</v>
      </c>
      <c r="T75" s="110">
        <f t="shared" si="19"/>
        <v>1484.7399999999998</v>
      </c>
      <c r="U75" s="110">
        <f t="shared" si="19"/>
        <v>1495.1399999999999</v>
      </c>
      <c r="V75" s="110">
        <f t="shared" si="19"/>
        <v>1441.94</v>
      </c>
      <c r="W75" s="110">
        <f t="shared" si="19"/>
        <v>1437.6399999999999</v>
      </c>
      <c r="X75" s="110">
        <f t="shared" si="19"/>
        <v>1421.24</v>
      </c>
      <c r="Y75" s="110">
        <f t="shared" si="19"/>
        <v>1480.64</v>
      </c>
      <c r="Z75" s="110">
        <f t="shared" si="19"/>
        <v>1681.3400000000001</v>
      </c>
      <c r="AA75" s="110">
        <f t="shared" si="19"/>
        <v>1673.1400000000003</v>
      </c>
      <c r="AB75" s="110">
        <f t="shared" si="19"/>
        <v>1516.5</v>
      </c>
      <c r="AC75" s="110">
        <f t="shared" si="19"/>
        <v>1476.93</v>
      </c>
      <c r="AD75" s="110">
        <f t="shared" si="19"/>
        <v>1434.24</v>
      </c>
      <c r="AE75" s="110">
        <f t="shared" si="19"/>
        <v>1340.3400000000001</v>
      </c>
      <c r="AF75" s="110">
        <f t="shared" si="19"/>
        <v>1305.8399999999999</v>
      </c>
      <c r="AG75" s="98">
        <f>AG72+AG68+AG56+AG52+AG38+AG74</f>
        <v>2144.14</v>
      </c>
      <c r="AH75" s="21">
        <f t="shared" si="2"/>
        <v>1681.3400000000001</v>
      </c>
      <c r="AI75" s="20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>
        <f t="shared" si="21"/>
        <v>0</v>
      </c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f t="shared" si="25"/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f t="shared" si="27"/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f t="shared" si="29"/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f t="shared" si="31"/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f t="shared" si="33"/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2616.94</v>
      </c>
      <c r="C83" s="99">
        <f t="shared" ref="C83:AG83" si="35">SUM(C70:C82)</f>
        <v>2538.88</v>
      </c>
      <c r="D83" s="99">
        <f t="shared" si="35"/>
        <v>2523.6799999999998</v>
      </c>
      <c r="E83" s="99">
        <f t="shared" si="35"/>
        <v>2438.48</v>
      </c>
      <c r="F83" s="99">
        <f t="shared" si="35"/>
        <v>2423.6799999999998</v>
      </c>
      <c r="G83" s="99">
        <f t="shared" si="35"/>
        <v>2449.2799999999997</v>
      </c>
      <c r="H83" s="99">
        <f t="shared" si="35"/>
        <v>2524.48</v>
      </c>
      <c r="I83" s="99">
        <f t="shared" si="35"/>
        <v>2569.2799999999997</v>
      </c>
      <c r="J83" s="99">
        <f t="shared" si="35"/>
        <v>2687.08</v>
      </c>
      <c r="K83" s="99">
        <f t="shared" si="35"/>
        <v>2795.88</v>
      </c>
      <c r="L83" s="99">
        <f t="shared" si="35"/>
        <v>7.08</v>
      </c>
      <c r="M83" s="99">
        <f t="shared" si="35"/>
        <v>2879.28</v>
      </c>
      <c r="N83" s="99">
        <f t="shared" si="35"/>
        <v>2783.48</v>
      </c>
      <c r="O83" s="99">
        <f t="shared" si="35"/>
        <v>2899.2799999999997</v>
      </c>
      <c r="P83" s="99">
        <f t="shared" si="35"/>
        <v>2903.16</v>
      </c>
      <c r="Q83" s="99">
        <f t="shared" si="35"/>
        <v>2925.4799999999996</v>
      </c>
      <c r="R83" s="99">
        <f t="shared" si="35"/>
        <v>2968.94</v>
      </c>
      <c r="S83" s="99">
        <f t="shared" si="35"/>
        <v>2957.4799999999996</v>
      </c>
      <c r="T83" s="99">
        <f t="shared" si="35"/>
        <v>2969.4799999999996</v>
      </c>
      <c r="U83" s="99">
        <f t="shared" si="35"/>
        <v>2990.2799999999997</v>
      </c>
      <c r="V83" s="99">
        <f t="shared" si="35"/>
        <v>2883.88</v>
      </c>
      <c r="W83" s="99">
        <f t="shared" si="35"/>
        <v>2875.2799999999997</v>
      </c>
      <c r="X83" s="99">
        <f t="shared" si="35"/>
        <v>2842.48</v>
      </c>
      <c r="Y83" s="99">
        <f t="shared" si="35"/>
        <v>2961.28</v>
      </c>
      <c r="Z83" s="99">
        <f t="shared" si="35"/>
        <v>3362.6800000000003</v>
      </c>
      <c r="AA83" s="99">
        <f t="shared" si="35"/>
        <v>3346.2800000000007</v>
      </c>
      <c r="AB83" s="99">
        <f t="shared" si="35"/>
        <v>3033</v>
      </c>
      <c r="AC83" s="99">
        <f t="shared" si="35"/>
        <v>2953.86</v>
      </c>
      <c r="AD83" s="99">
        <f t="shared" si="35"/>
        <v>2868.48</v>
      </c>
      <c r="AE83" s="99">
        <f t="shared" si="35"/>
        <v>2680.6800000000003</v>
      </c>
      <c r="AF83" s="99">
        <f t="shared" si="35"/>
        <v>2611.6799999999998</v>
      </c>
      <c r="AG83" s="98">
        <f t="shared" si="35"/>
        <v>4360.08</v>
      </c>
      <c r="AH83" s="21">
        <f t="shared" si="22"/>
        <v>3362.6800000000003</v>
      </c>
      <c r="AI83" s="20">
        <f t="shared" si="23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49.88</v>
      </c>
      <c r="C84" s="96">
        <v>49.8</v>
      </c>
      <c r="D84" s="96">
        <v>49.78</v>
      </c>
      <c r="E84" s="96">
        <v>49.959000000000003</v>
      </c>
      <c r="F84" s="96">
        <v>49.898000000000003</v>
      </c>
      <c r="G84" s="96">
        <v>49.863999999999997</v>
      </c>
      <c r="H84" s="96">
        <v>49.661000000000001</v>
      </c>
      <c r="I84" s="96">
        <v>49.808</v>
      </c>
      <c r="J84" s="96">
        <v>49.84</v>
      </c>
      <c r="K84" s="96">
        <v>49.933999999999997</v>
      </c>
      <c r="L84" s="96"/>
      <c r="M84" s="96">
        <v>50.054000000000002</v>
      </c>
      <c r="N84" s="96">
        <v>50.05</v>
      </c>
      <c r="O84" s="96">
        <v>50.01</v>
      </c>
      <c r="P84" s="96">
        <v>49.97</v>
      </c>
      <c r="Q84" s="96">
        <v>59.5</v>
      </c>
      <c r="R84" s="96">
        <v>50.02</v>
      </c>
      <c r="S84" s="96">
        <v>49.945</v>
      </c>
      <c r="T84" s="96">
        <v>49.857999999999997</v>
      </c>
      <c r="U84" s="96">
        <v>49.795000000000002</v>
      </c>
      <c r="V84" s="96">
        <v>49.811999999999998</v>
      </c>
      <c r="W84" s="96">
        <v>49.94</v>
      </c>
      <c r="X84" s="96">
        <v>49.911999999999999</v>
      </c>
      <c r="Y84" s="96">
        <v>50.006</v>
      </c>
      <c r="Z84" s="96">
        <v>49.81</v>
      </c>
      <c r="AA84" s="96">
        <v>49.704999999999998</v>
      </c>
      <c r="AB84" s="96">
        <v>50.01</v>
      </c>
      <c r="AC84" s="96">
        <v>49.970999999999997</v>
      </c>
      <c r="AD84" s="96">
        <v>49.89</v>
      </c>
      <c r="AE84" s="96">
        <v>49.64</v>
      </c>
      <c r="AF84" s="96">
        <v>49.7</v>
      </c>
      <c r="AG84" s="95"/>
      <c r="AH84" s="21">
        <f t="shared" si="22"/>
        <v>59.5</v>
      </c>
      <c r="AI84" s="20">
        <f t="shared" si="23"/>
        <v>49.64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124.6</v>
      </c>
      <c r="C85" s="73">
        <v>126.2</v>
      </c>
      <c r="D85" s="73">
        <v>125.9</v>
      </c>
      <c r="E85" s="73">
        <v>126.4</v>
      </c>
      <c r="F85" s="73">
        <v>126.4</v>
      </c>
      <c r="G85" s="73">
        <v>126.8</v>
      </c>
      <c r="H85" s="73">
        <v>125.8</v>
      </c>
      <c r="I85" s="73">
        <v>125.6</v>
      </c>
      <c r="J85" s="73">
        <v>125.6</v>
      </c>
      <c r="K85" s="73">
        <v>126.2</v>
      </c>
      <c r="L85" s="73"/>
      <c r="M85" s="73">
        <v>124.8</v>
      </c>
      <c r="N85" s="73">
        <v>123.9</v>
      </c>
      <c r="O85" s="73">
        <v>12</v>
      </c>
      <c r="P85" s="73">
        <v>122.6</v>
      </c>
      <c r="Q85" s="73">
        <v>124.9</v>
      </c>
      <c r="R85" s="73">
        <v>124.4</v>
      </c>
      <c r="S85" s="73">
        <v>123.6</v>
      </c>
      <c r="T85" s="73">
        <v>123.9</v>
      </c>
      <c r="U85" s="94">
        <v>122.7</v>
      </c>
      <c r="V85" s="94">
        <v>125</v>
      </c>
      <c r="W85" s="94">
        <v>125.6</v>
      </c>
      <c r="X85" s="94">
        <v>127.5</v>
      </c>
      <c r="Y85" s="94">
        <v>126.3</v>
      </c>
      <c r="Z85" s="94">
        <v>124.1</v>
      </c>
      <c r="AA85" s="94">
        <v>124.9</v>
      </c>
      <c r="AB85" s="94">
        <v>126.9</v>
      </c>
      <c r="AC85" s="73">
        <v>127.3</v>
      </c>
      <c r="AD85" s="73">
        <v>126.1</v>
      </c>
      <c r="AE85" s="73">
        <v>126.8</v>
      </c>
      <c r="AF85" s="73">
        <v>127</v>
      </c>
      <c r="AG85" s="89"/>
      <c r="AH85" s="21">
        <f t="shared" si="22"/>
        <v>127.5</v>
      </c>
      <c r="AI85" s="20">
        <f t="shared" si="23"/>
        <v>12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129.19999999999999</v>
      </c>
      <c r="C86" s="73">
        <v>130.19999999999999</v>
      </c>
      <c r="D86" s="73">
        <v>130.19999999999999</v>
      </c>
      <c r="E86" s="73">
        <v>130.6</v>
      </c>
      <c r="F86" s="73">
        <v>130.5</v>
      </c>
      <c r="G86" s="73">
        <v>130.30000000000001</v>
      </c>
      <c r="H86" s="73">
        <v>129.4</v>
      </c>
      <c r="I86" s="73">
        <v>129</v>
      </c>
      <c r="J86" s="73">
        <v>129</v>
      </c>
      <c r="K86" s="73">
        <v>128.30000000000001</v>
      </c>
      <c r="L86" s="73"/>
      <c r="M86" s="73">
        <v>128</v>
      </c>
      <c r="N86" s="73">
        <v>127.6</v>
      </c>
      <c r="O86" s="73">
        <v>126.9</v>
      </c>
      <c r="P86" s="73">
        <v>126.3</v>
      </c>
      <c r="Q86" s="73">
        <v>128.19999999999999</v>
      </c>
      <c r="R86" s="73">
        <v>127.5</v>
      </c>
      <c r="S86" s="73">
        <v>127</v>
      </c>
      <c r="T86" s="73">
        <v>127.1</v>
      </c>
      <c r="U86" s="94">
        <v>126.6</v>
      </c>
      <c r="V86" s="94">
        <v>127.8</v>
      </c>
      <c r="W86" s="94">
        <v>128.4</v>
      </c>
      <c r="X86" s="94">
        <v>129.69999999999999</v>
      </c>
      <c r="Y86" s="94">
        <v>129.19999999999999</v>
      </c>
      <c r="Z86" s="94">
        <v>127.5</v>
      </c>
      <c r="AA86" s="94">
        <v>128</v>
      </c>
      <c r="AB86" s="94">
        <v>130.19999999999999</v>
      </c>
      <c r="AC86" s="73">
        <v>130.4</v>
      </c>
      <c r="AD86" s="73">
        <v>129.5</v>
      </c>
      <c r="AE86" s="73">
        <v>130.1</v>
      </c>
      <c r="AF86" s="73">
        <v>130.6</v>
      </c>
      <c r="AG86" s="89"/>
      <c r="AH86" s="21">
        <f t="shared" si="22"/>
        <v>130.6</v>
      </c>
      <c r="AI86" s="20">
        <f t="shared" si="23"/>
        <v>126.3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127.9</v>
      </c>
      <c r="C87" s="73">
        <v>127.3</v>
      </c>
      <c r="D87" s="73">
        <v>127.5</v>
      </c>
      <c r="E87" s="73">
        <v>128.1</v>
      </c>
      <c r="F87" s="73">
        <v>129.19999999999999</v>
      </c>
      <c r="G87" s="73">
        <v>126.2</v>
      </c>
      <c r="H87" s="73">
        <v>128.6</v>
      </c>
      <c r="I87" s="73">
        <v>127.1</v>
      </c>
      <c r="J87" s="73">
        <v>127.1</v>
      </c>
      <c r="K87" s="73">
        <v>133.6</v>
      </c>
      <c r="L87" s="73"/>
      <c r="M87" s="73">
        <v>130.69999999999999</v>
      </c>
      <c r="N87" s="73">
        <v>126.3</v>
      </c>
      <c r="O87" s="73">
        <v>126</v>
      </c>
      <c r="P87" s="73">
        <v>123.9</v>
      </c>
      <c r="Q87" s="73">
        <v>129.9</v>
      </c>
      <c r="R87" s="73">
        <v>126.3</v>
      </c>
      <c r="S87" s="73">
        <v>125.8</v>
      </c>
      <c r="T87" s="73">
        <v>127.8</v>
      </c>
      <c r="U87" s="73">
        <v>129.19999999999999</v>
      </c>
      <c r="V87" s="73">
        <v>131.80000000000001</v>
      </c>
      <c r="W87" s="73">
        <v>131.5</v>
      </c>
      <c r="X87" s="94">
        <v>133.1</v>
      </c>
      <c r="Y87" s="94">
        <v>124.7</v>
      </c>
      <c r="Z87" s="94">
        <v>122.5</v>
      </c>
      <c r="AA87" s="94">
        <v>125.4</v>
      </c>
      <c r="AB87" s="94">
        <v>126.6</v>
      </c>
      <c r="AC87" s="73">
        <v>126.4</v>
      </c>
      <c r="AD87" s="73">
        <v>128.30000000000001</v>
      </c>
      <c r="AE87" s="73">
        <v>128.1</v>
      </c>
      <c r="AF87" s="73">
        <v>129.6</v>
      </c>
      <c r="AG87" s="89"/>
      <c r="AH87" s="21">
        <f t="shared" si="22"/>
        <v>133.6</v>
      </c>
      <c r="AI87" s="20">
        <f t="shared" si="23"/>
        <v>122.5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130</v>
      </c>
      <c r="C88" s="73">
        <v>129.80000000000001</v>
      </c>
      <c r="D88" s="73">
        <v>130.19999999999999</v>
      </c>
      <c r="E88" s="73">
        <v>131</v>
      </c>
      <c r="F88" s="73">
        <v>131.69999999999999</v>
      </c>
      <c r="G88" s="73">
        <v>129.19999999999999</v>
      </c>
      <c r="H88" s="73">
        <v>130.6</v>
      </c>
      <c r="I88" s="73">
        <v>130.30000000000001</v>
      </c>
      <c r="J88" s="73">
        <v>130.30000000000001</v>
      </c>
      <c r="K88" s="73">
        <v>126.9</v>
      </c>
      <c r="L88" s="73"/>
      <c r="M88" s="73">
        <v>129</v>
      </c>
      <c r="N88" s="73">
        <v>127.1</v>
      </c>
      <c r="O88" s="73">
        <v>127.5</v>
      </c>
      <c r="P88" s="73">
        <v>124.3</v>
      </c>
      <c r="Q88" s="73">
        <v>129</v>
      </c>
      <c r="R88" s="73">
        <v>128</v>
      </c>
      <c r="S88" s="73">
        <v>131.69999999999999</v>
      </c>
      <c r="T88" s="73">
        <v>128.5</v>
      </c>
      <c r="U88" s="73">
        <v>129.69999999999999</v>
      </c>
      <c r="V88" s="73">
        <v>132.1</v>
      </c>
      <c r="W88" s="73">
        <v>132</v>
      </c>
      <c r="X88" s="94">
        <v>133.30000000000001</v>
      </c>
      <c r="Y88" s="94">
        <v>124.7</v>
      </c>
      <c r="Z88" s="94">
        <v>122.9</v>
      </c>
      <c r="AA88" s="94">
        <v>126.6</v>
      </c>
      <c r="AB88" s="94">
        <v>128.5</v>
      </c>
      <c r="AC88" s="73">
        <v>129.19999999999999</v>
      </c>
      <c r="AD88" s="73">
        <v>131.4</v>
      </c>
      <c r="AE88" s="73">
        <v>130.6</v>
      </c>
      <c r="AF88" s="73">
        <v>131.5</v>
      </c>
      <c r="AG88" s="89"/>
      <c r="AH88" s="21">
        <f t="shared" si="22"/>
        <v>133.30000000000001</v>
      </c>
      <c r="AI88" s="20">
        <f t="shared" si="23"/>
        <v>122.9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132.1</v>
      </c>
      <c r="C89" s="66">
        <v>136.5</v>
      </c>
      <c r="D89" s="66">
        <v>135.30000000000001</v>
      </c>
      <c r="E89" s="66">
        <v>132.4</v>
      </c>
      <c r="F89" s="66">
        <v>132.6</v>
      </c>
      <c r="G89" s="66">
        <v>132.9</v>
      </c>
      <c r="H89" s="66">
        <v>130.69999999999999</v>
      </c>
      <c r="I89" s="66">
        <v>133.4</v>
      </c>
      <c r="J89" s="66">
        <v>133.4</v>
      </c>
      <c r="K89" s="66">
        <v>130.4</v>
      </c>
      <c r="L89" s="66"/>
      <c r="M89" s="66">
        <v>133.9</v>
      </c>
      <c r="N89" s="66"/>
      <c r="O89" s="66"/>
      <c r="P89" s="66"/>
      <c r="Q89" s="66"/>
      <c r="R89" s="66"/>
      <c r="S89" s="66">
        <v>129.30000000000001</v>
      </c>
      <c r="T89" s="66">
        <v>132.30000000000001</v>
      </c>
      <c r="U89" s="66">
        <v>134.19999999999999</v>
      </c>
      <c r="V89" s="66">
        <v>134.80000000000001</v>
      </c>
      <c r="W89" s="66">
        <v>133.5</v>
      </c>
      <c r="X89" s="94">
        <v>131.69999999999999</v>
      </c>
      <c r="Y89" s="94">
        <v>135.1</v>
      </c>
      <c r="Z89" s="94">
        <v>130.30000000000001</v>
      </c>
      <c r="AA89" s="94">
        <v>131.9</v>
      </c>
      <c r="AB89" s="94">
        <v>133.9</v>
      </c>
      <c r="AC89" s="66">
        <v>133.19999999999999</v>
      </c>
      <c r="AD89" s="66">
        <v>133.30000000000001</v>
      </c>
      <c r="AE89" s="66">
        <v>129.9</v>
      </c>
      <c r="AF89" s="66">
        <v>132.6</v>
      </c>
      <c r="AG89" s="91"/>
      <c r="AH89" s="21">
        <f t="shared" si="22"/>
        <v>136.5</v>
      </c>
      <c r="AI89" s="20">
        <f t="shared" si="23"/>
        <v>129.30000000000001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132.69999999999999</v>
      </c>
      <c r="C90" s="73">
        <v>137.9</v>
      </c>
      <c r="D90" s="73">
        <v>137.19999999999999</v>
      </c>
      <c r="E90" s="73">
        <v>134.9</v>
      </c>
      <c r="F90" s="73">
        <v>135.1</v>
      </c>
      <c r="G90" s="73">
        <v>135.1</v>
      </c>
      <c r="H90" s="73">
        <v>134.30000000000001</v>
      </c>
      <c r="I90" s="73">
        <v>133.19999999999999</v>
      </c>
      <c r="J90" s="73">
        <v>133.19999999999999</v>
      </c>
      <c r="K90" s="73">
        <v>130.19999999999999</v>
      </c>
      <c r="L90" s="73"/>
      <c r="M90" s="73">
        <v>132.80000000000001</v>
      </c>
      <c r="N90" s="73"/>
      <c r="O90" s="73"/>
      <c r="P90" s="73"/>
      <c r="Q90" s="73"/>
      <c r="R90" s="73"/>
      <c r="S90" s="73">
        <v>129.1</v>
      </c>
      <c r="T90" s="73">
        <v>128.80000000000001</v>
      </c>
      <c r="U90" s="73">
        <v>139.80000000000001</v>
      </c>
      <c r="V90" s="73">
        <v>137.80000000000001</v>
      </c>
      <c r="W90" s="73">
        <v>133.4</v>
      </c>
      <c r="X90" s="94">
        <v>131.19999999999999</v>
      </c>
      <c r="Y90" s="94">
        <v>133.19999999999999</v>
      </c>
      <c r="Z90" s="94">
        <v>131.80000000000001</v>
      </c>
      <c r="AA90" s="94">
        <v>132.4</v>
      </c>
      <c r="AB90" s="94">
        <v>133.80000000000001</v>
      </c>
      <c r="AC90" s="73">
        <v>131.1</v>
      </c>
      <c r="AD90" s="73">
        <v>134.5</v>
      </c>
      <c r="AE90" s="73">
        <v>133.19999999999999</v>
      </c>
      <c r="AF90" s="73">
        <v>134.80000000000001</v>
      </c>
      <c r="AG90" s="89"/>
      <c r="AH90" s="21">
        <f t="shared" si="22"/>
        <v>139.80000000000001</v>
      </c>
      <c r="AI90" s="20">
        <f t="shared" si="23"/>
        <v>128.80000000000001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65.400000000000006</v>
      </c>
      <c r="C91" s="87">
        <v>65.8</v>
      </c>
      <c r="D91" s="87">
        <v>65.8</v>
      </c>
      <c r="E91" s="87">
        <v>66</v>
      </c>
      <c r="F91" s="87">
        <v>66</v>
      </c>
      <c r="G91" s="87">
        <v>65.900000000000006</v>
      </c>
      <c r="H91" s="87">
        <v>65.3</v>
      </c>
      <c r="I91" s="87">
        <v>65</v>
      </c>
      <c r="J91" s="87">
        <v>65</v>
      </c>
      <c r="K91" s="87">
        <v>65</v>
      </c>
      <c r="L91" s="87"/>
      <c r="M91" s="87">
        <v>64.7</v>
      </c>
      <c r="N91" s="87">
        <v>64.400000000000006</v>
      </c>
      <c r="O91" s="87">
        <v>64</v>
      </c>
      <c r="P91" s="87">
        <v>63.3</v>
      </c>
      <c r="Q91" s="87">
        <v>64.7</v>
      </c>
      <c r="R91" s="87">
        <v>64.3</v>
      </c>
      <c r="S91" s="87">
        <v>64.3</v>
      </c>
      <c r="T91" s="87">
        <v>64.2</v>
      </c>
      <c r="U91" s="87">
        <v>63.7</v>
      </c>
      <c r="V91" s="87">
        <v>64.7</v>
      </c>
      <c r="W91" s="87">
        <v>64.900000000000006</v>
      </c>
      <c r="X91" s="87">
        <v>65.599999999999994</v>
      </c>
      <c r="Y91" s="87">
        <v>65.400000000000006</v>
      </c>
      <c r="Z91" s="87">
        <v>64.599999999999994</v>
      </c>
      <c r="AA91" s="87">
        <v>64.900000000000006</v>
      </c>
      <c r="AB91" s="87">
        <v>65.8</v>
      </c>
      <c r="AC91" s="87">
        <v>65.900000000000006</v>
      </c>
      <c r="AD91" s="87">
        <v>65.7</v>
      </c>
      <c r="AE91" s="87">
        <v>66.3</v>
      </c>
      <c r="AF91" s="87">
        <v>66</v>
      </c>
      <c r="AG91" s="86"/>
      <c r="AH91" s="21">
        <f t="shared" si="22"/>
        <v>66.3</v>
      </c>
      <c r="AI91" s="20">
        <f t="shared" si="23"/>
        <v>63.3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" si="36">SUM(B15,B18,B21:B22,B42,B44:B45,B47,B49,B94:B97,B103,B109,B115,B124,B126,B138,B145,B148:B149,B156,B158,B160,B164:B166,B168:B170,B175,B181:B182,B184:B186,B194,B199)</f>
        <v>189.33999999999997</v>
      </c>
      <c r="C93" s="82">
        <f t="shared" ref="C93:AF93" si="37">SUM(C15,C18,C21:C22,C42,C44:C45,C47,C49,C94:C97,C103,C109,C115,C124,C126,C138,C145,C148:C149,C156,C158,C160,C164:C166,C168:C170,C175,C181:C182,C184:C186,C194,C199)</f>
        <v>174.23999999999998</v>
      </c>
      <c r="D93" s="82">
        <f t="shared" si="37"/>
        <v>168.64</v>
      </c>
      <c r="E93" s="82">
        <f t="shared" si="37"/>
        <v>168.73999999999995</v>
      </c>
      <c r="F93" s="82">
        <f t="shared" si="37"/>
        <v>170.64</v>
      </c>
      <c r="G93" s="80">
        <f t="shared" si="37"/>
        <v>189.03999999999996</v>
      </c>
      <c r="H93" s="80">
        <f t="shared" si="37"/>
        <v>218.33999999999997</v>
      </c>
      <c r="I93" s="80">
        <f t="shared" si="37"/>
        <v>260.94000000000005</v>
      </c>
      <c r="J93" s="80">
        <f t="shared" si="37"/>
        <v>291.94</v>
      </c>
      <c r="K93" s="80">
        <f t="shared" si="37"/>
        <v>312.34000000000003</v>
      </c>
      <c r="L93" s="80">
        <f t="shared" si="37"/>
        <v>34.840000000000003</v>
      </c>
      <c r="M93" s="80">
        <f t="shared" si="37"/>
        <v>351.64000000000004</v>
      </c>
      <c r="N93" s="80">
        <f t="shared" si="37"/>
        <v>320.94</v>
      </c>
      <c r="O93" s="80">
        <f t="shared" si="37"/>
        <v>326.44000000000005</v>
      </c>
      <c r="P93" s="80">
        <f t="shared" si="37"/>
        <v>322.04000000000002</v>
      </c>
      <c r="Q93" s="80">
        <f t="shared" si="37"/>
        <v>319.14000000000004</v>
      </c>
      <c r="R93" s="80">
        <f t="shared" si="37"/>
        <v>313.14000000000004</v>
      </c>
      <c r="S93" s="80">
        <f>SUM(S15,S18,S21:S22,S42,S44:S45,S47,S49,S94:S97,S103,S109,S115,S124,S126,S138,S145,S148:S149,S156,S158,S160,S164:S166,S168:S170,S175,S181:S182,S184:S186,S194,S199)</f>
        <v>320.04000000000002</v>
      </c>
      <c r="T93" s="80">
        <f>SUM(T15,T18,T21:T22,T42,T44:T45,T47,T49,T94:T97,T103,T109,T115,T124,T126,T138,T145,T148:T149,T156,T158,T160,T164:T166,T168:T170,T175,T181:T182,T184:T186,T194,T199)</f>
        <v>323.03999999999996</v>
      </c>
      <c r="U93" s="80">
        <f t="shared" si="37"/>
        <v>325.33999999999997</v>
      </c>
      <c r="V93" s="80">
        <f t="shared" si="37"/>
        <v>326.74</v>
      </c>
      <c r="W93" s="80">
        <f t="shared" si="37"/>
        <v>330.24</v>
      </c>
      <c r="X93" s="80">
        <f>SUM(X15,X18,X21:X22,X42,X44:X45,X47,X49,X94:X97,X103,X109,X115,X124,X126,X138,X145,X148:X149,X156,X158,X160,X164:X166,X168:X170,X175,X181:X182,X184:X186,X194,X199)</f>
        <v>338.04</v>
      </c>
      <c r="Y93" s="80">
        <f>SUM(Y15,Y18,Y21:Y22,Y42,Y44:Y45,Y47,Y49,Y94:Y97,Y103,Y109,Y115,Y124,Y126,Y138,Y145,Y148:Y149,Y156,Y158,Y160,Y164:Y166,Y168:Y170,Y175,Y181:Y182,Y184:Y186,Y194,Y199)</f>
        <v>372.34000000000003</v>
      </c>
      <c r="Z93" s="80">
        <f>SUM(Z15,Z18,Z21:Z22,Z42,Z44:Z45,Z47,Z49,Z94:Z97,Z103,Z109,Z115,Z124,Z126,Z138,Z145,Z148:Z149,Z156,Z158,Z160,Z164:Z166,Z168:Z170,Z175,Z181:Z182,Z184:Z186,Z194,Z199)</f>
        <v>391.34000000000003</v>
      </c>
      <c r="AA93" s="80">
        <f t="shared" si="37"/>
        <v>373.04</v>
      </c>
      <c r="AB93" s="80">
        <f t="shared" si="37"/>
        <v>339.53999999999996</v>
      </c>
      <c r="AC93" s="80">
        <f t="shared" si="37"/>
        <v>326.14000000000004</v>
      </c>
      <c r="AD93" s="80">
        <f t="shared" si="37"/>
        <v>275.94000000000005</v>
      </c>
      <c r="AE93" s="80">
        <f t="shared" si="37"/>
        <v>222.23999999999995</v>
      </c>
      <c r="AF93" s="80">
        <f t="shared" si="37"/>
        <v>196.73999999999995</v>
      </c>
      <c r="AG93" s="79"/>
      <c r="AH93" s="21">
        <f>MAX(C93:AF93)</f>
        <v>391.34000000000003</v>
      </c>
      <c r="AI93" s="20">
        <f>MIN(C93:AF93)</f>
        <v>34.840000000000003</v>
      </c>
    </row>
    <row r="94" spans="1:88" x14ac:dyDescent="0.25">
      <c r="A94" s="48" t="s">
        <v>122</v>
      </c>
      <c r="B94" s="75">
        <v>1.3</v>
      </c>
      <c r="C94" s="77">
        <v>-4.2</v>
      </c>
      <c r="D94" s="77">
        <v>-4</v>
      </c>
      <c r="E94" s="77">
        <v>-6.3</v>
      </c>
      <c r="F94" s="77">
        <v>-2.7</v>
      </c>
      <c r="G94" s="76">
        <v>-5.6</v>
      </c>
      <c r="H94" s="76">
        <v>-7.7</v>
      </c>
      <c r="I94" s="76">
        <v>-2.5</v>
      </c>
      <c r="J94" s="76">
        <v>11.1</v>
      </c>
      <c r="K94" s="76">
        <v>7.2</v>
      </c>
      <c r="L94" s="76"/>
      <c r="M94" s="75">
        <v>22.3</v>
      </c>
      <c r="N94" s="76">
        <v>16.7</v>
      </c>
      <c r="O94" s="76">
        <v>17.899999999999999</v>
      </c>
      <c r="P94" s="76">
        <v>13.9</v>
      </c>
      <c r="Q94" s="76">
        <v>10.6</v>
      </c>
      <c r="R94" s="76">
        <v>6.1</v>
      </c>
      <c r="S94" s="76">
        <v>2.7</v>
      </c>
      <c r="T94" s="76">
        <v>8.1999999999999993</v>
      </c>
      <c r="U94" s="75">
        <v>-11.3</v>
      </c>
      <c r="V94" s="75">
        <v>-5.4</v>
      </c>
      <c r="W94" s="75">
        <v>-6.7</v>
      </c>
      <c r="X94" s="76">
        <v>1.7</v>
      </c>
      <c r="Y94" s="76">
        <v>39.6</v>
      </c>
      <c r="Z94" s="76">
        <v>11.9</v>
      </c>
      <c r="AA94" s="76">
        <v>4.5</v>
      </c>
      <c r="AB94" s="75">
        <v>0</v>
      </c>
      <c r="AC94" s="75">
        <v>3.8</v>
      </c>
      <c r="AD94" s="75">
        <v>0.8</v>
      </c>
      <c r="AE94" s="75">
        <v>8.1</v>
      </c>
      <c r="AF94" s="75">
        <v>8.6999999999999993</v>
      </c>
      <c r="AG94" s="3">
        <v>75</v>
      </c>
      <c r="AH94" s="21">
        <f t="shared" ref="AH94:AH100" si="38">IF(ABS(MAX(C94:AF94))&gt;ABS(MIN(C94:AF94)),MAX(C94:AF94),MIN(C94:AF94))</f>
        <v>39.6</v>
      </c>
      <c r="AI94" s="64">
        <f t="shared" ref="AI94:AI100" si="39">INDEX($C$9:$AF$9,1,MATCH(AH94,C94:AF94,0))</f>
        <v>0.77083333333333337</v>
      </c>
    </row>
    <row r="95" spans="1:88" x14ac:dyDescent="0.25">
      <c r="A95" s="45" t="s">
        <v>121</v>
      </c>
      <c r="B95" s="73">
        <f>-32.6-41</f>
        <v>-73.599999999999994</v>
      </c>
      <c r="C95" s="67">
        <f>-33.1-42.9</f>
        <v>-76</v>
      </c>
      <c r="D95" s="67">
        <f>-33.3-44.7</f>
        <v>-78</v>
      </c>
      <c r="E95" s="67">
        <v>-76</v>
      </c>
      <c r="F95" s="67">
        <v>-76</v>
      </c>
      <c r="G95" s="67">
        <v>-61.4</v>
      </c>
      <c r="H95" s="67">
        <v>-51.8</v>
      </c>
      <c r="I95" s="67">
        <v>-34</v>
      </c>
      <c r="J95" s="67">
        <v>-2</v>
      </c>
      <c r="K95" s="67">
        <v>1</v>
      </c>
      <c r="L95" s="67"/>
      <c r="M95" s="67">
        <v>8</v>
      </c>
      <c r="N95" s="67">
        <f>4.8-3.9</f>
        <v>0.89999999999999991</v>
      </c>
      <c r="O95" s="67">
        <f>3.8-3.3</f>
        <v>0.5</v>
      </c>
      <c r="P95" s="67">
        <f>2.1-10.6</f>
        <v>-8.5</v>
      </c>
      <c r="Q95" s="67">
        <f>0.7-8.3</f>
        <v>-7.6000000000000005</v>
      </c>
      <c r="R95" s="67">
        <f>-1-8.5</f>
        <v>-9.5</v>
      </c>
      <c r="S95" s="67">
        <v>-9.4</v>
      </c>
      <c r="T95" s="67">
        <v>-8.3000000000000007</v>
      </c>
      <c r="U95" s="67">
        <v>-23.9</v>
      </c>
      <c r="V95" s="67">
        <v>1.5</v>
      </c>
      <c r="W95" s="67">
        <v>4.2</v>
      </c>
      <c r="X95" s="67">
        <v>14.8</v>
      </c>
      <c r="Y95" s="67">
        <v>14.2</v>
      </c>
      <c r="Z95" s="67">
        <v>35.5</v>
      </c>
      <c r="AA95" s="67">
        <v>35.200000000000003</v>
      </c>
      <c r="AB95" s="73">
        <f>15.5+8</f>
        <v>23.5</v>
      </c>
      <c r="AC95" s="73">
        <v>14</v>
      </c>
      <c r="AD95" s="73">
        <f>-7.1-17.2</f>
        <v>-24.299999999999997</v>
      </c>
      <c r="AE95" s="73">
        <f>-21.2-32.7</f>
        <v>-53.900000000000006</v>
      </c>
      <c r="AF95" s="73">
        <f>-25-37</f>
        <v>-62</v>
      </c>
      <c r="AG95" s="3">
        <v>240</v>
      </c>
      <c r="AH95" s="21">
        <f t="shared" si="38"/>
        <v>-78</v>
      </c>
      <c r="AI95" s="64">
        <f t="shared" si="39"/>
        <v>8.3333333333333301E-2</v>
      </c>
    </row>
    <row r="96" spans="1:88" x14ac:dyDescent="0.25">
      <c r="A96" s="45" t="s">
        <v>120</v>
      </c>
      <c r="B96" s="73">
        <v>2.2999999999999998</v>
      </c>
      <c r="C96" s="67">
        <v>11.5</v>
      </c>
      <c r="D96" s="67">
        <v>12.5</v>
      </c>
      <c r="E96" s="67">
        <v>14.5</v>
      </c>
      <c r="F96" s="67">
        <v>13</v>
      </c>
      <c r="G96" s="67">
        <v>20.3</v>
      </c>
      <c r="H96" s="67">
        <v>26.4</v>
      </c>
      <c r="I96" s="67">
        <v>31.2</v>
      </c>
      <c r="J96" s="67">
        <v>25.7</v>
      </c>
      <c r="K96" s="67">
        <v>32.5</v>
      </c>
      <c r="L96" s="67"/>
      <c r="M96" s="67">
        <v>28.6</v>
      </c>
      <c r="N96" s="67">
        <v>24.1</v>
      </c>
      <c r="O96" s="67">
        <v>32</v>
      </c>
      <c r="P96" s="67">
        <v>30.2</v>
      </c>
      <c r="Q96" s="67">
        <v>34.700000000000003</v>
      </c>
      <c r="R96" s="67">
        <v>33.9</v>
      </c>
      <c r="S96" s="67">
        <v>33.1</v>
      </c>
      <c r="T96" s="67">
        <v>32.799999999999997</v>
      </c>
      <c r="U96" s="67">
        <v>62.7</v>
      </c>
      <c r="V96" s="67">
        <v>38.799999999999997</v>
      </c>
      <c r="W96" s="67">
        <v>36</v>
      </c>
      <c r="X96" s="67">
        <v>39.4</v>
      </c>
      <c r="Y96" s="67">
        <v>31.1</v>
      </c>
      <c r="Z96" s="67">
        <v>42.4</v>
      </c>
      <c r="AA96" s="67">
        <v>42.4</v>
      </c>
      <c r="AB96" s="73">
        <v>39.799999999999997</v>
      </c>
      <c r="AC96" s="73">
        <v>39.5</v>
      </c>
      <c r="AD96" s="73">
        <v>30.6</v>
      </c>
      <c r="AE96" s="73">
        <v>19.5</v>
      </c>
      <c r="AF96" s="73">
        <v>20.100000000000001</v>
      </c>
      <c r="AG96" s="3">
        <v>60</v>
      </c>
      <c r="AH96" s="21">
        <f t="shared" si="38"/>
        <v>62.7</v>
      </c>
      <c r="AI96" s="64">
        <f t="shared" si="39"/>
        <v>0.66666666666666696</v>
      </c>
    </row>
    <row r="97" spans="1:37" x14ac:dyDescent="0.25">
      <c r="A97" s="41" t="s">
        <v>119</v>
      </c>
      <c r="B97" s="69">
        <v>70.099999999999994</v>
      </c>
      <c r="C97" s="70">
        <v>53.9</v>
      </c>
      <c r="D97" s="70">
        <v>48.8</v>
      </c>
      <c r="E97" s="70">
        <v>47.2</v>
      </c>
      <c r="F97" s="70">
        <v>47</v>
      </c>
      <c r="G97" s="70">
        <v>46.4</v>
      </c>
      <c r="H97" s="70">
        <v>62.1</v>
      </c>
      <c r="I97" s="70">
        <v>76.900000000000006</v>
      </c>
      <c r="J97" s="70">
        <v>67.8</v>
      </c>
      <c r="K97" s="70">
        <v>82.3</v>
      </c>
      <c r="L97" s="70"/>
      <c r="M97" s="70">
        <v>101.3</v>
      </c>
      <c r="N97" s="70">
        <v>87.8</v>
      </c>
      <c r="O97" s="70">
        <v>84.6</v>
      </c>
      <c r="P97" s="70">
        <v>95</v>
      </c>
      <c r="Q97" s="70">
        <v>90</v>
      </c>
      <c r="R97" s="70">
        <v>91.2</v>
      </c>
      <c r="S97" s="70">
        <v>97.4</v>
      </c>
      <c r="T97" s="70">
        <v>94.4</v>
      </c>
      <c r="U97" s="70">
        <v>102.7</v>
      </c>
      <c r="V97" s="70">
        <v>101.2</v>
      </c>
      <c r="W97" s="70">
        <v>103.4</v>
      </c>
      <c r="X97" s="70">
        <v>91.5</v>
      </c>
      <c r="Y97" s="70">
        <v>97</v>
      </c>
      <c r="Z97" s="70">
        <v>111.4</v>
      </c>
      <c r="AA97" s="70">
        <v>100.8</v>
      </c>
      <c r="AB97" s="69">
        <v>85.6</v>
      </c>
      <c r="AC97" s="69">
        <v>78.2</v>
      </c>
      <c r="AD97" s="69">
        <v>78.2</v>
      </c>
      <c r="AE97" s="69">
        <v>57.9</v>
      </c>
      <c r="AF97" s="69">
        <v>39.299999999999997</v>
      </c>
      <c r="AG97" s="72">
        <v>120</v>
      </c>
      <c r="AH97" s="21">
        <f t="shared" si="38"/>
        <v>111.4</v>
      </c>
      <c r="AI97" s="64">
        <f t="shared" si="39"/>
        <v>0.79166666666666663</v>
      </c>
    </row>
    <row r="98" spans="1:37" x14ac:dyDescent="0.25">
      <c r="A98" s="41" t="s">
        <v>118</v>
      </c>
      <c r="B98" s="69">
        <v>76.599999999999994</v>
      </c>
      <c r="C98" s="70">
        <v>64.8</v>
      </c>
      <c r="D98" s="70">
        <v>65.5</v>
      </c>
      <c r="E98" s="70">
        <v>64.599999999999994</v>
      </c>
      <c r="F98" s="70">
        <v>62.8</v>
      </c>
      <c r="G98" s="70">
        <v>58.4</v>
      </c>
      <c r="H98" s="70">
        <v>71.2</v>
      </c>
      <c r="I98" s="70">
        <v>76.599999999999994</v>
      </c>
      <c r="J98" s="70">
        <v>61.7</v>
      </c>
      <c r="K98" s="70">
        <v>64</v>
      </c>
      <c r="L98" s="70"/>
      <c r="M98" s="70">
        <v>77.900000000000006</v>
      </c>
      <c r="N98" s="70">
        <v>94.9</v>
      </c>
      <c r="O98" s="70">
        <v>94.2</v>
      </c>
      <c r="P98" s="70">
        <v>97</v>
      </c>
      <c r="Q98" s="70">
        <v>95.6</v>
      </c>
      <c r="R98" s="70">
        <v>97</v>
      </c>
      <c r="S98" s="70">
        <v>101.5</v>
      </c>
      <c r="T98" s="70">
        <v>101.9</v>
      </c>
      <c r="U98" s="70">
        <v>101.4</v>
      </c>
      <c r="V98" s="70">
        <v>94.6</v>
      </c>
      <c r="W98" s="70">
        <v>96.1</v>
      </c>
      <c r="X98" s="70">
        <v>77.8</v>
      </c>
      <c r="Y98" s="70">
        <v>83.9</v>
      </c>
      <c r="Z98" s="70">
        <v>108.4</v>
      </c>
      <c r="AA98" s="70">
        <v>113</v>
      </c>
      <c r="AB98" s="69">
        <v>102.5</v>
      </c>
      <c r="AC98" s="69">
        <v>92.8</v>
      </c>
      <c r="AD98" s="69">
        <v>92.8</v>
      </c>
      <c r="AE98" s="69">
        <v>65</v>
      </c>
      <c r="AF98" s="69">
        <v>51.9</v>
      </c>
      <c r="AG98" s="72"/>
      <c r="AH98" s="21">
        <f t="shared" si="38"/>
        <v>113</v>
      </c>
      <c r="AI98" s="64">
        <f t="shared" si="39"/>
        <v>0.8125</v>
      </c>
    </row>
    <row r="99" spans="1:37" x14ac:dyDescent="0.25">
      <c r="A99" s="41" t="s">
        <v>117</v>
      </c>
      <c r="B99" s="69">
        <v>83.4</v>
      </c>
      <c r="C99" s="70">
        <v>83.5</v>
      </c>
      <c r="D99" s="70">
        <v>81</v>
      </c>
      <c r="E99" s="70">
        <v>84.9</v>
      </c>
      <c r="F99" s="70">
        <v>84.3</v>
      </c>
      <c r="G99" s="70">
        <v>87.9</v>
      </c>
      <c r="H99" s="70">
        <v>83</v>
      </c>
      <c r="I99" s="70">
        <v>72</v>
      </c>
      <c r="J99" s="70">
        <v>63.9</v>
      </c>
      <c r="K99" s="70">
        <v>74.5</v>
      </c>
      <c r="L99" s="70"/>
      <c r="M99" s="70">
        <v>61.6</v>
      </c>
      <c r="N99" s="70">
        <v>69.2</v>
      </c>
      <c r="O99" s="70">
        <v>72.2</v>
      </c>
      <c r="P99" s="70">
        <v>67.2</v>
      </c>
      <c r="Q99" s="70">
        <v>74.3</v>
      </c>
      <c r="R99" s="70">
        <v>66.3</v>
      </c>
      <c r="S99" s="70">
        <v>70.5</v>
      </c>
      <c r="T99" s="70">
        <v>65.5</v>
      </c>
      <c r="U99" s="70">
        <v>70.2</v>
      </c>
      <c r="V99" s="70">
        <v>67.2</v>
      </c>
      <c r="W99" s="70">
        <v>70.7</v>
      </c>
      <c r="X99" s="70">
        <v>51.5</v>
      </c>
      <c r="Y99" s="70">
        <v>53.7</v>
      </c>
      <c r="Z99" s="70">
        <v>76.3</v>
      </c>
      <c r="AA99" s="70">
        <v>84.4</v>
      </c>
      <c r="AB99" s="69">
        <v>87.6</v>
      </c>
      <c r="AC99" s="69">
        <v>84.4</v>
      </c>
      <c r="AD99" s="69">
        <v>84.4</v>
      </c>
      <c r="AE99" s="69">
        <v>86.5</v>
      </c>
      <c r="AF99" s="69">
        <v>82.2</v>
      </c>
      <c r="AG99" s="65"/>
      <c r="AH99" s="21">
        <f t="shared" si="38"/>
        <v>87.9</v>
      </c>
      <c r="AI99" s="64">
        <f t="shared" si="39"/>
        <v>0.20833333333333301</v>
      </c>
    </row>
    <row r="100" spans="1:37" ht="15.75" thickBot="1" x14ac:dyDescent="0.3">
      <c r="A100" s="68" t="s">
        <v>116</v>
      </c>
      <c r="B100" s="66">
        <v>91</v>
      </c>
      <c r="C100" s="67">
        <v>94.5</v>
      </c>
      <c r="D100" s="67">
        <v>93.3</v>
      </c>
      <c r="E100" s="67">
        <v>88.6</v>
      </c>
      <c r="F100" s="67">
        <v>89.5</v>
      </c>
      <c r="G100" s="67">
        <v>88.3</v>
      </c>
      <c r="H100" s="67">
        <v>88.9</v>
      </c>
      <c r="I100" s="67">
        <v>91.7</v>
      </c>
      <c r="J100" s="67">
        <v>30.9</v>
      </c>
      <c r="K100" s="67">
        <v>80.2</v>
      </c>
      <c r="L100" s="67"/>
      <c r="M100" s="67">
        <v>58.6</v>
      </c>
      <c r="N100" s="67">
        <v>58</v>
      </c>
      <c r="O100" s="67">
        <v>61.5</v>
      </c>
      <c r="P100" s="67">
        <v>50.4</v>
      </c>
      <c r="Q100" s="67">
        <v>48.2</v>
      </c>
      <c r="R100" s="67">
        <v>52.4</v>
      </c>
      <c r="S100" s="67">
        <v>56.5</v>
      </c>
      <c r="T100" s="67">
        <v>65.900000000000006</v>
      </c>
      <c r="U100" s="67">
        <v>55.7</v>
      </c>
      <c r="V100" s="67">
        <v>53.1</v>
      </c>
      <c r="W100" s="67">
        <v>58.4</v>
      </c>
      <c r="X100" s="67">
        <v>60.9</v>
      </c>
      <c r="Y100" s="67">
        <v>111.6</v>
      </c>
      <c r="Z100" s="67">
        <v>115.2</v>
      </c>
      <c r="AA100" s="67">
        <v>115</v>
      </c>
      <c r="AB100" s="66">
        <v>114</v>
      </c>
      <c r="AC100" s="66">
        <v>111</v>
      </c>
      <c r="AD100" s="66">
        <v>111</v>
      </c>
      <c r="AE100" s="66">
        <v>93.7</v>
      </c>
      <c r="AF100" s="66">
        <v>95.2</v>
      </c>
      <c r="AG100" s="65"/>
      <c r="AH100" s="21">
        <f t="shared" si="38"/>
        <v>115.2</v>
      </c>
      <c r="AI100" s="64">
        <f t="shared" si="39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40">AF102</f>
        <v>9.9</v>
      </c>
      <c r="C102" s="54">
        <v>9.9</v>
      </c>
      <c r="D102" s="58">
        <f t="shared" ref="D102:S107" si="41">C102</f>
        <v>9.9</v>
      </c>
      <c r="E102" s="58">
        <f t="shared" si="41"/>
        <v>9.9</v>
      </c>
      <c r="F102" s="58">
        <f t="shared" si="41"/>
        <v>9.9</v>
      </c>
      <c r="G102" s="58">
        <f t="shared" si="41"/>
        <v>9.9</v>
      </c>
      <c r="H102" s="58">
        <f t="shared" si="41"/>
        <v>9.9</v>
      </c>
      <c r="I102" s="58">
        <f t="shared" si="41"/>
        <v>9.9</v>
      </c>
      <c r="J102" s="58">
        <f t="shared" si="41"/>
        <v>9.9</v>
      </c>
      <c r="K102" s="58">
        <f t="shared" si="41"/>
        <v>9.9</v>
      </c>
      <c r="L102" s="58">
        <f t="shared" si="41"/>
        <v>9.9</v>
      </c>
      <c r="M102" s="58">
        <f t="shared" si="41"/>
        <v>9.9</v>
      </c>
      <c r="N102" s="58">
        <f t="shared" si="41"/>
        <v>9.9</v>
      </c>
      <c r="O102" s="58">
        <f t="shared" si="41"/>
        <v>9.9</v>
      </c>
      <c r="P102" s="58">
        <f t="shared" si="41"/>
        <v>9.9</v>
      </c>
      <c r="Q102" s="58">
        <f t="shared" si="41"/>
        <v>9.9</v>
      </c>
      <c r="R102" s="58">
        <f t="shared" si="41"/>
        <v>9.9</v>
      </c>
      <c r="S102" s="58">
        <f t="shared" si="41"/>
        <v>9.9</v>
      </c>
      <c r="T102" s="58">
        <f t="shared" ref="T102:AF107" si="42">S102</f>
        <v>9.9</v>
      </c>
      <c r="U102" s="58">
        <f t="shared" si="42"/>
        <v>9.9</v>
      </c>
      <c r="V102" s="58">
        <f t="shared" si="42"/>
        <v>9.9</v>
      </c>
      <c r="W102" s="58">
        <f t="shared" si="42"/>
        <v>9.9</v>
      </c>
      <c r="X102" s="58">
        <f t="shared" si="42"/>
        <v>9.9</v>
      </c>
      <c r="Y102" s="58">
        <f t="shared" si="42"/>
        <v>9.9</v>
      </c>
      <c r="Z102" s="58">
        <f t="shared" si="42"/>
        <v>9.9</v>
      </c>
      <c r="AA102" s="58">
        <f t="shared" si="42"/>
        <v>9.9</v>
      </c>
      <c r="AB102" s="58">
        <f t="shared" si="42"/>
        <v>9.9</v>
      </c>
      <c r="AC102" s="58">
        <f t="shared" si="42"/>
        <v>9.9</v>
      </c>
      <c r="AD102" s="58">
        <f t="shared" si="42"/>
        <v>9.9</v>
      </c>
      <c r="AE102" s="58">
        <f t="shared" si="42"/>
        <v>9.9</v>
      </c>
      <c r="AF102" s="58">
        <f t="shared" si="42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40"/>
        <v>9.6</v>
      </c>
      <c r="C103" s="55">
        <v>9.6</v>
      </c>
      <c r="D103" s="44">
        <f t="shared" si="41"/>
        <v>9.6</v>
      </c>
      <c r="E103" s="44">
        <f t="shared" si="41"/>
        <v>9.6</v>
      </c>
      <c r="F103" s="44">
        <f t="shared" si="41"/>
        <v>9.6</v>
      </c>
      <c r="G103" s="44">
        <f t="shared" si="41"/>
        <v>9.6</v>
      </c>
      <c r="H103" s="44">
        <f t="shared" si="41"/>
        <v>9.6</v>
      </c>
      <c r="I103" s="44">
        <f t="shared" si="41"/>
        <v>9.6</v>
      </c>
      <c r="J103" s="44">
        <f t="shared" si="41"/>
        <v>9.6</v>
      </c>
      <c r="K103" s="44">
        <f t="shared" si="41"/>
        <v>9.6</v>
      </c>
      <c r="L103" s="44">
        <f t="shared" si="41"/>
        <v>9.6</v>
      </c>
      <c r="M103" s="44">
        <f t="shared" si="41"/>
        <v>9.6</v>
      </c>
      <c r="N103" s="44">
        <f t="shared" si="41"/>
        <v>9.6</v>
      </c>
      <c r="O103" s="44">
        <f t="shared" si="41"/>
        <v>9.6</v>
      </c>
      <c r="P103" s="44">
        <f t="shared" si="41"/>
        <v>9.6</v>
      </c>
      <c r="Q103" s="44">
        <f t="shared" si="41"/>
        <v>9.6</v>
      </c>
      <c r="R103" s="44">
        <f t="shared" si="41"/>
        <v>9.6</v>
      </c>
      <c r="S103" s="44">
        <f t="shared" si="41"/>
        <v>9.6</v>
      </c>
      <c r="T103" s="44">
        <f t="shared" si="42"/>
        <v>9.6</v>
      </c>
      <c r="U103" s="44">
        <f t="shared" si="42"/>
        <v>9.6</v>
      </c>
      <c r="V103" s="44">
        <f t="shared" si="42"/>
        <v>9.6</v>
      </c>
      <c r="W103" s="44">
        <f t="shared" si="42"/>
        <v>9.6</v>
      </c>
      <c r="X103" s="44">
        <f t="shared" si="42"/>
        <v>9.6</v>
      </c>
      <c r="Y103" s="44">
        <f t="shared" si="42"/>
        <v>9.6</v>
      </c>
      <c r="Z103" s="44">
        <f t="shared" si="42"/>
        <v>9.6</v>
      </c>
      <c r="AA103" s="44">
        <f t="shared" si="42"/>
        <v>9.6</v>
      </c>
      <c r="AB103" s="44">
        <f t="shared" si="42"/>
        <v>9.6</v>
      </c>
      <c r="AC103" s="44">
        <f t="shared" si="42"/>
        <v>9.6</v>
      </c>
      <c r="AD103" s="44">
        <f t="shared" si="42"/>
        <v>9.6</v>
      </c>
      <c r="AE103" s="44">
        <f t="shared" si="42"/>
        <v>9.6</v>
      </c>
      <c r="AF103" s="44">
        <f t="shared" si="42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40"/>
        <v>9.98</v>
      </c>
      <c r="C104" s="55">
        <v>9.98</v>
      </c>
      <c r="D104" s="44">
        <f t="shared" si="41"/>
        <v>9.98</v>
      </c>
      <c r="E104" s="44">
        <f t="shared" si="41"/>
        <v>9.98</v>
      </c>
      <c r="F104" s="44">
        <f t="shared" si="41"/>
        <v>9.98</v>
      </c>
      <c r="G104" s="44">
        <f t="shared" si="41"/>
        <v>9.98</v>
      </c>
      <c r="H104" s="44">
        <f t="shared" si="41"/>
        <v>9.98</v>
      </c>
      <c r="I104" s="44">
        <f t="shared" si="41"/>
        <v>9.98</v>
      </c>
      <c r="J104" s="44">
        <f t="shared" si="41"/>
        <v>9.98</v>
      </c>
      <c r="K104" s="44">
        <f t="shared" si="41"/>
        <v>9.98</v>
      </c>
      <c r="L104" s="44">
        <f t="shared" si="41"/>
        <v>9.98</v>
      </c>
      <c r="M104" s="44">
        <f t="shared" si="41"/>
        <v>9.98</v>
      </c>
      <c r="N104" s="44">
        <f t="shared" si="41"/>
        <v>9.98</v>
      </c>
      <c r="O104" s="44">
        <f t="shared" si="41"/>
        <v>9.98</v>
      </c>
      <c r="P104" s="44">
        <f t="shared" si="41"/>
        <v>9.98</v>
      </c>
      <c r="Q104" s="44">
        <f t="shared" si="41"/>
        <v>9.98</v>
      </c>
      <c r="R104" s="44">
        <f t="shared" si="41"/>
        <v>9.98</v>
      </c>
      <c r="S104" s="44">
        <f t="shared" si="41"/>
        <v>9.98</v>
      </c>
      <c r="T104" s="44">
        <f t="shared" si="42"/>
        <v>9.98</v>
      </c>
      <c r="U104" s="44">
        <f t="shared" si="42"/>
        <v>9.98</v>
      </c>
      <c r="V104" s="44">
        <f t="shared" si="42"/>
        <v>9.98</v>
      </c>
      <c r="W104" s="44">
        <f t="shared" si="42"/>
        <v>9.98</v>
      </c>
      <c r="X104" s="44">
        <f t="shared" si="42"/>
        <v>9.98</v>
      </c>
      <c r="Y104" s="44">
        <f t="shared" si="42"/>
        <v>9.98</v>
      </c>
      <c r="Z104" s="44">
        <f t="shared" si="42"/>
        <v>9.98</v>
      </c>
      <c r="AA104" s="44">
        <f t="shared" si="42"/>
        <v>9.98</v>
      </c>
      <c r="AB104" s="44">
        <f t="shared" si="42"/>
        <v>9.98</v>
      </c>
      <c r="AC104" s="44">
        <f t="shared" si="42"/>
        <v>9.98</v>
      </c>
      <c r="AD104" s="44">
        <f t="shared" si="42"/>
        <v>9.98</v>
      </c>
      <c r="AE104" s="44">
        <f t="shared" si="42"/>
        <v>9.98</v>
      </c>
      <c r="AF104" s="44">
        <f t="shared" si="42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40"/>
        <v>9.1</v>
      </c>
      <c r="C105" s="55">
        <v>9.1</v>
      </c>
      <c r="D105" s="44">
        <f t="shared" si="41"/>
        <v>9.1</v>
      </c>
      <c r="E105" s="44">
        <f t="shared" si="41"/>
        <v>9.1</v>
      </c>
      <c r="F105" s="44">
        <f t="shared" si="41"/>
        <v>9.1</v>
      </c>
      <c r="G105" s="44">
        <f t="shared" si="41"/>
        <v>9.1</v>
      </c>
      <c r="H105" s="44">
        <f t="shared" si="41"/>
        <v>9.1</v>
      </c>
      <c r="I105" s="44">
        <f t="shared" si="41"/>
        <v>9.1</v>
      </c>
      <c r="J105" s="44">
        <f t="shared" si="41"/>
        <v>9.1</v>
      </c>
      <c r="K105" s="44">
        <f t="shared" si="41"/>
        <v>9.1</v>
      </c>
      <c r="L105" s="44">
        <f t="shared" si="41"/>
        <v>9.1</v>
      </c>
      <c r="M105" s="44">
        <f t="shared" si="41"/>
        <v>9.1</v>
      </c>
      <c r="N105" s="44">
        <f t="shared" si="41"/>
        <v>9.1</v>
      </c>
      <c r="O105" s="44">
        <f t="shared" si="41"/>
        <v>9.1</v>
      </c>
      <c r="P105" s="44">
        <f t="shared" si="41"/>
        <v>9.1</v>
      </c>
      <c r="Q105" s="44">
        <f t="shared" si="41"/>
        <v>9.1</v>
      </c>
      <c r="R105" s="44">
        <f t="shared" si="41"/>
        <v>9.1</v>
      </c>
      <c r="S105" s="44">
        <f t="shared" si="41"/>
        <v>9.1</v>
      </c>
      <c r="T105" s="44">
        <f t="shared" si="42"/>
        <v>9.1</v>
      </c>
      <c r="U105" s="44">
        <f t="shared" si="42"/>
        <v>9.1</v>
      </c>
      <c r="V105" s="44">
        <f t="shared" si="42"/>
        <v>9.1</v>
      </c>
      <c r="W105" s="44">
        <f t="shared" si="42"/>
        <v>9.1</v>
      </c>
      <c r="X105" s="44">
        <f t="shared" si="42"/>
        <v>9.1</v>
      </c>
      <c r="Y105" s="44">
        <f t="shared" si="42"/>
        <v>9.1</v>
      </c>
      <c r="Z105" s="44">
        <f t="shared" si="42"/>
        <v>9.1</v>
      </c>
      <c r="AA105" s="44">
        <f t="shared" si="42"/>
        <v>9.1</v>
      </c>
      <c r="AB105" s="44">
        <f t="shared" si="42"/>
        <v>9.1</v>
      </c>
      <c r="AC105" s="44">
        <f t="shared" si="42"/>
        <v>9.1</v>
      </c>
      <c r="AD105" s="44">
        <f t="shared" si="42"/>
        <v>9.1</v>
      </c>
      <c r="AE105" s="44">
        <f t="shared" si="42"/>
        <v>9.1</v>
      </c>
      <c r="AF105" s="44">
        <f t="shared" si="42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40"/>
        <v>9.18</v>
      </c>
      <c r="C106" s="55">
        <v>9.18</v>
      </c>
      <c r="D106" s="44">
        <f t="shared" si="41"/>
        <v>9.18</v>
      </c>
      <c r="E106" s="44">
        <f t="shared" si="41"/>
        <v>9.18</v>
      </c>
      <c r="F106" s="44">
        <f t="shared" si="41"/>
        <v>9.18</v>
      </c>
      <c r="G106" s="44">
        <f t="shared" si="41"/>
        <v>9.18</v>
      </c>
      <c r="H106" s="44">
        <f t="shared" si="41"/>
        <v>9.18</v>
      </c>
      <c r="I106" s="44">
        <f t="shared" si="41"/>
        <v>9.18</v>
      </c>
      <c r="J106" s="44">
        <f t="shared" si="41"/>
        <v>9.18</v>
      </c>
      <c r="K106" s="44">
        <f t="shared" si="41"/>
        <v>9.18</v>
      </c>
      <c r="L106" s="44">
        <f t="shared" si="41"/>
        <v>9.18</v>
      </c>
      <c r="M106" s="44">
        <f t="shared" si="41"/>
        <v>9.18</v>
      </c>
      <c r="N106" s="44">
        <f t="shared" si="41"/>
        <v>9.18</v>
      </c>
      <c r="O106" s="44">
        <f t="shared" si="41"/>
        <v>9.18</v>
      </c>
      <c r="P106" s="44">
        <f t="shared" si="41"/>
        <v>9.18</v>
      </c>
      <c r="Q106" s="44">
        <f t="shared" si="41"/>
        <v>9.18</v>
      </c>
      <c r="R106" s="44">
        <f t="shared" si="41"/>
        <v>9.18</v>
      </c>
      <c r="S106" s="44">
        <f t="shared" si="41"/>
        <v>9.18</v>
      </c>
      <c r="T106" s="44">
        <f t="shared" si="42"/>
        <v>9.18</v>
      </c>
      <c r="U106" s="44">
        <f t="shared" si="42"/>
        <v>9.18</v>
      </c>
      <c r="V106" s="44">
        <f t="shared" si="42"/>
        <v>9.18</v>
      </c>
      <c r="W106" s="44">
        <f t="shared" si="42"/>
        <v>9.18</v>
      </c>
      <c r="X106" s="44">
        <f t="shared" si="42"/>
        <v>9.18</v>
      </c>
      <c r="Y106" s="44">
        <f t="shared" si="42"/>
        <v>9.18</v>
      </c>
      <c r="Z106" s="44">
        <f t="shared" si="42"/>
        <v>9.18</v>
      </c>
      <c r="AA106" s="44">
        <f t="shared" si="42"/>
        <v>9.18</v>
      </c>
      <c r="AB106" s="44">
        <f t="shared" si="42"/>
        <v>9.18</v>
      </c>
      <c r="AC106" s="44">
        <f t="shared" si="42"/>
        <v>9.18</v>
      </c>
      <c r="AD106" s="44">
        <f t="shared" si="42"/>
        <v>9.18</v>
      </c>
      <c r="AE106" s="44">
        <f t="shared" si="42"/>
        <v>9.18</v>
      </c>
      <c r="AF106" s="44">
        <f t="shared" si="42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40"/>
        <v>7</v>
      </c>
      <c r="C107" s="55">
        <v>7</v>
      </c>
      <c r="D107" s="44">
        <f t="shared" si="41"/>
        <v>7</v>
      </c>
      <c r="E107" s="44">
        <f t="shared" si="41"/>
        <v>7</v>
      </c>
      <c r="F107" s="44">
        <f t="shared" si="41"/>
        <v>7</v>
      </c>
      <c r="G107" s="44">
        <f t="shared" si="41"/>
        <v>7</v>
      </c>
      <c r="H107" s="44">
        <f t="shared" si="41"/>
        <v>7</v>
      </c>
      <c r="I107" s="44">
        <f t="shared" si="41"/>
        <v>7</v>
      </c>
      <c r="J107" s="44">
        <f t="shared" si="41"/>
        <v>7</v>
      </c>
      <c r="K107" s="44">
        <f t="shared" si="41"/>
        <v>7</v>
      </c>
      <c r="L107" s="44">
        <f t="shared" si="41"/>
        <v>7</v>
      </c>
      <c r="M107" s="44">
        <f t="shared" si="41"/>
        <v>7</v>
      </c>
      <c r="N107" s="44">
        <f t="shared" si="41"/>
        <v>7</v>
      </c>
      <c r="O107" s="44">
        <f t="shared" si="41"/>
        <v>7</v>
      </c>
      <c r="P107" s="44">
        <f t="shared" si="41"/>
        <v>7</v>
      </c>
      <c r="Q107" s="44">
        <f t="shared" si="41"/>
        <v>7</v>
      </c>
      <c r="R107" s="44">
        <f t="shared" si="41"/>
        <v>7</v>
      </c>
      <c r="S107" s="44">
        <f t="shared" si="41"/>
        <v>7</v>
      </c>
      <c r="T107" s="44">
        <f t="shared" si="42"/>
        <v>7</v>
      </c>
      <c r="U107" s="44">
        <f t="shared" si="42"/>
        <v>7</v>
      </c>
      <c r="V107" s="44">
        <f t="shared" si="42"/>
        <v>7</v>
      </c>
      <c r="W107" s="44">
        <f t="shared" si="42"/>
        <v>7</v>
      </c>
      <c r="X107" s="44">
        <f t="shared" si="42"/>
        <v>7</v>
      </c>
      <c r="Y107" s="44">
        <f t="shared" si="42"/>
        <v>7</v>
      </c>
      <c r="Z107" s="44">
        <f t="shared" si="42"/>
        <v>7</v>
      </c>
      <c r="AA107" s="44">
        <f t="shared" si="42"/>
        <v>7</v>
      </c>
      <c r="AB107" s="44">
        <f t="shared" si="42"/>
        <v>7</v>
      </c>
      <c r="AC107" s="44">
        <f t="shared" si="42"/>
        <v>7</v>
      </c>
      <c r="AD107" s="44">
        <f t="shared" si="42"/>
        <v>7</v>
      </c>
      <c r="AE107" s="44">
        <f t="shared" si="42"/>
        <v>7</v>
      </c>
      <c r="AF107" s="44">
        <f t="shared" si="42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3">C109</f>
        <v>2.25</v>
      </c>
      <c r="E109" s="44">
        <f t="shared" si="43"/>
        <v>2.25</v>
      </c>
      <c r="F109" s="44">
        <f t="shared" si="43"/>
        <v>2.25</v>
      </c>
      <c r="G109" s="44">
        <f t="shared" si="43"/>
        <v>2.25</v>
      </c>
      <c r="H109" s="44">
        <f t="shared" si="43"/>
        <v>2.25</v>
      </c>
      <c r="I109" s="44">
        <f t="shared" si="43"/>
        <v>2.25</v>
      </c>
      <c r="J109" s="44">
        <f t="shared" si="43"/>
        <v>2.25</v>
      </c>
      <c r="K109" s="44">
        <f t="shared" si="43"/>
        <v>2.25</v>
      </c>
      <c r="L109" s="44">
        <f t="shared" si="43"/>
        <v>2.25</v>
      </c>
      <c r="M109" s="44">
        <f t="shared" si="43"/>
        <v>2.25</v>
      </c>
      <c r="N109" s="44">
        <f t="shared" si="43"/>
        <v>2.25</v>
      </c>
      <c r="O109" s="44">
        <f t="shared" si="43"/>
        <v>2.25</v>
      </c>
      <c r="P109" s="44">
        <f t="shared" si="43"/>
        <v>2.25</v>
      </c>
      <c r="Q109" s="44">
        <f t="shared" si="43"/>
        <v>2.25</v>
      </c>
      <c r="R109" s="44">
        <f t="shared" si="43"/>
        <v>2.25</v>
      </c>
      <c r="S109" s="44">
        <f t="shared" si="43"/>
        <v>2.25</v>
      </c>
      <c r="T109" s="44">
        <f t="shared" ref="T109:AF110" si="44">S109</f>
        <v>2.25</v>
      </c>
      <c r="U109" s="44">
        <f t="shared" si="44"/>
        <v>2.25</v>
      </c>
      <c r="V109" s="44">
        <f t="shared" si="44"/>
        <v>2.25</v>
      </c>
      <c r="W109" s="44">
        <f t="shared" si="44"/>
        <v>2.25</v>
      </c>
      <c r="X109" s="44">
        <f t="shared" si="44"/>
        <v>2.25</v>
      </c>
      <c r="Y109" s="44">
        <f t="shared" si="44"/>
        <v>2.25</v>
      </c>
      <c r="Z109" s="44">
        <f t="shared" si="44"/>
        <v>2.25</v>
      </c>
      <c r="AA109" s="44">
        <f t="shared" si="44"/>
        <v>2.25</v>
      </c>
      <c r="AB109" s="44">
        <f t="shared" si="44"/>
        <v>2.25</v>
      </c>
      <c r="AC109" s="44">
        <f t="shared" si="44"/>
        <v>2.25</v>
      </c>
      <c r="AD109" s="44">
        <f t="shared" si="44"/>
        <v>2.25</v>
      </c>
      <c r="AE109" s="44">
        <f t="shared" si="44"/>
        <v>2.25</v>
      </c>
      <c r="AF109" s="44">
        <f t="shared" si="44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3"/>
        <v>1.64</v>
      </c>
      <c r="E110" s="44">
        <f t="shared" si="43"/>
        <v>1.64</v>
      </c>
      <c r="F110" s="44">
        <f t="shared" si="43"/>
        <v>1.64</v>
      </c>
      <c r="G110" s="44">
        <f t="shared" si="43"/>
        <v>1.64</v>
      </c>
      <c r="H110" s="44">
        <f t="shared" si="43"/>
        <v>1.64</v>
      </c>
      <c r="I110" s="44">
        <f t="shared" si="43"/>
        <v>1.64</v>
      </c>
      <c r="J110" s="44">
        <f t="shared" si="43"/>
        <v>1.64</v>
      </c>
      <c r="K110" s="44">
        <f t="shared" si="43"/>
        <v>1.64</v>
      </c>
      <c r="L110" s="44">
        <f t="shared" si="43"/>
        <v>1.64</v>
      </c>
      <c r="M110" s="44">
        <f t="shared" si="43"/>
        <v>1.64</v>
      </c>
      <c r="N110" s="44">
        <f t="shared" si="43"/>
        <v>1.64</v>
      </c>
      <c r="O110" s="44">
        <f t="shared" si="43"/>
        <v>1.64</v>
      </c>
      <c r="P110" s="44">
        <f t="shared" si="43"/>
        <v>1.64</v>
      </c>
      <c r="Q110" s="44">
        <f t="shared" si="43"/>
        <v>1.64</v>
      </c>
      <c r="R110" s="44">
        <f t="shared" si="43"/>
        <v>1.64</v>
      </c>
      <c r="S110" s="44">
        <f t="shared" si="43"/>
        <v>1.64</v>
      </c>
      <c r="T110" s="44">
        <f t="shared" si="44"/>
        <v>1.64</v>
      </c>
      <c r="U110" s="44">
        <f t="shared" si="44"/>
        <v>1.64</v>
      </c>
      <c r="V110" s="44">
        <f t="shared" si="44"/>
        <v>1.64</v>
      </c>
      <c r="W110" s="44">
        <f t="shared" si="44"/>
        <v>1.64</v>
      </c>
      <c r="X110" s="44">
        <f t="shared" si="44"/>
        <v>1.64</v>
      </c>
      <c r="Y110" s="44">
        <f t="shared" si="44"/>
        <v>1.64</v>
      </c>
      <c r="Z110" s="44">
        <f t="shared" si="44"/>
        <v>1.64</v>
      </c>
      <c r="AA110" s="44">
        <f t="shared" si="44"/>
        <v>1.64</v>
      </c>
      <c r="AB110" s="44">
        <f t="shared" si="44"/>
        <v>1.64</v>
      </c>
      <c r="AC110" s="44">
        <f t="shared" si="44"/>
        <v>1.64</v>
      </c>
      <c r="AD110" s="44">
        <f t="shared" si="44"/>
        <v>1.64</v>
      </c>
      <c r="AE110" s="44">
        <f t="shared" si="44"/>
        <v>1.64</v>
      </c>
      <c r="AF110" s="44">
        <f t="shared" si="44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5">AF112</f>
        <v>1.62</v>
      </c>
      <c r="C112" s="55">
        <v>1.62</v>
      </c>
      <c r="D112" s="44">
        <f t="shared" ref="D112:S119" si="46">C112</f>
        <v>1.62</v>
      </c>
      <c r="E112" s="44">
        <f t="shared" si="46"/>
        <v>1.62</v>
      </c>
      <c r="F112" s="44">
        <f t="shared" si="46"/>
        <v>1.62</v>
      </c>
      <c r="G112" s="44">
        <f t="shared" si="46"/>
        <v>1.62</v>
      </c>
      <c r="H112" s="44">
        <f t="shared" si="46"/>
        <v>1.62</v>
      </c>
      <c r="I112" s="44">
        <f t="shared" si="46"/>
        <v>1.62</v>
      </c>
      <c r="J112" s="44">
        <f t="shared" si="46"/>
        <v>1.62</v>
      </c>
      <c r="K112" s="44">
        <f t="shared" si="46"/>
        <v>1.62</v>
      </c>
      <c r="L112" s="44">
        <f t="shared" si="46"/>
        <v>1.62</v>
      </c>
      <c r="M112" s="44">
        <f t="shared" si="46"/>
        <v>1.62</v>
      </c>
      <c r="N112" s="44">
        <f t="shared" si="46"/>
        <v>1.62</v>
      </c>
      <c r="O112" s="44">
        <f t="shared" si="46"/>
        <v>1.62</v>
      </c>
      <c r="P112" s="44">
        <f t="shared" si="46"/>
        <v>1.62</v>
      </c>
      <c r="Q112" s="44">
        <f t="shared" si="46"/>
        <v>1.62</v>
      </c>
      <c r="R112" s="44">
        <f t="shared" si="46"/>
        <v>1.62</v>
      </c>
      <c r="S112" s="44">
        <f t="shared" si="46"/>
        <v>1.62</v>
      </c>
      <c r="T112" s="44">
        <f t="shared" ref="T112:AF127" si="47">S112</f>
        <v>1.62</v>
      </c>
      <c r="U112" s="44">
        <f t="shared" si="47"/>
        <v>1.62</v>
      </c>
      <c r="V112" s="44">
        <f t="shared" si="47"/>
        <v>1.62</v>
      </c>
      <c r="W112" s="44">
        <f t="shared" si="47"/>
        <v>1.62</v>
      </c>
      <c r="X112" s="44">
        <f t="shared" si="47"/>
        <v>1.62</v>
      </c>
      <c r="Y112" s="44">
        <f t="shared" si="47"/>
        <v>1.62</v>
      </c>
      <c r="Z112" s="44">
        <f t="shared" si="47"/>
        <v>1.62</v>
      </c>
      <c r="AA112" s="44">
        <f t="shared" si="47"/>
        <v>1.62</v>
      </c>
      <c r="AB112" s="44">
        <f t="shared" si="47"/>
        <v>1.62</v>
      </c>
      <c r="AC112" s="44">
        <f t="shared" si="47"/>
        <v>1.62</v>
      </c>
      <c r="AD112" s="44">
        <f t="shared" si="47"/>
        <v>1.62</v>
      </c>
      <c r="AE112" s="44">
        <f t="shared" si="47"/>
        <v>1.62</v>
      </c>
      <c r="AF112" s="44">
        <f t="shared" si="47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5"/>
        <v>8.36</v>
      </c>
      <c r="C113" s="55">
        <v>8.36</v>
      </c>
      <c r="D113" s="44">
        <f t="shared" si="46"/>
        <v>8.36</v>
      </c>
      <c r="E113" s="44">
        <f t="shared" si="46"/>
        <v>8.36</v>
      </c>
      <c r="F113" s="44">
        <f t="shared" si="46"/>
        <v>8.36</v>
      </c>
      <c r="G113" s="44">
        <f t="shared" si="46"/>
        <v>8.36</v>
      </c>
      <c r="H113" s="44">
        <f t="shared" si="46"/>
        <v>8.36</v>
      </c>
      <c r="I113" s="44">
        <f t="shared" si="46"/>
        <v>8.36</v>
      </c>
      <c r="J113" s="44">
        <f t="shared" si="46"/>
        <v>8.36</v>
      </c>
      <c r="K113" s="44">
        <f t="shared" si="46"/>
        <v>8.36</v>
      </c>
      <c r="L113" s="44">
        <f t="shared" si="46"/>
        <v>8.36</v>
      </c>
      <c r="M113" s="44">
        <f t="shared" si="46"/>
        <v>8.36</v>
      </c>
      <c r="N113" s="44">
        <f t="shared" si="46"/>
        <v>8.36</v>
      </c>
      <c r="O113" s="44">
        <f t="shared" si="46"/>
        <v>8.36</v>
      </c>
      <c r="P113" s="44">
        <f t="shared" si="46"/>
        <v>8.36</v>
      </c>
      <c r="Q113" s="44">
        <f t="shared" si="46"/>
        <v>8.36</v>
      </c>
      <c r="R113" s="44">
        <f t="shared" si="46"/>
        <v>8.36</v>
      </c>
      <c r="S113" s="44">
        <f t="shared" si="46"/>
        <v>8.36</v>
      </c>
      <c r="T113" s="44">
        <f t="shared" si="47"/>
        <v>8.36</v>
      </c>
      <c r="U113" s="44">
        <f t="shared" si="47"/>
        <v>8.36</v>
      </c>
      <c r="V113" s="44">
        <f t="shared" si="47"/>
        <v>8.36</v>
      </c>
      <c r="W113" s="44">
        <f t="shared" si="47"/>
        <v>8.36</v>
      </c>
      <c r="X113" s="44">
        <f t="shared" si="47"/>
        <v>8.36</v>
      </c>
      <c r="Y113" s="44">
        <f t="shared" si="47"/>
        <v>8.36</v>
      </c>
      <c r="Z113" s="44">
        <f t="shared" si="47"/>
        <v>8.36</v>
      </c>
      <c r="AA113" s="44">
        <f t="shared" si="47"/>
        <v>8.36</v>
      </c>
      <c r="AB113" s="44">
        <f t="shared" si="47"/>
        <v>8.36</v>
      </c>
      <c r="AC113" s="44">
        <f t="shared" si="47"/>
        <v>8.36</v>
      </c>
      <c r="AD113" s="44">
        <f t="shared" si="47"/>
        <v>8.36</v>
      </c>
      <c r="AE113" s="44">
        <f t="shared" si="47"/>
        <v>8.36</v>
      </c>
      <c r="AF113" s="44">
        <f t="shared" si="47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5"/>
        <v>5.4</v>
      </c>
      <c r="C114" s="55">
        <v>8</v>
      </c>
      <c r="D114" s="44">
        <f t="shared" si="46"/>
        <v>8</v>
      </c>
      <c r="E114" s="44">
        <f t="shared" si="46"/>
        <v>8</v>
      </c>
      <c r="F114" s="44">
        <f t="shared" si="46"/>
        <v>8</v>
      </c>
      <c r="G114" s="44">
        <f t="shared" si="46"/>
        <v>8</v>
      </c>
      <c r="H114" s="44">
        <f t="shared" si="46"/>
        <v>8</v>
      </c>
      <c r="I114" s="44">
        <f t="shared" si="46"/>
        <v>8</v>
      </c>
      <c r="J114" s="44">
        <v>5.4</v>
      </c>
      <c r="K114" s="44">
        <f t="shared" si="46"/>
        <v>5.4</v>
      </c>
      <c r="L114" s="44">
        <f t="shared" si="46"/>
        <v>5.4</v>
      </c>
      <c r="M114" s="44">
        <f t="shared" si="46"/>
        <v>5.4</v>
      </c>
      <c r="N114" s="44">
        <f t="shared" si="46"/>
        <v>5.4</v>
      </c>
      <c r="O114" s="44">
        <f t="shared" si="46"/>
        <v>5.4</v>
      </c>
      <c r="P114" s="44">
        <f t="shared" si="46"/>
        <v>5.4</v>
      </c>
      <c r="Q114" s="44">
        <f t="shared" si="46"/>
        <v>5.4</v>
      </c>
      <c r="R114" s="44">
        <f t="shared" si="46"/>
        <v>5.4</v>
      </c>
      <c r="S114" s="44">
        <f t="shared" si="46"/>
        <v>5.4</v>
      </c>
      <c r="T114" s="44">
        <f t="shared" si="47"/>
        <v>5.4</v>
      </c>
      <c r="U114" s="44">
        <f t="shared" si="47"/>
        <v>5.4</v>
      </c>
      <c r="V114" s="44">
        <f t="shared" si="47"/>
        <v>5.4</v>
      </c>
      <c r="W114" s="44">
        <f t="shared" si="47"/>
        <v>5.4</v>
      </c>
      <c r="X114" s="44">
        <f t="shared" si="47"/>
        <v>5.4</v>
      </c>
      <c r="Y114" s="44">
        <f t="shared" si="47"/>
        <v>5.4</v>
      </c>
      <c r="Z114" s="44">
        <f t="shared" si="47"/>
        <v>5.4</v>
      </c>
      <c r="AA114" s="44">
        <f t="shared" si="47"/>
        <v>5.4</v>
      </c>
      <c r="AB114" s="44">
        <f t="shared" si="47"/>
        <v>5.4</v>
      </c>
      <c r="AC114" s="44">
        <f t="shared" si="47"/>
        <v>5.4</v>
      </c>
      <c r="AD114" s="44">
        <f t="shared" si="47"/>
        <v>5.4</v>
      </c>
      <c r="AE114" s="44">
        <f t="shared" si="47"/>
        <v>5.4</v>
      </c>
      <c r="AF114" s="44">
        <f t="shared" si="47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5"/>
        <v>6.57</v>
      </c>
      <c r="C115" s="55">
        <v>6.57</v>
      </c>
      <c r="D115" s="44">
        <f t="shared" si="46"/>
        <v>6.57</v>
      </c>
      <c r="E115" s="44">
        <f t="shared" si="46"/>
        <v>6.57</v>
      </c>
      <c r="F115" s="44">
        <f t="shared" si="46"/>
        <v>6.57</v>
      </c>
      <c r="G115" s="44">
        <f t="shared" si="46"/>
        <v>6.57</v>
      </c>
      <c r="H115" s="44">
        <f t="shared" si="46"/>
        <v>6.57</v>
      </c>
      <c r="I115" s="44">
        <f t="shared" si="46"/>
        <v>6.57</v>
      </c>
      <c r="J115" s="44">
        <f t="shared" si="46"/>
        <v>6.57</v>
      </c>
      <c r="K115" s="44">
        <f t="shared" si="46"/>
        <v>6.57</v>
      </c>
      <c r="L115" s="44">
        <f t="shared" si="46"/>
        <v>6.57</v>
      </c>
      <c r="M115" s="44">
        <f t="shared" si="46"/>
        <v>6.57</v>
      </c>
      <c r="N115" s="44">
        <f t="shared" si="46"/>
        <v>6.57</v>
      </c>
      <c r="O115" s="44">
        <f t="shared" si="46"/>
        <v>6.57</v>
      </c>
      <c r="P115" s="44">
        <f t="shared" si="46"/>
        <v>6.57</v>
      </c>
      <c r="Q115" s="44">
        <f t="shared" si="46"/>
        <v>6.57</v>
      </c>
      <c r="R115" s="44">
        <f t="shared" si="46"/>
        <v>6.57</v>
      </c>
      <c r="S115" s="44">
        <f t="shared" si="46"/>
        <v>6.57</v>
      </c>
      <c r="T115" s="44">
        <f t="shared" si="47"/>
        <v>6.57</v>
      </c>
      <c r="U115" s="44">
        <f t="shared" si="47"/>
        <v>6.57</v>
      </c>
      <c r="V115" s="44">
        <f t="shared" si="47"/>
        <v>6.57</v>
      </c>
      <c r="W115" s="44">
        <f t="shared" si="47"/>
        <v>6.57</v>
      </c>
      <c r="X115" s="44">
        <f t="shared" si="47"/>
        <v>6.57</v>
      </c>
      <c r="Y115" s="44">
        <f t="shared" si="47"/>
        <v>6.57</v>
      </c>
      <c r="Z115" s="44">
        <f t="shared" si="47"/>
        <v>6.57</v>
      </c>
      <c r="AA115" s="44">
        <f t="shared" si="47"/>
        <v>6.57</v>
      </c>
      <c r="AB115" s="44">
        <f t="shared" si="47"/>
        <v>6.57</v>
      </c>
      <c r="AC115" s="44">
        <f t="shared" si="47"/>
        <v>6.57</v>
      </c>
      <c r="AD115" s="44">
        <f t="shared" si="47"/>
        <v>6.57</v>
      </c>
      <c r="AE115" s="44">
        <f t="shared" si="47"/>
        <v>6.57</v>
      </c>
      <c r="AF115" s="44">
        <f t="shared" si="47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5"/>
        <v>3.43</v>
      </c>
      <c r="C116" s="55">
        <v>3.43</v>
      </c>
      <c r="D116" s="44">
        <f t="shared" si="46"/>
        <v>3.43</v>
      </c>
      <c r="E116" s="44">
        <f t="shared" si="46"/>
        <v>3.43</v>
      </c>
      <c r="F116" s="44">
        <f t="shared" si="46"/>
        <v>3.43</v>
      </c>
      <c r="G116" s="44">
        <f t="shared" si="46"/>
        <v>3.43</v>
      </c>
      <c r="H116" s="44">
        <f t="shared" si="46"/>
        <v>3.43</v>
      </c>
      <c r="I116" s="44">
        <f t="shared" si="46"/>
        <v>3.43</v>
      </c>
      <c r="J116" s="44">
        <f t="shared" si="46"/>
        <v>3.43</v>
      </c>
      <c r="K116" s="44">
        <f t="shared" si="46"/>
        <v>3.43</v>
      </c>
      <c r="L116" s="44">
        <f t="shared" si="46"/>
        <v>3.43</v>
      </c>
      <c r="M116" s="44">
        <f t="shared" si="46"/>
        <v>3.43</v>
      </c>
      <c r="N116" s="44">
        <f t="shared" si="46"/>
        <v>3.43</v>
      </c>
      <c r="O116" s="44">
        <f t="shared" si="46"/>
        <v>3.43</v>
      </c>
      <c r="P116" s="44">
        <f t="shared" si="46"/>
        <v>3.43</v>
      </c>
      <c r="Q116" s="44">
        <f t="shared" si="46"/>
        <v>3.43</v>
      </c>
      <c r="R116" s="44">
        <f t="shared" si="46"/>
        <v>3.43</v>
      </c>
      <c r="S116" s="44">
        <f t="shared" si="46"/>
        <v>3.43</v>
      </c>
      <c r="T116" s="44">
        <f t="shared" si="47"/>
        <v>3.43</v>
      </c>
      <c r="U116" s="44">
        <f t="shared" si="47"/>
        <v>3.43</v>
      </c>
      <c r="V116" s="44">
        <f t="shared" si="47"/>
        <v>3.43</v>
      </c>
      <c r="W116" s="44">
        <f t="shared" si="47"/>
        <v>3.43</v>
      </c>
      <c r="X116" s="44">
        <f t="shared" si="47"/>
        <v>3.43</v>
      </c>
      <c r="Y116" s="44">
        <f t="shared" si="47"/>
        <v>3.43</v>
      </c>
      <c r="Z116" s="44">
        <f t="shared" si="47"/>
        <v>3.43</v>
      </c>
      <c r="AA116" s="44">
        <f t="shared" si="47"/>
        <v>3.43</v>
      </c>
      <c r="AB116" s="44">
        <f t="shared" si="47"/>
        <v>3.43</v>
      </c>
      <c r="AC116" s="44">
        <f t="shared" si="47"/>
        <v>3.43</v>
      </c>
      <c r="AD116" s="44">
        <f t="shared" si="47"/>
        <v>3.43</v>
      </c>
      <c r="AE116" s="44">
        <f t="shared" si="47"/>
        <v>3.43</v>
      </c>
      <c r="AF116" s="44">
        <f t="shared" si="47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5"/>
        <v>2.96</v>
      </c>
      <c r="C117" s="55">
        <v>2.96</v>
      </c>
      <c r="D117" s="44">
        <f t="shared" si="46"/>
        <v>2.96</v>
      </c>
      <c r="E117" s="44">
        <f t="shared" si="46"/>
        <v>2.96</v>
      </c>
      <c r="F117" s="44">
        <f t="shared" si="46"/>
        <v>2.96</v>
      </c>
      <c r="G117" s="44">
        <f t="shared" si="46"/>
        <v>2.96</v>
      </c>
      <c r="H117" s="44">
        <f t="shared" si="46"/>
        <v>2.96</v>
      </c>
      <c r="I117" s="44">
        <f t="shared" si="46"/>
        <v>2.96</v>
      </c>
      <c r="J117" s="44">
        <f t="shared" si="46"/>
        <v>2.96</v>
      </c>
      <c r="K117" s="44">
        <f t="shared" si="46"/>
        <v>2.96</v>
      </c>
      <c r="L117" s="44">
        <f t="shared" si="46"/>
        <v>2.96</v>
      </c>
      <c r="M117" s="44">
        <f t="shared" si="46"/>
        <v>2.96</v>
      </c>
      <c r="N117" s="44">
        <f t="shared" si="46"/>
        <v>2.96</v>
      </c>
      <c r="O117" s="44">
        <f t="shared" si="46"/>
        <v>2.96</v>
      </c>
      <c r="P117" s="44">
        <f t="shared" si="46"/>
        <v>2.96</v>
      </c>
      <c r="Q117" s="44">
        <f t="shared" si="46"/>
        <v>2.96</v>
      </c>
      <c r="R117" s="44">
        <f t="shared" si="46"/>
        <v>2.96</v>
      </c>
      <c r="S117" s="44">
        <f t="shared" si="46"/>
        <v>2.96</v>
      </c>
      <c r="T117" s="44">
        <f t="shared" si="47"/>
        <v>2.96</v>
      </c>
      <c r="U117" s="44">
        <f t="shared" si="47"/>
        <v>2.96</v>
      </c>
      <c r="V117" s="44">
        <f t="shared" si="47"/>
        <v>2.96</v>
      </c>
      <c r="W117" s="44">
        <f t="shared" si="47"/>
        <v>2.96</v>
      </c>
      <c r="X117" s="44">
        <f t="shared" si="47"/>
        <v>2.96</v>
      </c>
      <c r="Y117" s="44">
        <f t="shared" si="47"/>
        <v>2.96</v>
      </c>
      <c r="Z117" s="44">
        <f t="shared" si="47"/>
        <v>2.96</v>
      </c>
      <c r="AA117" s="44">
        <f t="shared" si="47"/>
        <v>2.96</v>
      </c>
      <c r="AB117" s="44">
        <f t="shared" si="47"/>
        <v>2.96</v>
      </c>
      <c r="AC117" s="44">
        <f t="shared" si="47"/>
        <v>2.96</v>
      </c>
      <c r="AD117" s="44">
        <f t="shared" si="47"/>
        <v>2.96</v>
      </c>
      <c r="AE117" s="44">
        <f t="shared" si="47"/>
        <v>2.96</v>
      </c>
      <c r="AF117" s="44">
        <f t="shared" si="47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5"/>
        <v>8</v>
      </c>
      <c r="C118" s="55">
        <v>8</v>
      </c>
      <c r="D118" s="44">
        <f t="shared" si="46"/>
        <v>8</v>
      </c>
      <c r="E118" s="44">
        <f t="shared" si="46"/>
        <v>8</v>
      </c>
      <c r="F118" s="44">
        <f t="shared" si="46"/>
        <v>8</v>
      </c>
      <c r="G118" s="44">
        <f t="shared" si="46"/>
        <v>8</v>
      </c>
      <c r="H118" s="44">
        <f t="shared" si="46"/>
        <v>8</v>
      </c>
      <c r="I118" s="44">
        <f t="shared" si="46"/>
        <v>8</v>
      </c>
      <c r="J118" s="44">
        <f t="shared" si="46"/>
        <v>8</v>
      </c>
      <c r="K118" s="44">
        <f t="shared" si="46"/>
        <v>8</v>
      </c>
      <c r="L118" s="44">
        <f t="shared" si="46"/>
        <v>8</v>
      </c>
      <c r="M118" s="44">
        <f t="shared" si="46"/>
        <v>8</v>
      </c>
      <c r="N118" s="44">
        <f t="shared" si="46"/>
        <v>8</v>
      </c>
      <c r="O118" s="44">
        <f t="shared" si="46"/>
        <v>8</v>
      </c>
      <c r="P118" s="44">
        <f t="shared" si="46"/>
        <v>8</v>
      </c>
      <c r="Q118" s="44">
        <f t="shared" si="46"/>
        <v>8</v>
      </c>
      <c r="R118" s="44">
        <f t="shared" si="46"/>
        <v>8</v>
      </c>
      <c r="S118" s="44">
        <f t="shared" si="46"/>
        <v>8</v>
      </c>
      <c r="T118" s="44">
        <f t="shared" si="47"/>
        <v>8</v>
      </c>
      <c r="U118" s="44">
        <f t="shared" si="47"/>
        <v>8</v>
      </c>
      <c r="V118" s="44">
        <f t="shared" si="47"/>
        <v>8</v>
      </c>
      <c r="W118" s="44">
        <f t="shared" si="47"/>
        <v>8</v>
      </c>
      <c r="X118" s="44">
        <f t="shared" si="47"/>
        <v>8</v>
      </c>
      <c r="Y118" s="44">
        <f t="shared" si="47"/>
        <v>8</v>
      </c>
      <c r="Z118" s="44">
        <f t="shared" si="47"/>
        <v>8</v>
      </c>
      <c r="AA118" s="44">
        <f t="shared" si="47"/>
        <v>8</v>
      </c>
      <c r="AB118" s="44">
        <f t="shared" si="47"/>
        <v>8</v>
      </c>
      <c r="AC118" s="44">
        <f t="shared" si="47"/>
        <v>8</v>
      </c>
      <c r="AD118" s="44">
        <f t="shared" si="47"/>
        <v>8</v>
      </c>
      <c r="AE118" s="44">
        <f t="shared" si="47"/>
        <v>8</v>
      </c>
      <c r="AF118" s="44">
        <f t="shared" si="47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5"/>
        <v>7</v>
      </c>
      <c r="C119" s="55">
        <v>7</v>
      </c>
      <c r="D119" s="44">
        <f>C119</f>
        <v>7</v>
      </c>
      <c r="E119" s="44">
        <f t="shared" si="46"/>
        <v>7</v>
      </c>
      <c r="F119" s="44">
        <f t="shared" si="46"/>
        <v>7</v>
      </c>
      <c r="G119" s="44">
        <f t="shared" si="46"/>
        <v>7</v>
      </c>
      <c r="H119" s="44">
        <f t="shared" si="46"/>
        <v>7</v>
      </c>
      <c r="I119" s="44">
        <f t="shared" si="46"/>
        <v>7</v>
      </c>
      <c r="J119" s="44">
        <f t="shared" si="46"/>
        <v>7</v>
      </c>
      <c r="K119" s="44">
        <f t="shared" si="46"/>
        <v>7</v>
      </c>
      <c r="L119" s="44">
        <f t="shared" si="46"/>
        <v>7</v>
      </c>
      <c r="M119" s="44">
        <f t="shared" si="46"/>
        <v>7</v>
      </c>
      <c r="N119" s="44">
        <f t="shared" si="46"/>
        <v>7</v>
      </c>
      <c r="O119" s="44">
        <f t="shared" si="46"/>
        <v>7</v>
      </c>
      <c r="P119" s="44">
        <f t="shared" si="46"/>
        <v>7</v>
      </c>
      <c r="Q119" s="44">
        <f t="shared" si="46"/>
        <v>7</v>
      </c>
      <c r="R119" s="44">
        <f t="shared" si="46"/>
        <v>7</v>
      </c>
      <c r="S119" s="44">
        <f t="shared" si="46"/>
        <v>7</v>
      </c>
      <c r="T119" s="44">
        <f t="shared" si="47"/>
        <v>7</v>
      </c>
      <c r="U119" s="44">
        <f t="shared" si="47"/>
        <v>7</v>
      </c>
      <c r="V119" s="44">
        <f t="shared" si="47"/>
        <v>7</v>
      </c>
      <c r="W119" s="44">
        <f t="shared" si="47"/>
        <v>7</v>
      </c>
      <c r="X119" s="44">
        <f t="shared" si="47"/>
        <v>7</v>
      </c>
      <c r="Y119" s="44">
        <f t="shared" si="47"/>
        <v>7</v>
      </c>
      <c r="Z119" s="44">
        <f t="shared" si="47"/>
        <v>7</v>
      </c>
      <c r="AA119" s="44">
        <f t="shared" si="47"/>
        <v>7</v>
      </c>
      <c r="AB119" s="44">
        <f t="shared" si="47"/>
        <v>7</v>
      </c>
      <c r="AC119" s="44">
        <f t="shared" si="47"/>
        <v>7</v>
      </c>
      <c r="AD119" s="44">
        <f t="shared" si="47"/>
        <v>7</v>
      </c>
      <c r="AE119" s="44">
        <f t="shared" si="47"/>
        <v>7</v>
      </c>
      <c r="AF119" s="44">
        <f t="shared" si="47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5"/>
        <v>3.47</v>
      </c>
      <c r="C120" s="55">
        <v>3.47</v>
      </c>
      <c r="D120" s="44">
        <f t="shared" ref="D120:S129" si="48">C120</f>
        <v>3.47</v>
      </c>
      <c r="E120" s="44">
        <f t="shared" si="48"/>
        <v>3.47</v>
      </c>
      <c r="F120" s="44">
        <f t="shared" si="48"/>
        <v>3.47</v>
      </c>
      <c r="G120" s="44">
        <f t="shared" si="48"/>
        <v>3.47</v>
      </c>
      <c r="H120" s="44">
        <f t="shared" si="48"/>
        <v>3.47</v>
      </c>
      <c r="I120" s="44">
        <f t="shared" si="48"/>
        <v>3.47</v>
      </c>
      <c r="J120" s="44">
        <f t="shared" si="48"/>
        <v>3.47</v>
      </c>
      <c r="K120" s="44">
        <f t="shared" si="48"/>
        <v>3.47</v>
      </c>
      <c r="L120" s="44">
        <f t="shared" si="48"/>
        <v>3.47</v>
      </c>
      <c r="M120" s="44">
        <f t="shared" si="48"/>
        <v>3.47</v>
      </c>
      <c r="N120" s="44">
        <f t="shared" si="48"/>
        <v>3.47</v>
      </c>
      <c r="O120" s="44">
        <f t="shared" si="48"/>
        <v>3.47</v>
      </c>
      <c r="P120" s="44">
        <f t="shared" si="48"/>
        <v>3.47</v>
      </c>
      <c r="Q120" s="44">
        <f t="shared" si="48"/>
        <v>3.47</v>
      </c>
      <c r="R120" s="44">
        <f t="shared" si="48"/>
        <v>3.47</v>
      </c>
      <c r="S120" s="44">
        <f t="shared" si="48"/>
        <v>3.47</v>
      </c>
      <c r="T120" s="44">
        <f t="shared" si="47"/>
        <v>3.47</v>
      </c>
      <c r="U120" s="44">
        <f t="shared" si="47"/>
        <v>3.47</v>
      </c>
      <c r="V120" s="44">
        <f t="shared" si="47"/>
        <v>3.47</v>
      </c>
      <c r="W120" s="44">
        <f t="shared" si="47"/>
        <v>3.47</v>
      </c>
      <c r="X120" s="44">
        <f t="shared" si="47"/>
        <v>3.47</v>
      </c>
      <c r="Y120" s="44">
        <f t="shared" si="47"/>
        <v>3.47</v>
      </c>
      <c r="Z120" s="44">
        <f t="shared" si="47"/>
        <v>3.47</v>
      </c>
      <c r="AA120" s="44">
        <f t="shared" si="47"/>
        <v>3.47</v>
      </c>
      <c r="AB120" s="44">
        <f t="shared" si="47"/>
        <v>3.47</v>
      </c>
      <c r="AC120" s="44">
        <f t="shared" si="47"/>
        <v>3.47</v>
      </c>
      <c r="AD120" s="44">
        <f t="shared" si="47"/>
        <v>3.47</v>
      </c>
      <c r="AE120" s="44">
        <f t="shared" si="47"/>
        <v>3.47</v>
      </c>
      <c r="AF120" s="44">
        <f t="shared" si="47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5"/>
        <v>2.1</v>
      </c>
      <c r="C121" s="55">
        <v>2.1</v>
      </c>
      <c r="D121" s="44">
        <f t="shared" si="48"/>
        <v>2.1</v>
      </c>
      <c r="E121" s="44">
        <f t="shared" si="48"/>
        <v>2.1</v>
      </c>
      <c r="F121" s="44">
        <f t="shared" si="48"/>
        <v>2.1</v>
      </c>
      <c r="G121" s="44">
        <f t="shared" si="48"/>
        <v>2.1</v>
      </c>
      <c r="H121" s="44">
        <f t="shared" si="48"/>
        <v>2.1</v>
      </c>
      <c r="I121" s="44">
        <f t="shared" si="48"/>
        <v>2.1</v>
      </c>
      <c r="J121" s="44">
        <f t="shared" si="48"/>
        <v>2.1</v>
      </c>
      <c r="K121" s="44">
        <f t="shared" si="48"/>
        <v>2.1</v>
      </c>
      <c r="L121" s="44">
        <f t="shared" si="48"/>
        <v>2.1</v>
      </c>
      <c r="M121" s="44">
        <f t="shared" si="48"/>
        <v>2.1</v>
      </c>
      <c r="N121" s="44">
        <f t="shared" si="48"/>
        <v>2.1</v>
      </c>
      <c r="O121" s="44">
        <f t="shared" si="48"/>
        <v>2.1</v>
      </c>
      <c r="P121" s="44">
        <f t="shared" si="48"/>
        <v>2.1</v>
      </c>
      <c r="Q121" s="44">
        <f t="shared" si="48"/>
        <v>2.1</v>
      </c>
      <c r="R121" s="44">
        <f t="shared" si="48"/>
        <v>2.1</v>
      </c>
      <c r="S121" s="44">
        <f t="shared" si="48"/>
        <v>2.1</v>
      </c>
      <c r="T121" s="44">
        <f t="shared" si="47"/>
        <v>2.1</v>
      </c>
      <c r="U121" s="44">
        <f t="shared" si="47"/>
        <v>2.1</v>
      </c>
      <c r="V121" s="44">
        <f t="shared" si="47"/>
        <v>2.1</v>
      </c>
      <c r="W121" s="44">
        <f t="shared" si="47"/>
        <v>2.1</v>
      </c>
      <c r="X121" s="44">
        <f t="shared" si="47"/>
        <v>2.1</v>
      </c>
      <c r="Y121" s="44">
        <f t="shared" si="47"/>
        <v>2.1</v>
      </c>
      <c r="Z121" s="44">
        <f t="shared" si="47"/>
        <v>2.1</v>
      </c>
      <c r="AA121" s="44">
        <f t="shared" si="47"/>
        <v>2.1</v>
      </c>
      <c r="AB121" s="44">
        <f t="shared" si="47"/>
        <v>2.1</v>
      </c>
      <c r="AC121" s="44">
        <f t="shared" si="47"/>
        <v>2.1</v>
      </c>
      <c r="AD121" s="44">
        <f t="shared" si="47"/>
        <v>2.1</v>
      </c>
      <c r="AE121" s="44">
        <f t="shared" si="47"/>
        <v>2.1</v>
      </c>
      <c r="AF121" s="44">
        <f t="shared" si="47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5"/>
        <v>9.3000000000000007</v>
      </c>
      <c r="C122" s="55">
        <v>9.3000000000000007</v>
      </c>
      <c r="D122" s="44">
        <f t="shared" si="48"/>
        <v>9.3000000000000007</v>
      </c>
      <c r="E122" s="44">
        <f t="shared" si="48"/>
        <v>9.3000000000000007</v>
      </c>
      <c r="F122" s="44">
        <f t="shared" si="48"/>
        <v>9.3000000000000007</v>
      </c>
      <c r="G122" s="44">
        <f t="shared" si="48"/>
        <v>9.3000000000000007</v>
      </c>
      <c r="H122" s="44">
        <f t="shared" si="48"/>
        <v>9.3000000000000007</v>
      </c>
      <c r="I122" s="44">
        <f t="shared" si="48"/>
        <v>9.3000000000000007</v>
      </c>
      <c r="J122" s="44">
        <f t="shared" si="48"/>
        <v>9.3000000000000007</v>
      </c>
      <c r="K122" s="44">
        <f t="shared" si="48"/>
        <v>9.3000000000000007</v>
      </c>
      <c r="L122" s="44">
        <f t="shared" si="48"/>
        <v>9.3000000000000007</v>
      </c>
      <c r="M122" s="44">
        <f t="shared" si="48"/>
        <v>9.3000000000000007</v>
      </c>
      <c r="N122" s="44">
        <f t="shared" si="48"/>
        <v>9.3000000000000007</v>
      </c>
      <c r="O122" s="44">
        <f t="shared" si="48"/>
        <v>9.3000000000000007</v>
      </c>
      <c r="P122" s="44">
        <f t="shared" si="48"/>
        <v>9.3000000000000007</v>
      </c>
      <c r="Q122" s="44">
        <f t="shared" si="48"/>
        <v>9.3000000000000007</v>
      </c>
      <c r="R122" s="44">
        <f t="shared" si="48"/>
        <v>9.3000000000000007</v>
      </c>
      <c r="S122" s="44">
        <f t="shared" si="48"/>
        <v>9.3000000000000007</v>
      </c>
      <c r="T122" s="44">
        <f t="shared" si="47"/>
        <v>9.3000000000000007</v>
      </c>
      <c r="U122" s="44">
        <f t="shared" si="47"/>
        <v>9.3000000000000007</v>
      </c>
      <c r="V122" s="44">
        <f t="shared" si="47"/>
        <v>9.3000000000000007</v>
      </c>
      <c r="W122" s="44">
        <f t="shared" si="47"/>
        <v>9.3000000000000007</v>
      </c>
      <c r="X122" s="44">
        <f t="shared" si="47"/>
        <v>9.3000000000000007</v>
      </c>
      <c r="Y122" s="44">
        <f t="shared" si="47"/>
        <v>9.3000000000000007</v>
      </c>
      <c r="Z122" s="44">
        <f t="shared" si="47"/>
        <v>9.3000000000000007</v>
      </c>
      <c r="AA122" s="44">
        <f t="shared" si="47"/>
        <v>9.3000000000000007</v>
      </c>
      <c r="AB122" s="44">
        <f t="shared" si="47"/>
        <v>9.3000000000000007</v>
      </c>
      <c r="AC122" s="44">
        <f t="shared" si="47"/>
        <v>9.3000000000000007</v>
      </c>
      <c r="AD122" s="44">
        <f t="shared" si="47"/>
        <v>9.3000000000000007</v>
      </c>
      <c r="AE122" s="44">
        <f t="shared" si="47"/>
        <v>9.3000000000000007</v>
      </c>
      <c r="AF122" s="44">
        <f t="shared" si="47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5"/>
        <v>0</v>
      </c>
      <c r="C123" s="55">
        <v>0</v>
      </c>
      <c r="D123" s="44">
        <f t="shared" si="48"/>
        <v>0</v>
      </c>
      <c r="E123" s="44">
        <f t="shared" si="48"/>
        <v>0</v>
      </c>
      <c r="F123" s="44">
        <f t="shared" si="48"/>
        <v>0</v>
      </c>
      <c r="G123" s="44">
        <f t="shared" si="48"/>
        <v>0</v>
      </c>
      <c r="H123" s="44">
        <f t="shared" si="48"/>
        <v>0</v>
      </c>
      <c r="I123" s="44">
        <f t="shared" si="48"/>
        <v>0</v>
      </c>
      <c r="J123" s="44">
        <f t="shared" si="48"/>
        <v>0</v>
      </c>
      <c r="K123" s="44">
        <f t="shared" si="48"/>
        <v>0</v>
      </c>
      <c r="L123" s="44">
        <f t="shared" si="48"/>
        <v>0</v>
      </c>
      <c r="M123" s="44">
        <f t="shared" si="48"/>
        <v>0</v>
      </c>
      <c r="N123" s="44">
        <f t="shared" si="48"/>
        <v>0</v>
      </c>
      <c r="O123" s="44">
        <f t="shared" si="48"/>
        <v>0</v>
      </c>
      <c r="P123" s="44">
        <f t="shared" si="48"/>
        <v>0</v>
      </c>
      <c r="Q123" s="44">
        <f t="shared" si="48"/>
        <v>0</v>
      </c>
      <c r="R123" s="44">
        <f t="shared" si="48"/>
        <v>0</v>
      </c>
      <c r="S123" s="44">
        <f t="shared" si="48"/>
        <v>0</v>
      </c>
      <c r="T123" s="44">
        <f t="shared" si="47"/>
        <v>0</v>
      </c>
      <c r="U123" s="44">
        <f t="shared" si="47"/>
        <v>0</v>
      </c>
      <c r="V123" s="44">
        <f t="shared" si="47"/>
        <v>0</v>
      </c>
      <c r="W123" s="44">
        <f t="shared" si="47"/>
        <v>0</v>
      </c>
      <c r="X123" s="44">
        <f t="shared" si="47"/>
        <v>0</v>
      </c>
      <c r="Y123" s="44">
        <f t="shared" si="47"/>
        <v>0</v>
      </c>
      <c r="Z123" s="44">
        <f t="shared" si="47"/>
        <v>0</v>
      </c>
      <c r="AA123" s="44">
        <f t="shared" si="47"/>
        <v>0</v>
      </c>
      <c r="AB123" s="44">
        <f t="shared" si="47"/>
        <v>0</v>
      </c>
      <c r="AC123" s="44">
        <f t="shared" si="47"/>
        <v>0</v>
      </c>
      <c r="AD123" s="44">
        <f t="shared" si="47"/>
        <v>0</v>
      </c>
      <c r="AE123" s="44">
        <f t="shared" si="47"/>
        <v>0</v>
      </c>
      <c r="AF123" s="44">
        <f t="shared" si="47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5"/>
        <v>0</v>
      </c>
      <c r="C124" s="55">
        <v>0</v>
      </c>
      <c r="D124" s="44">
        <f t="shared" si="48"/>
        <v>0</v>
      </c>
      <c r="E124" s="44">
        <f t="shared" si="48"/>
        <v>0</v>
      </c>
      <c r="F124" s="44">
        <f t="shared" si="48"/>
        <v>0</v>
      </c>
      <c r="G124" s="44">
        <f t="shared" si="48"/>
        <v>0</v>
      </c>
      <c r="H124" s="44">
        <f t="shared" si="48"/>
        <v>0</v>
      </c>
      <c r="I124" s="44">
        <f t="shared" si="48"/>
        <v>0</v>
      </c>
      <c r="J124" s="44">
        <f t="shared" si="48"/>
        <v>0</v>
      </c>
      <c r="K124" s="44">
        <f t="shared" si="48"/>
        <v>0</v>
      </c>
      <c r="L124" s="44">
        <f t="shared" si="48"/>
        <v>0</v>
      </c>
      <c r="M124" s="44">
        <f t="shared" si="48"/>
        <v>0</v>
      </c>
      <c r="N124" s="44">
        <f t="shared" si="48"/>
        <v>0</v>
      </c>
      <c r="O124" s="44">
        <f t="shared" si="48"/>
        <v>0</v>
      </c>
      <c r="P124" s="44">
        <f t="shared" si="48"/>
        <v>0</v>
      </c>
      <c r="Q124" s="44">
        <f t="shared" si="48"/>
        <v>0</v>
      </c>
      <c r="R124" s="44">
        <f t="shared" si="48"/>
        <v>0</v>
      </c>
      <c r="S124" s="44">
        <f t="shared" si="48"/>
        <v>0</v>
      </c>
      <c r="T124" s="44">
        <f t="shared" si="47"/>
        <v>0</v>
      </c>
      <c r="U124" s="44">
        <f t="shared" si="47"/>
        <v>0</v>
      </c>
      <c r="V124" s="44">
        <f t="shared" si="47"/>
        <v>0</v>
      </c>
      <c r="W124" s="44">
        <f t="shared" si="47"/>
        <v>0</v>
      </c>
      <c r="X124" s="44">
        <f t="shared" si="47"/>
        <v>0</v>
      </c>
      <c r="Y124" s="44">
        <f t="shared" si="47"/>
        <v>0</v>
      </c>
      <c r="Z124" s="44">
        <f t="shared" si="47"/>
        <v>0</v>
      </c>
      <c r="AA124" s="44">
        <f t="shared" si="47"/>
        <v>0</v>
      </c>
      <c r="AB124" s="44">
        <f t="shared" si="47"/>
        <v>0</v>
      </c>
      <c r="AC124" s="44">
        <f t="shared" si="47"/>
        <v>0</v>
      </c>
      <c r="AD124" s="44">
        <f t="shared" si="47"/>
        <v>0</v>
      </c>
      <c r="AE124" s="44">
        <f t="shared" si="47"/>
        <v>0</v>
      </c>
      <c r="AF124" s="44">
        <f t="shared" si="47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5"/>
        <v>5</v>
      </c>
      <c r="C125" s="55">
        <v>5</v>
      </c>
      <c r="D125" s="44">
        <f t="shared" si="48"/>
        <v>5</v>
      </c>
      <c r="E125" s="44">
        <f t="shared" si="48"/>
        <v>5</v>
      </c>
      <c r="F125" s="44">
        <f t="shared" si="48"/>
        <v>5</v>
      </c>
      <c r="G125" s="44">
        <f t="shared" si="48"/>
        <v>5</v>
      </c>
      <c r="H125" s="44">
        <f t="shared" si="48"/>
        <v>5</v>
      </c>
      <c r="I125" s="44">
        <f t="shared" si="48"/>
        <v>5</v>
      </c>
      <c r="J125" s="44">
        <f t="shared" si="48"/>
        <v>5</v>
      </c>
      <c r="K125" s="44">
        <f t="shared" si="48"/>
        <v>5</v>
      </c>
      <c r="L125" s="44">
        <f t="shared" si="48"/>
        <v>5</v>
      </c>
      <c r="M125" s="44">
        <f t="shared" si="48"/>
        <v>5</v>
      </c>
      <c r="N125" s="44">
        <f t="shared" si="48"/>
        <v>5</v>
      </c>
      <c r="O125" s="44">
        <f t="shared" si="48"/>
        <v>5</v>
      </c>
      <c r="P125" s="44">
        <f t="shared" si="48"/>
        <v>5</v>
      </c>
      <c r="Q125" s="44">
        <f t="shared" si="48"/>
        <v>5</v>
      </c>
      <c r="R125" s="44">
        <f t="shared" si="48"/>
        <v>5</v>
      </c>
      <c r="S125" s="44">
        <f t="shared" si="48"/>
        <v>5</v>
      </c>
      <c r="T125" s="44">
        <f t="shared" si="47"/>
        <v>5</v>
      </c>
      <c r="U125" s="44">
        <f t="shared" si="47"/>
        <v>5</v>
      </c>
      <c r="V125" s="44">
        <f t="shared" si="47"/>
        <v>5</v>
      </c>
      <c r="W125" s="44">
        <f t="shared" si="47"/>
        <v>5</v>
      </c>
      <c r="X125" s="44">
        <f t="shared" si="47"/>
        <v>5</v>
      </c>
      <c r="Y125" s="44">
        <f t="shared" si="47"/>
        <v>5</v>
      </c>
      <c r="Z125" s="44">
        <f t="shared" si="47"/>
        <v>5</v>
      </c>
      <c r="AA125" s="44">
        <f t="shared" si="47"/>
        <v>5</v>
      </c>
      <c r="AB125" s="44">
        <f t="shared" si="47"/>
        <v>5</v>
      </c>
      <c r="AC125" s="44">
        <f t="shared" si="47"/>
        <v>5</v>
      </c>
      <c r="AD125" s="44">
        <f t="shared" si="47"/>
        <v>5</v>
      </c>
      <c r="AE125" s="44">
        <f t="shared" si="47"/>
        <v>5</v>
      </c>
      <c r="AF125" s="44">
        <f t="shared" si="47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5"/>
        <v>1</v>
      </c>
      <c r="C126" s="55">
        <v>1</v>
      </c>
      <c r="D126" s="44">
        <f t="shared" si="48"/>
        <v>1</v>
      </c>
      <c r="E126" s="44">
        <f t="shared" si="48"/>
        <v>1</v>
      </c>
      <c r="F126" s="44">
        <f t="shared" si="48"/>
        <v>1</v>
      </c>
      <c r="G126" s="44">
        <f t="shared" si="48"/>
        <v>1</v>
      </c>
      <c r="H126" s="44">
        <f t="shared" si="48"/>
        <v>1</v>
      </c>
      <c r="I126" s="44">
        <f t="shared" si="48"/>
        <v>1</v>
      </c>
      <c r="J126" s="44">
        <f t="shared" si="48"/>
        <v>1</v>
      </c>
      <c r="K126" s="44">
        <f t="shared" si="48"/>
        <v>1</v>
      </c>
      <c r="L126" s="44">
        <f t="shared" si="48"/>
        <v>1</v>
      </c>
      <c r="M126" s="44">
        <f t="shared" si="48"/>
        <v>1</v>
      </c>
      <c r="N126" s="44">
        <f t="shared" si="48"/>
        <v>1</v>
      </c>
      <c r="O126" s="44">
        <f t="shared" si="48"/>
        <v>1</v>
      </c>
      <c r="P126" s="44">
        <f t="shared" si="48"/>
        <v>1</v>
      </c>
      <c r="Q126" s="44">
        <f t="shared" si="48"/>
        <v>1</v>
      </c>
      <c r="R126" s="44">
        <f t="shared" si="48"/>
        <v>1</v>
      </c>
      <c r="S126" s="44">
        <f t="shared" si="48"/>
        <v>1</v>
      </c>
      <c r="T126" s="44">
        <f t="shared" si="47"/>
        <v>1</v>
      </c>
      <c r="U126" s="44">
        <f t="shared" si="47"/>
        <v>1</v>
      </c>
      <c r="V126" s="44">
        <f t="shared" si="47"/>
        <v>1</v>
      </c>
      <c r="W126" s="44">
        <f t="shared" si="47"/>
        <v>1</v>
      </c>
      <c r="X126" s="44">
        <f t="shared" si="47"/>
        <v>1</v>
      </c>
      <c r="Y126" s="44">
        <f t="shared" si="47"/>
        <v>1</v>
      </c>
      <c r="Z126" s="44">
        <f t="shared" si="47"/>
        <v>1</v>
      </c>
      <c r="AA126" s="44">
        <f t="shared" si="47"/>
        <v>1</v>
      </c>
      <c r="AB126" s="44">
        <f t="shared" si="47"/>
        <v>1</v>
      </c>
      <c r="AC126" s="44">
        <f t="shared" si="47"/>
        <v>1</v>
      </c>
      <c r="AD126" s="44">
        <f t="shared" si="47"/>
        <v>1</v>
      </c>
      <c r="AE126" s="44">
        <f t="shared" si="47"/>
        <v>1</v>
      </c>
      <c r="AF126" s="44">
        <f t="shared" si="47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5"/>
        <v>1.58</v>
      </c>
      <c r="C127" s="55">
        <v>1.58</v>
      </c>
      <c r="D127" s="44">
        <f t="shared" si="48"/>
        <v>1.58</v>
      </c>
      <c r="E127" s="44">
        <f t="shared" si="48"/>
        <v>1.58</v>
      </c>
      <c r="F127" s="44">
        <f t="shared" si="48"/>
        <v>1.58</v>
      </c>
      <c r="G127" s="44">
        <f t="shared" si="48"/>
        <v>1.58</v>
      </c>
      <c r="H127" s="44">
        <f t="shared" si="48"/>
        <v>1.58</v>
      </c>
      <c r="I127" s="44">
        <f t="shared" si="48"/>
        <v>1.58</v>
      </c>
      <c r="J127" s="44">
        <f t="shared" si="48"/>
        <v>1.58</v>
      </c>
      <c r="K127" s="44">
        <f t="shared" si="48"/>
        <v>1.58</v>
      </c>
      <c r="L127" s="44">
        <f t="shared" si="48"/>
        <v>1.58</v>
      </c>
      <c r="M127" s="44">
        <f t="shared" si="48"/>
        <v>1.58</v>
      </c>
      <c r="N127" s="44">
        <f t="shared" si="48"/>
        <v>1.58</v>
      </c>
      <c r="O127" s="44">
        <f t="shared" si="48"/>
        <v>1.58</v>
      </c>
      <c r="P127" s="44">
        <f t="shared" si="48"/>
        <v>1.58</v>
      </c>
      <c r="Q127" s="44">
        <f t="shared" si="48"/>
        <v>1.58</v>
      </c>
      <c r="R127" s="44">
        <f t="shared" si="48"/>
        <v>1.58</v>
      </c>
      <c r="S127" s="44">
        <f t="shared" si="48"/>
        <v>1.58</v>
      </c>
      <c r="T127" s="44">
        <f t="shared" si="47"/>
        <v>1.58</v>
      </c>
      <c r="U127" s="44">
        <f t="shared" si="47"/>
        <v>1.58</v>
      </c>
      <c r="V127" s="44">
        <f t="shared" si="47"/>
        <v>1.58</v>
      </c>
      <c r="W127" s="44">
        <f t="shared" si="47"/>
        <v>1.58</v>
      </c>
      <c r="X127" s="44">
        <f t="shared" si="47"/>
        <v>1.58</v>
      </c>
      <c r="Y127" s="44">
        <f t="shared" si="47"/>
        <v>1.58</v>
      </c>
      <c r="Z127" s="44">
        <f t="shared" si="47"/>
        <v>1.58</v>
      </c>
      <c r="AA127" s="44">
        <f t="shared" si="47"/>
        <v>1.58</v>
      </c>
      <c r="AB127" s="44">
        <f t="shared" si="47"/>
        <v>1.58</v>
      </c>
      <c r="AC127" s="44">
        <f t="shared" si="47"/>
        <v>1.58</v>
      </c>
      <c r="AD127" s="44">
        <f t="shared" si="47"/>
        <v>1.58</v>
      </c>
      <c r="AE127" s="44">
        <f t="shared" si="47"/>
        <v>1.58</v>
      </c>
      <c r="AF127" s="44">
        <f t="shared" si="47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5"/>
        <v>1.46</v>
      </c>
      <c r="C128" s="55">
        <v>1.46</v>
      </c>
      <c r="D128" s="44">
        <f t="shared" si="48"/>
        <v>1.46</v>
      </c>
      <c r="E128" s="44">
        <f t="shared" si="48"/>
        <v>1.46</v>
      </c>
      <c r="F128" s="44">
        <f t="shared" si="48"/>
        <v>1.46</v>
      </c>
      <c r="G128" s="44">
        <f t="shared" si="48"/>
        <v>1.46</v>
      </c>
      <c r="H128" s="44">
        <f t="shared" si="48"/>
        <v>1.46</v>
      </c>
      <c r="I128" s="44">
        <f t="shared" si="48"/>
        <v>1.46</v>
      </c>
      <c r="J128" s="44">
        <f t="shared" si="48"/>
        <v>1.46</v>
      </c>
      <c r="K128" s="44">
        <f t="shared" si="48"/>
        <v>1.46</v>
      </c>
      <c r="L128" s="44">
        <f t="shared" si="48"/>
        <v>1.46</v>
      </c>
      <c r="M128" s="44">
        <f t="shared" si="48"/>
        <v>1.46</v>
      </c>
      <c r="N128" s="44">
        <f t="shared" si="48"/>
        <v>1.46</v>
      </c>
      <c r="O128" s="44">
        <f t="shared" si="48"/>
        <v>1.46</v>
      </c>
      <c r="P128" s="44">
        <f t="shared" si="48"/>
        <v>1.46</v>
      </c>
      <c r="Q128" s="44">
        <f t="shared" si="48"/>
        <v>1.46</v>
      </c>
      <c r="R128" s="44">
        <f t="shared" si="48"/>
        <v>1.46</v>
      </c>
      <c r="S128" s="44">
        <f t="shared" si="48"/>
        <v>1.46</v>
      </c>
      <c r="T128" s="44">
        <f t="shared" ref="T128:AF129" si="49">S128</f>
        <v>1.46</v>
      </c>
      <c r="U128" s="44">
        <f t="shared" si="49"/>
        <v>1.46</v>
      </c>
      <c r="V128" s="44">
        <f t="shared" si="49"/>
        <v>1.46</v>
      </c>
      <c r="W128" s="44">
        <f t="shared" si="49"/>
        <v>1.46</v>
      </c>
      <c r="X128" s="44">
        <f t="shared" si="49"/>
        <v>1.46</v>
      </c>
      <c r="Y128" s="44">
        <f t="shared" si="49"/>
        <v>1.46</v>
      </c>
      <c r="Z128" s="44">
        <f t="shared" si="49"/>
        <v>1.46</v>
      </c>
      <c r="AA128" s="44">
        <f t="shared" si="49"/>
        <v>1.46</v>
      </c>
      <c r="AB128" s="44">
        <f t="shared" si="49"/>
        <v>1.46</v>
      </c>
      <c r="AC128" s="44">
        <f t="shared" si="49"/>
        <v>1.46</v>
      </c>
      <c r="AD128" s="44">
        <f t="shared" si="49"/>
        <v>1.46</v>
      </c>
      <c r="AE128" s="44">
        <f t="shared" si="49"/>
        <v>1.46</v>
      </c>
      <c r="AF128" s="44">
        <f t="shared" si="49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5"/>
        <v>1.48</v>
      </c>
      <c r="C129" s="55">
        <v>1.48</v>
      </c>
      <c r="D129" s="44">
        <f t="shared" si="48"/>
        <v>1.48</v>
      </c>
      <c r="E129" s="44">
        <f t="shared" si="48"/>
        <v>1.48</v>
      </c>
      <c r="F129" s="44">
        <f t="shared" si="48"/>
        <v>1.48</v>
      </c>
      <c r="G129" s="44">
        <f t="shared" si="48"/>
        <v>1.48</v>
      </c>
      <c r="H129" s="44">
        <f t="shared" si="48"/>
        <v>1.48</v>
      </c>
      <c r="I129" s="44">
        <f t="shared" si="48"/>
        <v>1.48</v>
      </c>
      <c r="J129" s="44">
        <f t="shared" si="48"/>
        <v>1.48</v>
      </c>
      <c r="K129" s="44">
        <f t="shared" si="48"/>
        <v>1.48</v>
      </c>
      <c r="L129" s="44">
        <f t="shared" si="48"/>
        <v>1.48</v>
      </c>
      <c r="M129" s="44">
        <f t="shared" si="48"/>
        <v>1.48</v>
      </c>
      <c r="N129" s="44">
        <f t="shared" si="48"/>
        <v>1.48</v>
      </c>
      <c r="O129" s="44">
        <f t="shared" si="48"/>
        <v>1.48</v>
      </c>
      <c r="P129" s="44">
        <f t="shared" si="48"/>
        <v>1.48</v>
      </c>
      <c r="Q129" s="44">
        <f t="shared" si="48"/>
        <v>1.48</v>
      </c>
      <c r="R129" s="44">
        <f t="shared" si="48"/>
        <v>1.48</v>
      </c>
      <c r="S129" s="44">
        <f t="shared" si="48"/>
        <v>1.48</v>
      </c>
      <c r="T129" s="44">
        <f t="shared" si="49"/>
        <v>1.48</v>
      </c>
      <c r="U129" s="44">
        <f t="shared" si="49"/>
        <v>1.48</v>
      </c>
      <c r="V129" s="44">
        <f t="shared" si="49"/>
        <v>1.48</v>
      </c>
      <c r="W129" s="44">
        <f t="shared" si="49"/>
        <v>1.48</v>
      </c>
      <c r="X129" s="44">
        <f t="shared" si="49"/>
        <v>1.48</v>
      </c>
      <c r="Y129" s="44">
        <f t="shared" si="49"/>
        <v>1.48</v>
      </c>
      <c r="Z129" s="44">
        <f t="shared" si="49"/>
        <v>1.48</v>
      </c>
      <c r="AA129" s="44">
        <f t="shared" si="49"/>
        <v>1.48</v>
      </c>
      <c r="AB129" s="44">
        <f t="shared" si="49"/>
        <v>1.48</v>
      </c>
      <c r="AC129" s="44">
        <f t="shared" si="49"/>
        <v>1.48</v>
      </c>
      <c r="AD129" s="44">
        <f t="shared" si="49"/>
        <v>1.48</v>
      </c>
      <c r="AE129" s="44">
        <f t="shared" si="49"/>
        <v>1.48</v>
      </c>
      <c r="AF129" s="44">
        <f t="shared" si="49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50">AF131</f>
        <v>2.2000000000000002</v>
      </c>
      <c r="C131" s="55">
        <v>2.2000000000000002</v>
      </c>
      <c r="D131" s="44">
        <f t="shared" ref="D131:S138" si="51">C131</f>
        <v>2.2000000000000002</v>
      </c>
      <c r="E131" s="44">
        <f t="shared" si="51"/>
        <v>2.2000000000000002</v>
      </c>
      <c r="F131" s="44">
        <f t="shared" si="51"/>
        <v>2.2000000000000002</v>
      </c>
      <c r="G131" s="44">
        <f t="shared" si="51"/>
        <v>2.2000000000000002</v>
      </c>
      <c r="H131" s="44">
        <f t="shared" si="51"/>
        <v>2.2000000000000002</v>
      </c>
      <c r="I131" s="44">
        <f t="shared" si="51"/>
        <v>2.2000000000000002</v>
      </c>
      <c r="J131" s="44">
        <f t="shared" si="51"/>
        <v>2.2000000000000002</v>
      </c>
      <c r="K131" s="44">
        <f t="shared" si="51"/>
        <v>2.2000000000000002</v>
      </c>
      <c r="L131" s="44">
        <f t="shared" si="51"/>
        <v>2.2000000000000002</v>
      </c>
      <c r="M131" s="44">
        <f t="shared" si="51"/>
        <v>2.2000000000000002</v>
      </c>
      <c r="N131" s="44">
        <f t="shared" si="51"/>
        <v>2.2000000000000002</v>
      </c>
      <c r="O131" s="44">
        <f t="shared" si="51"/>
        <v>2.2000000000000002</v>
      </c>
      <c r="P131" s="44">
        <f t="shared" si="51"/>
        <v>2.2000000000000002</v>
      </c>
      <c r="Q131" s="44">
        <f t="shared" si="51"/>
        <v>2.2000000000000002</v>
      </c>
      <c r="R131" s="44">
        <f t="shared" si="51"/>
        <v>2.2000000000000002</v>
      </c>
      <c r="S131" s="44">
        <f t="shared" si="51"/>
        <v>2.2000000000000002</v>
      </c>
      <c r="T131" s="44">
        <f t="shared" ref="T131:AF138" si="52">S131</f>
        <v>2.2000000000000002</v>
      </c>
      <c r="U131" s="44">
        <f t="shared" si="52"/>
        <v>2.2000000000000002</v>
      </c>
      <c r="V131" s="44">
        <f t="shared" si="52"/>
        <v>2.2000000000000002</v>
      </c>
      <c r="W131" s="44">
        <f t="shared" si="52"/>
        <v>2.2000000000000002</v>
      </c>
      <c r="X131" s="44">
        <f t="shared" si="52"/>
        <v>2.2000000000000002</v>
      </c>
      <c r="Y131" s="44">
        <f t="shared" si="52"/>
        <v>2.2000000000000002</v>
      </c>
      <c r="Z131" s="44">
        <f t="shared" si="52"/>
        <v>2.2000000000000002</v>
      </c>
      <c r="AA131" s="44">
        <f t="shared" si="52"/>
        <v>2.2000000000000002</v>
      </c>
      <c r="AB131" s="44">
        <f t="shared" si="52"/>
        <v>2.2000000000000002</v>
      </c>
      <c r="AC131" s="44">
        <f t="shared" si="52"/>
        <v>2.2000000000000002</v>
      </c>
      <c r="AD131" s="44">
        <f t="shared" si="52"/>
        <v>2.2000000000000002</v>
      </c>
      <c r="AE131" s="44">
        <f t="shared" si="52"/>
        <v>2.2000000000000002</v>
      </c>
      <c r="AF131" s="44">
        <f t="shared" si="52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50"/>
        <v>2</v>
      </c>
      <c r="C132" s="55">
        <v>2</v>
      </c>
      <c r="D132" s="44">
        <f t="shared" si="51"/>
        <v>2</v>
      </c>
      <c r="E132" s="44">
        <f t="shared" si="51"/>
        <v>2</v>
      </c>
      <c r="F132" s="44">
        <f t="shared" si="51"/>
        <v>2</v>
      </c>
      <c r="G132" s="44">
        <f t="shared" si="51"/>
        <v>2</v>
      </c>
      <c r="H132" s="44">
        <f t="shared" si="51"/>
        <v>2</v>
      </c>
      <c r="I132" s="44">
        <f t="shared" si="51"/>
        <v>2</v>
      </c>
      <c r="J132" s="44">
        <f t="shared" si="51"/>
        <v>2</v>
      </c>
      <c r="K132" s="44">
        <f t="shared" si="51"/>
        <v>2</v>
      </c>
      <c r="L132" s="44">
        <f t="shared" si="51"/>
        <v>2</v>
      </c>
      <c r="M132" s="44">
        <f t="shared" si="51"/>
        <v>2</v>
      </c>
      <c r="N132" s="44">
        <f t="shared" si="51"/>
        <v>2</v>
      </c>
      <c r="O132" s="44">
        <f t="shared" si="51"/>
        <v>2</v>
      </c>
      <c r="P132" s="44">
        <f t="shared" si="51"/>
        <v>2</v>
      </c>
      <c r="Q132" s="44">
        <f t="shared" si="51"/>
        <v>2</v>
      </c>
      <c r="R132" s="44">
        <f t="shared" si="51"/>
        <v>2</v>
      </c>
      <c r="S132" s="44">
        <f t="shared" si="51"/>
        <v>2</v>
      </c>
      <c r="T132" s="44">
        <f t="shared" si="52"/>
        <v>2</v>
      </c>
      <c r="U132" s="44">
        <f t="shared" si="52"/>
        <v>2</v>
      </c>
      <c r="V132" s="44">
        <f t="shared" si="52"/>
        <v>2</v>
      </c>
      <c r="W132" s="44">
        <f t="shared" si="52"/>
        <v>2</v>
      </c>
      <c r="X132" s="44">
        <f t="shared" si="52"/>
        <v>2</v>
      </c>
      <c r="Y132" s="44">
        <f t="shared" si="52"/>
        <v>2</v>
      </c>
      <c r="Z132" s="44">
        <f t="shared" si="52"/>
        <v>2</v>
      </c>
      <c r="AA132" s="44">
        <f t="shared" si="52"/>
        <v>2</v>
      </c>
      <c r="AB132" s="44">
        <f t="shared" si="52"/>
        <v>2</v>
      </c>
      <c r="AC132" s="44">
        <f t="shared" si="52"/>
        <v>2</v>
      </c>
      <c r="AD132" s="44">
        <f t="shared" si="52"/>
        <v>2</v>
      </c>
      <c r="AE132" s="44">
        <f t="shared" si="52"/>
        <v>2</v>
      </c>
      <c r="AF132" s="44">
        <f t="shared" si="52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50"/>
        <v>1.25</v>
      </c>
      <c r="C133" s="55">
        <v>1.25</v>
      </c>
      <c r="D133" s="44">
        <f t="shared" si="51"/>
        <v>1.25</v>
      </c>
      <c r="E133" s="44">
        <f t="shared" si="51"/>
        <v>1.25</v>
      </c>
      <c r="F133" s="44">
        <f t="shared" si="51"/>
        <v>1.25</v>
      </c>
      <c r="G133" s="44">
        <f t="shared" si="51"/>
        <v>1.25</v>
      </c>
      <c r="H133" s="44">
        <f t="shared" si="51"/>
        <v>1.25</v>
      </c>
      <c r="I133" s="44">
        <f t="shared" si="51"/>
        <v>1.25</v>
      </c>
      <c r="J133" s="44">
        <f t="shared" si="51"/>
        <v>1.25</v>
      </c>
      <c r="K133" s="44">
        <f t="shared" si="51"/>
        <v>1.25</v>
      </c>
      <c r="L133" s="44">
        <f t="shared" si="51"/>
        <v>1.25</v>
      </c>
      <c r="M133" s="44">
        <f t="shared" si="51"/>
        <v>1.25</v>
      </c>
      <c r="N133" s="44">
        <f t="shared" si="51"/>
        <v>1.25</v>
      </c>
      <c r="O133" s="44">
        <f t="shared" si="51"/>
        <v>1.25</v>
      </c>
      <c r="P133" s="44">
        <f t="shared" si="51"/>
        <v>1.25</v>
      </c>
      <c r="Q133" s="44">
        <f t="shared" si="51"/>
        <v>1.25</v>
      </c>
      <c r="R133" s="44">
        <f t="shared" si="51"/>
        <v>1.25</v>
      </c>
      <c r="S133" s="44">
        <f t="shared" si="51"/>
        <v>1.25</v>
      </c>
      <c r="T133" s="44">
        <f t="shared" si="52"/>
        <v>1.25</v>
      </c>
      <c r="U133" s="44">
        <f t="shared" si="52"/>
        <v>1.25</v>
      </c>
      <c r="V133" s="44">
        <f t="shared" si="52"/>
        <v>1.25</v>
      </c>
      <c r="W133" s="44">
        <f t="shared" si="52"/>
        <v>1.25</v>
      </c>
      <c r="X133" s="44">
        <f t="shared" si="52"/>
        <v>1.25</v>
      </c>
      <c r="Y133" s="44">
        <f t="shared" si="52"/>
        <v>1.25</v>
      </c>
      <c r="Z133" s="44">
        <f t="shared" si="52"/>
        <v>1.25</v>
      </c>
      <c r="AA133" s="44">
        <f t="shared" si="52"/>
        <v>1.25</v>
      </c>
      <c r="AB133" s="44">
        <f t="shared" si="52"/>
        <v>1.25</v>
      </c>
      <c r="AC133" s="44">
        <f t="shared" si="52"/>
        <v>1.25</v>
      </c>
      <c r="AD133" s="44">
        <f t="shared" si="52"/>
        <v>1.25</v>
      </c>
      <c r="AE133" s="44">
        <f t="shared" si="52"/>
        <v>1.25</v>
      </c>
      <c r="AF133" s="44">
        <f t="shared" si="52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50"/>
        <v>1.1499999999999999</v>
      </c>
      <c r="C134" s="55">
        <v>1.1499999999999999</v>
      </c>
      <c r="D134" s="44">
        <f t="shared" si="51"/>
        <v>1.1499999999999999</v>
      </c>
      <c r="E134" s="44">
        <f t="shared" si="51"/>
        <v>1.1499999999999999</v>
      </c>
      <c r="F134" s="44">
        <f t="shared" si="51"/>
        <v>1.1499999999999999</v>
      </c>
      <c r="G134" s="44">
        <f t="shared" si="51"/>
        <v>1.1499999999999999</v>
      </c>
      <c r="H134" s="44">
        <f t="shared" si="51"/>
        <v>1.1499999999999999</v>
      </c>
      <c r="I134" s="44">
        <f t="shared" si="51"/>
        <v>1.1499999999999999</v>
      </c>
      <c r="J134" s="44">
        <f t="shared" si="51"/>
        <v>1.1499999999999999</v>
      </c>
      <c r="K134" s="44">
        <f t="shared" si="51"/>
        <v>1.1499999999999999</v>
      </c>
      <c r="L134" s="44">
        <f t="shared" si="51"/>
        <v>1.1499999999999999</v>
      </c>
      <c r="M134" s="44">
        <f t="shared" si="51"/>
        <v>1.1499999999999999</v>
      </c>
      <c r="N134" s="44">
        <f t="shared" si="51"/>
        <v>1.1499999999999999</v>
      </c>
      <c r="O134" s="44">
        <f t="shared" si="51"/>
        <v>1.1499999999999999</v>
      </c>
      <c r="P134" s="44">
        <f t="shared" si="51"/>
        <v>1.1499999999999999</v>
      </c>
      <c r="Q134" s="44">
        <f t="shared" si="51"/>
        <v>1.1499999999999999</v>
      </c>
      <c r="R134" s="44">
        <f t="shared" si="51"/>
        <v>1.1499999999999999</v>
      </c>
      <c r="S134" s="44">
        <f t="shared" si="51"/>
        <v>1.1499999999999999</v>
      </c>
      <c r="T134" s="44">
        <f t="shared" si="52"/>
        <v>1.1499999999999999</v>
      </c>
      <c r="U134" s="44">
        <f t="shared" si="52"/>
        <v>1.1499999999999999</v>
      </c>
      <c r="V134" s="44">
        <f t="shared" si="52"/>
        <v>1.1499999999999999</v>
      </c>
      <c r="W134" s="44">
        <f t="shared" si="52"/>
        <v>1.1499999999999999</v>
      </c>
      <c r="X134" s="44">
        <f t="shared" si="52"/>
        <v>1.1499999999999999</v>
      </c>
      <c r="Y134" s="44">
        <f t="shared" si="52"/>
        <v>1.1499999999999999</v>
      </c>
      <c r="Z134" s="44">
        <f t="shared" si="52"/>
        <v>1.1499999999999999</v>
      </c>
      <c r="AA134" s="44">
        <f t="shared" si="52"/>
        <v>1.1499999999999999</v>
      </c>
      <c r="AB134" s="44">
        <f t="shared" si="52"/>
        <v>1.1499999999999999</v>
      </c>
      <c r="AC134" s="44">
        <f t="shared" si="52"/>
        <v>1.1499999999999999</v>
      </c>
      <c r="AD134" s="44">
        <f t="shared" si="52"/>
        <v>1.1499999999999999</v>
      </c>
      <c r="AE134" s="44">
        <f t="shared" si="52"/>
        <v>1.1499999999999999</v>
      </c>
      <c r="AF134" s="44">
        <f t="shared" si="52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50"/>
        <v>2.133</v>
      </c>
      <c r="C135" s="55">
        <v>2.133</v>
      </c>
      <c r="D135" s="44">
        <f t="shared" si="51"/>
        <v>2.133</v>
      </c>
      <c r="E135" s="44">
        <f t="shared" si="51"/>
        <v>2.133</v>
      </c>
      <c r="F135" s="44">
        <f t="shared" si="51"/>
        <v>2.133</v>
      </c>
      <c r="G135" s="44">
        <f t="shared" si="51"/>
        <v>2.133</v>
      </c>
      <c r="H135" s="44">
        <f t="shared" si="51"/>
        <v>2.133</v>
      </c>
      <c r="I135" s="44">
        <f t="shared" si="51"/>
        <v>2.133</v>
      </c>
      <c r="J135" s="44">
        <f t="shared" si="51"/>
        <v>2.133</v>
      </c>
      <c r="K135" s="44">
        <f t="shared" si="51"/>
        <v>2.133</v>
      </c>
      <c r="L135" s="44">
        <f t="shared" si="51"/>
        <v>2.133</v>
      </c>
      <c r="M135" s="44">
        <f t="shared" si="51"/>
        <v>2.133</v>
      </c>
      <c r="N135" s="44">
        <f t="shared" si="51"/>
        <v>2.133</v>
      </c>
      <c r="O135" s="44">
        <f t="shared" si="51"/>
        <v>2.133</v>
      </c>
      <c r="P135" s="44">
        <f t="shared" si="51"/>
        <v>2.133</v>
      </c>
      <c r="Q135" s="44">
        <f t="shared" si="51"/>
        <v>2.133</v>
      </c>
      <c r="R135" s="44">
        <f t="shared" si="51"/>
        <v>2.133</v>
      </c>
      <c r="S135" s="44">
        <f t="shared" si="51"/>
        <v>2.133</v>
      </c>
      <c r="T135" s="44">
        <f t="shared" si="52"/>
        <v>2.133</v>
      </c>
      <c r="U135" s="44">
        <f t="shared" si="52"/>
        <v>2.133</v>
      </c>
      <c r="V135" s="44">
        <f t="shared" si="52"/>
        <v>2.133</v>
      </c>
      <c r="W135" s="44">
        <f t="shared" si="52"/>
        <v>2.133</v>
      </c>
      <c r="X135" s="44">
        <f t="shared" si="52"/>
        <v>2.133</v>
      </c>
      <c r="Y135" s="44">
        <f t="shared" si="52"/>
        <v>2.133</v>
      </c>
      <c r="Z135" s="44">
        <f t="shared" si="52"/>
        <v>2.133</v>
      </c>
      <c r="AA135" s="44">
        <f t="shared" si="52"/>
        <v>2.133</v>
      </c>
      <c r="AB135" s="44">
        <f t="shared" si="52"/>
        <v>2.133</v>
      </c>
      <c r="AC135" s="44">
        <f t="shared" si="52"/>
        <v>2.133</v>
      </c>
      <c r="AD135" s="44">
        <f t="shared" si="52"/>
        <v>2.133</v>
      </c>
      <c r="AE135" s="44">
        <f t="shared" si="52"/>
        <v>2.133</v>
      </c>
      <c r="AF135" s="44">
        <f t="shared" si="52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50"/>
        <v>2.09</v>
      </c>
      <c r="C136" s="55">
        <v>2.09</v>
      </c>
      <c r="D136" s="44">
        <f t="shared" si="51"/>
        <v>2.09</v>
      </c>
      <c r="E136" s="44">
        <f t="shared" si="51"/>
        <v>2.09</v>
      </c>
      <c r="F136" s="44">
        <f t="shared" si="51"/>
        <v>2.09</v>
      </c>
      <c r="G136" s="44">
        <f t="shared" si="51"/>
        <v>2.09</v>
      </c>
      <c r="H136" s="44">
        <f t="shared" si="51"/>
        <v>2.09</v>
      </c>
      <c r="I136" s="44">
        <f t="shared" si="51"/>
        <v>2.09</v>
      </c>
      <c r="J136" s="44">
        <f t="shared" si="51"/>
        <v>2.09</v>
      </c>
      <c r="K136" s="44">
        <f t="shared" si="51"/>
        <v>2.09</v>
      </c>
      <c r="L136" s="44">
        <f t="shared" si="51"/>
        <v>2.09</v>
      </c>
      <c r="M136" s="44">
        <f t="shared" si="51"/>
        <v>2.09</v>
      </c>
      <c r="N136" s="44">
        <f t="shared" si="51"/>
        <v>2.09</v>
      </c>
      <c r="O136" s="44">
        <f t="shared" si="51"/>
        <v>2.09</v>
      </c>
      <c r="P136" s="44">
        <f t="shared" si="51"/>
        <v>2.09</v>
      </c>
      <c r="Q136" s="44">
        <f t="shared" si="51"/>
        <v>2.09</v>
      </c>
      <c r="R136" s="44">
        <f t="shared" si="51"/>
        <v>2.09</v>
      </c>
      <c r="S136" s="44">
        <f t="shared" si="51"/>
        <v>2.09</v>
      </c>
      <c r="T136" s="44">
        <f t="shared" si="52"/>
        <v>2.09</v>
      </c>
      <c r="U136" s="44">
        <f t="shared" si="52"/>
        <v>2.09</v>
      </c>
      <c r="V136" s="44">
        <f t="shared" si="52"/>
        <v>2.09</v>
      </c>
      <c r="W136" s="44">
        <f t="shared" si="52"/>
        <v>2.09</v>
      </c>
      <c r="X136" s="44">
        <f t="shared" si="52"/>
        <v>2.09</v>
      </c>
      <c r="Y136" s="44">
        <f t="shared" si="52"/>
        <v>2.09</v>
      </c>
      <c r="Z136" s="44">
        <f t="shared" si="52"/>
        <v>2.09</v>
      </c>
      <c r="AA136" s="44">
        <f t="shared" si="52"/>
        <v>2.09</v>
      </c>
      <c r="AB136" s="44">
        <f t="shared" si="52"/>
        <v>2.09</v>
      </c>
      <c r="AC136" s="44">
        <f t="shared" si="52"/>
        <v>2.09</v>
      </c>
      <c r="AD136" s="44">
        <f t="shared" si="52"/>
        <v>2.09</v>
      </c>
      <c r="AE136" s="44">
        <f t="shared" si="52"/>
        <v>2.09</v>
      </c>
      <c r="AF136" s="44">
        <f t="shared" si="52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50"/>
        <v>1.1399999999999999</v>
      </c>
      <c r="C137" s="55">
        <v>1.1399999999999999</v>
      </c>
      <c r="D137" s="44">
        <f t="shared" si="51"/>
        <v>1.1399999999999999</v>
      </c>
      <c r="E137" s="44">
        <f t="shared" si="51"/>
        <v>1.1399999999999999</v>
      </c>
      <c r="F137" s="44">
        <f t="shared" si="51"/>
        <v>1.1399999999999999</v>
      </c>
      <c r="G137" s="44">
        <f t="shared" si="51"/>
        <v>1.1399999999999999</v>
      </c>
      <c r="H137" s="44">
        <f t="shared" si="51"/>
        <v>1.1399999999999999</v>
      </c>
      <c r="I137" s="44">
        <f t="shared" si="51"/>
        <v>1.1399999999999999</v>
      </c>
      <c r="J137" s="44">
        <f t="shared" si="51"/>
        <v>1.1399999999999999</v>
      </c>
      <c r="K137" s="44">
        <f t="shared" si="51"/>
        <v>1.1399999999999999</v>
      </c>
      <c r="L137" s="44">
        <f t="shared" si="51"/>
        <v>1.1399999999999999</v>
      </c>
      <c r="M137" s="44">
        <f t="shared" si="51"/>
        <v>1.1399999999999999</v>
      </c>
      <c r="N137" s="44">
        <f t="shared" si="51"/>
        <v>1.1399999999999999</v>
      </c>
      <c r="O137" s="44">
        <f t="shared" si="51"/>
        <v>1.1399999999999999</v>
      </c>
      <c r="P137" s="44">
        <f t="shared" si="51"/>
        <v>1.1399999999999999</v>
      </c>
      <c r="Q137" s="44">
        <f t="shared" si="51"/>
        <v>1.1399999999999999</v>
      </c>
      <c r="R137" s="44">
        <f t="shared" si="51"/>
        <v>1.1399999999999999</v>
      </c>
      <c r="S137" s="44">
        <f t="shared" si="51"/>
        <v>1.1399999999999999</v>
      </c>
      <c r="T137" s="44">
        <f t="shared" si="52"/>
        <v>1.1399999999999999</v>
      </c>
      <c r="U137" s="44">
        <f t="shared" si="52"/>
        <v>1.1399999999999999</v>
      </c>
      <c r="V137" s="44">
        <f t="shared" si="52"/>
        <v>1.1399999999999999</v>
      </c>
      <c r="W137" s="44">
        <f t="shared" si="52"/>
        <v>1.1399999999999999</v>
      </c>
      <c r="X137" s="44">
        <f t="shared" si="52"/>
        <v>1.1399999999999999</v>
      </c>
      <c r="Y137" s="44">
        <f t="shared" si="52"/>
        <v>1.1399999999999999</v>
      </c>
      <c r="Z137" s="44">
        <f t="shared" si="52"/>
        <v>1.1399999999999999</v>
      </c>
      <c r="AA137" s="44">
        <f t="shared" si="52"/>
        <v>1.1399999999999999</v>
      </c>
      <c r="AB137" s="44">
        <f t="shared" si="52"/>
        <v>1.1399999999999999</v>
      </c>
      <c r="AC137" s="44">
        <f t="shared" si="52"/>
        <v>1.1399999999999999</v>
      </c>
      <c r="AD137" s="44">
        <f t="shared" si="52"/>
        <v>1.1399999999999999</v>
      </c>
      <c r="AE137" s="44">
        <f t="shared" si="52"/>
        <v>1.1399999999999999</v>
      </c>
      <c r="AF137" s="44">
        <f t="shared" si="52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50"/>
        <v>0.82</v>
      </c>
      <c r="C138" s="55">
        <v>0.82</v>
      </c>
      <c r="D138" s="44">
        <f t="shared" si="51"/>
        <v>0.82</v>
      </c>
      <c r="E138" s="44">
        <f t="shared" si="51"/>
        <v>0.82</v>
      </c>
      <c r="F138" s="44">
        <f t="shared" si="51"/>
        <v>0.82</v>
      </c>
      <c r="G138" s="44">
        <f t="shared" si="51"/>
        <v>0.82</v>
      </c>
      <c r="H138" s="44">
        <f t="shared" si="51"/>
        <v>0.82</v>
      </c>
      <c r="I138" s="44">
        <f t="shared" si="51"/>
        <v>0.82</v>
      </c>
      <c r="J138" s="44">
        <f t="shared" si="51"/>
        <v>0.82</v>
      </c>
      <c r="K138" s="44">
        <f t="shared" si="51"/>
        <v>0.82</v>
      </c>
      <c r="L138" s="44">
        <f t="shared" si="51"/>
        <v>0.82</v>
      </c>
      <c r="M138" s="44">
        <f t="shared" si="51"/>
        <v>0.82</v>
      </c>
      <c r="N138" s="44">
        <f t="shared" si="51"/>
        <v>0.82</v>
      </c>
      <c r="O138" s="44">
        <f t="shared" si="51"/>
        <v>0.82</v>
      </c>
      <c r="P138" s="44">
        <f t="shared" si="51"/>
        <v>0.82</v>
      </c>
      <c r="Q138" s="44">
        <f t="shared" si="51"/>
        <v>0.82</v>
      </c>
      <c r="R138" s="44">
        <f t="shared" si="51"/>
        <v>0.82</v>
      </c>
      <c r="S138" s="44">
        <f t="shared" si="51"/>
        <v>0.82</v>
      </c>
      <c r="T138" s="44">
        <f t="shared" si="52"/>
        <v>0.82</v>
      </c>
      <c r="U138" s="44">
        <f t="shared" si="52"/>
        <v>0.82</v>
      </c>
      <c r="V138" s="44">
        <f t="shared" si="52"/>
        <v>0.82</v>
      </c>
      <c r="W138" s="44">
        <f t="shared" si="52"/>
        <v>0.82</v>
      </c>
      <c r="X138" s="44">
        <f t="shared" si="52"/>
        <v>0.82</v>
      </c>
      <c r="Y138" s="44">
        <f t="shared" si="52"/>
        <v>0.82</v>
      </c>
      <c r="Z138" s="44">
        <f t="shared" si="52"/>
        <v>0.82</v>
      </c>
      <c r="AA138" s="44">
        <f t="shared" si="52"/>
        <v>0.82</v>
      </c>
      <c r="AB138" s="44">
        <f t="shared" si="52"/>
        <v>0.82</v>
      </c>
      <c r="AC138" s="44">
        <f t="shared" si="52"/>
        <v>0.82</v>
      </c>
      <c r="AD138" s="44">
        <f t="shared" si="52"/>
        <v>0.82</v>
      </c>
      <c r="AE138" s="44">
        <f t="shared" si="52"/>
        <v>0.82</v>
      </c>
      <c r="AF138" s="44">
        <f t="shared" si="52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3">AF140</f>
        <v>2</v>
      </c>
      <c r="C140" s="55">
        <v>2</v>
      </c>
      <c r="D140" s="44">
        <f t="shared" ref="D140:S146" si="54">C140</f>
        <v>2</v>
      </c>
      <c r="E140" s="44">
        <f t="shared" si="54"/>
        <v>2</v>
      </c>
      <c r="F140" s="44">
        <f t="shared" si="54"/>
        <v>2</v>
      </c>
      <c r="G140" s="44">
        <f t="shared" si="54"/>
        <v>2</v>
      </c>
      <c r="H140" s="44">
        <f t="shared" si="54"/>
        <v>2</v>
      </c>
      <c r="I140" s="44">
        <f t="shared" si="54"/>
        <v>2</v>
      </c>
      <c r="J140" s="44">
        <f t="shared" si="54"/>
        <v>2</v>
      </c>
      <c r="K140" s="44">
        <f t="shared" si="54"/>
        <v>2</v>
      </c>
      <c r="L140" s="44">
        <f t="shared" si="54"/>
        <v>2</v>
      </c>
      <c r="M140" s="44">
        <f t="shared" si="54"/>
        <v>2</v>
      </c>
      <c r="N140" s="44">
        <f t="shared" si="54"/>
        <v>2</v>
      </c>
      <c r="O140" s="44">
        <f t="shared" si="54"/>
        <v>2</v>
      </c>
      <c r="P140" s="44">
        <f t="shared" si="54"/>
        <v>2</v>
      </c>
      <c r="Q140" s="44">
        <f t="shared" si="54"/>
        <v>2</v>
      </c>
      <c r="R140" s="44">
        <f t="shared" si="54"/>
        <v>2</v>
      </c>
      <c r="S140" s="44">
        <f t="shared" si="54"/>
        <v>2</v>
      </c>
      <c r="T140" s="44">
        <f t="shared" ref="T140:AF146" si="55">S140</f>
        <v>2</v>
      </c>
      <c r="U140" s="44">
        <f t="shared" si="55"/>
        <v>2</v>
      </c>
      <c r="V140" s="44">
        <f t="shared" si="55"/>
        <v>2</v>
      </c>
      <c r="W140" s="44">
        <f t="shared" si="55"/>
        <v>2</v>
      </c>
      <c r="X140" s="44">
        <f t="shared" si="55"/>
        <v>2</v>
      </c>
      <c r="Y140" s="44">
        <f t="shared" si="55"/>
        <v>2</v>
      </c>
      <c r="Z140" s="44">
        <f t="shared" si="55"/>
        <v>2</v>
      </c>
      <c r="AA140" s="44">
        <f t="shared" si="55"/>
        <v>2</v>
      </c>
      <c r="AB140" s="44">
        <f t="shared" si="55"/>
        <v>2</v>
      </c>
      <c r="AC140" s="44">
        <f t="shared" si="55"/>
        <v>2</v>
      </c>
      <c r="AD140" s="44">
        <f t="shared" si="55"/>
        <v>2</v>
      </c>
      <c r="AE140" s="44">
        <f t="shared" si="55"/>
        <v>2</v>
      </c>
      <c r="AF140" s="44">
        <f t="shared" si="55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3"/>
        <v>5.61</v>
      </c>
      <c r="C141" s="55">
        <v>5.61</v>
      </c>
      <c r="D141" s="44">
        <f t="shared" si="54"/>
        <v>5.61</v>
      </c>
      <c r="E141" s="44">
        <f t="shared" si="54"/>
        <v>5.61</v>
      </c>
      <c r="F141" s="44">
        <f t="shared" si="54"/>
        <v>5.61</v>
      </c>
      <c r="G141" s="44">
        <f t="shared" si="54"/>
        <v>5.61</v>
      </c>
      <c r="H141" s="44">
        <f t="shared" si="54"/>
        <v>5.61</v>
      </c>
      <c r="I141" s="44">
        <f t="shared" si="54"/>
        <v>5.61</v>
      </c>
      <c r="J141" s="44">
        <f t="shared" si="54"/>
        <v>5.61</v>
      </c>
      <c r="K141" s="44">
        <f t="shared" si="54"/>
        <v>5.61</v>
      </c>
      <c r="L141" s="44">
        <f t="shared" si="54"/>
        <v>5.61</v>
      </c>
      <c r="M141" s="44">
        <f t="shared" si="54"/>
        <v>5.61</v>
      </c>
      <c r="N141" s="44">
        <f t="shared" si="54"/>
        <v>5.61</v>
      </c>
      <c r="O141" s="44">
        <f t="shared" si="54"/>
        <v>5.61</v>
      </c>
      <c r="P141" s="44">
        <f t="shared" si="54"/>
        <v>5.61</v>
      </c>
      <c r="Q141" s="44">
        <f t="shared" si="54"/>
        <v>5.61</v>
      </c>
      <c r="R141" s="44">
        <f t="shared" si="54"/>
        <v>5.61</v>
      </c>
      <c r="S141" s="44">
        <f t="shared" si="54"/>
        <v>5.61</v>
      </c>
      <c r="T141" s="44">
        <f t="shared" si="55"/>
        <v>5.61</v>
      </c>
      <c r="U141" s="44">
        <f t="shared" si="55"/>
        <v>5.61</v>
      </c>
      <c r="V141" s="44">
        <f t="shared" si="55"/>
        <v>5.61</v>
      </c>
      <c r="W141" s="44">
        <f t="shared" si="55"/>
        <v>5.61</v>
      </c>
      <c r="X141" s="44">
        <f t="shared" si="55"/>
        <v>5.61</v>
      </c>
      <c r="Y141" s="44">
        <f t="shared" si="55"/>
        <v>5.61</v>
      </c>
      <c r="Z141" s="44">
        <f t="shared" si="55"/>
        <v>5.61</v>
      </c>
      <c r="AA141" s="44">
        <f t="shared" si="55"/>
        <v>5.61</v>
      </c>
      <c r="AB141" s="44">
        <f t="shared" si="55"/>
        <v>5.61</v>
      </c>
      <c r="AC141" s="44">
        <f t="shared" si="55"/>
        <v>5.61</v>
      </c>
      <c r="AD141" s="44">
        <f t="shared" si="55"/>
        <v>5.61</v>
      </c>
      <c r="AE141" s="44">
        <f t="shared" si="55"/>
        <v>5.61</v>
      </c>
      <c r="AF141" s="44">
        <f t="shared" si="55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3"/>
        <v>1.25</v>
      </c>
      <c r="C142" s="55">
        <v>1.25</v>
      </c>
      <c r="D142" s="44">
        <f t="shared" si="54"/>
        <v>1.25</v>
      </c>
      <c r="E142" s="44">
        <f t="shared" si="54"/>
        <v>1.25</v>
      </c>
      <c r="F142" s="44">
        <f t="shared" si="54"/>
        <v>1.25</v>
      </c>
      <c r="G142" s="44">
        <f t="shared" si="54"/>
        <v>1.25</v>
      </c>
      <c r="H142" s="44">
        <f t="shared" si="54"/>
        <v>1.25</v>
      </c>
      <c r="I142" s="44">
        <f t="shared" si="54"/>
        <v>1.25</v>
      </c>
      <c r="J142" s="44">
        <f t="shared" si="54"/>
        <v>1.25</v>
      </c>
      <c r="K142" s="44">
        <f t="shared" si="54"/>
        <v>1.25</v>
      </c>
      <c r="L142" s="44">
        <f t="shared" si="54"/>
        <v>1.25</v>
      </c>
      <c r="M142" s="44">
        <f t="shared" si="54"/>
        <v>1.25</v>
      </c>
      <c r="N142" s="44">
        <f t="shared" si="54"/>
        <v>1.25</v>
      </c>
      <c r="O142" s="44">
        <f t="shared" si="54"/>
        <v>1.25</v>
      </c>
      <c r="P142" s="44">
        <f t="shared" si="54"/>
        <v>1.25</v>
      </c>
      <c r="Q142" s="44">
        <f t="shared" si="54"/>
        <v>1.25</v>
      </c>
      <c r="R142" s="44">
        <f t="shared" si="54"/>
        <v>1.25</v>
      </c>
      <c r="S142" s="44">
        <f t="shared" si="54"/>
        <v>1.25</v>
      </c>
      <c r="T142" s="44">
        <f t="shared" si="55"/>
        <v>1.25</v>
      </c>
      <c r="U142" s="44">
        <f t="shared" si="55"/>
        <v>1.25</v>
      </c>
      <c r="V142" s="44">
        <f t="shared" si="55"/>
        <v>1.25</v>
      </c>
      <c r="W142" s="44">
        <f t="shared" si="55"/>
        <v>1.25</v>
      </c>
      <c r="X142" s="44">
        <f t="shared" si="55"/>
        <v>1.25</v>
      </c>
      <c r="Y142" s="44">
        <f t="shared" si="55"/>
        <v>1.25</v>
      </c>
      <c r="Z142" s="44">
        <f t="shared" si="55"/>
        <v>1.25</v>
      </c>
      <c r="AA142" s="44">
        <f t="shared" si="55"/>
        <v>1.25</v>
      </c>
      <c r="AB142" s="44">
        <f t="shared" si="55"/>
        <v>1.25</v>
      </c>
      <c r="AC142" s="44">
        <f t="shared" si="55"/>
        <v>1.25</v>
      </c>
      <c r="AD142" s="44">
        <f t="shared" si="55"/>
        <v>1.25</v>
      </c>
      <c r="AE142" s="44">
        <f t="shared" si="55"/>
        <v>1.25</v>
      </c>
      <c r="AF142" s="44">
        <f t="shared" si="55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3"/>
        <v>1.25</v>
      </c>
      <c r="C143" s="55">
        <v>1.25</v>
      </c>
      <c r="D143" s="44">
        <f t="shared" si="54"/>
        <v>1.25</v>
      </c>
      <c r="E143" s="44">
        <f t="shared" si="54"/>
        <v>1.25</v>
      </c>
      <c r="F143" s="44">
        <f t="shared" si="54"/>
        <v>1.25</v>
      </c>
      <c r="G143" s="44">
        <f t="shared" si="54"/>
        <v>1.25</v>
      </c>
      <c r="H143" s="44">
        <f t="shared" si="54"/>
        <v>1.25</v>
      </c>
      <c r="I143" s="44">
        <f t="shared" si="54"/>
        <v>1.25</v>
      </c>
      <c r="J143" s="44">
        <f t="shared" si="54"/>
        <v>1.25</v>
      </c>
      <c r="K143" s="44">
        <f t="shared" si="54"/>
        <v>1.25</v>
      </c>
      <c r="L143" s="44">
        <f t="shared" si="54"/>
        <v>1.25</v>
      </c>
      <c r="M143" s="44">
        <f t="shared" si="54"/>
        <v>1.25</v>
      </c>
      <c r="N143" s="44">
        <f t="shared" si="54"/>
        <v>1.25</v>
      </c>
      <c r="O143" s="44">
        <f t="shared" si="54"/>
        <v>1.25</v>
      </c>
      <c r="P143" s="44">
        <f t="shared" si="54"/>
        <v>1.25</v>
      </c>
      <c r="Q143" s="44">
        <f t="shared" si="54"/>
        <v>1.25</v>
      </c>
      <c r="R143" s="44">
        <f t="shared" si="54"/>
        <v>1.25</v>
      </c>
      <c r="S143" s="44">
        <f t="shared" si="54"/>
        <v>1.25</v>
      </c>
      <c r="T143" s="44">
        <f t="shared" si="55"/>
        <v>1.25</v>
      </c>
      <c r="U143" s="44">
        <f t="shared" si="55"/>
        <v>1.25</v>
      </c>
      <c r="V143" s="44">
        <f t="shared" si="55"/>
        <v>1.25</v>
      </c>
      <c r="W143" s="44">
        <f t="shared" si="55"/>
        <v>1.25</v>
      </c>
      <c r="X143" s="44">
        <f t="shared" si="55"/>
        <v>1.25</v>
      </c>
      <c r="Y143" s="44">
        <f t="shared" si="55"/>
        <v>1.25</v>
      </c>
      <c r="Z143" s="44">
        <f t="shared" si="55"/>
        <v>1.25</v>
      </c>
      <c r="AA143" s="44">
        <f t="shared" si="55"/>
        <v>1.25</v>
      </c>
      <c r="AB143" s="44">
        <f t="shared" si="55"/>
        <v>1.25</v>
      </c>
      <c r="AC143" s="44">
        <f t="shared" si="55"/>
        <v>1.25</v>
      </c>
      <c r="AD143" s="44">
        <f t="shared" si="55"/>
        <v>1.25</v>
      </c>
      <c r="AE143" s="44">
        <f t="shared" si="55"/>
        <v>1.25</v>
      </c>
      <c r="AF143" s="44">
        <f t="shared" si="55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3"/>
        <v>1.46</v>
      </c>
      <c r="C144" s="55">
        <v>1.46</v>
      </c>
      <c r="D144" s="44">
        <f t="shared" si="54"/>
        <v>1.46</v>
      </c>
      <c r="E144" s="44">
        <f t="shared" si="54"/>
        <v>1.46</v>
      </c>
      <c r="F144" s="44">
        <f t="shared" si="54"/>
        <v>1.46</v>
      </c>
      <c r="G144" s="44">
        <f t="shared" si="54"/>
        <v>1.46</v>
      </c>
      <c r="H144" s="44">
        <f t="shared" si="54"/>
        <v>1.46</v>
      </c>
      <c r="I144" s="44">
        <f t="shared" si="54"/>
        <v>1.46</v>
      </c>
      <c r="J144" s="44">
        <f t="shared" si="54"/>
        <v>1.46</v>
      </c>
      <c r="K144" s="44">
        <f t="shared" si="54"/>
        <v>1.46</v>
      </c>
      <c r="L144" s="44">
        <f t="shared" si="54"/>
        <v>1.46</v>
      </c>
      <c r="M144" s="44">
        <f t="shared" si="54"/>
        <v>1.46</v>
      </c>
      <c r="N144" s="44">
        <f t="shared" si="54"/>
        <v>1.46</v>
      </c>
      <c r="O144" s="44">
        <f t="shared" si="54"/>
        <v>1.46</v>
      </c>
      <c r="P144" s="44">
        <f t="shared" si="54"/>
        <v>1.46</v>
      </c>
      <c r="Q144" s="44">
        <f t="shared" si="54"/>
        <v>1.46</v>
      </c>
      <c r="R144" s="44">
        <f t="shared" si="54"/>
        <v>1.46</v>
      </c>
      <c r="S144" s="44">
        <f t="shared" si="54"/>
        <v>1.46</v>
      </c>
      <c r="T144" s="44">
        <f t="shared" si="55"/>
        <v>1.46</v>
      </c>
      <c r="U144" s="44">
        <f t="shared" si="55"/>
        <v>1.46</v>
      </c>
      <c r="V144" s="44">
        <f t="shared" si="55"/>
        <v>1.46</v>
      </c>
      <c r="W144" s="44">
        <f t="shared" si="55"/>
        <v>1.46</v>
      </c>
      <c r="X144" s="44">
        <f t="shared" si="55"/>
        <v>1.46</v>
      </c>
      <c r="Y144" s="44">
        <f t="shared" si="55"/>
        <v>1.46</v>
      </c>
      <c r="Z144" s="44">
        <f t="shared" si="55"/>
        <v>1.46</v>
      </c>
      <c r="AA144" s="44">
        <f t="shared" si="55"/>
        <v>1.46</v>
      </c>
      <c r="AB144" s="44">
        <f t="shared" si="55"/>
        <v>1.46</v>
      </c>
      <c r="AC144" s="44">
        <f t="shared" si="55"/>
        <v>1.46</v>
      </c>
      <c r="AD144" s="44">
        <f t="shared" si="55"/>
        <v>1.46</v>
      </c>
      <c r="AE144" s="44">
        <f t="shared" si="55"/>
        <v>1.46</v>
      </c>
      <c r="AF144" s="44">
        <f t="shared" si="55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3"/>
        <v>3</v>
      </c>
      <c r="C145" s="55">
        <v>3</v>
      </c>
      <c r="D145" s="44">
        <f t="shared" si="54"/>
        <v>3</v>
      </c>
      <c r="E145" s="44">
        <f t="shared" si="54"/>
        <v>3</v>
      </c>
      <c r="F145" s="44">
        <f t="shared" si="54"/>
        <v>3</v>
      </c>
      <c r="G145" s="44">
        <f t="shared" si="54"/>
        <v>3</v>
      </c>
      <c r="H145" s="44">
        <f t="shared" si="54"/>
        <v>3</v>
      </c>
      <c r="I145" s="44">
        <f t="shared" si="54"/>
        <v>3</v>
      </c>
      <c r="J145" s="44">
        <f t="shared" si="54"/>
        <v>3</v>
      </c>
      <c r="K145" s="44">
        <f t="shared" si="54"/>
        <v>3</v>
      </c>
      <c r="L145" s="44">
        <f t="shared" si="54"/>
        <v>3</v>
      </c>
      <c r="M145" s="44">
        <f t="shared" si="54"/>
        <v>3</v>
      </c>
      <c r="N145" s="44">
        <f t="shared" si="54"/>
        <v>3</v>
      </c>
      <c r="O145" s="44">
        <f t="shared" si="54"/>
        <v>3</v>
      </c>
      <c r="P145" s="44">
        <f t="shared" si="54"/>
        <v>3</v>
      </c>
      <c r="Q145" s="44">
        <f t="shared" si="54"/>
        <v>3</v>
      </c>
      <c r="R145" s="44">
        <f t="shared" si="54"/>
        <v>3</v>
      </c>
      <c r="S145" s="44">
        <f t="shared" si="54"/>
        <v>3</v>
      </c>
      <c r="T145" s="44">
        <f t="shared" si="55"/>
        <v>3</v>
      </c>
      <c r="U145" s="44">
        <f t="shared" si="55"/>
        <v>3</v>
      </c>
      <c r="V145" s="44">
        <f t="shared" si="55"/>
        <v>3</v>
      </c>
      <c r="W145" s="44">
        <f t="shared" si="55"/>
        <v>3</v>
      </c>
      <c r="X145" s="44">
        <f t="shared" si="55"/>
        <v>3</v>
      </c>
      <c r="Y145" s="44">
        <f t="shared" si="55"/>
        <v>3</v>
      </c>
      <c r="Z145" s="44">
        <f t="shared" si="55"/>
        <v>3</v>
      </c>
      <c r="AA145" s="44">
        <f t="shared" si="55"/>
        <v>3</v>
      </c>
      <c r="AB145" s="44">
        <f t="shared" si="55"/>
        <v>3</v>
      </c>
      <c r="AC145" s="44">
        <f t="shared" si="55"/>
        <v>3</v>
      </c>
      <c r="AD145" s="44">
        <f t="shared" si="55"/>
        <v>3</v>
      </c>
      <c r="AE145" s="44">
        <f t="shared" si="55"/>
        <v>3</v>
      </c>
      <c r="AF145" s="44">
        <f t="shared" si="55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3"/>
        <v>3.3</v>
      </c>
      <c r="C146" s="55">
        <v>3.3</v>
      </c>
      <c r="D146" s="44">
        <f t="shared" si="54"/>
        <v>3.3</v>
      </c>
      <c r="E146" s="44">
        <f t="shared" si="54"/>
        <v>3.3</v>
      </c>
      <c r="F146" s="44">
        <f t="shared" si="54"/>
        <v>3.3</v>
      </c>
      <c r="G146" s="44">
        <f t="shared" si="54"/>
        <v>3.3</v>
      </c>
      <c r="H146" s="44">
        <f t="shared" si="54"/>
        <v>3.3</v>
      </c>
      <c r="I146" s="44">
        <f t="shared" si="54"/>
        <v>3.3</v>
      </c>
      <c r="J146" s="44">
        <f t="shared" si="54"/>
        <v>3.3</v>
      </c>
      <c r="K146" s="44">
        <f t="shared" si="54"/>
        <v>3.3</v>
      </c>
      <c r="L146" s="44">
        <f t="shared" si="54"/>
        <v>3.3</v>
      </c>
      <c r="M146" s="44">
        <f t="shared" si="54"/>
        <v>3.3</v>
      </c>
      <c r="N146" s="44">
        <f t="shared" si="54"/>
        <v>3.3</v>
      </c>
      <c r="O146" s="44">
        <f t="shared" si="54"/>
        <v>3.3</v>
      </c>
      <c r="P146" s="44">
        <f t="shared" si="54"/>
        <v>3.3</v>
      </c>
      <c r="Q146" s="44">
        <f t="shared" si="54"/>
        <v>3.3</v>
      </c>
      <c r="R146" s="44">
        <f t="shared" si="54"/>
        <v>3.3</v>
      </c>
      <c r="S146" s="44">
        <f t="shared" si="54"/>
        <v>3.3</v>
      </c>
      <c r="T146" s="44">
        <f t="shared" si="55"/>
        <v>3.3</v>
      </c>
      <c r="U146" s="44">
        <f t="shared" si="55"/>
        <v>3.3</v>
      </c>
      <c r="V146" s="44">
        <f t="shared" si="55"/>
        <v>3.3</v>
      </c>
      <c r="W146" s="44">
        <f t="shared" si="55"/>
        <v>3.3</v>
      </c>
      <c r="X146" s="44">
        <f t="shared" si="55"/>
        <v>3.3</v>
      </c>
      <c r="Y146" s="44">
        <f t="shared" si="55"/>
        <v>3.3</v>
      </c>
      <c r="Z146" s="44">
        <f t="shared" si="55"/>
        <v>3.3</v>
      </c>
      <c r="AA146" s="44">
        <f t="shared" si="55"/>
        <v>3.3</v>
      </c>
      <c r="AB146" s="44">
        <f t="shared" si="55"/>
        <v>3.3</v>
      </c>
      <c r="AC146" s="44">
        <f t="shared" si="55"/>
        <v>3.3</v>
      </c>
      <c r="AD146" s="44">
        <f t="shared" si="55"/>
        <v>3.3</v>
      </c>
      <c r="AE146" s="44">
        <f t="shared" si="55"/>
        <v>3.3</v>
      </c>
      <c r="AF146" s="44">
        <f t="shared" si="55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6">C148</f>
        <v>1.76</v>
      </c>
      <c r="E148" s="44">
        <f t="shared" si="56"/>
        <v>1.76</v>
      </c>
      <c r="F148" s="44">
        <f t="shared" si="56"/>
        <v>1.76</v>
      </c>
      <c r="G148" s="44">
        <f t="shared" si="56"/>
        <v>1.76</v>
      </c>
      <c r="H148" s="44">
        <f t="shared" si="56"/>
        <v>1.76</v>
      </c>
      <c r="I148" s="44">
        <f t="shared" si="56"/>
        <v>1.76</v>
      </c>
      <c r="J148" s="44">
        <f t="shared" si="56"/>
        <v>1.76</v>
      </c>
      <c r="K148" s="44">
        <f t="shared" si="56"/>
        <v>1.76</v>
      </c>
      <c r="L148" s="44">
        <f t="shared" si="56"/>
        <v>1.76</v>
      </c>
      <c r="M148" s="44">
        <f t="shared" si="56"/>
        <v>1.76</v>
      </c>
      <c r="N148" s="44">
        <f t="shared" si="56"/>
        <v>1.76</v>
      </c>
      <c r="O148" s="44">
        <f t="shared" si="56"/>
        <v>1.76</v>
      </c>
      <c r="P148" s="44">
        <f t="shared" si="56"/>
        <v>1.76</v>
      </c>
      <c r="Q148" s="44">
        <f t="shared" si="56"/>
        <v>1.76</v>
      </c>
      <c r="R148" s="44">
        <f t="shared" si="56"/>
        <v>1.76</v>
      </c>
      <c r="S148" s="44">
        <f t="shared" si="56"/>
        <v>1.76</v>
      </c>
      <c r="T148" s="44">
        <f t="shared" ref="T148:AF149" si="57">S148</f>
        <v>1.76</v>
      </c>
      <c r="U148" s="44">
        <f t="shared" si="57"/>
        <v>1.76</v>
      </c>
      <c r="V148" s="44">
        <f t="shared" si="57"/>
        <v>1.76</v>
      </c>
      <c r="W148" s="44">
        <f t="shared" si="57"/>
        <v>1.76</v>
      </c>
      <c r="X148" s="44">
        <f t="shared" si="57"/>
        <v>1.76</v>
      </c>
      <c r="Y148" s="44">
        <f t="shared" si="57"/>
        <v>1.76</v>
      </c>
      <c r="Z148" s="44">
        <f t="shared" si="57"/>
        <v>1.76</v>
      </c>
      <c r="AA148" s="44">
        <f t="shared" si="57"/>
        <v>1.76</v>
      </c>
      <c r="AB148" s="44">
        <f t="shared" si="57"/>
        <v>1.76</v>
      </c>
      <c r="AC148" s="44">
        <f t="shared" si="57"/>
        <v>1.76</v>
      </c>
      <c r="AD148" s="44">
        <f t="shared" si="57"/>
        <v>1.76</v>
      </c>
      <c r="AE148" s="44">
        <f t="shared" si="57"/>
        <v>1.76</v>
      </c>
      <c r="AF148" s="44">
        <f t="shared" si="57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6"/>
        <v>0</v>
      </c>
      <c r="E149" s="44">
        <f t="shared" si="56"/>
        <v>0</v>
      </c>
      <c r="F149" s="44">
        <f t="shared" si="56"/>
        <v>0</v>
      </c>
      <c r="G149" s="44">
        <f t="shared" si="56"/>
        <v>0</v>
      </c>
      <c r="H149" s="44">
        <f t="shared" si="56"/>
        <v>0</v>
      </c>
      <c r="I149" s="44">
        <f t="shared" si="56"/>
        <v>0</v>
      </c>
      <c r="J149" s="44">
        <f t="shared" si="56"/>
        <v>0</v>
      </c>
      <c r="K149" s="44">
        <f t="shared" si="56"/>
        <v>0</v>
      </c>
      <c r="L149" s="44">
        <f t="shared" si="56"/>
        <v>0</v>
      </c>
      <c r="M149" s="44">
        <f t="shared" si="56"/>
        <v>0</v>
      </c>
      <c r="N149" s="44">
        <f t="shared" si="56"/>
        <v>0</v>
      </c>
      <c r="O149" s="44">
        <f t="shared" si="56"/>
        <v>0</v>
      </c>
      <c r="P149" s="44">
        <f t="shared" si="56"/>
        <v>0</v>
      </c>
      <c r="Q149" s="44">
        <f t="shared" si="56"/>
        <v>0</v>
      </c>
      <c r="R149" s="44">
        <f t="shared" si="56"/>
        <v>0</v>
      </c>
      <c r="S149" s="44">
        <f t="shared" si="56"/>
        <v>0</v>
      </c>
      <c r="T149" s="44">
        <f t="shared" si="57"/>
        <v>0</v>
      </c>
      <c r="U149" s="44">
        <f t="shared" si="57"/>
        <v>0</v>
      </c>
      <c r="V149" s="44">
        <f t="shared" si="57"/>
        <v>0</v>
      </c>
      <c r="W149" s="44">
        <f t="shared" si="57"/>
        <v>0</v>
      </c>
      <c r="X149" s="44">
        <f t="shared" si="57"/>
        <v>0</v>
      </c>
      <c r="Y149" s="44">
        <f t="shared" si="57"/>
        <v>0</v>
      </c>
      <c r="Z149" s="44">
        <f t="shared" si="57"/>
        <v>0</v>
      </c>
      <c r="AA149" s="44">
        <f t="shared" si="57"/>
        <v>0</v>
      </c>
      <c r="AB149" s="44">
        <f t="shared" si="57"/>
        <v>0</v>
      </c>
      <c r="AC149" s="44">
        <f t="shared" si="57"/>
        <v>0</v>
      </c>
      <c r="AD149" s="44">
        <f t="shared" si="57"/>
        <v>0</v>
      </c>
      <c r="AE149" s="44">
        <f t="shared" si="57"/>
        <v>0</v>
      </c>
      <c r="AF149" s="44">
        <f t="shared" si="57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8">C151</f>
        <v>0.1</v>
      </c>
      <c r="E151" s="44">
        <f t="shared" si="58"/>
        <v>0.1</v>
      </c>
      <c r="F151" s="44">
        <f t="shared" si="58"/>
        <v>0.1</v>
      </c>
      <c r="G151" s="44">
        <f t="shared" si="58"/>
        <v>0.1</v>
      </c>
      <c r="H151" s="44">
        <f t="shared" si="58"/>
        <v>0.1</v>
      </c>
      <c r="I151" s="44">
        <f t="shared" si="58"/>
        <v>0.1</v>
      </c>
      <c r="J151" s="44">
        <f t="shared" si="58"/>
        <v>0.1</v>
      </c>
      <c r="K151" s="44">
        <f t="shared" si="58"/>
        <v>0.1</v>
      </c>
      <c r="L151" s="44">
        <f t="shared" si="58"/>
        <v>0.1</v>
      </c>
      <c r="M151" s="44">
        <f t="shared" si="58"/>
        <v>0.1</v>
      </c>
      <c r="N151" s="44">
        <f t="shared" si="58"/>
        <v>0.1</v>
      </c>
      <c r="O151" s="44">
        <f t="shared" si="58"/>
        <v>0.1</v>
      </c>
      <c r="P151" s="44">
        <f t="shared" si="58"/>
        <v>0.1</v>
      </c>
      <c r="Q151" s="44">
        <f t="shared" si="58"/>
        <v>0.1</v>
      </c>
      <c r="R151" s="44">
        <f t="shared" si="58"/>
        <v>0.1</v>
      </c>
      <c r="S151" s="44">
        <f t="shared" si="58"/>
        <v>0.1</v>
      </c>
      <c r="T151" s="44">
        <f t="shared" ref="T151:AF154" si="59">S151</f>
        <v>0.1</v>
      </c>
      <c r="U151" s="44">
        <f t="shared" si="59"/>
        <v>0.1</v>
      </c>
      <c r="V151" s="44">
        <f t="shared" si="59"/>
        <v>0.1</v>
      </c>
      <c r="W151" s="44">
        <f t="shared" si="59"/>
        <v>0.1</v>
      </c>
      <c r="X151" s="44">
        <f t="shared" si="59"/>
        <v>0.1</v>
      </c>
      <c r="Y151" s="44">
        <f t="shared" si="59"/>
        <v>0.1</v>
      </c>
      <c r="Z151" s="44">
        <f t="shared" si="59"/>
        <v>0.1</v>
      </c>
      <c r="AA151" s="44">
        <f t="shared" si="59"/>
        <v>0.1</v>
      </c>
      <c r="AB151" s="44">
        <f t="shared" si="59"/>
        <v>0.1</v>
      </c>
      <c r="AC151" s="44">
        <f t="shared" si="59"/>
        <v>0.1</v>
      </c>
      <c r="AD151" s="44">
        <f t="shared" si="59"/>
        <v>0.1</v>
      </c>
      <c r="AE151" s="44">
        <f t="shared" si="59"/>
        <v>0.1</v>
      </c>
      <c r="AF151" s="44">
        <f t="shared" si="59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8"/>
        <v>2.0499999999999998</v>
      </c>
      <c r="E152" s="44">
        <f t="shared" si="58"/>
        <v>2.0499999999999998</v>
      </c>
      <c r="F152" s="44">
        <f t="shared" si="58"/>
        <v>2.0499999999999998</v>
      </c>
      <c r="G152" s="44">
        <f t="shared" si="58"/>
        <v>2.0499999999999998</v>
      </c>
      <c r="H152" s="44">
        <f t="shared" si="58"/>
        <v>2.0499999999999998</v>
      </c>
      <c r="I152" s="44">
        <f t="shared" si="58"/>
        <v>2.0499999999999998</v>
      </c>
      <c r="J152" s="44">
        <f t="shared" si="58"/>
        <v>2.0499999999999998</v>
      </c>
      <c r="K152" s="44">
        <f t="shared" si="58"/>
        <v>2.0499999999999998</v>
      </c>
      <c r="L152" s="44">
        <f t="shared" si="58"/>
        <v>2.0499999999999998</v>
      </c>
      <c r="M152" s="44">
        <f t="shared" si="58"/>
        <v>2.0499999999999998</v>
      </c>
      <c r="N152" s="44">
        <f t="shared" si="58"/>
        <v>2.0499999999999998</v>
      </c>
      <c r="O152" s="44">
        <f t="shared" si="58"/>
        <v>2.0499999999999998</v>
      </c>
      <c r="P152" s="44">
        <f t="shared" si="58"/>
        <v>2.0499999999999998</v>
      </c>
      <c r="Q152" s="44">
        <f t="shared" si="58"/>
        <v>2.0499999999999998</v>
      </c>
      <c r="R152" s="44">
        <f t="shared" si="58"/>
        <v>2.0499999999999998</v>
      </c>
      <c r="S152" s="44">
        <f t="shared" si="58"/>
        <v>2.0499999999999998</v>
      </c>
      <c r="T152" s="44">
        <f t="shared" si="59"/>
        <v>2.0499999999999998</v>
      </c>
      <c r="U152" s="44">
        <f t="shared" si="59"/>
        <v>2.0499999999999998</v>
      </c>
      <c r="V152" s="44">
        <f t="shared" si="59"/>
        <v>2.0499999999999998</v>
      </c>
      <c r="W152" s="44">
        <f t="shared" si="59"/>
        <v>2.0499999999999998</v>
      </c>
      <c r="X152" s="44">
        <f t="shared" si="59"/>
        <v>2.0499999999999998</v>
      </c>
      <c r="Y152" s="44">
        <f t="shared" si="59"/>
        <v>2.0499999999999998</v>
      </c>
      <c r="Z152" s="44">
        <f t="shared" si="59"/>
        <v>2.0499999999999998</v>
      </c>
      <c r="AA152" s="44">
        <f t="shared" si="59"/>
        <v>2.0499999999999998</v>
      </c>
      <c r="AB152" s="44">
        <f t="shared" si="59"/>
        <v>2.0499999999999998</v>
      </c>
      <c r="AC152" s="44">
        <f t="shared" si="59"/>
        <v>2.0499999999999998</v>
      </c>
      <c r="AD152" s="44">
        <f t="shared" si="59"/>
        <v>2.0499999999999998</v>
      </c>
      <c r="AE152" s="44">
        <f t="shared" si="59"/>
        <v>2.0499999999999998</v>
      </c>
      <c r="AF152" s="44">
        <f t="shared" si="59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8"/>
        <v>2.7</v>
      </c>
      <c r="E153" s="44">
        <f t="shared" si="58"/>
        <v>2.7</v>
      </c>
      <c r="F153" s="44">
        <f t="shared" si="58"/>
        <v>2.7</v>
      </c>
      <c r="G153" s="44">
        <f t="shared" si="58"/>
        <v>2.7</v>
      </c>
      <c r="H153" s="44">
        <f t="shared" si="58"/>
        <v>2.7</v>
      </c>
      <c r="I153" s="44">
        <f t="shared" si="58"/>
        <v>2.7</v>
      </c>
      <c r="J153" s="44">
        <f t="shared" si="58"/>
        <v>2.7</v>
      </c>
      <c r="K153" s="44">
        <f t="shared" si="58"/>
        <v>2.7</v>
      </c>
      <c r="L153" s="44">
        <f t="shared" si="58"/>
        <v>2.7</v>
      </c>
      <c r="M153" s="44">
        <f t="shared" si="58"/>
        <v>2.7</v>
      </c>
      <c r="N153" s="44">
        <f t="shared" si="58"/>
        <v>2.7</v>
      </c>
      <c r="O153" s="44">
        <f t="shared" si="58"/>
        <v>2.7</v>
      </c>
      <c r="P153" s="44">
        <f t="shared" si="58"/>
        <v>2.7</v>
      </c>
      <c r="Q153" s="44">
        <f t="shared" si="58"/>
        <v>2.7</v>
      </c>
      <c r="R153" s="44">
        <f t="shared" si="58"/>
        <v>2.7</v>
      </c>
      <c r="S153" s="44">
        <f t="shared" si="58"/>
        <v>2.7</v>
      </c>
      <c r="T153" s="44">
        <f t="shared" si="59"/>
        <v>2.7</v>
      </c>
      <c r="U153" s="44">
        <f t="shared" si="59"/>
        <v>2.7</v>
      </c>
      <c r="V153" s="44">
        <f t="shared" si="59"/>
        <v>2.7</v>
      </c>
      <c r="W153" s="44">
        <f t="shared" si="59"/>
        <v>2.7</v>
      </c>
      <c r="X153" s="44">
        <f t="shared" si="59"/>
        <v>2.7</v>
      </c>
      <c r="Y153" s="44">
        <f t="shared" si="59"/>
        <v>2.7</v>
      </c>
      <c r="Z153" s="44">
        <f t="shared" si="59"/>
        <v>2.7</v>
      </c>
      <c r="AA153" s="44">
        <f t="shared" si="59"/>
        <v>2.7</v>
      </c>
      <c r="AB153" s="44">
        <f t="shared" si="59"/>
        <v>2.7</v>
      </c>
      <c r="AC153" s="44">
        <f t="shared" si="59"/>
        <v>2.7</v>
      </c>
      <c r="AD153" s="44">
        <f t="shared" si="59"/>
        <v>2.7</v>
      </c>
      <c r="AE153" s="44">
        <f t="shared" si="59"/>
        <v>2.7</v>
      </c>
      <c r="AF153" s="44">
        <f t="shared" si="59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8"/>
        <v>2.15</v>
      </c>
      <c r="E154" s="44">
        <f t="shared" si="58"/>
        <v>2.15</v>
      </c>
      <c r="F154" s="44">
        <f t="shared" si="58"/>
        <v>2.15</v>
      </c>
      <c r="G154" s="44">
        <f t="shared" si="58"/>
        <v>2.15</v>
      </c>
      <c r="H154" s="44">
        <f t="shared" si="58"/>
        <v>2.15</v>
      </c>
      <c r="I154" s="44">
        <f t="shared" si="58"/>
        <v>2.15</v>
      </c>
      <c r="J154" s="44">
        <f t="shared" si="58"/>
        <v>2.15</v>
      </c>
      <c r="K154" s="44">
        <f t="shared" si="58"/>
        <v>2.15</v>
      </c>
      <c r="L154" s="44">
        <f t="shared" si="58"/>
        <v>2.15</v>
      </c>
      <c r="M154" s="44">
        <f t="shared" si="58"/>
        <v>2.15</v>
      </c>
      <c r="N154" s="44">
        <f t="shared" si="58"/>
        <v>2.15</v>
      </c>
      <c r="O154" s="44">
        <f t="shared" si="58"/>
        <v>2.15</v>
      </c>
      <c r="P154" s="44">
        <f t="shared" si="58"/>
        <v>2.15</v>
      </c>
      <c r="Q154" s="44">
        <f t="shared" si="58"/>
        <v>2.15</v>
      </c>
      <c r="R154" s="44">
        <f t="shared" si="58"/>
        <v>2.15</v>
      </c>
      <c r="S154" s="44">
        <f t="shared" si="58"/>
        <v>2.15</v>
      </c>
      <c r="T154" s="44">
        <f t="shared" si="59"/>
        <v>2.15</v>
      </c>
      <c r="U154" s="44">
        <f t="shared" si="59"/>
        <v>2.15</v>
      </c>
      <c r="V154" s="44">
        <f t="shared" si="59"/>
        <v>2.15</v>
      </c>
      <c r="W154" s="44">
        <f t="shared" si="59"/>
        <v>2.15</v>
      </c>
      <c r="X154" s="44">
        <f t="shared" si="59"/>
        <v>2.15</v>
      </c>
      <c r="Y154" s="44">
        <f t="shared" si="59"/>
        <v>2.15</v>
      </c>
      <c r="Z154" s="44">
        <f t="shared" si="59"/>
        <v>2.15</v>
      </c>
      <c r="AA154" s="44">
        <f t="shared" si="59"/>
        <v>2.15</v>
      </c>
      <c r="AB154" s="44">
        <f t="shared" si="59"/>
        <v>2.15</v>
      </c>
      <c r="AC154" s="44">
        <f t="shared" si="59"/>
        <v>2.15</v>
      </c>
      <c r="AD154" s="44">
        <f t="shared" si="59"/>
        <v>2.15</v>
      </c>
      <c r="AE154" s="44">
        <f t="shared" si="59"/>
        <v>2.15</v>
      </c>
      <c r="AF154" s="44">
        <f t="shared" si="59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60">AF156</f>
        <v>0.9</v>
      </c>
      <c r="C156" s="55">
        <v>0.9</v>
      </c>
      <c r="D156" s="44">
        <f t="shared" ref="D156:S168" si="61">C156</f>
        <v>0.9</v>
      </c>
      <c r="E156" s="44">
        <f t="shared" si="61"/>
        <v>0.9</v>
      </c>
      <c r="F156" s="44">
        <f t="shared" si="61"/>
        <v>0.9</v>
      </c>
      <c r="G156" s="44">
        <f t="shared" si="61"/>
        <v>0.9</v>
      </c>
      <c r="H156" s="44">
        <f t="shared" si="61"/>
        <v>0.9</v>
      </c>
      <c r="I156" s="44">
        <f t="shared" si="61"/>
        <v>0.9</v>
      </c>
      <c r="J156" s="44">
        <f t="shared" si="61"/>
        <v>0.9</v>
      </c>
      <c r="K156" s="44">
        <f t="shared" si="61"/>
        <v>0.9</v>
      </c>
      <c r="L156" s="44">
        <f t="shared" si="61"/>
        <v>0.9</v>
      </c>
      <c r="M156" s="44">
        <f t="shared" si="61"/>
        <v>0.9</v>
      </c>
      <c r="N156" s="44">
        <f t="shared" si="61"/>
        <v>0.9</v>
      </c>
      <c r="O156" s="44">
        <f t="shared" si="61"/>
        <v>0.9</v>
      </c>
      <c r="P156" s="44">
        <f t="shared" si="61"/>
        <v>0.9</v>
      </c>
      <c r="Q156" s="44">
        <f t="shared" si="61"/>
        <v>0.9</v>
      </c>
      <c r="R156" s="44">
        <f t="shared" si="61"/>
        <v>0.9</v>
      </c>
      <c r="S156" s="44">
        <f t="shared" si="61"/>
        <v>0.9</v>
      </c>
      <c r="T156" s="44">
        <f t="shared" ref="S156:AF168" si="62">S156</f>
        <v>0.9</v>
      </c>
      <c r="U156" s="44">
        <f t="shared" si="62"/>
        <v>0.9</v>
      </c>
      <c r="V156" s="44">
        <f t="shared" si="62"/>
        <v>0.9</v>
      </c>
      <c r="W156" s="44">
        <f t="shared" si="62"/>
        <v>0.9</v>
      </c>
      <c r="X156" s="44">
        <f t="shared" si="62"/>
        <v>0.9</v>
      </c>
      <c r="Y156" s="44">
        <f t="shared" si="62"/>
        <v>0.9</v>
      </c>
      <c r="Z156" s="44">
        <f t="shared" si="62"/>
        <v>0.9</v>
      </c>
      <c r="AA156" s="44">
        <f t="shared" si="62"/>
        <v>0.9</v>
      </c>
      <c r="AB156" s="44">
        <f t="shared" si="62"/>
        <v>0.9</v>
      </c>
      <c r="AC156" s="44">
        <f t="shared" si="62"/>
        <v>0.9</v>
      </c>
      <c r="AD156" s="44">
        <f t="shared" si="62"/>
        <v>0.9</v>
      </c>
      <c r="AE156" s="44">
        <f t="shared" si="62"/>
        <v>0.9</v>
      </c>
      <c r="AF156" s="44">
        <f t="shared" si="62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60"/>
        <v>1.08</v>
      </c>
      <c r="C157" s="55">
        <v>1.08</v>
      </c>
      <c r="D157" s="44">
        <f t="shared" si="61"/>
        <v>1.08</v>
      </c>
      <c r="E157" s="44">
        <f t="shared" si="61"/>
        <v>1.08</v>
      </c>
      <c r="F157" s="44">
        <f t="shared" si="61"/>
        <v>1.08</v>
      </c>
      <c r="G157" s="44">
        <f t="shared" si="61"/>
        <v>1.08</v>
      </c>
      <c r="H157" s="44">
        <f t="shared" si="61"/>
        <v>1.08</v>
      </c>
      <c r="I157" s="44">
        <f t="shared" si="61"/>
        <v>1.08</v>
      </c>
      <c r="J157" s="44">
        <f t="shared" si="61"/>
        <v>1.08</v>
      </c>
      <c r="K157" s="44">
        <f t="shared" si="61"/>
        <v>1.08</v>
      </c>
      <c r="L157" s="44">
        <f t="shared" si="61"/>
        <v>1.08</v>
      </c>
      <c r="M157" s="44">
        <f t="shared" si="61"/>
        <v>1.08</v>
      </c>
      <c r="N157" s="44">
        <f t="shared" si="61"/>
        <v>1.08</v>
      </c>
      <c r="O157" s="44">
        <f t="shared" si="61"/>
        <v>1.08</v>
      </c>
      <c r="P157" s="44">
        <f t="shared" si="61"/>
        <v>1.08</v>
      </c>
      <c r="Q157" s="44">
        <f t="shared" si="61"/>
        <v>1.08</v>
      </c>
      <c r="R157" s="44">
        <f t="shared" si="61"/>
        <v>1.08</v>
      </c>
      <c r="S157" s="44">
        <f t="shared" si="61"/>
        <v>1.08</v>
      </c>
      <c r="T157" s="44">
        <f t="shared" si="62"/>
        <v>1.08</v>
      </c>
      <c r="U157" s="44">
        <f t="shared" si="62"/>
        <v>1.08</v>
      </c>
      <c r="V157" s="44">
        <f t="shared" si="62"/>
        <v>1.08</v>
      </c>
      <c r="W157" s="44">
        <f t="shared" si="62"/>
        <v>1.08</v>
      </c>
      <c r="X157" s="44">
        <f t="shared" si="62"/>
        <v>1.08</v>
      </c>
      <c r="Y157" s="44">
        <f t="shared" si="62"/>
        <v>1.08</v>
      </c>
      <c r="Z157" s="44">
        <f t="shared" si="62"/>
        <v>1.08</v>
      </c>
      <c r="AA157" s="44">
        <f t="shared" si="62"/>
        <v>1.08</v>
      </c>
      <c r="AB157" s="44">
        <f t="shared" si="62"/>
        <v>1.08</v>
      </c>
      <c r="AC157" s="44">
        <f t="shared" si="62"/>
        <v>1.08</v>
      </c>
      <c r="AD157" s="44">
        <f t="shared" si="62"/>
        <v>1.08</v>
      </c>
      <c r="AE157" s="44">
        <f t="shared" si="62"/>
        <v>1.08</v>
      </c>
      <c r="AF157" s="44">
        <f t="shared" si="62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60"/>
        <v>2.37</v>
      </c>
      <c r="C158" s="55">
        <v>2.37</v>
      </c>
      <c r="D158" s="44">
        <f t="shared" si="61"/>
        <v>2.37</v>
      </c>
      <c r="E158" s="44">
        <f t="shared" si="61"/>
        <v>2.37</v>
      </c>
      <c r="F158" s="44">
        <f t="shared" si="61"/>
        <v>2.37</v>
      </c>
      <c r="G158" s="44">
        <f t="shared" si="61"/>
        <v>2.37</v>
      </c>
      <c r="H158" s="44">
        <f t="shared" si="61"/>
        <v>2.37</v>
      </c>
      <c r="I158" s="44">
        <f t="shared" si="61"/>
        <v>2.37</v>
      </c>
      <c r="J158" s="44">
        <f t="shared" si="61"/>
        <v>2.37</v>
      </c>
      <c r="K158" s="44">
        <f t="shared" si="61"/>
        <v>2.37</v>
      </c>
      <c r="L158" s="44">
        <f t="shared" si="61"/>
        <v>2.37</v>
      </c>
      <c r="M158" s="44">
        <f t="shared" si="61"/>
        <v>2.37</v>
      </c>
      <c r="N158" s="44">
        <f t="shared" si="61"/>
        <v>2.37</v>
      </c>
      <c r="O158" s="44">
        <f t="shared" si="61"/>
        <v>2.37</v>
      </c>
      <c r="P158" s="44">
        <f t="shared" si="61"/>
        <v>2.37</v>
      </c>
      <c r="Q158" s="44">
        <f t="shared" si="61"/>
        <v>2.37</v>
      </c>
      <c r="R158" s="44">
        <f t="shared" si="61"/>
        <v>2.37</v>
      </c>
      <c r="S158" s="44">
        <f t="shared" si="61"/>
        <v>2.37</v>
      </c>
      <c r="T158" s="44">
        <f t="shared" si="62"/>
        <v>2.37</v>
      </c>
      <c r="U158" s="44">
        <f t="shared" si="62"/>
        <v>2.37</v>
      </c>
      <c r="V158" s="44">
        <f t="shared" si="62"/>
        <v>2.37</v>
      </c>
      <c r="W158" s="44">
        <f t="shared" si="62"/>
        <v>2.37</v>
      </c>
      <c r="X158" s="44">
        <f t="shared" si="62"/>
        <v>2.37</v>
      </c>
      <c r="Y158" s="44">
        <f t="shared" si="62"/>
        <v>2.37</v>
      </c>
      <c r="Z158" s="44">
        <f t="shared" si="62"/>
        <v>2.37</v>
      </c>
      <c r="AA158" s="44">
        <f t="shared" si="62"/>
        <v>2.37</v>
      </c>
      <c r="AB158" s="44">
        <f t="shared" si="62"/>
        <v>2.37</v>
      </c>
      <c r="AC158" s="44">
        <f t="shared" si="62"/>
        <v>2.37</v>
      </c>
      <c r="AD158" s="44">
        <f t="shared" si="62"/>
        <v>2.37</v>
      </c>
      <c r="AE158" s="44">
        <f t="shared" si="62"/>
        <v>2.37</v>
      </c>
      <c r="AF158" s="44">
        <f t="shared" si="62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60"/>
        <v>1.81</v>
      </c>
      <c r="C159" s="55">
        <v>1.81</v>
      </c>
      <c r="D159" s="44">
        <f t="shared" si="61"/>
        <v>1.81</v>
      </c>
      <c r="E159" s="44">
        <f t="shared" si="61"/>
        <v>1.81</v>
      </c>
      <c r="F159" s="44">
        <f t="shared" si="61"/>
        <v>1.81</v>
      </c>
      <c r="G159" s="44">
        <f t="shared" si="61"/>
        <v>1.81</v>
      </c>
      <c r="H159" s="44">
        <f t="shared" si="61"/>
        <v>1.81</v>
      </c>
      <c r="I159" s="44">
        <f t="shared" si="61"/>
        <v>1.81</v>
      </c>
      <c r="J159" s="44">
        <f t="shared" si="61"/>
        <v>1.81</v>
      </c>
      <c r="K159" s="44">
        <f t="shared" si="61"/>
        <v>1.81</v>
      </c>
      <c r="L159" s="44">
        <f t="shared" si="61"/>
        <v>1.81</v>
      </c>
      <c r="M159" s="44">
        <f t="shared" si="61"/>
        <v>1.81</v>
      </c>
      <c r="N159" s="44">
        <f t="shared" si="61"/>
        <v>1.81</v>
      </c>
      <c r="O159" s="44">
        <f t="shared" si="61"/>
        <v>1.81</v>
      </c>
      <c r="P159" s="44">
        <f t="shared" si="61"/>
        <v>1.81</v>
      </c>
      <c r="Q159" s="44">
        <f t="shared" si="61"/>
        <v>1.81</v>
      </c>
      <c r="R159" s="44">
        <f t="shared" si="61"/>
        <v>1.81</v>
      </c>
      <c r="S159" s="44">
        <f t="shared" si="61"/>
        <v>1.81</v>
      </c>
      <c r="T159" s="44">
        <f t="shared" si="62"/>
        <v>1.81</v>
      </c>
      <c r="U159" s="44">
        <f t="shared" si="62"/>
        <v>1.81</v>
      </c>
      <c r="V159" s="44">
        <f t="shared" si="62"/>
        <v>1.81</v>
      </c>
      <c r="W159" s="44">
        <f t="shared" si="62"/>
        <v>1.81</v>
      </c>
      <c r="X159" s="44">
        <f t="shared" si="62"/>
        <v>1.81</v>
      </c>
      <c r="Y159" s="44">
        <f t="shared" si="62"/>
        <v>1.81</v>
      </c>
      <c r="Z159" s="44">
        <f t="shared" si="62"/>
        <v>1.81</v>
      </c>
      <c r="AA159" s="44">
        <f t="shared" si="62"/>
        <v>1.81</v>
      </c>
      <c r="AB159" s="44">
        <f t="shared" si="62"/>
        <v>1.81</v>
      </c>
      <c r="AC159" s="44">
        <f t="shared" si="62"/>
        <v>1.81</v>
      </c>
      <c r="AD159" s="44">
        <f t="shared" si="62"/>
        <v>1.81</v>
      </c>
      <c r="AE159" s="44">
        <f t="shared" si="62"/>
        <v>1.81</v>
      </c>
      <c r="AF159" s="44">
        <f t="shared" si="62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60"/>
        <v>1.0900000000000001</v>
      </c>
      <c r="C160" s="55">
        <v>1.0900000000000001</v>
      </c>
      <c r="D160" s="44">
        <f t="shared" si="61"/>
        <v>1.0900000000000001</v>
      </c>
      <c r="E160" s="44">
        <f t="shared" si="61"/>
        <v>1.0900000000000001</v>
      </c>
      <c r="F160" s="44">
        <f t="shared" si="61"/>
        <v>1.0900000000000001</v>
      </c>
      <c r="G160" s="44">
        <f t="shared" si="61"/>
        <v>1.0900000000000001</v>
      </c>
      <c r="H160" s="44">
        <f t="shared" si="61"/>
        <v>1.0900000000000001</v>
      </c>
      <c r="I160" s="44">
        <f t="shared" si="61"/>
        <v>1.0900000000000001</v>
      </c>
      <c r="J160" s="44">
        <f t="shared" si="61"/>
        <v>1.0900000000000001</v>
      </c>
      <c r="K160" s="44">
        <f t="shared" si="61"/>
        <v>1.0900000000000001</v>
      </c>
      <c r="L160" s="44">
        <f t="shared" si="61"/>
        <v>1.0900000000000001</v>
      </c>
      <c r="M160" s="44">
        <f t="shared" si="61"/>
        <v>1.0900000000000001</v>
      </c>
      <c r="N160" s="44">
        <f t="shared" si="61"/>
        <v>1.0900000000000001</v>
      </c>
      <c r="O160" s="44">
        <f t="shared" si="61"/>
        <v>1.0900000000000001</v>
      </c>
      <c r="P160" s="44">
        <f t="shared" si="61"/>
        <v>1.0900000000000001</v>
      </c>
      <c r="Q160" s="44">
        <f t="shared" si="61"/>
        <v>1.0900000000000001</v>
      </c>
      <c r="R160" s="44">
        <f t="shared" si="61"/>
        <v>1.0900000000000001</v>
      </c>
      <c r="S160" s="44">
        <f t="shared" si="61"/>
        <v>1.0900000000000001</v>
      </c>
      <c r="T160" s="44">
        <f t="shared" si="62"/>
        <v>1.0900000000000001</v>
      </c>
      <c r="U160" s="44">
        <f t="shared" si="62"/>
        <v>1.0900000000000001</v>
      </c>
      <c r="V160" s="44">
        <f t="shared" si="62"/>
        <v>1.0900000000000001</v>
      </c>
      <c r="W160" s="44">
        <f t="shared" si="62"/>
        <v>1.0900000000000001</v>
      </c>
      <c r="X160" s="44">
        <f t="shared" si="62"/>
        <v>1.0900000000000001</v>
      </c>
      <c r="Y160" s="44">
        <f t="shared" si="62"/>
        <v>1.0900000000000001</v>
      </c>
      <c r="Z160" s="44">
        <f t="shared" si="62"/>
        <v>1.0900000000000001</v>
      </c>
      <c r="AA160" s="44">
        <f t="shared" si="62"/>
        <v>1.0900000000000001</v>
      </c>
      <c r="AB160" s="44">
        <f t="shared" si="62"/>
        <v>1.0900000000000001</v>
      </c>
      <c r="AC160" s="44">
        <f t="shared" si="62"/>
        <v>1.0900000000000001</v>
      </c>
      <c r="AD160" s="44">
        <f t="shared" si="62"/>
        <v>1.0900000000000001</v>
      </c>
      <c r="AE160" s="44">
        <f t="shared" si="62"/>
        <v>1.0900000000000001</v>
      </c>
      <c r="AF160" s="44">
        <f t="shared" si="62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60"/>
        <v>1.58</v>
      </c>
      <c r="C161" s="55">
        <v>1.58</v>
      </c>
      <c r="D161" s="44">
        <f t="shared" si="61"/>
        <v>1.58</v>
      </c>
      <c r="E161" s="44">
        <f t="shared" si="61"/>
        <v>1.58</v>
      </c>
      <c r="F161" s="44">
        <f t="shared" si="61"/>
        <v>1.58</v>
      </c>
      <c r="G161" s="44">
        <f t="shared" si="61"/>
        <v>1.58</v>
      </c>
      <c r="H161" s="44">
        <f t="shared" si="61"/>
        <v>1.58</v>
      </c>
      <c r="I161" s="44">
        <f t="shared" si="61"/>
        <v>1.58</v>
      </c>
      <c r="J161" s="44">
        <f t="shared" si="61"/>
        <v>1.58</v>
      </c>
      <c r="K161" s="44">
        <f t="shared" si="61"/>
        <v>1.58</v>
      </c>
      <c r="L161" s="44">
        <f t="shared" si="61"/>
        <v>1.58</v>
      </c>
      <c r="M161" s="44">
        <f t="shared" si="61"/>
        <v>1.58</v>
      </c>
      <c r="N161" s="44">
        <f t="shared" si="61"/>
        <v>1.58</v>
      </c>
      <c r="O161" s="44">
        <f t="shared" si="61"/>
        <v>1.58</v>
      </c>
      <c r="P161" s="44">
        <f t="shared" si="61"/>
        <v>1.58</v>
      </c>
      <c r="Q161" s="44">
        <f t="shared" si="61"/>
        <v>1.58</v>
      </c>
      <c r="R161" s="44">
        <f t="shared" si="61"/>
        <v>1.58</v>
      </c>
      <c r="S161" s="44">
        <f t="shared" si="61"/>
        <v>1.58</v>
      </c>
      <c r="T161" s="44">
        <f t="shared" si="62"/>
        <v>1.58</v>
      </c>
      <c r="U161" s="44">
        <f t="shared" si="62"/>
        <v>1.58</v>
      </c>
      <c r="V161" s="44">
        <f t="shared" si="62"/>
        <v>1.58</v>
      </c>
      <c r="W161" s="44">
        <f t="shared" si="62"/>
        <v>1.58</v>
      </c>
      <c r="X161" s="44">
        <f t="shared" si="62"/>
        <v>1.58</v>
      </c>
      <c r="Y161" s="44">
        <f t="shared" si="62"/>
        <v>1.58</v>
      </c>
      <c r="Z161" s="44">
        <f t="shared" si="62"/>
        <v>1.58</v>
      </c>
      <c r="AA161" s="44">
        <f t="shared" si="62"/>
        <v>1.58</v>
      </c>
      <c r="AB161" s="44">
        <f t="shared" si="62"/>
        <v>1.58</v>
      </c>
      <c r="AC161" s="44">
        <f t="shared" si="62"/>
        <v>1.58</v>
      </c>
      <c r="AD161" s="44">
        <f t="shared" si="62"/>
        <v>1.58</v>
      </c>
      <c r="AE161" s="44">
        <f t="shared" si="62"/>
        <v>1.58</v>
      </c>
      <c r="AF161" s="44">
        <f t="shared" si="62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60"/>
        <v>2</v>
      </c>
      <c r="C162" s="55">
        <v>2</v>
      </c>
      <c r="D162" s="44">
        <f t="shared" si="61"/>
        <v>2</v>
      </c>
      <c r="E162" s="44">
        <f t="shared" si="61"/>
        <v>2</v>
      </c>
      <c r="F162" s="44">
        <f t="shared" si="61"/>
        <v>2</v>
      </c>
      <c r="G162" s="44">
        <f t="shared" si="61"/>
        <v>2</v>
      </c>
      <c r="H162" s="44">
        <f t="shared" si="61"/>
        <v>2</v>
      </c>
      <c r="I162" s="44">
        <f t="shared" si="61"/>
        <v>2</v>
      </c>
      <c r="J162" s="44">
        <f t="shared" si="61"/>
        <v>2</v>
      </c>
      <c r="K162" s="44">
        <f t="shared" si="61"/>
        <v>2</v>
      </c>
      <c r="L162" s="44">
        <f t="shared" si="61"/>
        <v>2</v>
      </c>
      <c r="M162" s="44">
        <f t="shared" si="61"/>
        <v>2</v>
      </c>
      <c r="N162" s="44">
        <f t="shared" si="61"/>
        <v>2</v>
      </c>
      <c r="O162" s="44">
        <f t="shared" si="61"/>
        <v>2</v>
      </c>
      <c r="P162" s="44">
        <f t="shared" si="61"/>
        <v>2</v>
      </c>
      <c r="Q162" s="44">
        <f t="shared" si="61"/>
        <v>2</v>
      </c>
      <c r="R162" s="44">
        <f t="shared" si="61"/>
        <v>2</v>
      </c>
      <c r="S162" s="44">
        <f t="shared" si="61"/>
        <v>2</v>
      </c>
      <c r="T162" s="44">
        <f t="shared" si="62"/>
        <v>2</v>
      </c>
      <c r="U162" s="44">
        <f t="shared" si="62"/>
        <v>2</v>
      </c>
      <c r="V162" s="44">
        <f t="shared" si="62"/>
        <v>2</v>
      </c>
      <c r="W162" s="44">
        <f t="shared" si="62"/>
        <v>2</v>
      </c>
      <c r="X162" s="44">
        <f t="shared" si="62"/>
        <v>2</v>
      </c>
      <c r="Y162" s="44">
        <f t="shared" si="62"/>
        <v>2</v>
      </c>
      <c r="Z162" s="44">
        <f t="shared" si="62"/>
        <v>2</v>
      </c>
      <c r="AA162" s="44">
        <f t="shared" si="62"/>
        <v>2</v>
      </c>
      <c r="AB162" s="44">
        <f t="shared" si="62"/>
        <v>2</v>
      </c>
      <c r="AC162" s="44">
        <f t="shared" si="62"/>
        <v>2</v>
      </c>
      <c r="AD162" s="44">
        <f t="shared" si="62"/>
        <v>2</v>
      </c>
      <c r="AE162" s="44">
        <f t="shared" si="62"/>
        <v>2</v>
      </c>
      <c r="AF162" s="44">
        <f t="shared" si="62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60"/>
        <v>0.47</v>
      </c>
      <c r="C163" s="55">
        <v>0.47</v>
      </c>
      <c r="D163" s="44">
        <f t="shared" si="61"/>
        <v>0.47</v>
      </c>
      <c r="E163" s="44">
        <f t="shared" si="61"/>
        <v>0.47</v>
      </c>
      <c r="F163" s="44">
        <f t="shared" si="61"/>
        <v>0.47</v>
      </c>
      <c r="G163" s="44">
        <f t="shared" si="61"/>
        <v>0.47</v>
      </c>
      <c r="H163" s="44">
        <f t="shared" si="61"/>
        <v>0.47</v>
      </c>
      <c r="I163" s="44">
        <f t="shared" si="61"/>
        <v>0.47</v>
      </c>
      <c r="J163" s="44">
        <f t="shared" si="61"/>
        <v>0.47</v>
      </c>
      <c r="K163" s="44">
        <f t="shared" si="61"/>
        <v>0.47</v>
      </c>
      <c r="L163" s="44">
        <f t="shared" si="61"/>
        <v>0.47</v>
      </c>
      <c r="M163" s="44">
        <f t="shared" si="61"/>
        <v>0.47</v>
      </c>
      <c r="N163" s="44">
        <f t="shared" si="61"/>
        <v>0.47</v>
      </c>
      <c r="O163" s="44">
        <f t="shared" si="61"/>
        <v>0.47</v>
      </c>
      <c r="P163" s="44">
        <f t="shared" si="61"/>
        <v>0.47</v>
      </c>
      <c r="Q163" s="44">
        <f t="shared" si="61"/>
        <v>0.47</v>
      </c>
      <c r="R163" s="44">
        <f t="shared" si="61"/>
        <v>0.47</v>
      </c>
      <c r="S163" s="44">
        <f t="shared" si="61"/>
        <v>0.47</v>
      </c>
      <c r="T163" s="44">
        <f t="shared" si="62"/>
        <v>0.47</v>
      </c>
      <c r="U163" s="44">
        <f t="shared" si="62"/>
        <v>0.47</v>
      </c>
      <c r="V163" s="44">
        <f t="shared" si="62"/>
        <v>0.47</v>
      </c>
      <c r="W163" s="44">
        <f t="shared" si="62"/>
        <v>0.47</v>
      </c>
      <c r="X163" s="44">
        <f t="shared" si="62"/>
        <v>0.47</v>
      </c>
      <c r="Y163" s="44">
        <f t="shared" si="62"/>
        <v>0.47</v>
      </c>
      <c r="Z163" s="44">
        <f t="shared" si="62"/>
        <v>0.47</v>
      </c>
      <c r="AA163" s="44">
        <f t="shared" si="62"/>
        <v>0.47</v>
      </c>
      <c r="AB163" s="44">
        <f t="shared" si="62"/>
        <v>0.47</v>
      </c>
      <c r="AC163" s="44">
        <f t="shared" si="62"/>
        <v>0.47</v>
      </c>
      <c r="AD163" s="44">
        <f t="shared" si="62"/>
        <v>0.47</v>
      </c>
      <c r="AE163" s="44">
        <f t="shared" si="62"/>
        <v>0.47</v>
      </c>
      <c r="AF163" s="44">
        <f t="shared" si="62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60"/>
        <v>0</v>
      </c>
      <c r="C164" s="55">
        <v>0</v>
      </c>
      <c r="D164" s="44">
        <f t="shared" si="61"/>
        <v>0</v>
      </c>
      <c r="E164" s="44">
        <f t="shared" si="61"/>
        <v>0</v>
      </c>
      <c r="F164" s="44">
        <f t="shared" si="61"/>
        <v>0</v>
      </c>
      <c r="G164" s="44">
        <f t="shared" si="61"/>
        <v>0</v>
      </c>
      <c r="H164" s="44">
        <f t="shared" si="61"/>
        <v>0</v>
      </c>
      <c r="I164" s="44">
        <f t="shared" si="61"/>
        <v>0</v>
      </c>
      <c r="J164" s="44">
        <f t="shared" si="61"/>
        <v>0</v>
      </c>
      <c r="K164" s="44">
        <f t="shared" si="61"/>
        <v>0</v>
      </c>
      <c r="L164" s="44">
        <f t="shared" si="61"/>
        <v>0</v>
      </c>
      <c r="M164" s="44">
        <f t="shared" si="61"/>
        <v>0</v>
      </c>
      <c r="N164" s="44">
        <f t="shared" si="61"/>
        <v>0</v>
      </c>
      <c r="O164" s="44">
        <f t="shared" si="61"/>
        <v>0</v>
      </c>
      <c r="P164" s="44">
        <f t="shared" si="61"/>
        <v>0</v>
      </c>
      <c r="Q164" s="44">
        <f t="shared" si="61"/>
        <v>0</v>
      </c>
      <c r="R164" s="44">
        <f t="shared" si="61"/>
        <v>0</v>
      </c>
      <c r="S164" s="44">
        <f t="shared" si="61"/>
        <v>0</v>
      </c>
      <c r="T164" s="44">
        <f t="shared" si="62"/>
        <v>0</v>
      </c>
      <c r="U164" s="44">
        <f t="shared" si="62"/>
        <v>0</v>
      </c>
      <c r="V164" s="44">
        <f t="shared" si="62"/>
        <v>0</v>
      </c>
      <c r="W164" s="44">
        <f t="shared" si="62"/>
        <v>0</v>
      </c>
      <c r="X164" s="44">
        <f t="shared" si="62"/>
        <v>0</v>
      </c>
      <c r="Y164" s="44">
        <f t="shared" si="62"/>
        <v>0</v>
      </c>
      <c r="Z164" s="44">
        <f t="shared" si="62"/>
        <v>0</v>
      </c>
      <c r="AA164" s="44">
        <f t="shared" si="62"/>
        <v>0</v>
      </c>
      <c r="AB164" s="44">
        <f t="shared" si="62"/>
        <v>0</v>
      </c>
      <c r="AC164" s="44">
        <f t="shared" si="62"/>
        <v>0</v>
      </c>
      <c r="AD164" s="44">
        <f t="shared" si="62"/>
        <v>0</v>
      </c>
      <c r="AE164" s="44">
        <f t="shared" si="62"/>
        <v>0</v>
      </c>
      <c r="AF164" s="44">
        <f t="shared" si="62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60"/>
        <v>0</v>
      </c>
      <c r="C165" s="55">
        <v>0</v>
      </c>
      <c r="D165" s="44">
        <f t="shared" si="61"/>
        <v>0</v>
      </c>
      <c r="E165" s="44">
        <f t="shared" si="61"/>
        <v>0</v>
      </c>
      <c r="F165" s="44">
        <f t="shared" si="61"/>
        <v>0</v>
      </c>
      <c r="G165" s="44">
        <f t="shared" si="61"/>
        <v>0</v>
      </c>
      <c r="H165" s="44">
        <f t="shared" si="61"/>
        <v>0</v>
      </c>
      <c r="I165" s="44">
        <f t="shared" si="61"/>
        <v>0</v>
      </c>
      <c r="J165" s="44">
        <f t="shared" si="61"/>
        <v>0</v>
      </c>
      <c r="K165" s="44">
        <f t="shared" si="61"/>
        <v>0</v>
      </c>
      <c r="L165" s="44">
        <f t="shared" si="61"/>
        <v>0</v>
      </c>
      <c r="M165" s="44">
        <f t="shared" si="61"/>
        <v>0</v>
      </c>
      <c r="N165" s="44">
        <f t="shared" si="61"/>
        <v>0</v>
      </c>
      <c r="O165" s="44">
        <f t="shared" si="61"/>
        <v>0</v>
      </c>
      <c r="P165" s="44">
        <f t="shared" si="61"/>
        <v>0</v>
      </c>
      <c r="Q165" s="44">
        <f t="shared" si="61"/>
        <v>0</v>
      </c>
      <c r="R165" s="44">
        <f t="shared" si="61"/>
        <v>0</v>
      </c>
      <c r="S165" s="44">
        <f t="shared" si="62"/>
        <v>0</v>
      </c>
      <c r="T165" s="44">
        <f t="shared" si="62"/>
        <v>0</v>
      </c>
      <c r="U165" s="44">
        <f t="shared" si="62"/>
        <v>0</v>
      </c>
      <c r="V165" s="44">
        <f t="shared" si="62"/>
        <v>0</v>
      </c>
      <c r="W165" s="44">
        <f t="shared" si="62"/>
        <v>0</v>
      </c>
      <c r="X165" s="44">
        <f t="shared" si="62"/>
        <v>0</v>
      </c>
      <c r="Y165" s="44">
        <f t="shared" si="62"/>
        <v>0</v>
      </c>
      <c r="Z165" s="44">
        <f t="shared" si="62"/>
        <v>0</v>
      </c>
      <c r="AA165" s="44">
        <f t="shared" si="62"/>
        <v>0</v>
      </c>
      <c r="AB165" s="44">
        <f t="shared" si="62"/>
        <v>0</v>
      </c>
      <c r="AC165" s="44">
        <f t="shared" si="62"/>
        <v>0</v>
      </c>
      <c r="AD165" s="44">
        <f t="shared" si="62"/>
        <v>0</v>
      </c>
      <c r="AE165" s="44">
        <f t="shared" si="62"/>
        <v>0</v>
      </c>
      <c r="AF165" s="44">
        <f t="shared" si="62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60"/>
        <v>0.8</v>
      </c>
      <c r="C166" s="55">
        <v>0.8</v>
      </c>
      <c r="D166" s="44">
        <f t="shared" si="61"/>
        <v>0.8</v>
      </c>
      <c r="E166" s="44">
        <f t="shared" si="61"/>
        <v>0.8</v>
      </c>
      <c r="F166" s="44">
        <f t="shared" si="61"/>
        <v>0.8</v>
      </c>
      <c r="G166" s="44">
        <f t="shared" si="61"/>
        <v>0.8</v>
      </c>
      <c r="H166" s="44">
        <f t="shared" si="61"/>
        <v>0.8</v>
      </c>
      <c r="I166" s="44">
        <f t="shared" si="61"/>
        <v>0.8</v>
      </c>
      <c r="J166" s="44">
        <f t="shared" si="61"/>
        <v>0.8</v>
      </c>
      <c r="K166" s="44">
        <f t="shared" si="61"/>
        <v>0.8</v>
      </c>
      <c r="L166" s="44">
        <f t="shared" si="61"/>
        <v>0.8</v>
      </c>
      <c r="M166" s="44">
        <f t="shared" si="61"/>
        <v>0.8</v>
      </c>
      <c r="N166" s="44">
        <f t="shared" si="61"/>
        <v>0.8</v>
      </c>
      <c r="O166" s="44">
        <f t="shared" si="61"/>
        <v>0.8</v>
      </c>
      <c r="P166" s="44">
        <f t="shared" si="61"/>
        <v>0.8</v>
      </c>
      <c r="Q166" s="44">
        <f t="shared" si="61"/>
        <v>0.8</v>
      </c>
      <c r="R166" s="44">
        <f t="shared" si="61"/>
        <v>0.8</v>
      </c>
      <c r="S166" s="44">
        <f t="shared" si="62"/>
        <v>0.8</v>
      </c>
      <c r="T166" s="44">
        <f t="shared" si="62"/>
        <v>0.8</v>
      </c>
      <c r="U166" s="44">
        <f t="shared" si="62"/>
        <v>0.8</v>
      </c>
      <c r="V166" s="44">
        <f t="shared" si="62"/>
        <v>0.8</v>
      </c>
      <c r="W166" s="44">
        <f t="shared" si="62"/>
        <v>0.8</v>
      </c>
      <c r="X166" s="44">
        <f t="shared" si="62"/>
        <v>0.8</v>
      </c>
      <c r="Y166" s="44">
        <f t="shared" si="62"/>
        <v>0.8</v>
      </c>
      <c r="Z166" s="44">
        <f t="shared" si="62"/>
        <v>0.8</v>
      </c>
      <c r="AA166" s="44">
        <f t="shared" si="62"/>
        <v>0.8</v>
      </c>
      <c r="AB166" s="44">
        <f t="shared" si="62"/>
        <v>0.8</v>
      </c>
      <c r="AC166" s="44">
        <f t="shared" si="62"/>
        <v>0.8</v>
      </c>
      <c r="AD166" s="44">
        <f t="shared" si="62"/>
        <v>0.8</v>
      </c>
      <c r="AE166" s="44">
        <f t="shared" si="62"/>
        <v>0.8</v>
      </c>
      <c r="AF166" s="44">
        <f t="shared" si="62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60"/>
        <v>1.5</v>
      </c>
      <c r="C167" s="55">
        <v>1.5</v>
      </c>
      <c r="D167" s="44">
        <f t="shared" si="61"/>
        <v>1.5</v>
      </c>
      <c r="E167" s="44">
        <f t="shared" si="61"/>
        <v>1.5</v>
      </c>
      <c r="F167" s="44">
        <f t="shared" si="61"/>
        <v>1.5</v>
      </c>
      <c r="G167" s="44">
        <f t="shared" si="61"/>
        <v>1.5</v>
      </c>
      <c r="H167" s="44">
        <f t="shared" si="61"/>
        <v>1.5</v>
      </c>
      <c r="I167" s="44">
        <f t="shared" si="61"/>
        <v>1.5</v>
      </c>
      <c r="J167" s="44">
        <f t="shared" si="61"/>
        <v>1.5</v>
      </c>
      <c r="K167" s="44">
        <f t="shared" si="61"/>
        <v>1.5</v>
      </c>
      <c r="L167" s="44">
        <f t="shared" si="61"/>
        <v>1.5</v>
      </c>
      <c r="M167" s="44">
        <f t="shared" si="61"/>
        <v>1.5</v>
      </c>
      <c r="N167" s="44">
        <f t="shared" si="61"/>
        <v>1.5</v>
      </c>
      <c r="O167" s="44">
        <f t="shared" si="61"/>
        <v>1.5</v>
      </c>
      <c r="P167" s="44">
        <f t="shared" si="61"/>
        <v>1.5</v>
      </c>
      <c r="Q167" s="44">
        <f t="shared" si="61"/>
        <v>1.5</v>
      </c>
      <c r="R167" s="44">
        <f t="shared" si="61"/>
        <v>1.5</v>
      </c>
      <c r="S167" s="44">
        <f t="shared" si="62"/>
        <v>1.5</v>
      </c>
      <c r="T167" s="44">
        <f t="shared" si="62"/>
        <v>1.5</v>
      </c>
      <c r="U167" s="44">
        <f t="shared" si="62"/>
        <v>1.5</v>
      </c>
      <c r="V167" s="44">
        <f t="shared" si="62"/>
        <v>1.5</v>
      </c>
      <c r="W167" s="44">
        <f t="shared" si="62"/>
        <v>1.5</v>
      </c>
      <c r="X167" s="44">
        <f t="shared" si="62"/>
        <v>1.5</v>
      </c>
      <c r="Y167" s="44">
        <f t="shared" si="62"/>
        <v>1.5</v>
      </c>
      <c r="Z167" s="44">
        <f t="shared" si="62"/>
        <v>1.5</v>
      </c>
      <c r="AA167" s="44">
        <f t="shared" si="62"/>
        <v>1.5</v>
      </c>
      <c r="AB167" s="44">
        <f t="shared" si="62"/>
        <v>1.5</v>
      </c>
      <c r="AC167" s="44">
        <f t="shared" si="62"/>
        <v>1.5</v>
      </c>
      <c r="AD167" s="44">
        <f t="shared" si="62"/>
        <v>1.5</v>
      </c>
      <c r="AE167" s="44">
        <f t="shared" si="62"/>
        <v>1.5</v>
      </c>
      <c r="AF167" s="44">
        <f t="shared" si="62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60"/>
        <v>1</v>
      </c>
      <c r="C168" s="55">
        <v>1</v>
      </c>
      <c r="D168" s="44">
        <f t="shared" si="61"/>
        <v>1</v>
      </c>
      <c r="E168" s="44">
        <f t="shared" si="61"/>
        <v>1</v>
      </c>
      <c r="F168" s="44">
        <f t="shared" si="61"/>
        <v>1</v>
      </c>
      <c r="G168" s="44">
        <f t="shared" si="61"/>
        <v>1</v>
      </c>
      <c r="H168" s="44">
        <f t="shared" si="61"/>
        <v>1</v>
      </c>
      <c r="I168" s="44">
        <f t="shared" si="61"/>
        <v>1</v>
      </c>
      <c r="J168" s="44">
        <f t="shared" si="61"/>
        <v>1</v>
      </c>
      <c r="K168" s="44">
        <f t="shared" si="61"/>
        <v>1</v>
      </c>
      <c r="L168" s="44">
        <f t="shared" si="61"/>
        <v>1</v>
      </c>
      <c r="M168" s="44">
        <f t="shared" si="61"/>
        <v>1</v>
      </c>
      <c r="N168" s="44">
        <f t="shared" si="61"/>
        <v>1</v>
      </c>
      <c r="O168" s="44">
        <f t="shared" si="61"/>
        <v>1</v>
      </c>
      <c r="P168" s="44">
        <f t="shared" si="61"/>
        <v>1</v>
      </c>
      <c r="Q168" s="44">
        <f t="shared" si="61"/>
        <v>1</v>
      </c>
      <c r="R168" s="44">
        <f t="shared" si="61"/>
        <v>1</v>
      </c>
      <c r="S168" s="44">
        <f t="shared" si="62"/>
        <v>1</v>
      </c>
      <c r="T168" s="44">
        <f t="shared" si="62"/>
        <v>1</v>
      </c>
      <c r="U168" s="44">
        <f t="shared" si="62"/>
        <v>1</v>
      </c>
      <c r="V168" s="44">
        <f t="shared" si="62"/>
        <v>1</v>
      </c>
      <c r="W168" s="44">
        <f t="shared" si="62"/>
        <v>1</v>
      </c>
      <c r="X168" s="44">
        <f t="shared" si="62"/>
        <v>1</v>
      </c>
      <c r="Y168" s="44">
        <f t="shared" si="62"/>
        <v>1</v>
      </c>
      <c r="Z168" s="44">
        <f t="shared" si="62"/>
        <v>1</v>
      </c>
      <c r="AA168" s="44">
        <f t="shared" si="62"/>
        <v>1</v>
      </c>
      <c r="AB168" s="44">
        <f t="shared" si="62"/>
        <v>1</v>
      </c>
      <c r="AC168" s="44">
        <f t="shared" si="62"/>
        <v>1</v>
      </c>
      <c r="AD168" s="44">
        <f t="shared" si="62"/>
        <v>1</v>
      </c>
      <c r="AE168" s="44">
        <f t="shared" si="62"/>
        <v>1</v>
      </c>
      <c r="AF168" s="44">
        <f t="shared" si="62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3">AF170</f>
        <v>1</v>
      </c>
      <c r="C170" s="55">
        <v>1</v>
      </c>
      <c r="D170" s="44">
        <f t="shared" ref="D170:S177" si="64">C170</f>
        <v>1</v>
      </c>
      <c r="E170" s="44">
        <f t="shared" si="64"/>
        <v>1</v>
      </c>
      <c r="F170" s="44">
        <f t="shared" si="64"/>
        <v>1</v>
      </c>
      <c r="G170" s="44">
        <f t="shared" si="64"/>
        <v>1</v>
      </c>
      <c r="H170" s="44">
        <f t="shared" si="64"/>
        <v>1</v>
      </c>
      <c r="I170" s="44">
        <f t="shared" si="64"/>
        <v>1</v>
      </c>
      <c r="J170" s="44">
        <f t="shared" si="64"/>
        <v>1</v>
      </c>
      <c r="K170" s="44">
        <f t="shared" si="64"/>
        <v>1</v>
      </c>
      <c r="L170" s="44">
        <f t="shared" si="64"/>
        <v>1</v>
      </c>
      <c r="M170" s="44">
        <f t="shared" si="64"/>
        <v>1</v>
      </c>
      <c r="N170" s="44">
        <f t="shared" si="64"/>
        <v>1</v>
      </c>
      <c r="O170" s="44">
        <f t="shared" si="64"/>
        <v>1</v>
      </c>
      <c r="P170" s="44">
        <f t="shared" si="64"/>
        <v>1</v>
      </c>
      <c r="Q170" s="44">
        <f t="shared" si="64"/>
        <v>1</v>
      </c>
      <c r="R170" s="44">
        <f t="shared" si="64"/>
        <v>1</v>
      </c>
      <c r="S170" s="44">
        <f t="shared" si="64"/>
        <v>1</v>
      </c>
      <c r="T170" s="44">
        <f t="shared" ref="S170:AF177" si="65">S170</f>
        <v>1</v>
      </c>
      <c r="U170" s="44">
        <f t="shared" si="65"/>
        <v>1</v>
      </c>
      <c r="V170" s="44">
        <f t="shared" si="65"/>
        <v>1</v>
      </c>
      <c r="W170" s="44">
        <f t="shared" si="65"/>
        <v>1</v>
      </c>
      <c r="X170" s="44">
        <f t="shared" si="65"/>
        <v>1</v>
      </c>
      <c r="Y170" s="44">
        <f t="shared" si="65"/>
        <v>1</v>
      </c>
      <c r="Z170" s="44">
        <f t="shared" si="65"/>
        <v>1</v>
      </c>
      <c r="AA170" s="44">
        <f t="shared" si="65"/>
        <v>1</v>
      </c>
      <c r="AB170" s="44">
        <f t="shared" si="65"/>
        <v>1</v>
      </c>
      <c r="AC170" s="44">
        <f t="shared" si="65"/>
        <v>1</v>
      </c>
      <c r="AD170" s="44">
        <f t="shared" si="65"/>
        <v>1</v>
      </c>
      <c r="AE170" s="44">
        <f t="shared" si="65"/>
        <v>1</v>
      </c>
      <c r="AF170" s="44">
        <f t="shared" si="65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3"/>
        <v>0.42</v>
      </c>
      <c r="C171" s="55">
        <v>0.42</v>
      </c>
      <c r="D171" s="44">
        <f t="shared" si="64"/>
        <v>0.42</v>
      </c>
      <c r="E171" s="44">
        <f t="shared" si="64"/>
        <v>0.42</v>
      </c>
      <c r="F171" s="44">
        <f t="shared" si="64"/>
        <v>0.42</v>
      </c>
      <c r="G171" s="44">
        <f t="shared" si="64"/>
        <v>0.42</v>
      </c>
      <c r="H171" s="44">
        <f t="shared" si="64"/>
        <v>0.42</v>
      </c>
      <c r="I171" s="44">
        <f t="shared" si="64"/>
        <v>0.42</v>
      </c>
      <c r="J171" s="44">
        <f t="shared" si="64"/>
        <v>0.42</v>
      </c>
      <c r="K171" s="44">
        <f t="shared" si="64"/>
        <v>0.42</v>
      </c>
      <c r="L171" s="44">
        <f t="shared" si="64"/>
        <v>0.42</v>
      </c>
      <c r="M171" s="44">
        <f t="shared" si="64"/>
        <v>0.42</v>
      </c>
      <c r="N171" s="44">
        <f t="shared" si="64"/>
        <v>0.42</v>
      </c>
      <c r="O171" s="44">
        <f t="shared" si="64"/>
        <v>0.42</v>
      </c>
      <c r="P171" s="44">
        <f t="shared" si="64"/>
        <v>0.42</v>
      </c>
      <c r="Q171" s="44">
        <f t="shared" si="64"/>
        <v>0.42</v>
      </c>
      <c r="R171" s="44">
        <f t="shared" si="64"/>
        <v>0.42</v>
      </c>
      <c r="S171" s="44">
        <f t="shared" si="65"/>
        <v>0.42</v>
      </c>
      <c r="T171" s="44">
        <f t="shared" si="65"/>
        <v>0.42</v>
      </c>
      <c r="U171" s="44">
        <f t="shared" si="65"/>
        <v>0.42</v>
      </c>
      <c r="V171" s="44">
        <f t="shared" si="65"/>
        <v>0.42</v>
      </c>
      <c r="W171" s="44">
        <f t="shared" si="65"/>
        <v>0.42</v>
      </c>
      <c r="X171" s="44">
        <f t="shared" si="65"/>
        <v>0.42</v>
      </c>
      <c r="Y171" s="44">
        <f t="shared" si="65"/>
        <v>0.42</v>
      </c>
      <c r="Z171" s="44">
        <f t="shared" si="65"/>
        <v>0.42</v>
      </c>
      <c r="AA171" s="44">
        <f t="shared" si="65"/>
        <v>0.42</v>
      </c>
      <c r="AB171" s="44">
        <f t="shared" si="65"/>
        <v>0.42</v>
      </c>
      <c r="AC171" s="44">
        <f t="shared" si="65"/>
        <v>0.42</v>
      </c>
      <c r="AD171" s="44">
        <f t="shared" si="65"/>
        <v>0.42</v>
      </c>
      <c r="AE171" s="44">
        <f t="shared" si="65"/>
        <v>0.42</v>
      </c>
      <c r="AF171" s="44">
        <f t="shared" si="65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3"/>
        <v>0.46</v>
      </c>
      <c r="C172" s="55">
        <v>0.46</v>
      </c>
      <c r="D172" s="44">
        <f t="shared" si="64"/>
        <v>0.46</v>
      </c>
      <c r="E172" s="44">
        <f t="shared" si="64"/>
        <v>0.46</v>
      </c>
      <c r="F172" s="44">
        <f t="shared" si="64"/>
        <v>0.46</v>
      </c>
      <c r="G172" s="44">
        <f t="shared" si="64"/>
        <v>0.46</v>
      </c>
      <c r="H172" s="44">
        <f t="shared" si="64"/>
        <v>0.46</v>
      </c>
      <c r="I172" s="44">
        <f t="shared" si="64"/>
        <v>0.46</v>
      </c>
      <c r="J172" s="44">
        <f t="shared" si="64"/>
        <v>0.46</v>
      </c>
      <c r="K172" s="44">
        <f t="shared" si="64"/>
        <v>0.46</v>
      </c>
      <c r="L172" s="44">
        <f t="shared" si="64"/>
        <v>0.46</v>
      </c>
      <c r="M172" s="44">
        <f t="shared" si="64"/>
        <v>0.46</v>
      </c>
      <c r="N172" s="44">
        <f t="shared" si="64"/>
        <v>0.46</v>
      </c>
      <c r="O172" s="44">
        <f t="shared" si="64"/>
        <v>0.46</v>
      </c>
      <c r="P172" s="44">
        <f t="shared" si="64"/>
        <v>0.46</v>
      </c>
      <c r="Q172" s="44">
        <f t="shared" si="64"/>
        <v>0.46</v>
      </c>
      <c r="R172" s="44">
        <f t="shared" si="64"/>
        <v>0.46</v>
      </c>
      <c r="S172" s="44">
        <f t="shared" si="65"/>
        <v>0.46</v>
      </c>
      <c r="T172" s="44">
        <f t="shared" si="65"/>
        <v>0.46</v>
      </c>
      <c r="U172" s="44">
        <f t="shared" si="65"/>
        <v>0.46</v>
      </c>
      <c r="V172" s="44">
        <f t="shared" si="65"/>
        <v>0.46</v>
      </c>
      <c r="W172" s="44">
        <f t="shared" si="65"/>
        <v>0.46</v>
      </c>
      <c r="X172" s="44">
        <f t="shared" si="65"/>
        <v>0.46</v>
      </c>
      <c r="Y172" s="44">
        <f t="shared" si="65"/>
        <v>0.46</v>
      </c>
      <c r="Z172" s="44">
        <f t="shared" si="65"/>
        <v>0.46</v>
      </c>
      <c r="AA172" s="44">
        <f t="shared" si="65"/>
        <v>0.46</v>
      </c>
      <c r="AB172" s="44">
        <f t="shared" si="65"/>
        <v>0.46</v>
      </c>
      <c r="AC172" s="44">
        <f t="shared" si="65"/>
        <v>0.46</v>
      </c>
      <c r="AD172" s="44">
        <f t="shared" si="65"/>
        <v>0.46</v>
      </c>
      <c r="AE172" s="44">
        <f t="shared" si="65"/>
        <v>0.46</v>
      </c>
      <c r="AF172" s="44">
        <f t="shared" si="65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3"/>
        <v>0.85</v>
      </c>
      <c r="C173" s="55">
        <v>0.85</v>
      </c>
      <c r="D173" s="44">
        <f t="shared" si="64"/>
        <v>0.85</v>
      </c>
      <c r="E173" s="44">
        <f t="shared" si="64"/>
        <v>0.85</v>
      </c>
      <c r="F173" s="44">
        <f t="shared" si="64"/>
        <v>0.85</v>
      </c>
      <c r="G173" s="44">
        <f t="shared" si="64"/>
        <v>0.85</v>
      </c>
      <c r="H173" s="44">
        <f t="shared" si="64"/>
        <v>0.85</v>
      </c>
      <c r="I173" s="44">
        <f t="shared" si="64"/>
        <v>0.85</v>
      </c>
      <c r="J173" s="44">
        <f t="shared" si="64"/>
        <v>0.85</v>
      </c>
      <c r="K173" s="44">
        <f t="shared" si="64"/>
        <v>0.85</v>
      </c>
      <c r="L173" s="44">
        <f t="shared" si="64"/>
        <v>0.85</v>
      </c>
      <c r="M173" s="44">
        <f t="shared" si="64"/>
        <v>0.85</v>
      </c>
      <c r="N173" s="44">
        <f t="shared" si="64"/>
        <v>0.85</v>
      </c>
      <c r="O173" s="44">
        <f t="shared" si="64"/>
        <v>0.85</v>
      </c>
      <c r="P173" s="44">
        <f t="shared" si="64"/>
        <v>0.85</v>
      </c>
      <c r="Q173" s="44">
        <f t="shared" si="64"/>
        <v>0.85</v>
      </c>
      <c r="R173" s="44">
        <f t="shared" si="64"/>
        <v>0.85</v>
      </c>
      <c r="S173" s="44">
        <f t="shared" si="65"/>
        <v>0.85</v>
      </c>
      <c r="T173" s="44">
        <f t="shared" si="65"/>
        <v>0.85</v>
      </c>
      <c r="U173" s="44">
        <f t="shared" si="65"/>
        <v>0.85</v>
      </c>
      <c r="V173" s="44">
        <f t="shared" si="65"/>
        <v>0.85</v>
      </c>
      <c r="W173" s="44">
        <f t="shared" si="65"/>
        <v>0.85</v>
      </c>
      <c r="X173" s="44">
        <f t="shared" si="65"/>
        <v>0.85</v>
      </c>
      <c r="Y173" s="44">
        <f t="shared" si="65"/>
        <v>0.85</v>
      </c>
      <c r="Z173" s="44">
        <f t="shared" si="65"/>
        <v>0.85</v>
      </c>
      <c r="AA173" s="44">
        <f t="shared" si="65"/>
        <v>0.85</v>
      </c>
      <c r="AB173" s="44">
        <f t="shared" si="65"/>
        <v>0.85</v>
      </c>
      <c r="AC173" s="44">
        <f t="shared" si="65"/>
        <v>0.85</v>
      </c>
      <c r="AD173" s="44">
        <f t="shared" si="65"/>
        <v>0.85</v>
      </c>
      <c r="AE173" s="44">
        <f t="shared" si="65"/>
        <v>0.85</v>
      </c>
      <c r="AF173" s="44">
        <f t="shared" si="65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3"/>
        <v>0.9</v>
      </c>
      <c r="C174" s="55">
        <v>0.9</v>
      </c>
      <c r="D174" s="44">
        <f t="shared" si="64"/>
        <v>0.9</v>
      </c>
      <c r="E174" s="44">
        <f t="shared" si="64"/>
        <v>0.9</v>
      </c>
      <c r="F174" s="44">
        <f t="shared" si="64"/>
        <v>0.9</v>
      </c>
      <c r="G174" s="44">
        <f t="shared" si="64"/>
        <v>0.9</v>
      </c>
      <c r="H174" s="44">
        <f t="shared" si="64"/>
        <v>0.9</v>
      </c>
      <c r="I174" s="44">
        <f t="shared" si="64"/>
        <v>0.9</v>
      </c>
      <c r="J174" s="44">
        <f t="shared" si="64"/>
        <v>0.9</v>
      </c>
      <c r="K174" s="44">
        <f t="shared" si="64"/>
        <v>0.9</v>
      </c>
      <c r="L174" s="44">
        <f t="shared" si="64"/>
        <v>0.9</v>
      </c>
      <c r="M174" s="44">
        <f t="shared" si="64"/>
        <v>0.9</v>
      </c>
      <c r="N174" s="44">
        <f t="shared" si="64"/>
        <v>0.9</v>
      </c>
      <c r="O174" s="44">
        <f t="shared" si="64"/>
        <v>0.9</v>
      </c>
      <c r="P174" s="44">
        <f t="shared" si="64"/>
        <v>0.9</v>
      </c>
      <c r="Q174" s="44">
        <f t="shared" si="64"/>
        <v>0.9</v>
      </c>
      <c r="R174" s="44">
        <f t="shared" si="64"/>
        <v>0.9</v>
      </c>
      <c r="S174" s="44">
        <f t="shared" si="65"/>
        <v>0.9</v>
      </c>
      <c r="T174" s="44">
        <f t="shared" si="65"/>
        <v>0.9</v>
      </c>
      <c r="U174" s="44">
        <f t="shared" si="65"/>
        <v>0.9</v>
      </c>
      <c r="V174" s="44">
        <f t="shared" si="65"/>
        <v>0.9</v>
      </c>
      <c r="W174" s="44">
        <f t="shared" si="65"/>
        <v>0.9</v>
      </c>
      <c r="X174" s="44">
        <f t="shared" si="65"/>
        <v>0.9</v>
      </c>
      <c r="Y174" s="44">
        <f t="shared" si="65"/>
        <v>0.9</v>
      </c>
      <c r="Z174" s="44">
        <f t="shared" si="65"/>
        <v>0.9</v>
      </c>
      <c r="AA174" s="44">
        <f t="shared" si="65"/>
        <v>0.9</v>
      </c>
      <c r="AB174" s="44">
        <f t="shared" si="65"/>
        <v>0.9</v>
      </c>
      <c r="AC174" s="44">
        <f t="shared" si="65"/>
        <v>0.9</v>
      </c>
      <c r="AD174" s="44">
        <f t="shared" si="65"/>
        <v>0.9</v>
      </c>
      <c r="AE174" s="44">
        <f t="shared" si="65"/>
        <v>0.9</v>
      </c>
      <c r="AF174" s="44">
        <f t="shared" si="65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3"/>
        <v>0.44</v>
      </c>
      <c r="C175" s="55">
        <v>0.44</v>
      </c>
      <c r="D175" s="44">
        <f t="shared" si="64"/>
        <v>0.44</v>
      </c>
      <c r="E175" s="44">
        <f t="shared" si="64"/>
        <v>0.44</v>
      </c>
      <c r="F175" s="44">
        <f t="shared" si="64"/>
        <v>0.44</v>
      </c>
      <c r="G175" s="44">
        <f t="shared" si="64"/>
        <v>0.44</v>
      </c>
      <c r="H175" s="44">
        <f t="shared" si="64"/>
        <v>0.44</v>
      </c>
      <c r="I175" s="44">
        <f t="shared" si="64"/>
        <v>0.44</v>
      </c>
      <c r="J175" s="44">
        <f t="shared" si="64"/>
        <v>0.44</v>
      </c>
      <c r="K175" s="44">
        <f t="shared" si="64"/>
        <v>0.44</v>
      </c>
      <c r="L175" s="44">
        <f t="shared" si="64"/>
        <v>0.44</v>
      </c>
      <c r="M175" s="44">
        <f t="shared" si="64"/>
        <v>0.44</v>
      </c>
      <c r="N175" s="44">
        <f t="shared" si="64"/>
        <v>0.44</v>
      </c>
      <c r="O175" s="44">
        <f t="shared" si="64"/>
        <v>0.44</v>
      </c>
      <c r="P175" s="44">
        <f t="shared" si="64"/>
        <v>0.44</v>
      </c>
      <c r="Q175" s="44">
        <f t="shared" si="64"/>
        <v>0.44</v>
      </c>
      <c r="R175" s="44">
        <f t="shared" si="64"/>
        <v>0.44</v>
      </c>
      <c r="S175" s="44">
        <f t="shared" si="65"/>
        <v>0.44</v>
      </c>
      <c r="T175" s="44">
        <f t="shared" si="65"/>
        <v>0.44</v>
      </c>
      <c r="U175" s="44">
        <f t="shared" si="65"/>
        <v>0.44</v>
      </c>
      <c r="V175" s="44">
        <f t="shared" si="65"/>
        <v>0.44</v>
      </c>
      <c r="W175" s="44">
        <f t="shared" si="65"/>
        <v>0.44</v>
      </c>
      <c r="X175" s="44">
        <f t="shared" si="65"/>
        <v>0.44</v>
      </c>
      <c r="Y175" s="44">
        <f t="shared" si="65"/>
        <v>0.44</v>
      </c>
      <c r="Z175" s="44">
        <f t="shared" si="65"/>
        <v>0.44</v>
      </c>
      <c r="AA175" s="44">
        <f t="shared" si="65"/>
        <v>0.44</v>
      </c>
      <c r="AB175" s="44">
        <f t="shared" si="65"/>
        <v>0.44</v>
      </c>
      <c r="AC175" s="44">
        <f t="shared" si="65"/>
        <v>0.44</v>
      </c>
      <c r="AD175" s="44">
        <f t="shared" si="65"/>
        <v>0.44</v>
      </c>
      <c r="AE175" s="44">
        <f t="shared" si="65"/>
        <v>0.44</v>
      </c>
      <c r="AF175" s="44">
        <f t="shared" si="65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3"/>
        <v>2.1</v>
      </c>
      <c r="C176" s="55">
        <v>2.1</v>
      </c>
      <c r="D176" s="44">
        <f t="shared" si="64"/>
        <v>2.1</v>
      </c>
      <c r="E176" s="44">
        <f t="shared" si="64"/>
        <v>2.1</v>
      </c>
      <c r="F176" s="44">
        <f t="shared" si="64"/>
        <v>2.1</v>
      </c>
      <c r="G176" s="44">
        <f t="shared" si="64"/>
        <v>2.1</v>
      </c>
      <c r="H176" s="44">
        <f t="shared" si="64"/>
        <v>2.1</v>
      </c>
      <c r="I176" s="44">
        <f t="shared" si="64"/>
        <v>2.1</v>
      </c>
      <c r="J176" s="44">
        <f t="shared" si="64"/>
        <v>2.1</v>
      </c>
      <c r="K176" s="44">
        <f t="shared" si="64"/>
        <v>2.1</v>
      </c>
      <c r="L176" s="44">
        <f t="shared" si="64"/>
        <v>2.1</v>
      </c>
      <c r="M176" s="44">
        <f t="shared" si="64"/>
        <v>2.1</v>
      </c>
      <c r="N176" s="44">
        <f t="shared" si="64"/>
        <v>2.1</v>
      </c>
      <c r="O176" s="44">
        <f t="shared" si="64"/>
        <v>2.1</v>
      </c>
      <c r="P176" s="44">
        <f t="shared" si="64"/>
        <v>2.1</v>
      </c>
      <c r="Q176" s="44">
        <f t="shared" si="64"/>
        <v>2.1</v>
      </c>
      <c r="R176" s="44">
        <f t="shared" si="64"/>
        <v>2.1</v>
      </c>
      <c r="S176" s="44">
        <f t="shared" si="65"/>
        <v>2.1</v>
      </c>
      <c r="T176" s="44">
        <f t="shared" si="65"/>
        <v>2.1</v>
      </c>
      <c r="U176" s="44">
        <f t="shared" si="65"/>
        <v>2.1</v>
      </c>
      <c r="V176" s="44">
        <f t="shared" si="65"/>
        <v>2.1</v>
      </c>
      <c r="W176" s="44">
        <f t="shared" si="65"/>
        <v>2.1</v>
      </c>
      <c r="X176" s="44">
        <f t="shared" si="65"/>
        <v>2.1</v>
      </c>
      <c r="Y176" s="44">
        <f t="shared" si="65"/>
        <v>2.1</v>
      </c>
      <c r="Z176" s="44">
        <f t="shared" si="65"/>
        <v>2.1</v>
      </c>
      <c r="AA176" s="44">
        <f t="shared" si="65"/>
        <v>2.1</v>
      </c>
      <c r="AB176" s="44">
        <f t="shared" si="65"/>
        <v>2.1</v>
      </c>
      <c r="AC176" s="44">
        <f t="shared" si="65"/>
        <v>2.1</v>
      </c>
      <c r="AD176" s="44">
        <f t="shared" si="65"/>
        <v>2.1</v>
      </c>
      <c r="AE176" s="44">
        <f t="shared" si="65"/>
        <v>2.1</v>
      </c>
      <c r="AF176" s="44">
        <f t="shared" si="65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3"/>
        <v>0.9</v>
      </c>
      <c r="C177" s="55">
        <v>0.9</v>
      </c>
      <c r="D177" s="44">
        <f t="shared" si="64"/>
        <v>0.9</v>
      </c>
      <c r="E177" s="44">
        <f t="shared" si="64"/>
        <v>0.9</v>
      </c>
      <c r="F177" s="44">
        <f t="shared" si="64"/>
        <v>0.9</v>
      </c>
      <c r="G177" s="44">
        <f t="shared" si="64"/>
        <v>0.9</v>
      </c>
      <c r="H177" s="44">
        <f t="shared" si="64"/>
        <v>0.9</v>
      </c>
      <c r="I177" s="44">
        <f t="shared" si="64"/>
        <v>0.9</v>
      </c>
      <c r="J177" s="44">
        <f t="shared" si="64"/>
        <v>0.9</v>
      </c>
      <c r="K177" s="44">
        <f t="shared" si="64"/>
        <v>0.9</v>
      </c>
      <c r="L177" s="44">
        <f t="shared" si="64"/>
        <v>0.9</v>
      </c>
      <c r="M177" s="44">
        <f t="shared" si="64"/>
        <v>0.9</v>
      </c>
      <c r="N177" s="44">
        <f t="shared" si="64"/>
        <v>0.9</v>
      </c>
      <c r="O177" s="44">
        <f t="shared" si="64"/>
        <v>0.9</v>
      </c>
      <c r="P177" s="44">
        <f t="shared" si="64"/>
        <v>0.9</v>
      </c>
      <c r="Q177" s="44">
        <f t="shared" si="64"/>
        <v>0.9</v>
      </c>
      <c r="R177" s="44">
        <f t="shared" si="64"/>
        <v>0.9</v>
      </c>
      <c r="S177" s="44">
        <f t="shared" si="65"/>
        <v>0.9</v>
      </c>
      <c r="T177" s="44">
        <f t="shared" si="65"/>
        <v>0.9</v>
      </c>
      <c r="U177" s="44">
        <f t="shared" si="65"/>
        <v>0.9</v>
      </c>
      <c r="V177" s="44">
        <f t="shared" si="65"/>
        <v>0.9</v>
      </c>
      <c r="W177" s="44">
        <f t="shared" si="65"/>
        <v>0.9</v>
      </c>
      <c r="X177" s="44">
        <f t="shared" si="65"/>
        <v>0.9</v>
      </c>
      <c r="Y177" s="44">
        <f t="shared" si="65"/>
        <v>0.9</v>
      </c>
      <c r="Z177" s="44">
        <f t="shared" si="65"/>
        <v>0.9</v>
      </c>
      <c r="AA177" s="44">
        <f t="shared" si="65"/>
        <v>0.9</v>
      </c>
      <c r="AB177" s="44">
        <f t="shared" si="65"/>
        <v>0.9</v>
      </c>
      <c r="AC177" s="44">
        <f t="shared" si="65"/>
        <v>0.9</v>
      </c>
      <c r="AD177" s="44">
        <f t="shared" si="65"/>
        <v>0.9</v>
      </c>
      <c r="AE177" s="44">
        <f t="shared" si="65"/>
        <v>0.9</v>
      </c>
      <c r="AF177" s="44">
        <f t="shared" si="65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6">AF179</f>
        <v>0.57999999999999996</v>
      </c>
      <c r="C179" s="55">
        <v>0.57999999999999996</v>
      </c>
      <c r="D179" s="44">
        <f t="shared" ref="D179:S191" si="67">C179</f>
        <v>0.57999999999999996</v>
      </c>
      <c r="E179" s="44">
        <f t="shared" si="67"/>
        <v>0.57999999999999996</v>
      </c>
      <c r="F179" s="44">
        <f t="shared" si="67"/>
        <v>0.57999999999999996</v>
      </c>
      <c r="G179" s="44">
        <f t="shared" si="67"/>
        <v>0.57999999999999996</v>
      </c>
      <c r="H179" s="44">
        <f t="shared" si="67"/>
        <v>0.57999999999999996</v>
      </c>
      <c r="I179" s="44">
        <f t="shared" si="67"/>
        <v>0.57999999999999996</v>
      </c>
      <c r="J179" s="44">
        <f t="shared" si="67"/>
        <v>0.57999999999999996</v>
      </c>
      <c r="K179" s="44">
        <f t="shared" si="67"/>
        <v>0.57999999999999996</v>
      </c>
      <c r="L179" s="44">
        <f t="shared" si="67"/>
        <v>0.57999999999999996</v>
      </c>
      <c r="M179" s="44">
        <f t="shared" si="67"/>
        <v>0.57999999999999996</v>
      </c>
      <c r="N179" s="44">
        <f t="shared" si="67"/>
        <v>0.57999999999999996</v>
      </c>
      <c r="O179" s="44">
        <f t="shared" si="67"/>
        <v>0.57999999999999996</v>
      </c>
      <c r="P179" s="44">
        <f t="shared" si="67"/>
        <v>0.57999999999999996</v>
      </c>
      <c r="Q179" s="44">
        <f t="shared" si="67"/>
        <v>0.57999999999999996</v>
      </c>
      <c r="R179" s="44">
        <f t="shared" si="67"/>
        <v>0.57999999999999996</v>
      </c>
      <c r="S179" s="44">
        <f t="shared" si="67"/>
        <v>0.57999999999999996</v>
      </c>
      <c r="T179" s="44">
        <f t="shared" ref="S179:AF191" si="68">S179</f>
        <v>0.57999999999999996</v>
      </c>
      <c r="U179" s="44">
        <f t="shared" si="68"/>
        <v>0.57999999999999996</v>
      </c>
      <c r="V179" s="44">
        <f t="shared" si="68"/>
        <v>0.57999999999999996</v>
      </c>
      <c r="W179" s="44">
        <f t="shared" si="68"/>
        <v>0.57999999999999996</v>
      </c>
      <c r="X179" s="44">
        <f t="shared" si="68"/>
        <v>0.57999999999999996</v>
      </c>
      <c r="Y179" s="44">
        <f t="shared" si="68"/>
        <v>0.57999999999999996</v>
      </c>
      <c r="Z179" s="44">
        <f t="shared" si="68"/>
        <v>0.57999999999999996</v>
      </c>
      <c r="AA179" s="44">
        <f t="shared" si="68"/>
        <v>0.57999999999999996</v>
      </c>
      <c r="AB179" s="44">
        <f t="shared" si="68"/>
        <v>0.57999999999999996</v>
      </c>
      <c r="AC179" s="44">
        <f t="shared" si="68"/>
        <v>0.57999999999999996</v>
      </c>
      <c r="AD179" s="44">
        <f t="shared" si="68"/>
        <v>0.57999999999999996</v>
      </c>
      <c r="AE179" s="44">
        <f t="shared" si="68"/>
        <v>0.57999999999999996</v>
      </c>
      <c r="AF179" s="44">
        <f t="shared" si="68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6"/>
        <v>0.8</v>
      </c>
      <c r="C180" s="55">
        <v>0.8</v>
      </c>
      <c r="D180" s="44">
        <f t="shared" si="67"/>
        <v>0.8</v>
      </c>
      <c r="E180" s="44">
        <f t="shared" si="67"/>
        <v>0.8</v>
      </c>
      <c r="F180" s="44">
        <f t="shared" si="67"/>
        <v>0.8</v>
      </c>
      <c r="G180" s="44">
        <f t="shared" si="67"/>
        <v>0.8</v>
      </c>
      <c r="H180" s="44">
        <f t="shared" si="67"/>
        <v>0.8</v>
      </c>
      <c r="I180" s="44">
        <f t="shared" si="67"/>
        <v>0.8</v>
      </c>
      <c r="J180" s="44">
        <f t="shared" si="67"/>
        <v>0.8</v>
      </c>
      <c r="K180" s="44">
        <f t="shared" si="67"/>
        <v>0.8</v>
      </c>
      <c r="L180" s="44">
        <f t="shared" si="67"/>
        <v>0.8</v>
      </c>
      <c r="M180" s="44">
        <f t="shared" si="67"/>
        <v>0.8</v>
      </c>
      <c r="N180" s="44">
        <f t="shared" si="67"/>
        <v>0.8</v>
      </c>
      <c r="O180" s="44">
        <f t="shared" si="67"/>
        <v>0.8</v>
      </c>
      <c r="P180" s="44">
        <f t="shared" si="67"/>
        <v>0.8</v>
      </c>
      <c r="Q180" s="44">
        <f t="shared" si="67"/>
        <v>0.8</v>
      </c>
      <c r="R180" s="44">
        <f t="shared" si="67"/>
        <v>0.8</v>
      </c>
      <c r="S180" s="44">
        <f t="shared" si="67"/>
        <v>0.8</v>
      </c>
      <c r="T180" s="44">
        <f t="shared" si="68"/>
        <v>0.8</v>
      </c>
      <c r="U180" s="44">
        <f t="shared" si="68"/>
        <v>0.8</v>
      </c>
      <c r="V180" s="44">
        <f t="shared" si="68"/>
        <v>0.8</v>
      </c>
      <c r="W180" s="44">
        <f t="shared" si="68"/>
        <v>0.8</v>
      </c>
      <c r="X180" s="44">
        <f t="shared" si="68"/>
        <v>0.8</v>
      </c>
      <c r="Y180" s="44">
        <f t="shared" si="68"/>
        <v>0.8</v>
      </c>
      <c r="Z180" s="44">
        <f t="shared" si="68"/>
        <v>0.8</v>
      </c>
      <c r="AA180" s="44">
        <f t="shared" si="68"/>
        <v>0.8</v>
      </c>
      <c r="AB180" s="44">
        <f t="shared" si="68"/>
        <v>0.8</v>
      </c>
      <c r="AC180" s="44">
        <f t="shared" si="68"/>
        <v>0.8</v>
      </c>
      <c r="AD180" s="44">
        <f t="shared" si="68"/>
        <v>0.8</v>
      </c>
      <c r="AE180" s="44">
        <f t="shared" si="68"/>
        <v>0.8</v>
      </c>
      <c r="AF180" s="44">
        <f t="shared" si="68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6"/>
        <v>0</v>
      </c>
      <c r="C181" s="55">
        <v>0</v>
      </c>
      <c r="D181" s="44">
        <f t="shared" si="67"/>
        <v>0</v>
      </c>
      <c r="E181" s="44">
        <f t="shared" si="67"/>
        <v>0</v>
      </c>
      <c r="F181" s="44">
        <f t="shared" si="67"/>
        <v>0</v>
      </c>
      <c r="G181" s="44">
        <f t="shared" si="67"/>
        <v>0</v>
      </c>
      <c r="H181" s="44">
        <f t="shared" si="67"/>
        <v>0</v>
      </c>
      <c r="I181" s="44">
        <f t="shared" si="67"/>
        <v>0</v>
      </c>
      <c r="J181" s="44">
        <f t="shared" si="67"/>
        <v>0</v>
      </c>
      <c r="K181" s="44">
        <f t="shared" si="67"/>
        <v>0</v>
      </c>
      <c r="L181" s="44">
        <f t="shared" si="67"/>
        <v>0</v>
      </c>
      <c r="M181" s="44">
        <f t="shared" si="67"/>
        <v>0</v>
      </c>
      <c r="N181" s="44">
        <f t="shared" si="67"/>
        <v>0</v>
      </c>
      <c r="O181" s="44">
        <f t="shared" si="67"/>
        <v>0</v>
      </c>
      <c r="P181" s="44">
        <f t="shared" si="67"/>
        <v>0</v>
      </c>
      <c r="Q181" s="44">
        <f t="shared" si="67"/>
        <v>0</v>
      </c>
      <c r="R181" s="44">
        <f t="shared" si="67"/>
        <v>0</v>
      </c>
      <c r="S181" s="44">
        <f t="shared" si="67"/>
        <v>0</v>
      </c>
      <c r="T181" s="44">
        <f t="shared" si="68"/>
        <v>0</v>
      </c>
      <c r="U181" s="44">
        <f t="shared" si="68"/>
        <v>0</v>
      </c>
      <c r="V181" s="44">
        <f t="shared" si="68"/>
        <v>0</v>
      </c>
      <c r="W181" s="44">
        <f t="shared" si="68"/>
        <v>0</v>
      </c>
      <c r="X181" s="44">
        <f t="shared" si="68"/>
        <v>0</v>
      </c>
      <c r="Y181" s="44">
        <f t="shared" si="68"/>
        <v>0</v>
      </c>
      <c r="Z181" s="44">
        <f t="shared" si="68"/>
        <v>0</v>
      </c>
      <c r="AA181" s="44">
        <f t="shared" si="68"/>
        <v>0</v>
      </c>
      <c r="AB181" s="44">
        <f t="shared" si="68"/>
        <v>0</v>
      </c>
      <c r="AC181" s="44">
        <f t="shared" si="68"/>
        <v>0</v>
      </c>
      <c r="AD181" s="44">
        <f t="shared" si="68"/>
        <v>0</v>
      </c>
      <c r="AE181" s="44">
        <f t="shared" si="68"/>
        <v>0</v>
      </c>
      <c r="AF181" s="44">
        <f t="shared" si="68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6"/>
        <v>0.6</v>
      </c>
      <c r="C182" s="55">
        <v>0.6</v>
      </c>
      <c r="D182" s="44">
        <f t="shared" si="67"/>
        <v>0.6</v>
      </c>
      <c r="E182" s="44">
        <f t="shared" si="67"/>
        <v>0.6</v>
      </c>
      <c r="F182" s="44">
        <f t="shared" si="67"/>
        <v>0.6</v>
      </c>
      <c r="G182" s="44">
        <f t="shared" si="67"/>
        <v>0.6</v>
      </c>
      <c r="H182" s="44">
        <f t="shared" si="67"/>
        <v>0.6</v>
      </c>
      <c r="I182" s="44">
        <f t="shared" si="67"/>
        <v>0.6</v>
      </c>
      <c r="J182" s="44">
        <f t="shared" si="67"/>
        <v>0.6</v>
      </c>
      <c r="K182" s="44">
        <f t="shared" si="67"/>
        <v>0.6</v>
      </c>
      <c r="L182" s="44">
        <f t="shared" si="67"/>
        <v>0.6</v>
      </c>
      <c r="M182" s="44">
        <f t="shared" si="67"/>
        <v>0.6</v>
      </c>
      <c r="N182" s="44">
        <f t="shared" si="67"/>
        <v>0.6</v>
      </c>
      <c r="O182" s="44">
        <f t="shared" si="67"/>
        <v>0.6</v>
      </c>
      <c r="P182" s="44">
        <f t="shared" si="67"/>
        <v>0.6</v>
      </c>
      <c r="Q182" s="44">
        <f t="shared" si="67"/>
        <v>0.6</v>
      </c>
      <c r="R182" s="44">
        <f t="shared" si="67"/>
        <v>0.6</v>
      </c>
      <c r="S182" s="44">
        <f t="shared" si="67"/>
        <v>0.6</v>
      </c>
      <c r="T182" s="44">
        <f t="shared" si="68"/>
        <v>0.6</v>
      </c>
      <c r="U182" s="44">
        <f t="shared" si="68"/>
        <v>0.6</v>
      </c>
      <c r="V182" s="44">
        <f t="shared" si="68"/>
        <v>0.6</v>
      </c>
      <c r="W182" s="44">
        <f t="shared" si="68"/>
        <v>0.6</v>
      </c>
      <c r="X182" s="44">
        <f t="shared" si="68"/>
        <v>0.6</v>
      </c>
      <c r="Y182" s="44">
        <f t="shared" si="68"/>
        <v>0.6</v>
      </c>
      <c r="Z182" s="44">
        <f t="shared" si="68"/>
        <v>0.6</v>
      </c>
      <c r="AA182" s="44">
        <f t="shared" si="68"/>
        <v>0.6</v>
      </c>
      <c r="AB182" s="44">
        <f t="shared" si="68"/>
        <v>0.6</v>
      </c>
      <c r="AC182" s="44">
        <f t="shared" si="68"/>
        <v>0.6</v>
      </c>
      <c r="AD182" s="44">
        <f t="shared" si="68"/>
        <v>0.6</v>
      </c>
      <c r="AE182" s="44">
        <f t="shared" si="68"/>
        <v>0.6</v>
      </c>
      <c r="AF182" s="44">
        <f t="shared" si="68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6"/>
        <v>0.6</v>
      </c>
      <c r="C183" s="55">
        <v>0.6</v>
      </c>
      <c r="D183" s="44">
        <f t="shared" si="67"/>
        <v>0.6</v>
      </c>
      <c r="E183" s="44">
        <f t="shared" si="67"/>
        <v>0.6</v>
      </c>
      <c r="F183" s="44">
        <f t="shared" si="67"/>
        <v>0.6</v>
      </c>
      <c r="G183" s="44">
        <f t="shared" si="67"/>
        <v>0.6</v>
      </c>
      <c r="H183" s="44">
        <f t="shared" si="67"/>
        <v>0.6</v>
      </c>
      <c r="I183" s="44">
        <f t="shared" si="67"/>
        <v>0.6</v>
      </c>
      <c r="J183" s="44">
        <f t="shared" si="67"/>
        <v>0.6</v>
      </c>
      <c r="K183" s="44">
        <f t="shared" si="67"/>
        <v>0.6</v>
      </c>
      <c r="L183" s="44">
        <f t="shared" si="67"/>
        <v>0.6</v>
      </c>
      <c r="M183" s="44">
        <f t="shared" si="67"/>
        <v>0.6</v>
      </c>
      <c r="N183" s="44">
        <f t="shared" si="67"/>
        <v>0.6</v>
      </c>
      <c r="O183" s="44">
        <f t="shared" si="67"/>
        <v>0.6</v>
      </c>
      <c r="P183" s="44">
        <f t="shared" si="67"/>
        <v>0.6</v>
      </c>
      <c r="Q183" s="44">
        <f t="shared" si="67"/>
        <v>0.6</v>
      </c>
      <c r="R183" s="44">
        <f t="shared" si="67"/>
        <v>0.6</v>
      </c>
      <c r="S183" s="44">
        <f t="shared" si="67"/>
        <v>0.6</v>
      </c>
      <c r="T183" s="44">
        <f t="shared" si="68"/>
        <v>0.6</v>
      </c>
      <c r="U183" s="44">
        <f t="shared" si="68"/>
        <v>0.6</v>
      </c>
      <c r="V183" s="44">
        <f t="shared" si="68"/>
        <v>0.6</v>
      </c>
      <c r="W183" s="44">
        <f t="shared" si="68"/>
        <v>0.6</v>
      </c>
      <c r="X183" s="44">
        <f t="shared" si="68"/>
        <v>0.6</v>
      </c>
      <c r="Y183" s="44">
        <f t="shared" si="68"/>
        <v>0.6</v>
      </c>
      <c r="Z183" s="44">
        <f t="shared" si="68"/>
        <v>0.6</v>
      </c>
      <c r="AA183" s="44">
        <f t="shared" si="68"/>
        <v>0.6</v>
      </c>
      <c r="AB183" s="44">
        <f t="shared" si="68"/>
        <v>0.6</v>
      </c>
      <c r="AC183" s="44">
        <f t="shared" si="68"/>
        <v>0.6</v>
      </c>
      <c r="AD183" s="44">
        <f t="shared" si="68"/>
        <v>0.6</v>
      </c>
      <c r="AE183" s="44">
        <f t="shared" si="68"/>
        <v>0.6</v>
      </c>
      <c r="AF183" s="44">
        <f t="shared" si="68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6"/>
        <v>0.35</v>
      </c>
      <c r="C184" s="55">
        <v>0.35</v>
      </c>
      <c r="D184" s="44">
        <f t="shared" si="67"/>
        <v>0.35</v>
      </c>
      <c r="E184" s="44">
        <f t="shared" si="67"/>
        <v>0.35</v>
      </c>
      <c r="F184" s="44">
        <f t="shared" si="67"/>
        <v>0.35</v>
      </c>
      <c r="G184" s="44">
        <f t="shared" si="67"/>
        <v>0.35</v>
      </c>
      <c r="H184" s="44">
        <f t="shared" si="67"/>
        <v>0.35</v>
      </c>
      <c r="I184" s="44">
        <f t="shared" si="67"/>
        <v>0.35</v>
      </c>
      <c r="J184" s="44">
        <f t="shared" si="67"/>
        <v>0.35</v>
      </c>
      <c r="K184" s="44">
        <f t="shared" si="67"/>
        <v>0.35</v>
      </c>
      <c r="L184" s="44">
        <f t="shared" si="67"/>
        <v>0.35</v>
      </c>
      <c r="M184" s="44">
        <f t="shared" si="67"/>
        <v>0.35</v>
      </c>
      <c r="N184" s="44">
        <f t="shared" si="67"/>
        <v>0.35</v>
      </c>
      <c r="O184" s="44">
        <f t="shared" si="67"/>
        <v>0.35</v>
      </c>
      <c r="P184" s="44">
        <f t="shared" si="67"/>
        <v>0.35</v>
      </c>
      <c r="Q184" s="44">
        <f t="shared" si="67"/>
        <v>0.35</v>
      </c>
      <c r="R184" s="44">
        <f t="shared" si="67"/>
        <v>0.35</v>
      </c>
      <c r="S184" s="44">
        <f t="shared" si="67"/>
        <v>0.35</v>
      </c>
      <c r="T184" s="44">
        <f t="shared" si="68"/>
        <v>0.35</v>
      </c>
      <c r="U184" s="44">
        <f t="shared" si="68"/>
        <v>0.35</v>
      </c>
      <c r="V184" s="44">
        <f t="shared" si="68"/>
        <v>0.35</v>
      </c>
      <c r="W184" s="44">
        <f t="shared" si="68"/>
        <v>0.35</v>
      </c>
      <c r="X184" s="44">
        <f t="shared" si="68"/>
        <v>0.35</v>
      </c>
      <c r="Y184" s="44">
        <f t="shared" si="68"/>
        <v>0.35</v>
      </c>
      <c r="Z184" s="44">
        <f t="shared" si="68"/>
        <v>0.35</v>
      </c>
      <c r="AA184" s="44">
        <f t="shared" si="68"/>
        <v>0.35</v>
      </c>
      <c r="AB184" s="44">
        <f t="shared" si="68"/>
        <v>0.35</v>
      </c>
      <c r="AC184" s="44">
        <f t="shared" si="68"/>
        <v>0.35</v>
      </c>
      <c r="AD184" s="44">
        <f t="shared" si="68"/>
        <v>0.35</v>
      </c>
      <c r="AE184" s="44">
        <f t="shared" si="68"/>
        <v>0.35</v>
      </c>
      <c r="AF184" s="44">
        <f t="shared" si="68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6"/>
        <v>0.28999999999999998</v>
      </c>
      <c r="C185" s="55">
        <v>0.28999999999999998</v>
      </c>
      <c r="D185" s="44">
        <f t="shared" si="67"/>
        <v>0.28999999999999998</v>
      </c>
      <c r="E185" s="44">
        <f t="shared" si="67"/>
        <v>0.28999999999999998</v>
      </c>
      <c r="F185" s="44">
        <f t="shared" si="67"/>
        <v>0.28999999999999998</v>
      </c>
      <c r="G185" s="44">
        <f t="shared" si="67"/>
        <v>0.28999999999999998</v>
      </c>
      <c r="H185" s="44">
        <f t="shared" si="67"/>
        <v>0.28999999999999998</v>
      </c>
      <c r="I185" s="44">
        <f t="shared" si="67"/>
        <v>0.28999999999999998</v>
      </c>
      <c r="J185" s="44">
        <f t="shared" si="67"/>
        <v>0.28999999999999998</v>
      </c>
      <c r="K185" s="44">
        <f t="shared" si="67"/>
        <v>0.28999999999999998</v>
      </c>
      <c r="L185" s="44">
        <f t="shared" si="67"/>
        <v>0.28999999999999998</v>
      </c>
      <c r="M185" s="44">
        <f t="shared" si="67"/>
        <v>0.28999999999999998</v>
      </c>
      <c r="N185" s="44">
        <f t="shared" si="67"/>
        <v>0.28999999999999998</v>
      </c>
      <c r="O185" s="44">
        <f t="shared" si="67"/>
        <v>0.28999999999999998</v>
      </c>
      <c r="P185" s="44">
        <f t="shared" si="67"/>
        <v>0.28999999999999998</v>
      </c>
      <c r="Q185" s="44">
        <f t="shared" si="67"/>
        <v>0.28999999999999998</v>
      </c>
      <c r="R185" s="44">
        <f t="shared" si="67"/>
        <v>0.28999999999999998</v>
      </c>
      <c r="S185" s="44">
        <f t="shared" si="67"/>
        <v>0.28999999999999998</v>
      </c>
      <c r="T185" s="44">
        <f t="shared" si="68"/>
        <v>0.28999999999999998</v>
      </c>
      <c r="U185" s="44">
        <f t="shared" si="68"/>
        <v>0.28999999999999998</v>
      </c>
      <c r="V185" s="44">
        <f t="shared" si="68"/>
        <v>0.28999999999999998</v>
      </c>
      <c r="W185" s="44">
        <f t="shared" si="68"/>
        <v>0.28999999999999998</v>
      </c>
      <c r="X185" s="44">
        <f t="shared" si="68"/>
        <v>0.28999999999999998</v>
      </c>
      <c r="Y185" s="44">
        <f t="shared" si="68"/>
        <v>0.28999999999999998</v>
      </c>
      <c r="Z185" s="44">
        <f t="shared" si="68"/>
        <v>0.28999999999999998</v>
      </c>
      <c r="AA185" s="44">
        <f t="shared" si="68"/>
        <v>0.28999999999999998</v>
      </c>
      <c r="AB185" s="44">
        <f t="shared" si="68"/>
        <v>0.28999999999999998</v>
      </c>
      <c r="AC185" s="44">
        <f t="shared" si="68"/>
        <v>0.28999999999999998</v>
      </c>
      <c r="AD185" s="44">
        <f t="shared" si="68"/>
        <v>0.28999999999999998</v>
      </c>
      <c r="AE185" s="44">
        <f t="shared" si="68"/>
        <v>0.28999999999999998</v>
      </c>
      <c r="AF185" s="44">
        <f t="shared" si="68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6"/>
        <v>0.06</v>
      </c>
      <c r="C186" s="55">
        <v>0.06</v>
      </c>
      <c r="D186" s="44">
        <f t="shared" si="67"/>
        <v>0.06</v>
      </c>
      <c r="E186" s="44">
        <f t="shared" si="67"/>
        <v>0.06</v>
      </c>
      <c r="F186" s="44">
        <f t="shared" si="67"/>
        <v>0.06</v>
      </c>
      <c r="G186" s="44">
        <f t="shared" si="67"/>
        <v>0.06</v>
      </c>
      <c r="H186" s="44">
        <f t="shared" si="67"/>
        <v>0.06</v>
      </c>
      <c r="I186" s="44">
        <f t="shared" si="67"/>
        <v>0.06</v>
      </c>
      <c r="J186" s="44">
        <f t="shared" si="67"/>
        <v>0.06</v>
      </c>
      <c r="K186" s="44">
        <f t="shared" si="67"/>
        <v>0.06</v>
      </c>
      <c r="L186" s="44">
        <f t="shared" si="67"/>
        <v>0.06</v>
      </c>
      <c r="M186" s="44">
        <f t="shared" si="67"/>
        <v>0.06</v>
      </c>
      <c r="N186" s="44">
        <f t="shared" si="67"/>
        <v>0.06</v>
      </c>
      <c r="O186" s="44">
        <f t="shared" si="67"/>
        <v>0.06</v>
      </c>
      <c r="P186" s="44">
        <f t="shared" si="67"/>
        <v>0.06</v>
      </c>
      <c r="Q186" s="44">
        <f t="shared" si="67"/>
        <v>0.06</v>
      </c>
      <c r="R186" s="44">
        <f t="shared" si="67"/>
        <v>0.06</v>
      </c>
      <c r="S186" s="44">
        <f t="shared" si="67"/>
        <v>0.06</v>
      </c>
      <c r="T186" s="44">
        <f t="shared" si="68"/>
        <v>0.06</v>
      </c>
      <c r="U186" s="44">
        <f t="shared" si="68"/>
        <v>0.06</v>
      </c>
      <c r="V186" s="44">
        <f t="shared" si="68"/>
        <v>0.06</v>
      </c>
      <c r="W186" s="44">
        <f t="shared" si="68"/>
        <v>0.06</v>
      </c>
      <c r="X186" s="44">
        <f t="shared" si="68"/>
        <v>0.06</v>
      </c>
      <c r="Y186" s="44">
        <f t="shared" si="68"/>
        <v>0.06</v>
      </c>
      <c r="Z186" s="44">
        <f t="shared" si="68"/>
        <v>0.06</v>
      </c>
      <c r="AA186" s="44">
        <f t="shared" si="68"/>
        <v>0.06</v>
      </c>
      <c r="AB186" s="44">
        <f t="shared" si="68"/>
        <v>0.06</v>
      </c>
      <c r="AC186" s="44">
        <f t="shared" si="68"/>
        <v>0.06</v>
      </c>
      <c r="AD186" s="44">
        <f t="shared" si="68"/>
        <v>0.06</v>
      </c>
      <c r="AE186" s="44">
        <f t="shared" si="68"/>
        <v>0.06</v>
      </c>
      <c r="AF186" s="44">
        <f t="shared" si="68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6"/>
        <v>0.11</v>
      </c>
      <c r="C187" s="55">
        <v>0.11</v>
      </c>
      <c r="D187" s="44">
        <f t="shared" si="67"/>
        <v>0.11</v>
      </c>
      <c r="E187" s="44">
        <f t="shared" si="67"/>
        <v>0.11</v>
      </c>
      <c r="F187" s="44">
        <f t="shared" si="67"/>
        <v>0.11</v>
      </c>
      <c r="G187" s="44">
        <f t="shared" si="67"/>
        <v>0.11</v>
      </c>
      <c r="H187" s="44">
        <f t="shared" si="67"/>
        <v>0.11</v>
      </c>
      <c r="I187" s="44">
        <f t="shared" si="67"/>
        <v>0.11</v>
      </c>
      <c r="J187" s="44">
        <f t="shared" si="67"/>
        <v>0.11</v>
      </c>
      <c r="K187" s="44">
        <f t="shared" si="67"/>
        <v>0.11</v>
      </c>
      <c r="L187" s="44">
        <f t="shared" si="67"/>
        <v>0.11</v>
      </c>
      <c r="M187" s="44">
        <f t="shared" si="67"/>
        <v>0.11</v>
      </c>
      <c r="N187" s="44">
        <f t="shared" si="67"/>
        <v>0.11</v>
      </c>
      <c r="O187" s="44">
        <f t="shared" si="67"/>
        <v>0.11</v>
      </c>
      <c r="P187" s="44">
        <f t="shared" si="67"/>
        <v>0.11</v>
      </c>
      <c r="Q187" s="44">
        <f t="shared" si="67"/>
        <v>0.11</v>
      </c>
      <c r="R187" s="44">
        <f t="shared" si="67"/>
        <v>0.11</v>
      </c>
      <c r="S187" s="44">
        <f t="shared" si="67"/>
        <v>0.11</v>
      </c>
      <c r="T187" s="44">
        <f t="shared" si="68"/>
        <v>0.11</v>
      </c>
      <c r="U187" s="44">
        <f t="shared" si="68"/>
        <v>0.11</v>
      </c>
      <c r="V187" s="44">
        <f t="shared" si="68"/>
        <v>0.11</v>
      </c>
      <c r="W187" s="44">
        <f t="shared" si="68"/>
        <v>0.11</v>
      </c>
      <c r="X187" s="44">
        <f t="shared" si="68"/>
        <v>0.11</v>
      </c>
      <c r="Y187" s="44">
        <f t="shared" si="68"/>
        <v>0.11</v>
      </c>
      <c r="Z187" s="44">
        <f t="shared" si="68"/>
        <v>0.11</v>
      </c>
      <c r="AA187" s="44">
        <f t="shared" si="68"/>
        <v>0.11</v>
      </c>
      <c r="AB187" s="44">
        <f t="shared" si="68"/>
        <v>0.11</v>
      </c>
      <c r="AC187" s="44">
        <f t="shared" si="68"/>
        <v>0.11</v>
      </c>
      <c r="AD187" s="44">
        <f t="shared" si="68"/>
        <v>0.11</v>
      </c>
      <c r="AE187" s="44">
        <f t="shared" si="68"/>
        <v>0.11</v>
      </c>
      <c r="AF187" s="44">
        <f t="shared" si="68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6"/>
        <v>0.1</v>
      </c>
      <c r="C188" s="55">
        <v>0.1</v>
      </c>
      <c r="D188" s="44">
        <f t="shared" si="67"/>
        <v>0.1</v>
      </c>
      <c r="E188" s="44">
        <f t="shared" si="67"/>
        <v>0.1</v>
      </c>
      <c r="F188" s="44">
        <f t="shared" si="67"/>
        <v>0.1</v>
      </c>
      <c r="G188" s="44">
        <f t="shared" si="67"/>
        <v>0.1</v>
      </c>
      <c r="H188" s="44">
        <f t="shared" si="67"/>
        <v>0.1</v>
      </c>
      <c r="I188" s="44">
        <f t="shared" si="67"/>
        <v>0.1</v>
      </c>
      <c r="J188" s="44">
        <f t="shared" si="67"/>
        <v>0.1</v>
      </c>
      <c r="K188" s="44">
        <f t="shared" si="67"/>
        <v>0.1</v>
      </c>
      <c r="L188" s="44">
        <f t="shared" si="67"/>
        <v>0.1</v>
      </c>
      <c r="M188" s="44">
        <f t="shared" si="67"/>
        <v>0.1</v>
      </c>
      <c r="N188" s="44">
        <f t="shared" si="67"/>
        <v>0.1</v>
      </c>
      <c r="O188" s="44">
        <f t="shared" si="67"/>
        <v>0.1</v>
      </c>
      <c r="P188" s="44">
        <f t="shared" si="67"/>
        <v>0.1</v>
      </c>
      <c r="Q188" s="44">
        <f t="shared" si="67"/>
        <v>0.1</v>
      </c>
      <c r="R188" s="44">
        <f t="shared" si="67"/>
        <v>0.1</v>
      </c>
      <c r="S188" s="44">
        <f t="shared" si="68"/>
        <v>0.1</v>
      </c>
      <c r="T188" s="44">
        <f t="shared" si="68"/>
        <v>0.1</v>
      </c>
      <c r="U188" s="44">
        <f t="shared" si="68"/>
        <v>0.1</v>
      </c>
      <c r="V188" s="44">
        <f t="shared" si="68"/>
        <v>0.1</v>
      </c>
      <c r="W188" s="44">
        <f t="shared" si="68"/>
        <v>0.1</v>
      </c>
      <c r="X188" s="44">
        <f t="shared" si="68"/>
        <v>0.1</v>
      </c>
      <c r="Y188" s="44">
        <f t="shared" si="68"/>
        <v>0.1</v>
      </c>
      <c r="Z188" s="44">
        <f t="shared" si="68"/>
        <v>0.1</v>
      </c>
      <c r="AA188" s="44">
        <f t="shared" si="68"/>
        <v>0.1</v>
      </c>
      <c r="AB188" s="44">
        <f t="shared" si="68"/>
        <v>0.1</v>
      </c>
      <c r="AC188" s="44">
        <f t="shared" si="68"/>
        <v>0.1</v>
      </c>
      <c r="AD188" s="44">
        <f t="shared" si="68"/>
        <v>0.1</v>
      </c>
      <c r="AE188" s="44">
        <f t="shared" si="68"/>
        <v>0.1</v>
      </c>
      <c r="AF188" s="44">
        <f t="shared" si="68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6"/>
        <v>0.09</v>
      </c>
      <c r="C189" s="55">
        <v>0.09</v>
      </c>
      <c r="D189" s="44">
        <f t="shared" si="67"/>
        <v>0.09</v>
      </c>
      <c r="E189" s="44">
        <f t="shared" si="67"/>
        <v>0.09</v>
      </c>
      <c r="F189" s="44">
        <f t="shared" si="67"/>
        <v>0.09</v>
      </c>
      <c r="G189" s="44">
        <f t="shared" si="67"/>
        <v>0.09</v>
      </c>
      <c r="H189" s="44">
        <f t="shared" si="67"/>
        <v>0.09</v>
      </c>
      <c r="I189" s="44">
        <f t="shared" si="67"/>
        <v>0.09</v>
      </c>
      <c r="J189" s="44">
        <f t="shared" si="67"/>
        <v>0.09</v>
      </c>
      <c r="K189" s="44">
        <f t="shared" si="67"/>
        <v>0.09</v>
      </c>
      <c r="L189" s="44">
        <f t="shared" si="67"/>
        <v>0.09</v>
      </c>
      <c r="M189" s="44">
        <f t="shared" si="67"/>
        <v>0.09</v>
      </c>
      <c r="N189" s="44">
        <f t="shared" si="67"/>
        <v>0.09</v>
      </c>
      <c r="O189" s="44">
        <f t="shared" si="67"/>
        <v>0.09</v>
      </c>
      <c r="P189" s="44">
        <f t="shared" si="67"/>
        <v>0.09</v>
      </c>
      <c r="Q189" s="44">
        <f t="shared" si="67"/>
        <v>0.09</v>
      </c>
      <c r="R189" s="44">
        <f t="shared" si="67"/>
        <v>0.09</v>
      </c>
      <c r="S189" s="44">
        <f t="shared" si="68"/>
        <v>0.09</v>
      </c>
      <c r="T189" s="44">
        <f t="shared" si="68"/>
        <v>0.09</v>
      </c>
      <c r="U189" s="44">
        <f t="shared" si="68"/>
        <v>0.09</v>
      </c>
      <c r="V189" s="44">
        <f t="shared" si="68"/>
        <v>0.09</v>
      </c>
      <c r="W189" s="44">
        <f t="shared" si="68"/>
        <v>0.09</v>
      </c>
      <c r="X189" s="44">
        <f t="shared" si="68"/>
        <v>0.09</v>
      </c>
      <c r="Y189" s="44">
        <f t="shared" si="68"/>
        <v>0.09</v>
      </c>
      <c r="Z189" s="44">
        <f t="shared" si="68"/>
        <v>0.09</v>
      </c>
      <c r="AA189" s="44">
        <f t="shared" si="68"/>
        <v>0.09</v>
      </c>
      <c r="AB189" s="44">
        <f t="shared" si="68"/>
        <v>0.09</v>
      </c>
      <c r="AC189" s="44">
        <f t="shared" si="68"/>
        <v>0.09</v>
      </c>
      <c r="AD189" s="44">
        <f t="shared" si="68"/>
        <v>0.09</v>
      </c>
      <c r="AE189" s="44">
        <f t="shared" si="68"/>
        <v>0.09</v>
      </c>
      <c r="AF189" s="44">
        <f t="shared" si="68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6"/>
        <v>0.04</v>
      </c>
      <c r="C190" s="54">
        <v>0.04</v>
      </c>
      <c r="D190" s="44">
        <f t="shared" si="67"/>
        <v>0.04</v>
      </c>
      <c r="E190" s="44">
        <f t="shared" si="67"/>
        <v>0.04</v>
      </c>
      <c r="F190" s="44">
        <f t="shared" si="67"/>
        <v>0.04</v>
      </c>
      <c r="G190" s="44">
        <f t="shared" si="67"/>
        <v>0.04</v>
      </c>
      <c r="H190" s="44">
        <f t="shared" si="67"/>
        <v>0.04</v>
      </c>
      <c r="I190" s="44">
        <f t="shared" si="67"/>
        <v>0.04</v>
      </c>
      <c r="J190" s="44">
        <f t="shared" si="67"/>
        <v>0.04</v>
      </c>
      <c r="K190" s="44">
        <f t="shared" si="67"/>
        <v>0.04</v>
      </c>
      <c r="L190" s="44">
        <f t="shared" si="67"/>
        <v>0.04</v>
      </c>
      <c r="M190" s="44">
        <f t="shared" si="67"/>
        <v>0.04</v>
      </c>
      <c r="N190" s="44">
        <f t="shared" si="67"/>
        <v>0.04</v>
      </c>
      <c r="O190" s="44">
        <f t="shared" si="67"/>
        <v>0.04</v>
      </c>
      <c r="P190" s="44">
        <f t="shared" si="67"/>
        <v>0.04</v>
      </c>
      <c r="Q190" s="44">
        <f t="shared" si="67"/>
        <v>0.04</v>
      </c>
      <c r="R190" s="44">
        <f t="shared" si="67"/>
        <v>0.04</v>
      </c>
      <c r="S190" s="44">
        <f t="shared" si="68"/>
        <v>0.04</v>
      </c>
      <c r="T190" s="44">
        <f t="shared" si="68"/>
        <v>0.04</v>
      </c>
      <c r="U190" s="44">
        <f t="shared" si="68"/>
        <v>0.04</v>
      </c>
      <c r="V190" s="44">
        <f t="shared" si="68"/>
        <v>0.04</v>
      </c>
      <c r="W190" s="44">
        <f t="shared" si="68"/>
        <v>0.04</v>
      </c>
      <c r="X190" s="44">
        <f t="shared" si="68"/>
        <v>0.04</v>
      </c>
      <c r="Y190" s="44">
        <f t="shared" si="68"/>
        <v>0.04</v>
      </c>
      <c r="Z190" s="44">
        <f t="shared" si="68"/>
        <v>0.04</v>
      </c>
      <c r="AA190" s="44">
        <f t="shared" si="68"/>
        <v>0.04</v>
      </c>
      <c r="AB190" s="44">
        <f t="shared" si="68"/>
        <v>0.04</v>
      </c>
      <c r="AC190" s="44">
        <f t="shared" si="68"/>
        <v>0.04</v>
      </c>
      <c r="AD190" s="44">
        <f t="shared" si="68"/>
        <v>0.04</v>
      </c>
      <c r="AE190" s="44">
        <f t="shared" si="68"/>
        <v>0.04</v>
      </c>
      <c r="AF190" s="44">
        <f t="shared" si="68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6"/>
        <v>2.3E-2</v>
      </c>
      <c r="C191" s="54">
        <v>2.3E-2</v>
      </c>
      <c r="D191" s="44">
        <f>C191</f>
        <v>2.3E-2</v>
      </c>
      <c r="E191" s="44">
        <f t="shared" si="67"/>
        <v>2.3E-2</v>
      </c>
      <c r="F191" s="44">
        <f t="shared" si="67"/>
        <v>2.3E-2</v>
      </c>
      <c r="G191" s="44">
        <f t="shared" si="67"/>
        <v>2.3E-2</v>
      </c>
      <c r="H191" s="44">
        <f t="shared" si="67"/>
        <v>2.3E-2</v>
      </c>
      <c r="I191" s="44">
        <f t="shared" si="67"/>
        <v>2.3E-2</v>
      </c>
      <c r="J191" s="44">
        <f t="shared" si="67"/>
        <v>2.3E-2</v>
      </c>
      <c r="K191" s="44">
        <f t="shared" si="67"/>
        <v>2.3E-2</v>
      </c>
      <c r="L191" s="44">
        <f t="shared" si="67"/>
        <v>2.3E-2</v>
      </c>
      <c r="M191" s="44">
        <f t="shared" si="67"/>
        <v>2.3E-2</v>
      </c>
      <c r="N191" s="44">
        <f t="shared" si="67"/>
        <v>2.3E-2</v>
      </c>
      <c r="O191" s="44">
        <f t="shared" si="67"/>
        <v>2.3E-2</v>
      </c>
      <c r="P191" s="44">
        <f t="shared" si="67"/>
        <v>2.3E-2</v>
      </c>
      <c r="Q191" s="44">
        <f t="shared" si="67"/>
        <v>2.3E-2</v>
      </c>
      <c r="R191" s="44">
        <f t="shared" si="67"/>
        <v>2.3E-2</v>
      </c>
      <c r="S191" s="44">
        <f t="shared" si="68"/>
        <v>2.3E-2</v>
      </c>
      <c r="T191" s="44">
        <f t="shared" si="68"/>
        <v>2.3E-2</v>
      </c>
      <c r="U191" s="44">
        <f t="shared" si="68"/>
        <v>2.3E-2</v>
      </c>
      <c r="V191" s="44">
        <f t="shared" si="68"/>
        <v>2.3E-2</v>
      </c>
      <c r="W191" s="44">
        <f t="shared" si="68"/>
        <v>2.3E-2</v>
      </c>
      <c r="X191" s="44">
        <f t="shared" si="68"/>
        <v>2.3E-2</v>
      </c>
      <c r="Y191" s="44">
        <f t="shared" si="68"/>
        <v>2.3E-2</v>
      </c>
      <c r="Z191" s="44">
        <f t="shared" si="68"/>
        <v>2.3E-2</v>
      </c>
      <c r="AA191" s="44">
        <f t="shared" si="68"/>
        <v>2.3E-2</v>
      </c>
      <c r="AB191" s="44">
        <f t="shared" si="68"/>
        <v>2.3E-2</v>
      </c>
      <c r="AC191" s="44">
        <f t="shared" si="68"/>
        <v>2.3E-2</v>
      </c>
      <c r="AD191" s="44">
        <f t="shared" si="68"/>
        <v>2.3E-2</v>
      </c>
      <c r="AE191" s="44">
        <f t="shared" si="68"/>
        <v>2.3E-2</v>
      </c>
      <c r="AF191" s="44">
        <f t="shared" si="68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9">SUM(C102:C191)</f>
        <v>194.70600000000002</v>
      </c>
      <c r="D192" s="51">
        <f t="shared" si="69"/>
        <v>194.70600000000002</v>
      </c>
      <c r="E192" s="51">
        <f t="shared" si="69"/>
        <v>194.70600000000002</v>
      </c>
      <c r="F192" s="51">
        <f t="shared" si="69"/>
        <v>194.70600000000002</v>
      </c>
      <c r="G192" s="51">
        <f t="shared" si="69"/>
        <v>194.70600000000002</v>
      </c>
      <c r="H192" s="51">
        <f t="shared" si="69"/>
        <v>194.70600000000002</v>
      </c>
      <c r="I192" s="51">
        <f t="shared" si="69"/>
        <v>194.70600000000002</v>
      </c>
      <c r="J192" s="51">
        <f t="shared" si="69"/>
        <v>192.10600000000005</v>
      </c>
      <c r="K192" s="51">
        <f t="shared" si="69"/>
        <v>192.10600000000005</v>
      </c>
      <c r="L192" s="51">
        <f t="shared" si="69"/>
        <v>192.10600000000005</v>
      </c>
      <c r="M192" s="51">
        <f t="shared" si="69"/>
        <v>192.10600000000005</v>
      </c>
      <c r="N192" s="51">
        <f t="shared" si="69"/>
        <v>192.10600000000005</v>
      </c>
      <c r="O192" s="51">
        <f t="shared" si="69"/>
        <v>192.10600000000005</v>
      </c>
      <c r="P192" s="51">
        <f t="shared" si="69"/>
        <v>192.10600000000005</v>
      </c>
      <c r="Q192" s="51">
        <f t="shared" si="69"/>
        <v>192.10600000000005</v>
      </c>
      <c r="R192" s="51">
        <f t="shared" si="69"/>
        <v>192.10600000000005</v>
      </c>
      <c r="S192" s="51">
        <f t="shared" si="69"/>
        <v>192.10600000000005</v>
      </c>
      <c r="T192" s="51">
        <f t="shared" si="69"/>
        <v>192.10600000000005</v>
      </c>
      <c r="U192" s="51">
        <f t="shared" si="69"/>
        <v>192.10600000000005</v>
      </c>
      <c r="V192" s="51">
        <f t="shared" si="69"/>
        <v>192.10600000000005</v>
      </c>
      <c r="W192" s="51">
        <f t="shared" si="69"/>
        <v>192.10600000000005</v>
      </c>
      <c r="X192" s="51">
        <f t="shared" si="69"/>
        <v>192.10600000000005</v>
      </c>
      <c r="Y192" s="51">
        <f t="shared" si="69"/>
        <v>192.10600000000005</v>
      </c>
      <c r="Z192" s="51">
        <f t="shared" si="69"/>
        <v>192.10600000000005</v>
      </c>
      <c r="AA192" s="51">
        <f t="shared" si="69"/>
        <v>192.10600000000005</v>
      </c>
      <c r="AB192" s="51">
        <f t="shared" si="69"/>
        <v>192.10600000000005</v>
      </c>
      <c r="AC192" s="51">
        <f t="shared" si="69"/>
        <v>192.10600000000005</v>
      </c>
      <c r="AD192" s="51">
        <f t="shared" si="69"/>
        <v>192.10600000000005</v>
      </c>
      <c r="AE192" s="51">
        <f t="shared" si="69"/>
        <v>192.10600000000005</v>
      </c>
      <c r="AF192" s="51">
        <f t="shared" si="69"/>
        <v>192.10600000000005</v>
      </c>
      <c r="AG192" s="50">
        <f t="shared" si="69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70">AF194</f>
        <v>0.3</v>
      </c>
      <c r="C194" s="47">
        <v>0.3</v>
      </c>
      <c r="D194" s="47">
        <f t="shared" ref="D194:S199" si="71">C194</f>
        <v>0.3</v>
      </c>
      <c r="E194" s="47">
        <f t="shared" si="71"/>
        <v>0.3</v>
      </c>
      <c r="F194" s="47">
        <f t="shared" si="71"/>
        <v>0.3</v>
      </c>
      <c r="G194" s="47">
        <f t="shared" si="71"/>
        <v>0.3</v>
      </c>
      <c r="H194" s="47">
        <f t="shared" si="71"/>
        <v>0.3</v>
      </c>
      <c r="I194" s="47">
        <f t="shared" si="71"/>
        <v>0.3</v>
      </c>
      <c r="J194" s="47">
        <f t="shared" si="71"/>
        <v>0.3</v>
      </c>
      <c r="K194" s="47">
        <f t="shared" si="71"/>
        <v>0.3</v>
      </c>
      <c r="L194" s="47">
        <f t="shared" si="71"/>
        <v>0.3</v>
      </c>
      <c r="M194" s="47">
        <f t="shared" si="71"/>
        <v>0.3</v>
      </c>
      <c r="N194" s="47">
        <f t="shared" si="71"/>
        <v>0.3</v>
      </c>
      <c r="O194" s="47">
        <f t="shared" si="71"/>
        <v>0.3</v>
      </c>
      <c r="P194" s="47">
        <f t="shared" si="71"/>
        <v>0.3</v>
      </c>
      <c r="Q194" s="47">
        <f t="shared" si="71"/>
        <v>0.3</v>
      </c>
      <c r="R194" s="47">
        <f t="shared" si="71"/>
        <v>0.3</v>
      </c>
      <c r="S194" s="47">
        <f t="shared" si="71"/>
        <v>0.3</v>
      </c>
      <c r="T194" s="47">
        <f t="shared" ref="T194:AF199" si="72">S194</f>
        <v>0.3</v>
      </c>
      <c r="U194" s="47">
        <f t="shared" si="72"/>
        <v>0.3</v>
      </c>
      <c r="V194" s="47">
        <f t="shared" si="72"/>
        <v>0.3</v>
      </c>
      <c r="W194" s="47">
        <f t="shared" si="72"/>
        <v>0.3</v>
      </c>
      <c r="X194" s="47">
        <f t="shared" si="72"/>
        <v>0.3</v>
      </c>
      <c r="Y194" s="47">
        <f t="shared" si="72"/>
        <v>0.3</v>
      </c>
      <c r="Z194" s="47">
        <f t="shared" si="72"/>
        <v>0.3</v>
      </c>
      <c r="AA194" s="47">
        <f t="shared" si="72"/>
        <v>0.3</v>
      </c>
      <c r="AB194" s="47">
        <f t="shared" si="72"/>
        <v>0.3</v>
      </c>
      <c r="AC194" s="47">
        <f t="shared" si="72"/>
        <v>0.3</v>
      </c>
      <c r="AD194" s="47">
        <f t="shared" si="72"/>
        <v>0.3</v>
      </c>
      <c r="AE194" s="47">
        <f t="shared" si="72"/>
        <v>0.3</v>
      </c>
      <c r="AF194" s="47">
        <f t="shared" si="72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70"/>
        <v>0.4</v>
      </c>
      <c r="C195" s="44">
        <v>0.4</v>
      </c>
      <c r="D195" s="44">
        <f t="shared" si="71"/>
        <v>0.4</v>
      </c>
      <c r="E195" s="44">
        <f t="shared" si="71"/>
        <v>0.4</v>
      </c>
      <c r="F195" s="44">
        <f t="shared" si="71"/>
        <v>0.4</v>
      </c>
      <c r="G195" s="44">
        <f t="shared" si="71"/>
        <v>0.4</v>
      </c>
      <c r="H195" s="44">
        <f t="shared" si="71"/>
        <v>0.4</v>
      </c>
      <c r="I195" s="44">
        <f t="shared" si="71"/>
        <v>0.4</v>
      </c>
      <c r="J195" s="44">
        <f t="shared" si="71"/>
        <v>0.4</v>
      </c>
      <c r="K195" s="44">
        <f t="shared" si="71"/>
        <v>0.4</v>
      </c>
      <c r="L195" s="44">
        <f t="shared" si="71"/>
        <v>0.4</v>
      </c>
      <c r="M195" s="44">
        <f t="shared" si="71"/>
        <v>0.4</v>
      </c>
      <c r="N195" s="44">
        <f t="shared" si="71"/>
        <v>0.4</v>
      </c>
      <c r="O195" s="44">
        <f t="shared" si="71"/>
        <v>0.4</v>
      </c>
      <c r="P195" s="44">
        <f t="shared" si="71"/>
        <v>0.4</v>
      </c>
      <c r="Q195" s="44">
        <f t="shared" si="71"/>
        <v>0.4</v>
      </c>
      <c r="R195" s="44">
        <f t="shared" si="71"/>
        <v>0.4</v>
      </c>
      <c r="S195" s="44">
        <f t="shared" si="71"/>
        <v>0.4</v>
      </c>
      <c r="T195" s="44">
        <f t="shared" si="72"/>
        <v>0.4</v>
      </c>
      <c r="U195" s="44">
        <f t="shared" si="72"/>
        <v>0.4</v>
      </c>
      <c r="V195" s="44">
        <f t="shared" si="72"/>
        <v>0.4</v>
      </c>
      <c r="W195" s="44">
        <f>V195</f>
        <v>0.4</v>
      </c>
      <c r="X195" s="44">
        <f>W195</f>
        <v>0.4</v>
      </c>
      <c r="Y195" s="44">
        <f t="shared" si="72"/>
        <v>0.4</v>
      </c>
      <c r="Z195" s="44">
        <f t="shared" si="72"/>
        <v>0.4</v>
      </c>
      <c r="AA195" s="44">
        <f t="shared" si="72"/>
        <v>0.4</v>
      </c>
      <c r="AB195" s="44">
        <f t="shared" si="72"/>
        <v>0.4</v>
      </c>
      <c r="AC195" s="44">
        <f t="shared" si="72"/>
        <v>0.4</v>
      </c>
      <c r="AD195" s="44">
        <f t="shared" si="72"/>
        <v>0.4</v>
      </c>
      <c r="AE195" s="44">
        <f t="shared" si="72"/>
        <v>0.4</v>
      </c>
      <c r="AF195" s="44">
        <f t="shared" si="72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70"/>
        <v>1.5</v>
      </c>
      <c r="C196" s="44">
        <v>1.5</v>
      </c>
      <c r="D196" s="44">
        <f t="shared" si="71"/>
        <v>1.5</v>
      </c>
      <c r="E196" s="44">
        <f t="shared" si="71"/>
        <v>1.5</v>
      </c>
      <c r="F196" s="44">
        <f t="shared" si="71"/>
        <v>1.5</v>
      </c>
      <c r="G196" s="44">
        <f t="shared" si="71"/>
        <v>1.5</v>
      </c>
      <c r="H196" s="44">
        <f t="shared" si="71"/>
        <v>1.5</v>
      </c>
      <c r="I196" s="44">
        <f t="shared" si="71"/>
        <v>1.5</v>
      </c>
      <c r="J196" s="44">
        <f t="shared" si="71"/>
        <v>1.5</v>
      </c>
      <c r="K196" s="44">
        <f t="shared" si="71"/>
        <v>1.5</v>
      </c>
      <c r="L196" s="44">
        <f t="shared" si="71"/>
        <v>1.5</v>
      </c>
      <c r="M196" s="44">
        <f t="shared" si="71"/>
        <v>1.5</v>
      </c>
      <c r="N196" s="44">
        <f t="shared" si="71"/>
        <v>1.5</v>
      </c>
      <c r="O196" s="44">
        <f t="shared" si="71"/>
        <v>1.5</v>
      </c>
      <c r="P196" s="44">
        <f t="shared" si="71"/>
        <v>1.5</v>
      </c>
      <c r="Q196" s="44">
        <f t="shared" si="71"/>
        <v>1.5</v>
      </c>
      <c r="R196" s="44">
        <f t="shared" si="71"/>
        <v>1.5</v>
      </c>
      <c r="S196" s="44">
        <f t="shared" si="71"/>
        <v>1.5</v>
      </c>
      <c r="T196" s="44">
        <f t="shared" si="72"/>
        <v>1.5</v>
      </c>
      <c r="U196" s="44">
        <f t="shared" si="72"/>
        <v>1.5</v>
      </c>
      <c r="V196" s="44">
        <f t="shared" si="72"/>
        <v>1.5</v>
      </c>
      <c r="W196" s="44">
        <f t="shared" si="72"/>
        <v>1.5</v>
      </c>
      <c r="X196" s="44">
        <f t="shared" si="72"/>
        <v>1.5</v>
      </c>
      <c r="Y196" s="44">
        <f t="shared" si="72"/>
        <v>1.5</v>
      </c>
      <c r="Z196" s="44">
        <f t="shared" si="72"/>
        <v>1.5</v>
      </c>
      <c r="AA196" s="44">
        <f t="shared" si="72"/>
        <v>1.5</v>
      </c>
      <c r="AB196" s="44">
        <f t="shared" si="72"/>
        <v>1.5</v>
      </c>
      <c r="AC196" s="44">
        <f t="shared" si="72"/>
        <v>1.5</v>
      </c>
      <c r="AD196" s="44">
        <f t="shared" si="72"/>
        <v>1.5</v>
      </c>
      <c r="AE196" s="44">
        <f t="shared" si="72"/>
        <v>1.5</v>
      </c>
      <c r="AF196" s="44">
        <f t="shared" si="72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70"/>
        <v>0.3</v>
      </c>
      <c r="C197" s="44">
        <v>0.3</v>
      </c>
      <c r="D197" s="44">
        <f t="shared" si="71"/>
        <v>0.3</v>
      </c>
      <c r="E197" s="44">
        <f t="shared" si="71"/>
        <v>0.3</v>
      </c>
      <c r="F197" s="44">
        <f t="shared" si="71"/>
        <v>0.3</v>
      </c>
      <c r="G197" s="44">
        <f t="shared" si="71"/>
        <v>0.3</v>
      </c>
      <c r="H197" s="44">
        <f t="shared" si="71"/>
        <v>0.3</v>
      </c>
      <c r="I197" s="44">
        <f t="shared" si="71"/>
        <v>0.3</v>
      </c>
      <c r="J197" s="44">
        <f t="shared" si="71"/>
        <v>0.3</v>
      </c>
      <c r="K197" s="44">
        <f t="shared" si="71"/>
        <v>0.3</v>
      </c>
      <c r="L197" s="44">
        <f t="shared" si="71"/>
        <v>0.3</v>
      </c>
      <c r="M197" s="44">
        <f t="shared" si="71"/>
        <v>0.3</v>
      </c>
      <c r="N197" s="44">
        <f t="shared" si="71"/>
        <v>0.3</v>
      </c>
      <c r="O197" s="44">
        <f t="shared" si="71"/>
        <v>0.3</v>
      </c>
      <c r="P197" s="44">
        <f t="shared" si="71"/>
        <v>0.3</v>
      </c>
      <c r="Q197" s="44">
        <f t="shared" si="71"/>
        <v>0.3</v>
      </c>
      <c r="R197" s="44">
        <f t="shared" si="71"/>
        <v>0.3</v>
      </c>
      <c r="S197" s="44">
        <f t="shared" si="71"/>
        <v>0.3</v>
      </c>
      <c r="T197" s="44">
        <f t="shared" si="72"/>
        <v>0.3</v>
      </c>
      <c r="U197" s="44">
        <f t="shared" si="72"/>
        <v>0.3</v>
      </c>
      <c r="V197" s="44">
        <f t="shared" si="72"/>
        <v>0.3</v>
      </c>
      <c r="W197" s="44">
        <f t="shared" si="72"/>
        <v>0.3</v>
      </c>
      <c r="X197" s="44">
        <f t="shared" si="72"/>
        <v>0.3</v>
      </c>
      <c r="Y197" s="44">
        <f t="shared" si="72"/>
        <v>0.3</v>
      </c>
      <c r="Z197" s="44">
        <f t="shared" si="72"/>
        <v>0.3</v>
      </c>
      <c r="AA197" s="44">
        <f t="shared" si="72"/>
        <v>0.3</v>
      </c>
      <c r="AB197" s="44">
        <f t="shared" si="72"/>
        <v>0.3</v>
      </c>
      <c r="AC197" s="44">
        <f t="shared" si="72"/>
        <v>0.3</v>
      </c>
      <c r="AD197" s="44">
        <f t="shared" si="72"/>
        <v>0.3</v>
      </c>
      <c r="AE197" s="44">
        <f t="shared" si="72"/>
        <v>0.3</v>
      </c>
      <c r="AF197" s="44">
        <f t="shared" si="72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70"/>
        <v>0.4</v>
      </c>
      <c r="C198" s="44">
        <v>0.4</v>
      </c>
      <c r="D198" s="44">
        <f t="shared" si="71"/>
        <v>0.4</v>
      </c>
      <c r="E198" s="44">
        <f t="shared" si="71"/>
        <v>0.4</v>
      </c>
      <c r="F198" s="44">
        <f t="shared" si="71"/>
        <v>0.4</v>
      </c>
      <c r="G198" s="44">
        <f t="shared" si="71"/>
        <v>0.4</v>
      </c>
      <c r="H198" s="44">
        <f t="shared" si="71"/>
        <v>0.4</v>
      </c>
      <c r="I198" s="44">
        <f t="shared" si="71"/>
        <v>0.4</v>
      </c>
      <c r="J198" s="44">
        <f t="shared" si="71"/>
        <v>0.4</v>
      </c>
      <c r="K198" s="44">
        <f t="shared" si="71"/>
        <v>0.4</v>
      </c>
      <c r="L198" s="44">
        <f t="shared" si="71"/>
        <v>0.4</v>
      </c>
      <c r="M198" s="44">
        <f t="shared" si="71"/>
        <v>0.4</v>
      </c>
      <c r="N198" s="44">
        <f t="shared" si="71"/>
        <v>0.4</v>
      </c>
      <c r="O198" s="44">
        <f t="shared" si="71"/>
        <v>0.4</v>
      </c>
      <c r="P198" s="44">
        <f t="shared" si="71"/>
        <v>0.4</v>
      </c>
      <c r="Q198" s="44">
        <f t="shared" si="71"/>
        <v>0.4</v>
      </c>
      <c r="R198" s="44">
        <f t="shared" si="71"/>
        <v>0.4</v>
      </c>
      <c r="S198" s="44">
        <f t="shared" si="71"/>
        <v>0.4</v>
      </c>
      <c r="T198" s="44">
        <f t="shared" si="72"/>
        <v>0.4</v>
      </c>
      <c r="U198" s="44">
        <f t="shared" si="72"/>
        <v>0.4</v>
      </c>
      <c r="V198" s="44">
        <f t="shared" si="72"/>
        <v>0.4</v>
      </c>
      <c r="W198" s="44">
        <f t="shared" si="72"/>
        <v>0.4</v>
      </c>
      <c r="X198" s="44">
        <f t="shared" si="72"/>
        <v>0.4</v>
      </c>
      <c r="Y198" s="44">
        <f t="shared" si="72"/>
        <v>0.4</v>
      </c>
      <c r="Z198" s="44">
        <f t="shared" si="72"/>
        <v>0.4</v>
      </c>
      <c r="AA198" s="44">
        <f t="shared" si="72"/>
        <v>0.4</v>
      </c>
      <c r="AB198" s="44">
        <f t="shared" si="72"/>
        <v>0.4</v>
      </c>
      <c r="AC198" s="44">
        <f t="shared" si="72"/>
        <v>0.4</v>
      </c>
      <c r="AD198" s="44">
        <f t="shared" si="72"/>
        <v>0.4</v>
      </c>
      <c r="AE198" s="44">
        <f t="shared" si="72"/>
        <v>0.4</v>
      </c>
      <c r="AF198" s="44">
        <f t="shared" si="72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70"/>
        <v>0.64</v>
      </c>
      <c r="C199" s="40">
        <v>0.64</v>
      </c>
      <c r="D199" s="40">
        <f t="shared" si="71"/>
        <v>0.64</v>
      </c>
      <c r="E199" s="40">
        <f t="shared" si="71"/>
        <v>0.64</v>
      </c>
      <c r="F199" s="40">
        <f t="shared" si="71"/>
        <v>0.64</v>
      </c>
      <c r="G199" s="40">
        <f t="shared" si="71"/>
        <v>0.64</v>
      </c>
      <c r="H199" s="40">
        <f t="shared" si="71"/>
        <v>0.64</v>
      </c>
      <c r="I199" s="40">
        <f t="shared" si="71"/>
        <v>0.64</v>
      </c>
      <c r="J199" s="40">
        <f t="shared" si="71"/>
        <v>0.64</v>
      </c>
      <c r="K199" s="40">
        <f t="shared" si="71"/>
        <v>0.64</v>
      </c>
      <c r="L199" s="40">
        <f t="shared" si="71"/>
        <v>0.64</v>
      </c>
      <c r="M199" s="40">
        <f t="shared" si="71"/>
        <v>0.64</v>
      </c>
      <c r="N199" s="40">
        <f t="shared" si="71"/>
        <v>0.64</v>
      </c>
      <c r="O199" s="40">
        <f t="shared" si="71"/>
        <v>0.64</v>
      </c>
      <c r="P199" s="40">
        <f t="shared" si="71"/>
        <v>0.64</v>
      </c>
      <c r="Q199" s="40">
        <f t="shared" si="71"/>
        <v>0.64</v>
      </c>
      <c r="R199" s="40">
        <f t="shared" si="71"/>
        <v>0.64</v>
      </c>
      <c r="S199" s="40">
        <f t="shared" si="71"/>
        <v>0.64</v>
      </c>
      <c r="T199" s="40">
        <f t="shared" si="72"/>
        <v>0.64</v>
      </c>
      <c r="U199" s="40">
        <f t="shared" si="72"/>
        <v>0.64</v>
      </c>
      <c r="V199" s="40">
        <f t="shared" si="72"/>
        <v>0.64</v>
      </c>
      <c r="W199" s="40">
        <f t="shared" si="72"/>
        <v>0.64</v>
      </c>
      <c r="X199" s="40">
        <f t="shared" si="72"/>
        <v>0.64</v>
      </c>
      <c r="Y199" s="40">
        <f t="shared" si="72"/>
        <v>0.64</v>
      </c>
      <c r="Z199" s="40">
        <f t="shared" si="72"/>
        <v>0.64</v>
      </c>
      <c r="AA199" s="40">
        <f t="shared" si="72"/>
        <v>0.64</v>
      </c>
      <c r="AB199" s="40">
        <f t="shared" si="72"/>
        <v>0.64</v>
      </c>
      <c r="AC199" s="40">
        <f t="shared" si="72"/>
        <v>0.64</v>
      </c>
      <c r="AD199" s="40">
        <f t="shared" si="72"/>
        <v>0.64</v>
      </c>
      <c r="AE199" s="40">
        <f t="shared" si="72"/>
        <v>0.64</v>
      </c>
      <c r="AF199" s="40">
        <f t="shared" si="72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3">SUM(D194:D199)</f>
        <v>3.54</v>
      </c>
      <c r="E200" s="37">
        <f t="shared" si="73"/>
        <v>3.54</v>
      </c>
      <c r="F200" s="37">
        <f t="shared" si="73"/>
        <v>3.54</v>
      </c>
      <c r="G200" s="37">
        <f t="shared" si="73"/>
        <v>3.54</v>
      </c>
      <c r="H200" s="37">
        <f t="shared" si="73"/>
        <v>3.54</v>
      </c>
      <c r="I200" s="37">
        <f t="shared" si="73"/>
        <v>3.54</v>
      </c>
      <c r="J200" s="37">
        <f t="shared" si="73"/>
        <v>3.54</v>
      </c>
      <c r="K200" s="37">
        <f t="shared" si="73"/>
        <v>3.54</v>
      </c>
      <c r="L200" s="37">
        <f t="shared" si="73"/>
        <v>3.54</v>
      </c>
      <c r="M200" s="37">
        <f>SUM(M194:M199)</f>
        <v>3.54</v>
      </c>
      <c r="N200" s="37">
        <f t="shared" ref="N200:S200" si="74">SUM(N194:N199)</f>
        <v>3.54</v>
      </c>
      <c r="O200" s="37">
        <f t="shared" si="74"/>
        <v>3.54</v>
      </c>
      <c r="P200" s="37">
        <f t="shared" si="74"/>
        <v>3.54</v>
      </c>
      <c r="Q200" s="37">
        <f t="shared" si="74"/>
        <v>3.54</v>
      </c>
      <c r="R200" s="37">
        <f t="shared" si="74"/>
        <v>3.54</v>
      </c>
      <c r="S200" s="37">
        <f t="shared" si="74"/>
        <v>3.54</v>
      </c>
      <c r="T200" s="37">
        <f>SUM(T194:T199)</f>
        <v>3.54</v>
      </c>
      <c r="U200" s="37">
        <f t="shared" ref="U200:AG200" si="75">SUM(U194:U199)</f>
        <v>3.54</v>
      </c>
      <c r="V200" s="37">
        <f t="shared" si="75"/>
        <v>3.54</v>
      </c>
      <c r="W200" s="37">
        <f t="shared" si="75"/>
        <v>3.54</v>
      </c>
      <c r="X200" s="37">
        <f t="shared" si="75"/>
        <v>3.54</v>
      </c>
      <c r="Y200" s="37">
        <f t="shared" si="75"/>
        <v>3.54</v>
      </c>
      <c r="Z200" s="37">
        <f t="shared" si="75"/>
        <v>3.54</v>
      </c>
      <c r="AA200" s="37">
        <f t="shared" si="75"/>
        <v>3.54</v>
      </c>
      <c r="AB200" s="37">
        <f t="shared" si="75"/>
        <v>3.54</v>
      </c>
      <c r="AC200" s="37">
        <f t="shared" si="75"/>
        <v>3.54</v>
      </c>
      <c r="AD200" s="37">
        <f t="shared" si="75"/>
        <v>3.54</v>
      </c>
      <c r="AE200" s="37">
        <f t="shared" si="75"/>
        <v>3.54</v>
      </c>
      <c r="AF200" s="37">
        <f t="shared" si="75"/>
        <v>3.54</v>
      </c>
      <c r="AG200" s="36">
        <f t="shared" si="75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1439.64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23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2078/12/23)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2078/12/23)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6">B75</f>
        <v>1308.47</v>
      </c>
      <c r="U214" s="9">
        <f t="shared" si="76"/>
        <v>1269.44</v>
      </c>
      <c r="V214" s="9">
        <f t="shared" si="76"/>
        <v>1261.8399999999999</v>
      </c>
      <c r="W214" s="9">
        <f t="shared" si="76"/>
        <v>1219.24</v>
      </c>
      <c r="X214" s="9">
        <f t="shared" si="76"/>
        <v>1211.8399999999999</v>
      </c>
      <c r="Y214" s="9">
        <f t="shared" si="76"/>
        <v>1224.6399999999999</v>
      </c>
      <c r="Z214" s="9">
        <f t="shared" si="76"/>
        <v>1262.24</v>
      </c>
      <c r="AA214" s="9">
        <f t="shared" si="76"/>
        <v>1284.6399999999999</v>
      </c>
      <c r="AB214" s="9">
        <f t="shared" si="76"/>
        <v>1343.54</v>
      </c>
      <c r="AC214" s="9">
        <f t="shared" si="76"/>
        <v>1397.94</v>
      </c>
      <c r="AD214" s="9">
        <f t="shared" si="76"/>
        <v>3.54</v>
      </c>
      <c r="AE214" s="9">
        <f t="shared" si="76"/>
        <v>1439.64</v>
      </c>
      <c r="AF214" s="9">
        <f t="shared" si="76"/>
        <v>1391.74</v>
      </c>
      <c r="AG214" s="9">
        <f t="shared" si="76"/>
        <v>1449.6399999999999</v>
      </c>
      <c r="AH214" s="9">
        <f t="shared" si="76"/>
        <v>1451.58</v>
      </c>
      <c r="AI214" s="9">
        <f t="shared" si="76"/>
        <v>1462.7399999999998</v>
      </c>
      <c r="AJ214" s="9">
        <f t="shared" si="76"/>
        <v>1484.47</v>
      </c>
      <c r="AK214" s="9">
        <f t="shared" si="76"/>
        <v>1478.7399999999998</v>
      </c>
      <c r="AL214" s="9">
        <f t="shared" si="76"/>
        <v>1484.7399999999998</v>
      </c>
      <c r="AM214" s="9">
        <f t="shared" si="76"/>
        <v>1495.1399999999999</v>
      </c>
      <c r="AN214" s="9">
        <f t="shared" si="76"/>
        <v>1441.94</v>
      </c>
      <c r="AO214" s="9">
        <f t="shared" si="76"/>
        <v>1437.6399999999999</v>
      </c>
      <c r="AP214" s="9">
        <f t="shared" si="76"/>
        <v>1421.24</v>
      </c>
      <c r="AQ214" s="9">
        <f t="shared" si="76"/>
        <v>1480.64</v>
      </c>
      <c r="AR214" s="9">
        <f t="shared" si="76"/>
        <v>1681.3400000000001</v>
      </c>
      <c r="AS214" s="9">
        <f t="shared" si="76"/>
        <v>1673.1400000000003</v>
      </c>
      <c r="AT214" s="9">
        <f t="shared" si="76"/>
        <v>1516.5</v>
      </c>
      <c r="AU214" s="9">
        <f t="shared" si="76"/>
        <v>1476.93</v>
      </c>
      <c r="AV214" s="9">
        <f t="shared" si="76"/>
        <v>1434.24</v>
      </c>
      <c r="AW214" s="9">
        <f t="shared" si="76"/>
        <v>1340.3400000000001</v>
      </c>
      <c r="AX214" s="9">
        <f t="shared" si="76"/>
        <v>1305.8399999999999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7">C199</f>
        <v>0.64</v>
      </c>
      <c r="C235" s="4">
        <f t="shared" si="77"/>
        <v>0.64</v>
      </c>
      <c r="D235" s="4">
        <f t="shared" si="77"/>
        <v>0.64</v>
      </c>
      <c r="E235" s="4">
        <f t="shared" si="77"/>
        <v>0.64</v>
      </c>
      <c r="F235" s="4">
        <f t="shared" si="77"/>
        <v>0.64</v>
      </c>
      <c r="G235" s="4">
        <f t="shared" si="77"/>
        <v>0.64</v>
      </c>
      <c r="H235" s="4">
        <f t="shared" si="77"/>
        <v>0.64</v>
      </c>
      <c r="I235" s="4">
        <f t="shared" si="77"/>
        <v>0.64</v>
      </c>
      <c r="J235" s="4">
        <f t="shared" si="77"/>
        <v>0.64</v>
      </c>
      <c r="K235" s="4">
        <f t="shared" si="77"/>
        <v>0.64</v>
      </c>
      <c r="L235" s="4">
        <f t="shared" si="77"/>
        <v>0.64</v>
      </c>
      <c r="M235" s="4">
        <f t="shared" si="77"/>
        <v>0.64</v>
      </c>
      <c r="N235" s="4">
        <f t="shared" si="77"/>
        <v>0.64</v>
      </c>
      <c r="O235" s="4">
        <f t="shared" si="77"/>
        <v>0.64</v>
      </c>
      <c r="P235" s="4">
        <f t="shared" si="77"/>
        <v>0.64</v>
      </c>
      <c r="Q235" s="4">
        <f t="shared" si="77"/>
        <v>0.64</v>
      </c>
      <c r="R235" s="4">
        <f t="shared" si="77"/>
        <v>0.64</v>
      </c>
      <c r="S235" s="4">
        <f t="shared" si="77"/>
        <v>0.64</v>
      </c>
      <c r="T235" s="4">
        <f t="shared" si="77"/>
        <v>0.64</v>
      </c>
      <c r="U235" s="4">
        <f t="shared" si="77"/>
        <v>0.64</v>
      </c>
      <c r="V235" s="4">
        <f t="shared" si="77"/>
        <v>0.64</v>
      </c>
      <c r="W235" s="4">
        <f t="shared" si="77"/>
        <v>0.64</v>
      </c>
      <c r="X235" s="4">
        <f t="shared" si="77"/>
        <v>0.64</v>
      </c>
      <c r="Y235" s="4">
        <f t="shared" si="77"/>
        <v>0.64</v>
      </c>
      <c r="Z235" s="4">
        <f t="shared" si="77"/>
        <v>0.64</v>
      </c>
      <c r="AA235" s="4">
        <f t="shared" si="77"/>
        <v>0.64</v>
      </c>
      <c r="AB235" s="4">
        <f t="shared" si="77"/>
        <v>0.64</v>
      </c>
      <c r="AC235" s="4">
        <f t="shared" si="77"/>
        <v>0.64</v>
      </c>
      <c r="AD235" s="4">
        <f t="shared" si="77"/>
        <v>0.64</v>
      </c>
      <c r="AE235" s="4">
        <f t="shared" si="77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8">IF(C203&lt;100,"",C203-520)</f>
        <v/>
      </c>
      <c r="D236" s="3" t="str">
        <f t="shared" si="78"/>
        <v/>
      </c>
      <c r="E236" s="3" t="str">
        <f t="shared" si="78"/>
        <v/>
      </c>
      <c r="F236" s="3" t="str">
        <f t="shared" si="78"/>
        <v/>
      </c>
      <c r="G236" s="3" t="str">
        <f t="shared" si="78"/>
        <v/>
      </c>
      <c r="H236" s="3" t="str">
        <f t="shared" si="78"/>
        <v/>
      </c>
      <c r="I236" s="3" t="str">
        <f t="shared" si="78"/>
        <v/>
      </c>
      <c r="J236" s="3" t="str">
        <f t="shared" si="78"/>
        <v/>
      </c>
      <c r="K236" s="3" t="str">
        <f t="shared" si="78"/>
        <v/>
      </c>
      <c r="L236" s="3" t="str">
        <f t="shared" si="78"/>
        <v/>
      </c>
      <c r="M236" s="3" t="str">
        <f t="shared" si="78"/>
        <v/>
      </c>
      <c r="N236" s="3" t="str">
        <f t="shared" si="78"/>
        <v/>
      </c>
      <c r="O236" s="3" t="str">
        <f t="shared" si="78"/>
        <v/>
      </c>
      <c r="P236" s="3" t="str">
        <f t="shared" si="78"/>
        <v/>
      </c>
      <c r="Q236" s="3" t="str">
        <f t="shared" si="78"/>
        <v/>
      </c>
      <c r="R236" s="3" t="str">
        <f t="shared" si="78"/>
        <v/>
      </c>
      <c r="S236" s="3" t="str">
        <f t="shared" si="78"/>
        <v/>
      </c>
      <c r="T236" s="3" t="str">
        <f t="shared" si="78"/>
        <v/>
      </c>
      <c r="U236" s="3" t="str">
        <f t="shared" si="78"/>
        <v/>
      </c>
      <c r="V236" s="3" t="str">
        <f t="shared" si="78"/>
        <v/>
      </c>
      <c r="W236" s="3" t="str">
        <f t="shared" si="78"/>
        <v/>
      </c>
      <c r="X236" s="3" t="str">
        <f t="shared" si="78"/>
        <v/>
      </c>
      <c r="Y236" s="3" t="str">
        <f t="shared" si="78"/>
        <v/>
      </c>
      <c r="Z236" s="3" t="str">
        <f t="shared" si="78"/>
        <v/>
      </c>
      <c r="AA236" s="3" t="str">
        <f t="shared" si="78"/>
        <v/>
      </c>
      <c r="AB236" s="3" t="str">
        <f t="shared" si="78"/>
        <v/>
      </c>
      <c r="AC236" s="3" t="str">
        <f t="shared" si="78"/>
        <v/>
      </c>
      <c r="AD236" s="3" t="str">
        <f t="shared" si="78"/>
        <v/>
      </c>
      <c r="AE236" s="3" t="str">
        <f t="shared" si="78"/>
        <v/>
      </c>
      <c r="AF236" s="3" t="str">
        <f t="shared" si="78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9">IF(B204&lt;100,"",B204-620)</f>
        <v/>
      </c>
      <c r="C237" s="3" t="str">
        <f t="shared" si="79"/>
        <v/>
      </c>
      <c r="D237" s="3" t="str">
        <f t="shared" si="79"/>
        <v/>
      </c>
      <c r="E237" s="3" t="str">
        <f t="shared" si="79"/>
        <v/>
      </c>
      <c r="F237" s="3" t="str">
        <f t="shared" si="79"/>
        <v/>
      </c>
      <c r="G237" s="3" t="str">
        <f t="shared" si="79"/>
        <v/>
      </c>
      <c r="H237" s="3" t="str">
        <f t="shared" si="79"/>
        <v/>
      </c>
      <c r="I237" s="3" t="str">
        <f t="shared" si="79"/>
        <v/>
      </c>
      <c r="J237" s="3" t="str">
        <f t="shared" si="79"/>
        <v/>
      </c>
      <c r="K237" s="3" t="str">
        <f t="shared" si="79"/>
        <v/>
      </c>
      <c r="L237" s="3" t="str">
        <f t="shared" si="79"/>
        <v/>
      </c>
      <c r="M237" s="3" t="str">
        <f t="shared" si="79"/>
        <v/>
      </c>
      <c r="N237" s="3" t="str">
        <f t="shared" si="79"/>
        <v/>
      </c>
      <c r="O237" s="3" t="str">
        <f t="shared" si="79"/>
        <v/>
      </c>
      <c r="P237" s="3" t="str">
        <f t="shared" si="79"/>
        <v/>
      </c>
      <c r="Q237" s="3" t="str">
        <f t="shared" si="79"/>
        <v/>
      </c>
      <c r="R237" s="3" t="str">
        <f t="shared" si="79"/>
        <v/>
      </c>
      <c r="S237" s="3" t="str">
        <f t="shared" si="79"/>
        <v/>
      </c>
      <c r="T237" s="3" t="str">
        <f t="shared" si="79"/>
        <v/>
      </c>
      <c r="U237" s="3" t="str">
        <f t="shared" si="79"/>
        <v/>
      </c>
      <c r="V237" s="3" t="str">
        <f t="shared" si="79"/>
        <v/>
      </c>
      <c r="W237" s="3" t="str">
        <f t="shared" si="79"/>
        <v/>
      </c>
      <c r="X237" s="3" t="str">
        <f t="shared" si="79"/>
        <v/>
      </c>
      <c r="Y237" s="3" t="str">
        <f t="shared" si="79"/>
        <v/>
      </c>
      <c r="Z237" s="3" t="str">
        <f t="shared" si="79"/>
        <v/>
      </c>
      <c r="AA237" s="3" t="str">
        <f t="shared" si="79"/>
        <v/>
      </c>
      <c r="AB237" s="3" t="str">
        <f t="shared" si="79"/>
        <v/>
      </c>
      <c r="AC237" s="3" t="str">
        <f t="shared" si="79"/>
        <v/>
      </c>
      <c r="AD237" s="3" t="str">
        <f t="shared" si="79"/>
        <v/>
      </c>
      <c r="AE237" s="3" t="str">
        <f t="shared" si="79"/>
        <v/>
      </c>
      <c r="AF237" s="3" t="str">
        <f t="shared" si="79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80">IF(B205&lt;100,"",B205-330)</f>
        <v/>
      </c>
      <c r="C238" s="3" t="str">
        <f t="shared" si="80"/>
        <v/>
      </c>
      <c r="D238" s="3" t="str">
        <f t="shared" si="80"/>
        <v/>
      </c>
      <c r="E238" s="3" t="str">
        <f t="shared" si="80"/>
        <v/>
      </c>
      <c r="F238" s="3" t="str">
        <f t="shared" si="80"/>
        <v/>
      </c>
      <c r="G238" s="3" t="str">
        <f t="shared" si="80"/>
        <v/>
      </c>
      <c r="H238" s="3" t="str">
        <f t="shared" si="80"/>
        <v/>
      </c>
      <c r="I238" s="3" t="str">
        <f t="shared" si="80"/>
        <v/>
      </c>
      <c r="J238" s="3" t="str">
        <f t="shared" si="80"/>
        <v/>
      </c>
      <c r="K238" s="3" t="str">
        <f t="shared" si="80"/>
        <v/>
      </c>
      <c r="L238" s="3" t="str">
        <f t="shared" si="80"/>
        <v/>
      </c>
      <c r="M238" s="3" t="str">
        <f t="shared" si="80"/>
        <v/>
      </c>
      <c r="N238" s="3" t="str">
        <f t="shared" si="80"/>
        <v/>
      </c>
      <c r="O238" s="3" t="str">
        <f t="shared" si="80"/>
        <v/>
      </c>
      <c r="P238" s="3" t="str">
        <f t="shared" si="80"/>
        <v/>
      </c>
      <c r="Q238" s="3" t="str">
        <f t="shared" si="80"/>
        <v/>
      </c>
      <c r="R238" s="3" t="str">
        <f t="shared" si="80"/>
        <v/>
      </c>
      <c r="S238" s="3" t="str">
        <f t="shared" si="80"/>
        <v/>
      </c>
      <c r="T238" s="3" t="str">
        <f t="shared" si="80"/>
        <v/>
      </c>
      <c r="U238" s="3" t="str">
        <f t="shared" si="80"/>
        <v/>
      </c>
      <c r="V238" s="3" t="str">
        <f t="shared" si="80"/>
        <v/>
      </c>
      <c r="W238" s="3" t="str">
        <f t="shared" si="80"/>
        <v/>
      </c>
      <c r="X238" s="3" t="str">
        <f t="shared" si="80"/>
        <v/>
      </c>
      <c r="Y238" s="3" t="str">
        <f t="shared" si="80"/>
        <v/>
      </c>
      <c r="Z238" s="3" t="str">
        <f t="shared" si="80"/>
        <v/>
      </c>
      <c r="AA238" s="3" t="str">
        <f t="shared" si="80"/>
        <v/>
      </c>
      <c r="AB238" s="3" t="str">
        <f t="shared" si="80"/>
        <v/>
      </c>
      <c r="AC238" s="3" t="str">
        <f t="shared" si="80"/>
        <v/>
      </c>
      <c r="AD238" s="3" t="str">
        <f t="shared" si="80"/>
        <v/>
      </c>
      <c r="AE238" s="3" t="str">
        <f t="shared" si="80"/>
        <v/>
      </c>
      <c r="AF238" s="3" t="str">
        <f t="shared" si="80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1">IF(C206&lt;100,"",C206-1500)</f>
        <v/>
      </c>
      <c r="D239" s="3" t="str">
        <f t="shared" si="81"/>
        <v/>
      </c>
      <c r="E239" s="3" t="str">
        <f t="shared" si="81"/>
        <v/>
      </c>
      <c r="F239" s="3" t="str">
        <f t="shared" si="81"/>
        <v/>
      </c>
      <c r="G239" s="3" t="str">
        <f t="shared" si="81"/>
        <v/>
      </c>
      <c r="H239" s="3" t="str">
        <f t="shared" si="81"/>
        <v/>
      </c>
      <c r="I239" s="3" t="str">
        <f t="shared" si="81"/>
        <v/>
      </c>
      <c r="J239" s="3" t="str">
        <f t="shared" si="81"/>
        <v/>
      </c>
      <c r="K239" s="3" t="str">
        <f t="shared" si="81"/>
        <v/>
      </c>
      <c r="L239" s="3" t="str">
        <f t="shared" si="81"/>
        <v/>
      </c>
      <c r="M239" s="3" t="str">
        <f t="shared" si="81"/>
        <v/>
      </c>
      <c r="N239" s="3" t="str">
        <f t="shared" si="81"/>
        <v/>
      </c>
      <c r="O239" s="3" t="str">
        <f t="shared" si="81"/>
        <v/>
      </c>
      <c r="P239" s="3" t="str">
        <f t="shared" si="81"/>
        <v/>
      </c>
      <c r="Q239" s="3" t="str">
        <f t="shared" si="81"/>
        <v/>
      </c>
      <c r="R239" s="3" t="str">
        <f t="shared" si="81"/>
        <v/>
      </c>
      <c r="S239" s="3" t="str">
        <f t="shared" si="81"/>
        <v/>
      </c>
      <c r="T239" s="3" t="str">
        <f t="shared" si="81"/>
        <v/>
      </c>
      <c r="U239" s="3" t="str">
        <f t="shared" si="81"/>
        <v/>
      </c>
      <c r="V239" s="3" t="str">
        <f t="shared" si="81"/>
        <v/>
      </c>
      <c r="W239" s="3" t="str">
        <f t="shared" si="81"/>
        <v/>
      </c>
      <c r="X239" s="3" t="str">
        <f t="shared" si="81"/>
        <v/>
      </c>
      <c r="Y239" s="3" t="str">
        <f t="shared" si="81"/>
        <v/>
      </c>
      <c r="Z239" s="3" t="str">
        <f t="shared" si="81"/>
        <v/>
      </c>
      <c r="AA239" s="3" t="str">
        <f t="shared" si="81"/>
        <v/>
      </c>
      <c r="AB239" s="3" t="str">
        <f t="shared" si="81"/>
        <v/>
      </c>
      <c r="AC239" s="3" t="str">
        <f t="shared" si="81"/>
        <v/>
      </c>
      <c r="AD239" s="3" t="str">
        <f t="shared" si="81"/>
        <v/>
      </c>
      <c r="AE239" s="3" t="str">
        <f t="shared" si="81"/>
        <v/>
      </c>
      <c r="AF239" s="3" t="str">
        <f t="shared" si="81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M37 C57:L59 P39:R39 P40:Q42 R42 R40:T41 M58:M59 U40:Y42 AB81:AF81 C81:R81 C56:AF56 C82:AF83 D194:AF200 B194:B200 AC84:AF91 C68:AF80 B9:AF10 B192:AF192 L36:M36 AG73 U213:AF213 C60:M60 E61:M61 P58:W59 M39:O42 N58:O61 Q39:Q42 P60:R64 M11:R14 N36:R37 M16:V32 W17:Y32 N45:Y48 S62:Y64 S11:AD11 M53:AF55 X85:AB91 Z12:AD14 AB94:AF100 AE11:AF14 S36:AF36 Z16:AF31 Z40:AF43 AF57:AF64 AF66:AF67 P66:Y67 Z66:AD66">
    <cfRule type="expression" dxfId="2562" priority="301">
      <formula>B$9&gt;=20/24</formula>
    </cfRule>
    <cfRule type="expression" dxfId="2561" priority="302">
      <formula>AND(B$9&gt;=14/24,B$9&lt;20/24)</formula>
    </cfRule>
    <cfRule type="expression" dxfId="2560" priority="303">
      <formula>AND(B$9&gt;=8/24,B$9&lt;14/24)</formula>
    </cfRule>
    <cfRule type="expression" dxfId="2559" priority="304">
      <formula>B$9&lt;8/24</formula>
    </cfRule>
  </conditionalFormatting>
  <conditionalFormatting sqref="AL4:AL6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558" priority="296">
      <formula>M$9&gt;=20/24</formula>
    </cfRule>
    <cfRule type="expression" dxfId="2557" priority="297">
      <formula>AND(M$9&gt;=14/24,M$9&lt;20/24)</formula>
    </cfRule>
    <cfRule type="expression" dxfId="2556" priority="298">
      <formula>AND(M$9&gt;=8/24,M$9&lt;14/24)</formula>
    </cfRule>
    <cfRule type="expression" dxfId="2555" priority="299">
      <formula>M$9&lt;8/24</formula>
    </cfRule>
  </conditionalFormatting>
  <conditionalFormatting sqref="M43:R43">
    <cfRule type="expression" dxfId="2554" priority="292">
      <formula>M$9&gt;=20/24</formula>
    </cfRule>
    <cfRule type="expression" dxfId="2553" priority="293">
      <formula>AND(M$9&gt;=14/24,M$9&lt;20/24)</formula>
    </cfRule>
    <cfRule type="expression" dxfId="2552" priority="294">
      <formula>AND(M$9&gt;=8/24,M$9&lt;14/24)</formula>
    </cfRule>
    <cfRule type="expression" dxfId="2551" priority="295">
      <formula>M$9&lt;8/24</formula>
    </cfRule>
  </conditionalFormatting>
  <conditionalFormatting sqref="Z32:AF32">
    <cfRule type="expression" dxfId="2550" priority="288">
      <formula>Z$9&gt;=20/24</formula>
    </cfRule>
    <cfRule type="expression" dxfId="2549" priority="289">
      <formula>AND(Z$9&gt;=14/24,Z$9&lt;20/24)</formula>
    </cfRule>
    <cfRule type="expression" dxfId="2548" priority="290">
      <formula>AND(Z$9&gt;=8/24,Z$9&lt;14/24)</formula>
    </cfRule>
    <cfRule type="expression" dxfId="2547" priority="291">
      <formula>Z$9&lt;8/24</formula>
    </cfRule>
  </conditionalFormatting>
  <conditionalFormatting sqref="S39:AF39">
    <cfRule type="expression" dxfId="2546" priority="284">
      <formula>S$9&gt;=20/24</formula>
    </cfRule>
    <cfRule type="expression" dxfId="2545" priority="285">
      <formula>AND(S$9&gt;=14/24,S$9&lt;20/24)</formula>
    </cfRule>
    <cfRule type="expression" dxfId="2544" priority="286">
      <formula>AND(S$9&gt;=8/24,S$9&lt;14/24)</formula>
    </cfRule>
    <cfRule type="expression" dxfId="2543" priority="287">
      <formula>S$9&lt;8/24</formula>
    </cfRule>
  </conditionalFormatting>
  <conditionalFormatting sqref="S57:AE57">
    <cfRule type="expression" dxfId="2542" priority="280">
      <formula>S$9&gt;=20/24</formula>
    </cfRule>
    <cfRule type="expression" dxfId="2541" priority="281">
      <formula>AND(S$9&gt;=14/24,S$9&lt;20/24)</formula>
    </cfRule>
    <cfRule type="expression" dxfId="2540" priority="282">
      <formula>AND(S$9&gt;=8/24,S$9&lt;14/24)</formula>
    </cfRule>
    <cfRule type="expression" dxfId="2539" priority="283">
      <formula>S$9&lt;8/24</formula>
    </cfRule>
  </conditionalFormatting>
  <conditionalFormatting sqref="S81:AA81">
    <cfRule type="expression" dxfId="2538" priority="276">
      <formula>S$9&gt;=20/24</formula>
    </cfRule>
    <cfRule type="expression" dxfId="2537" priority="277">
      <formula>AND(S$9&gt;=14/24,S$9&lt;20/24)</formula>
    </cfRule>
    <cfRule type="expression" dxfId="2536" priority="278">
      <formula>AND(S$9&gt;=8/24,S$9&lt;14/24)</formula>
    </cfRule>
    <cfRule type="expression" dxfId="2535" priority="279">
      <formula>S$9&lt;8/24</formula>
    </cfRule>
  </conditionalFormatting>
  <conditionalFormatting sqref="U84:AB84">
    <cfRule type="expression" dxfId="2534" priority="272">
      <formula>U$9&gt;=20/24</formula>
    </cfRule>
    <cfRule type="expression" dxfId="2533" priority="273">
      <formula>AND(U$9&gt;=14/24,U$9&lt;20/24)</formula>
    </cfRule>
    <cfRule type="expression" dxfId="2532" priority="274">
      <formula>AND(U$9&gt;=8/24,U$9&lt;14/24)</formula>
    </cfRule>
    <cfRule type="expression" dxfId="2531" priority="275">
      <formula>U$9&lt;8/24</formula>
    </cfRule>
  </conditionalFormatting>
  <conditionalFormatting sqref="M35:Y35">
    <cfRule type="expression" dxfId="2530" priority="268">
      <formula>M$9&gt;=20/24</formula>
    </cfRule>
    <cfRule type="expression" dxfId="2529" priority="269">
      <formula>AND(M$9&gt;=14/24,M$9&lt;20/24)</formula>
    </cfRule>
    <cfRule type="expression" dxfId="2528" priority="270">
      <formula>AND(M$9&gt;=8/24,M$9&lt;14/24)</formula>
    </cfRule>
    <cfRule type="expression" dxfId="2527" priority="271">
      <formula>M$9&lt;8/24</formula>
    </cfRule>
  </conditionalFormatting>
  <conditionalFormatting sqref="M49:Y49">
    <cfRule type="expression" dxfId="2526" priority="264">
      <formula>M$9&gt;=20/24</formula>
    </cfRule>
    <cfRule type="expression" dxfId="2525" priority="265">
      <formula>AND(M$9&gt;=14/24,M$9&lt;20/24)</formula>
    </cfRule>
    <cfRule type="expression" dxfId="2524" priority="266">
      <formula>AND(M$9&gt;=8/24,M$9&lt;14/24)</formula>
    </cfRule>
    <cfRule type="expression" dxfId="2523" priority="267">
      <formula>M$9&lt;8/24</formula>
    </cfRule>
  </conditionalFormatting>
  <conditionalFormatting sqref="M50:Y50">
    <cfRule type="expression" dxfId="2522" priority="260">
      <formula>M$9&gt;=20/24</formula>
    </cfRule>
    <cfRule type="expression" dxfId="2521" priority="261">
      <formula>AND(M$9&gt;=14/24,M$9&lt;20/24)</formula>
    </cfRule>
    <cfRule type="expression" dxfId="2520" priority="262">
      <formula>AND(M$9&gt;=8/24,M$9&lt;14/24)</formula>
    </cfRule>
    <cfRule type="expression" dxfId="2519" priority="263">
      <formula>M$9&lt;8/24</formula>
    </cfRule>
  </conditionalFormatting>
  <conditionalFormatting sqref="M45:Y48">
    <cfRule type="expression" dxfId="2518" priority="256">
      <formula>M$9&gt;=20/24</formula>
    </cfRule>
    <cfRule type="expression" dxfId="2517" priority="257">
      <formula>AND(M$9&gt;=14/24,M$9&lt;20/24)</formula>
    </cfRule>
    <cfRule type="expression" dxfId="2516" priority="258">
      <formula>AND(M$9&gt;=8/24,M$9&lt;14/24)</formula>
    </cfRule>
    <cfRule type="expression" dxfId="2515" priority="259">
      <formula>M$9&lt;8/24</formula>
    </cfRule>
  </conditionalFormatting>
  <conditionalFormatting sqref="S37:AF37">
    <cfRule type="expression" dxfId="2514" priority="252">
      <formula>S$9&gt;=20/24</formula>
    </cfRule>
    <cfRule type="expression" dxfId="2513" priority="253">
      <formula>AND(S$9&gt;=14/24,S$9&lt;20/24)</formula>
    </cfRule>
    <cfRule type="expression" dxfId="2512" priority="254">
      <formula>AND(S$9&gt;=8/24,S$9&lt;14/24)</formula>
    </cfRule>
    <cfRule type="expression" dxfId="2511" priority="255">
      <formula>S$9&lt;8/24</formula>
    </cfRule>
  </conditionalFormatting>
  <conditionalFormatting sqref="Z35:AF35">
    <cfRule type="expression" dxfId="2510" priority="248">
      <formula>Z$9&gt;=20/24</formula>
    </cfRule>
    <cfRule type="expression" dxfId="2509" priority="249">
      <formula>AND(Z$9&gt;=14/24,Z$9&lt;20/24)</formula>
    </cfRule>
    <cfRule type="expression" dxfId="2508" priority="250">
      <formula>AND(Z$9&gt;=8/24,Z$9&lt;14/24)</formula>
    </cfRule>
    <cfRule type="expression" dxfId="2507" priority="251">
      <formula>Z$9&lt;8/24</formula>
    </cfRule>
  </conditionalFormatting>
  <conditionalFormatting sqref="S42:T43 U43:Y43 S45:AF48">
    <cfRule type="expression" dxfId="2506" priority="244">
      <formula>S$9&gt;=20/24</formula>
    </cfRule>
    <cfRule type="expression" dxfId="2505" priority="245">
      <formula>AND(S$9&gt;=14/24,S$9&lt;20/24)</formula>
    </cfRule>
    <cfRule type="expression" dxfId="2504" priority="246">
      <formula>AND(S$9&gt;=8/24,S$9&lt;14/24)</formula>
    </cfRule>
    <cfRule type="expression" dxfId="2503" priority="247">
      <formula>S$9&lt;8/24</formula>
    </cfRule>
  </conditionalFormatting>
  <conditionalFormatting sqref="S49:AF49">
    <cfRule type="expression" dxfId="2502" priority="240">
      <formula>S$9&gt;=20/24</formula>
    </cfRule>
    <cfRule type="expression" dxfId="2501" priority="241">
      <formula>AND(S$9&gt;=14/24,S$9&lt;20/24)</formula>
    </cfRule>
    <cfRule type="expression" dxfId="2500" priority="242">
      <formula>AND(S$9&gt;=8/24,S$9&lt;14/24)</formula>
    </cfRule>
    <cfRule type="expression" dxfId="2499" priority="243">
      <formula>S$9&lt;8/24</formula>
    </cfRule>
  </conditionalFormatting>
  <conditionalFormatting sqref="S50:AF50">
    <cfRule type="expression" dxfId="2498" priority="236">
      <formula>S$9&gt;=20/24</formula>
    </cfRule>
    <cfRule type="expression" dxfId="2497" priority="237">
      <formula>AND(S$9&gt;=14/24,S$9&lt;20/24)</formula>
    </cfRule>
    <cfRule type="expression" dxfId="2496" priority="238">
      <formula>AND(S$9&gt;=8/24,S$9&lt;14/24)</formula>
    </cfRule>
    <cfRule type="expression" dxfId="2495" priority="239">
      <formula>S$9&lt;8/24</formula>
    </cfRule>
  </conditionalFormatting>
  <conditionalFormatting sqref="S60:T61 X60:AA60 Y61:AA61 Z62:AA64 AB60:AE64 Z67:AE67 AE66">
    <cfRule type="expression" dxfId="2494" priority="232">
      <formula>S$9&gt;=20/24</formula>
    </cfRule>
    <cfRule type="expression" dxfId="2493" priority="233">
      <formula>AND(S$9&gt;=14/24,S$9&lt;20/24)</formula>
    </cfRule>
    <cfRule type="expression" dxfId="2492" priority="234">
      <formula>AND(S$9&gt;=8/24,S$9&lt;14/24)</formula>
    </cfRule>
    <cfRule type="expression" dxfId="2491" priority="235">
      <formula>S$9&lt;8/24</formula>
    </cfRule>
  </conditionalFormatting>
  <conditionalFormatting sqref="L62:L67">
    <cfRule type="expression" dxfId="2490" priority="228">
      <formula>L$9&gt;=20/24</formula>
    </cfRule>
    <cfRule type="expression" dxfId="2489" priority="229">
      <formula>AND(L$9&gt;=14/24,L$9&lt;20/24)</formula>
    </cfRule>
    <cfRule type="expression" dxfId="2488" priority="230">
      <formula>AND(L$9&gt;=8/24,L$9&lt;14/24)</formula>
    </cfRule>
    <cfRule type="expression" dxfId="2487" priority="231">
      <formula>L$9&lt;8/24</formula>
    </cfRule>
  </conditionalFormatting>
  <conditionalFormatting sqref="U94:AA97">
    <cfRule type="expression" dxfId="2486" priority="224">
      <formula>U$9&gt;=20/24</formula>
    </cfRule>
    <cfRule type="expression" dxfId="2485" priority="225">
      <formula>AND(U$9&gt;=14/24,U$9&lt;20/24)</formula>
    </cfRule>
    <cfRule type="expression" dxfId="2484" priority="226">
      <formula>AND(U$9&gt;=8/24,U$9&lt;14/24)</formula>
    </cfRule>
    <cfRule type="expression" dxfId="2483" priority="227">
      <formula>U$9&lt;8/24</formula>
    </cfRule>
  </conditionalFormatting>
  <conditionalFormatting sqref="AG51 E11:M11 L12:M14 C38:AF38 H12:K12 L44:N50 C39:N43 E37:AA37 N11:R14 L16:V32 W17:Y32 L34:AA36 S11:AD11 C51:AF56 Z12:AD32 AB34:AF37 AE11:AF32 O39:AF50">
    <cfRule type="expression" dxfId="2482" priority="223">
      <formula>C11&gt;$AG11</formula>
    </cfRule>
  </conditionalFormatting>
  <conditionalFormatting sqref="A101:A157 A84:A97 A11:A14 A16:A32 A45:A72 A80:A82 A74:A78 A35:A43 A170:A200">
    <cfRule type="expression" dxfId="2481" priority="222">
      <formula>$AH11=0</formula>
    </cfRule>
  </conditionalFormatting>
  <conditionalFormatting sqref="U98:AA98">
    <cfRule type="expression" dxfId="2480" priority="218">
      <formula>U$9&gt;=20/24</formula>
    </cfRule>
    <cfRule type="expression" dxfId="2479" priority="219">
      <formula>AND(U$9&gt;=14/24,U$9&lt;20/24)</formula>
    </cfRule>
    <cfRule type="expression" dxfId="2478" priority="220">
      <formula>AND(U$9&gt;=8/24,U$9&lt;14/24)</formula>
    </cfRule>
    <cfRule type="expression" dxfId="2477" priority="221">
      <formula>U$9&lt;8/24</formula>
    </cfRule>
  </conditionalFormatting>
  <conditionalFormatting sqref="A98">
    <cfRule type="expression" dxfId="2476" priority="217">
      <formula>$AH98=0</formula>
    </cfRule>
  </conditionalFormatting>
  <conditionalFormatting sqref="M62:O64 M66:O67 M65:AF65">
    <cfRule type="expression" dxfId="2475" priority="205">
      <formula>M$9&gt;=20/24</formula>
    </cfRule>
    <cfRule type="expression" dxfId="2474" priority="206">
      <formula>AND(M$9&gt;=14/24,M$9&lt;20/24)</formula>
    </cfRule>
    <cfRule type="expression" dxfId="2473" priority="207">
      <formula>AND(M$9&gt;=8/24,M$9&lt;14/24)</formula>
    </cfRule>
    <cfRule type="expression" dxfId="2472" priority="208">
      <formula>M$9&lt;8/24</formula>
    </cfRule>
  </conditionalFormatting>
  <conditionalFormatting sqref="AL32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2471" priority="200">
      <formula>Z$9&gt;=20/24</formula>
    </cfRule>
    <cfRule type="expression" dxfId="2470" priority="201">
      <formula>AND(Z$9&gt;=14/24,Z$9&lt;20/24)</formula>
    </cfRule>
    <cfRule type="expression" dxfId="2469" priority="202">
      <formula>AND(Z$9&gt;=8/24,Z$9&lt;14/24)</formula>
    </cfRule>
    <cfRule type="expression" dxfId="2468" priority="203">
      <formula>Z$9&lt;8/24</formula>
    </cfRule>
  </conditionalFormatting>
  <conditionalFormatting sqref="M34:Y34">
    <cfRule type="expression" dxfId="2467" priority="196">
      <formula>M$9&gt;=20/24</formula>
    </cfRule>
    <cfRule type="expression" dxfId="2466" priority="197">
      <formula>AND(M$9&gt;=14/24,M$9&lt;20/24)</formula>
    </cfRule>
    <cfRule type="expression" dxfId="2465" priority="198">
      <formula>AND(M$9&gt;=8/24,M$9&lt;14/24)</formula>
    </cfRule>
    <cfRule type="expression" dxfId="2464" priority="199">
      <formula>M$9&lt;8/24</formula>
    </cfRule>
  </conditionalFormatting>
  <conditionalFormatting sqref="A34">
    <cfRule type="expression" dxfId="2463" priority="191">
      <formula>$AH34=0</formula>
    </cfRule>
  </conditionalFormatting>
  <conditionalFormatting sqref="A83">
    <cfRule type="expression" dxfId="2462" priority="190">
      <formula>$AH83=0</formula>
    </cfRule>
  </conditionalFormatting>
  <conditionalFormatting sqref="Z15:AF15">
    <cfRule type="expression" dxfId="2461" priority="186">
      <formula>Z$9&gt;=20/24</formula>
    </cfRule>
    <cfRule type="expression" dxfId="2460" priority="187">
      <formula>AND(Z$9&gt;=14/24,Z$9&lt;20/24)</formula>
    </cfRule>
    <cfRule type="expression" dxfId="2459" priority="188">
      <formula>AND(Z$9&gt;=8/24,Z$9&lt;14/24)</formula>
    </cfRule>
    <cfRule type="expression" dxfId="2458" priority="189">
      <formula>Z$9&lt;8/24</formula>
    </cfRule>
  </conditionalFormatting>
  <conditionalFormatting sqref="M15:R15">
    <cfRule type="expression" dxfId="2457" priority="182">
      <formula>M$9&gt;=20/24</formula>
    </cfRule>
    <cfRule type="expression" dxfId="2456" priority="183">
      <formula>AND(M$9&gt;=14/24,M$9&lt;20/24)</formula>
    </cfRule>
    <cfRule type="expression" dxfId="2455" priority="184">
      <formula>AND(M$9&gt;=8/24,M$9&lt;14/24)</formula>
    </cfRule>
    <cfRule type="expression" dxfId="2454" priority="185">
      <formula>M$9&lt;8/24</formula>
    </cfRule>
  </conditionalFormatting>
  <conditionalFormatting sqref="L15:R15">
    <cfRule type="expression" dxfId="2453" priority="181">
      <formula>L15&gt;$AG15</formula>
    </cfRule>
  </conditionalFormatting>
  <conditionalFormatting sqref="A15">
    <cfRule type="expression" dxfId="2452" priority="180">
      <formula>$AH15=0</formula>
    </cfRule>
  </conditionalFormatting>
  <conditionalFormatting sqref="A164:A169">
    <cfRule type="expression" dxfId="2451" priority="179">
      <formula>$AH164=0</formula>
    </cfRule>
  </conditionalFormatting>
  <conditionalFormatting sqref="A158:A163">
    <cfRule type="expression" dxfId="2450" priority="178">
      <formula>$AH158=0</formula>
    </cfRule>
  </conditionalFormatting>
  <conditionalFormatting sqref="Z44:AF44">
    <cfRule type="expression" dxfId="2449" priority="174">
      <formula>Z$9&gt;=20/24</formula>
    </cfRule>
    <cfRule type="expression" dxfId="2448" priority="175">
      <formula>AND(Z$9&gt;=14/24,Z$9&lt;20/24)</formula>
    </cfRule>
    <cfRule type="expression" dxfId="2447" priority="176">
      <formula>AND(Z$9&gt;=8/24,Z$9&lt;14/24)</formula>
    </cfRule>
    <cfRule type="expression" dxfId="2446" priority="177">
      <formula>Z$9&lt;8/24</formula>
    </cfRule>
  </conditionalFormatting>
  <conditionalFormatting sqref="M44:R44">
    <cfRule type="expression" dxfId="2445" priority="170">
      <formula>M$9&gt;=20/24</formula>
    </cfRule>
    <cfRule type="expression" dxfId="2444" priority="171">
      <formula>AND(M$9&gt;=14/24,M$9&lt;20/24)</formula>
    </cfRule>
    <cfRule type="expression" dxfId="2443" priority="172">
      <formula>AND(M$9&gt;=8/24,M$9&lt;14/24)</formula>
    </cfRule>
    <cfRule type="expression" dxfId="2442" priority="173">
      <formula>M$9&lt;8/24</formula>
    </cfRule>
  </conditionalFormatting>
  <conditionalFormatting sqref="S44:Y44">
    <cfRule type="expression" dxfId="2441" priority="166">
      <formula>S$9&gt;=20/24</formula>
    </cfRule>
    <cfRule type="expression" dxfId="2440" priority="167">
      <formula>AND(S$9&gt;=14/24,S$9&lt;20/24)</formula>
    </cfRule>
    <cfRule type="expression" dxfId="2439" priority="168">
      <formula>AND(S$9&gt;=8/24,S$9&lt;14/24)</formula>
    </cfRule>
    <cfRule type="expression" dxfId="2438" priority="169">
      <formula>S$9&lt;8/24</formula>
    </cfRule>
  </conditionalFormatting>
  <conditionalFormatting sqref="A44">
    <cfRule type="expression" dxfId="2437" priority="165">
      <formula>$AH44=0</formula>
    </cfRule>
  </conditionalFormatting>
  <conditionalFormatting sqref="A79">
    <cfRule type="expression" dxfId="2436" priority="164">
      <formula>$AH79=0</formula>
    </cfRule>
  </conditionalFormatting>
  <conditionalFormatting sqref="A73">
    <cfRule type="expression" dxfId="2435" priority="163">
      <formula>$AH73=0</formula>
    </cfRule>
  </conditionalFormatting>
  <conditionalFormatting sqref="AL34:AL35 AL7:AL31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U60:W61 X61">
    <cfRule type="expression" dxfId="2434" priority="159">
      <formula>U$9&gt;=20/24</formula>
    </cfRule>
    <cfRule type="expression" dxfId="2433" priority="160">
      <formula>AND(U$9&gt;=14/24,U$9&lt;20/24)</formula>
    </cfRule>
    <cfRule type="expression" dxfId="2432" priority="161">
      <formula>AND(U$9&gt;=8/24,U$9&lt;14/24)</formula>
    </cfRule>
    <cfRule type="expression" dxfId="2431" priority="162">
      <formula>U$9&lt;8/24</formula>
    </cfRule>
  </conditionalFormatting>
  <conditionalFormatting sqref="U85:W91">
    <cfRule type="expression" dxfId="2430" priority="155">
      <formula>U$9&gt;=20/24</formula>
    </cfRule>
    <cfRule type="expression" dxfId="2429" priority="156">
      <formula>AND(U$9&gt;=14/24,U$9&lt;20/24)</formula>
    </cfRule>
    <cfRule type="expression" dxfId="2428" priority="157">
      <formula>AND(U$9&gt;=8/24,U$9&lt;14/24)</formula>
    </cfRule>
    <cfRule type="expression" dxfId="2427" priority="158">
      <formula>U$9&lt;8/24</formula>
    </cfRule>
  </conditionalFormatting>
  <conditionalFormatting sqref="S85:T91 C84:R91">
    <cfRule type="expression" dxfId="2426" priority="151">
      <formula>C$9&gt;=20/24</formula>
    </cfRule>
    <cfRule type="expression" dxfId="2425" priority="152">
      <formula>AND(C$9&gt;=14/24,C$9&lt;20/24)</formula>
    </cfRule>
    <cfRule type="expression" dxfId="2424" priority="153">
      <formula>AND(C$9&gt;=8/24,C$9&lt;14/24)</formula>
    </cfRule>
    <cfRule type="expression" dxfId="2423" priority="154">
      <formula>C$9&lt;8/24</formula>
    </cfRule>
  </conditionalFormatting>
  <conditionalFormatting sqref="S84:T84">
    <cfRule type="expression" dxfId="2422" priority="147">
      <formula>S$9&gt;=20/24</formula>
    </cfRule>
    <cfRule type="expression" dxfId="2421" priority="148">
      <formula>AND(S$9&gt;=14/24,S$9&lt;20/24)</formula>
    </cfRule>
    <cfRule type="expression" dxfId="2420" priority="149">
      <formula>AND(S$9&gt;=8/24,S$9&lt;14/24)</formula>
    </cfRule>
    <cfRule type="expression" dxfId="2419" priority="150">
      <formula>S$9&lt;8/24</formula>
    </cfRule>
  </conditionalFormatting>
  <conditionalFormatting sqref="C95:M97 C94:F94">
    <cfRule type="expression" dxfId="2418" priority="143">
      <formula>C$9&gt;=20/24</formula>
    </cfRule>
    <cfRule type="expression" dxfId="2417" priority="144">
      <formula>AND(C$9&gt;=14/24,C$9&lt;20/24)</formula>
    </cfRule>
    <cfRule type="expression" dxfId="2416" priority="145">
      <formula>AND(C$9&gt;=8/24,C$9&lt;14/24)</formula>
    </cfRule>
    <cfRule type="expression" dxfId="2415" priority="146">
      <formula>C$9&lt;8/24</formula>
    </cfRule>
  </conditionalFormatting>
  <conditionalFormatting sqref="N95:R97 O94:R94">
    <cfRule type="expression" dxfId="2414" priority="139">
      <formula>N$9&gt;=20/24</formula>
    </cfRule>
    <cfRule type="expression" dxfId="2413" priority="140">
      <formula>AND(N$9&gt;=14/24,N$9&lt;20/24)</formula>
    </cfRule>
    <cfRule type="expression" dxfId="2412" priority="141">
      <formula>AND(N$9&gt;=8/24,N$9&lt;14/24)</formula>
    </cfRule>
    <cfRule type="expression" dxfId="2411" priority="142">
      <formula>N$9&lt;8/24</formula>
    </cfRule>
  </conditionalFormatting>
  <conditionalFormatting sqref="S94:T97">
    <cfRule type="expression" dxfId="2410" priority="135">
      <formula>S$9&gt;=20/24</formula>
    </cfRule>
    <cfRule type="expression" dxfId="2409" priority="136">
      <formula>AND(S$9&gt;=14/24,S$9&lt;20/24)</formula>
    </cfRule>
    <cfRule type="expression" dxfId="2408" priority="137">
      <formula>AND(S$9&gt;=8/24,S$9&lt;14/24)</formula>
    </cfRule>
    <cfRule type="expression" dxfId="2407" priority="138">
      <formula>S$9&lt;8/24</formula>
    </cfRule>
  </conditionalFormatting>
  <conditionalFormatting sqref="C98:M98">
    <cfRule type="expression" dxfId="2406" priority="131">
      <formula>C$9&gt;=20/24</formula>
    </cfRule>
    <cfRule type="expression" dxfId="2405" priority="132">
      <formula>AND(C$9&gt;=14/24,C$9&lt;20/24)</formula>
    </cfRule>
    <cfRule type="expression" dxfId="2404" priority="133">
      <formula>AND(C$9&gt;=8/24,C$9&lt;14/24)</formula>
    </cfRule>
    <cfRule type="expression" dxfId="2403" priority="134">
      <formula>C$9&lt;8/24</formula>
    </cfRule>
  </conditionalFormatting>
  <conditionalFormatting sqref="N98:R98">
    <cfRule type="expression" dxfId="2402" priority="127">
      <formula>N$9&gt;=20/24</formula>
    </cfRule>
    <cfRule type="expression" dxfId="2401" priority="128">
      <formula>AND(N$9&gt;=14/24,N$9&lt;20/24)</formula>
    </cfRule>
    <cfRule type="expression" dxfId="2400" priority="129">
      <formula>AND(N$9&gt;=8/24,N$9&lt;14/24)</formula>
    </cfRule>
    <cfRule type="expression" dxfId="2399" priority="130">
      <formula>N$9&lt;8/24</formula>
    </cfRule>
  </conditionalFormatting>
  <conditionalFormatting sqref="S98:T98">
    <cfRule type="expression" dxfId="2398" priority="123">
      <formula>S$9&gt;=20/24</formula>
    </cfRule>
    <cfRule type="expression" dxfId="2397" priority="124">
      <formula>AND(S$9&gt;=14/24,S$9&lt;20/24)</formula>
    </cfRule>
    <cfRule type="expression" dxfId="2396" priority="125">
      <formula>AND(S$9&gt;=8/24,S$9&lt;14/24)</formula>
    </cfRule>
    <cfRule type="expression" dxfId="2395" priority="126">
      <formula>S$9&lt;8/24</formula>
    </cfRule>
  </conditionalFormatting>
  <conditionalFormatting sqref="M94:N94">
    <cfRule type="expression" dxfId="2394" priority="119">
      <formula>M$9&gt;=20/24</formula>
    </cfRule>
    <cfRule type="expression" dxfId="2393" priority="120">
      <formula>AND(M$9&gt;=14/24,M$9&lt;20/24)</formula>
    </cfRule>
    <cfRule type="expression" dxfId="2392" priority="121">
      <formula>AND(M$9&gt;=8/24,M$9&lt;14/24)</formula>
    </cfRule>
    <cfRule type="expression" dxfId="2391" priority="122">
      <formula>M$9&lt;8/24</formula>
    </cfRule>
  </conditionalFormatting>
  <conditionalFormatting sqref="G94:L94">
    <cfRule type="expression" dxfId="2390" priority="115">
      <formula>G$9&gt;=20/24</formula>
    </cfRule>
    <cfRule type="expression" dxfId="2389" priority="116">
      <formula>AND(G$9&gt;=14/24,G$9&lt;20/24)</formula>
    </cfRule>
    <cfRule type="expression" dxfId="2388" priority="117">
      <formula>AND(G$9&gt;=8/24,G$9&lt;14/24)</formula>
    </cfRule>
    <cfRule type="expression" dxfId="2387" priority="118">
      <formula>G$9&lt;8/24</formula>
    </cfRule>
  </conditionalFormatting>
  <conditionalFormatting sqref="U94:W94">
    <cfRule type="expression" dxfId="2386" priority="111">
      <formula>U$9&gt;=20/24</formula>
    </cfRule>
    <cfRule type="expression" dxfId="2385" priority="112">
      <formula>AND(U$9&gt;=14/24,U$9&lt;20/24)</formula>
    </cfRule>
    <cfRule type="expression" dxfId="2384" priority="113">
      <formula>AND(U$9&gt;=8/24,U$9&lt;14/24)</formula>
    </cfRule>
    <cfRule type="expression" dxfId="2383" priority="114">
      <formula>U$9&lt;8/24</formula>
    </cfRule>
  </conditionalFormatting>
  <conditionalFormatting sqref="N94:T94">
    <cfRule type="expression" dxfId="2382" priority="107">
      <formula>N$9&gt;=20/24</formula>
    </cfRule>
    <cfRule type="expression" dxfId="2381" priority="108">
      <formula>AND(N$9&gt;=14/24,N$9&lt;20/24)</formula>
    </cfRule>
    <cfRule type="expression" dxfId="2380" priority="109">
      <formula>AND(N$9&gt;=8/24,N$9&lt;14/24)</formula>
    </cfRule>
    <cfRule type="expression" dxfId="2379" priority="110">
      <formula>N$9&lt;8/24</formula>
    </cfRule>
  </conditionalFormatting>
  <conditionalFormatting sqref="U99:AA100">
    <cfRule type="expression" dxfId="2378" priority="103">
      <formula>U$9&gt;=20/24</formula>
    </cfRule>
    <cfRule type="expression" dxfId="2377" priority="104">
      <formula>AND(U$9&gt;=14/24,U$9&lt;20/24)</formula>
    </cfRule>
    <cfRule type="expression" dxfId="2376" priority="105">
      <formula>AND(U$9&gt;=8/24,U$9&lt;14/24)</formula>
    </cfRule>
    <cfRule type="expression" dxfId="2375" priority="106">
      <formula>U$9&lt;8/24</formula>
    </cfRule>
  </conditionalFormatting>
  <conditionalFormatting sqref="C99:M100">
    <cfRule type="expression" dxfId="2374" priority="99">
      <formula>C$9&gt;=20/24</formula>
    </cfRule>
    <cfRule type="expression" dxfId="2373" priority="100">
      <formula>AND(C$9&gt;=14/24,C$9&lt;20/24)</formula>
    </cfRule>
    <cfRule type="expression" dxfId="2372" priority="101">
      <formula>AND(C$9&gt;=8/24,C$9&lt;14/24)</formula>
    </cfRule>
    <cfRule type="expression" dxfId="2371" priority="102">
      <formula>C$9&lt;8/24</formula>
    </cfRule>
  </conditionalFormatting>
  <conditionalFormatting sqref="N99:R100">
    <cfRule type="expression" dxfId="2370" priority="95">
      <formula>N$9&gt;=20/24</formula>
    </cfRule>
    <cfRule type="expression" dxfId="2369" priority="96">
      <formula>AND(N$9&gt;=14/24,N$9&lt;20/24)</formula>
    </cfRule>
    <cfRule type="expression" dxfId="2368" priority="97">
      <formula>AND(N$9&gt;=8/24,N$9&lt;14/24)</formula>
    </cfRule>
    <cfRule type="expression" dxfId="2367" priority="98">
      <formula>N$9&lt;8/24</formula>
    </cfRule>
  </conditionalFormatting>
  <conditionalFormatting sqref="S99:T100">
    <cfRule type="expression" dxfId="2366" priority="91">
      <formula>S$9&gt;=20/24</formula>
    </cfRule>
    <cfRule type="expression" dxfId="2365" priority="92">
      <formula>AND(S$9&gt;=14/24,S$9&lt;20/24)</formula>
    </cfRule>
    <cfRule type="expression" dxfId="2364" priority="93">
      <formula>AND(S$9&gt;=8/24,S$9&lt;14/24)</formula>
    </cfRule>
    <cfRule type="expression" dxfId="2363" priority="94">
      <formula>S$9&lt;8/24</formula>
    </cfRule>
  </conditionalFormatting>
  <conditionalFormatting sqref="S12:Y13 W16:X16 S14:X15 Y14:Y16">
    <cfRule type="expression" dxfId="2362" priority="87">
      <formula>S$9&gt;=20/24</formula>
    </cfRule>
    <cfRule type="expression" dxfId="2361" priority="88">
      <formula>AND(S$9&gt;=14/24,S$9&lt;20/24)</formula>
    </cfRule>
    <cfRule type="expression" dxfId="2360" priority="89">
      <formula>AND(S$9&gt;=8/24,S$9&lt;14/24)</formula>
    </cfRule>
    <cfRule type="expression" dxfId="2359" priority="90">
      <formula>S$9&lt;8/24</formula>
    </cfRule>
  </conditionalFormatting>
  <conditionalFormatting sqref="S12:Y13">
    <cfRule type="expression" dxfId="2358" priority="79">
      <formula>S$9&gt;=20/24</formula>
    </cfRule>
    <cfRule type="expression" dxfId="2357" priority="80">
      <formula>AND(S$9&gt;=14/24,S$9&lt;20/24)</formula>
    </cfRule>
    <cfRule type="expression" dxfId="2356" priority="81">
      <formula>AND(S$9&gt;=8/24,S$9&lt;14/24)</formula>
    </cfRule>
    <cfRule type="expression" dxfId="2355" priority="82">
      <formula>S$9&lt;8/24</formula>
    </cfRule>
  </conditionalFormatting>
  <conditionalFormatting sqref="AC58:AE59">
    <cfRule type="expression" dxfId="2354" priority="75">
      <formula>AC$9&gt;=20/24</formula>
    </cfRule>
    <cfRule type="expression" dxfId="2353" priority="76">
      <formula>AND(AC$9&gt;=14/24,AC$9&lt;20/24)</formula>
    </cfRule>
    <cfRule type="expression" dxfId="2352" priority="77">
      <formula>AND(AC$9&gt;=8/24,AC$9&lt;14/24)</formula>
    </cfRule>
    <cfRule type="expression" dxfId="2351" priority="78">
      <formula>AC$9&lt;8/24</formula>
    </cfRule>
  </conditionalFormatting>
  <conditionalFormatting sqref="AL33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50" priority="308">
      <formula>C$9&gt;=20/24</formula>
    </cfRule>
    <cfRule type="expression" dxfId="2349" priority="309">
      <formula>AND(C$9&gt;=14/24,C$9&lt;20/24)</formula>
    </cfRule>
    <cfRule type="expression" dxfId="2348" priority="310">
      <formula>AND(C$9&gt;=8/24,C$9&lt;14/24)</formula>
    </cfRule>
    <cfRule type="expression" dxfId="2347" priority="311">
      <formula>C$9&lt;8/24</formula>
    </cfRule>
  </conditionalFormatting>
  <conditionalFormatting sqref="A201">
    <cfRule type="expression" dxfId="2346" priority="312">
      <formula>$AH201=0</formula>
    </cfRule>
  </conditionalFormatting>
  <conditionalFormatting sqref="AG213">
    <cfRule type="expression" dxfId="2345" priority="313">
      <formula>B$9&gt;=20/24</formula>
    </cfRule>
    <cfRule type="expression" dxfId="2344" priority="314">
      <formula>AND(B$9&gt;=14/24,B$9&lt;20/24)</formula>
    </cfRule>
    <cfRule type="expression" dxfId="2343" priority="315">
      <formula>AND(B$9&gt;=8/24,B$9&lt;14/24)</formula>
    </cfRule>
    <cfRule type="expression" dxfId="2342" priority="316">
      <formula>B$9&lt;8/24</formula>
    </cfRule>
  </conditionalFormatting>
  <conditionalFormatting sqref="S8">
    <cfRule type="expression" dxfId="2341" priority="69">
      <formula>U$9&gt;=20/24</formula>
    </cfRule>
    <cfRule type="expression" dxfId="2340" priority="70">
      <formula>AND(U$9&gt;=14/24,U$9&lt;20/24)</formula>
    </cfRule>
    <cfRule type="expression" dxfId="2339" priority="71">
      <formula>AND(U$9&gt;=8/24,U$9&lt;14/24)</formula>
    </cfRule>
    <cfRule type="expression" dxfId="2338" priority="72">
      <formula>U$9&lt;8/24</formula>
    </cfRule>
  </conditionalFormatting>
  <conditionalFormatting sqref="AB8">
    <cfRule type="expression" dxfId="2337" priority="65">
      <formula>AD$9&gt;=20/24</formula>
    </cfRule>
    <cfRule type="expression" dxfId="2336" priority="66">
      <formula>AND(AD$9&gt;=14/24,AD$9&lt;20/24)</formula>
    </cfRule>
    <cfRule type="expression" dxfId="2335" priority="67">
      <formula>AND(AD$9&gt;=8/24,AD$9&lt;14/24)</formula>
    </cfRule>
    <cfRule type="expression" dxfId="2334" priority="68">
      <formula>AD$9&lt;8/24</formula>
    </cfRule>
  </conditionalFormatting>
  <conditionalFormatting sqref="AH213:AX213">
    <cfRule type="expression" dxfId="2333" priority="317">
      <formula>AG$9&gt;=20/24</formula>
    </cfRule>
    <cfRule type="expression" dxfId="2332" priority="318">
      <formula>AND(AG$9&gt;=14/24,AG$9&lt;20/24)</formula>
    </cfRule>
    <cfRule type="expression" dxfId="2331" priority="319">
      <formula>AND(AG$9&gt;=8/24,AG$9&lt;14/24)</formula>
    </cfRule>
    <cfRule type="expression" dxfId="2330" priority="320">
      <formula>AG$9&lt;8/24</formula>
    </cfRule>
  </conditionalFormatting>
  <conditionalFormatting sqref="T213">
    <cfRule type="expression" dxfId="2329" priority="321">
      <formula>AX$9&gt;=20/24</formula>
    </cfRule>
    <cfRule type="expression" dxfId="2328" priority="322">
      <formula>AND(AX$9&gt;=14/24,AX$9&lt;20/24)</formula>
    </cfRule>
    <cfRule type="expression" dxfId="2327" priority="323">
      <formula>AND(AX$9&gt;=8/24,AX$9&lt;14/24)</formula>
    </cfRule>
    <cfRule type="expression" dxfId="2326" priority="324">
      <formula>AX$9&lt;8/24</formula>
    </cfRule>
  </conditionalFormatting>
  <conditionalFormatting sqref="A99:A100">
    <cfRule type="expression" dxfId="2325" priority="64">
      <formula>$AH99=0</formula>
    </cfRule>
  </conditionalFormatting>
  <conditionalFormatting sqref="M33:Y33">
    <cfRule type="expression" dxfId="2324" priority="60">
      <formula>M$9&gt;=20/24</formula>
    </cfRule>
    <cfRule type="expression" dxfId="2323" priority="61">
      <formula>AND(M$9&gt;=14/24,M$9&lt;20/24)</formula>
    </cfRule>
    <cfRule type="expression" dxfId="2322" priority="62">
      <formula>AND(M$9&gt;=8/24,M$9&lt;14/24)</formula>
    </cfRule>
    <cfRule type="expression" dxfId="2321" priority="63">
      <formula>M$9&lt;8/24</formula>
    </cfRule>
  </conditionalFormatting>
  <conditionalFormatting sqref="Z33:AF33">
    <cfRule type="expression" dxfId="2320" priority="56">
      <formula>Z$9&gt;=20/24</formula>
    </cfRule>
    <cfRule type="expression" dxfId="2319" priority="57">
      <formula>AND(Z$9&gt;=14/24,Z$9&lt;20/24)</formula>
    </cfRule>
    <cfRule type="expression" dxfId="2318" priority="58">
      <formula>AND(Z$9&gt;=8/24,Z$9&lt;14/24)</formula>
    </cfRule>
    <cfRule type="expression" dxfId="2317" priority="59">
      <formula>Z$9&lt;8/24</formula>
    </cfRule>
  </conditionalFormatting>
  <conditionalFormatting sqref="L33:AF33">
    <cfRule type="expression" dxfId="2316" priority="51">
      <formula>L33&gt;$AG33</formula>
    </cfRule>
  </conditionalFormatting>
  <conditionalFormatting sqref="B94:B100 B53:B60 B68:B91 B42:B43 B11:D14 E12:G14 B16:K31 B36:K36 H13:K14">
    <cfRule type="expression" dxfId="2315" priority="47">
      <formula>B$9&gt;=20/24</formula>
    </cfRule>
    <cfRule type="expression" dxfId="2314" priority="48">
      <formula>AND(B$9&gt;=14/24,B$9&lt;20/24)</formula>
    </cfRule>
    <cfRule type="expression" dxfId="2313" priority="49">
      <formula>AND(B$9&gt;=8/24,B$9&lt;14/24)</formula>
    </cfRule>
    <cfRule type="expression" dxfId="2312" priority="50">
      <formula>B$9&lt;8/24</formula>
    </cfRule>
  </conditionalFormatting>
  <conditionalFormatting sqref="B32:K32">
    <cfRule type="expression" dxfId="2311" priority="43">
      <formula>B$9&gt;=20/24</formula>
    </cfRule>
    <cfRule type="expression" dxfId="2310" priority="44">
      <formula>AND(B$9&gt;=14/24,B$9&lt;20/24)</formula>
    </cfRule>
    <cfRule type="expression" dxfId="2309" priority="45">
      <formula>AND(B$9&gt;=8/24,B$9&lt;14/24)</formula>
    </cfRule>
    <cfRule type="expression" dxfId="2308" priority="46">
      <formula>B$9&lt;8/24</formula>
    </cfRule>
  </conditionalFormatting>
  <conditionalFormatting sqref="B37:D37">
    <cfRule type="expression" dxfId="2307" priority="39">
      <formula>B$9&gt;=20/24</formula>
    </cfRule>
    <cfRule type="expression" dxfId="2306" priority="40">
      <formula>AND(B$9&gt;=14/24,B$9&lt;20/24)</formula>
    </cfRule>
    <cfRule type="expression" dxfId="2305" priority="41">
      <formula>AND(B$9&gt;=8/24,B$9&lt;14/24)</formula>
    </cfRule>
    <cfRule type="expression" dxfId="2304" priority="42">
      <formula>B$9&lt;8/24</formula>
    </cfRule>
  </conditionalFormatting>
  <conditionalFormatting sqref="B35:K35">
    <cfRule type="expression" dxfId="2303" priority="35">
      <formula>B$9&gt;=20/24</formula>
    </cfRule>
    <cfRule type="expression" dxfId="2302" priority="36">
      <formula>AND(B$9&gt;=14/24,B$9&lt;20/24)</formula>
    </cfRule>
    <cfRule type="expression" dxfId="2301" priority="37">
      <formula>AND(B$9&gt;=8/24,B$9&lt;14/24)</formula>
    </cfRule>
    <cfRule type="expression" dxfId="2300" priority="38">
      <formula>B$9&lt;8/24</formula>
    </cfRule>
  </conditionalFormatting>
  <conditionalFormatting sqref="B45:K48">
    <cfRule type="expression" dxfId="2299" priority="31">
      <formula>B$9&gt;=20/24</formula>
    </cfRule>
    <cfRule type="expression" dxfId="2298" priority="32">
      <formula>AND(B$9&gt;=14/24,B$9&lt;20/24)</formula>
    </cfRule>
    <cfRule type="expression" dxfId="2297" priority="33">
      <formula>AND(B$9&gt;=8/24,B$9&lt;14/24)</formula>
    </cfRule>
    <cfRule type="expression" dxfId="2296" priority="34">
      <formula>B$9&lt;8/24</formula>
    </cfRule>
  </conditionalFormatting>
  <conditionalFormatting sqref="B49:K49">
    <cfRule type="expression" dxfId="2295" priority="27">
      <formula>B$9&gt;=20/24</formula>
    </cfRule>
    <cfRule type="expression" dxfId="2294" priority="28">
      <formula>AND(B$9&gt;=14/24,B$9&lt;20/24)</formula>
    </cfRule>
    <cfRule type="expression" dxfId="2293" priority="29">
      <formula>AND(B$9&gt;=8/24,B$9&lt;14/24)</formula>
    </cfRule>
    <cfRule type="expression" dxfId="2292" priority="30">
      <formula>B$9&lt;8/24</formula>
    </cfRule>
  </conditionalFormatting>
  <conditionalFormatting sqref="B50:K50">
    <cfRule type="expression" dxfId="2291" priority="23">
      <formula>B$9&gt;=20/24</formula>
    </cfRule>
    <cfRule type="expression" dxfId="2290" priority="24">
      <formula>AND(B$9&gt;=14/24,B$9&lt;20/24)</formula>
    </cfRule>
    <cfRule type="expression" dxfId="2289" priority="25">
      <formula>AND(B$9&gt;=8/24,B$9&lt;14/24)</formula>
    </cfRule>
    <cfRule type="expression" dxfId="2288" priority="26">
      <formula>B$9&lt;8/24</formula>
    </cfRule>
  </conditionalFormatting>
  <conditionalFormatting sqref="B61:D64 E62:K64 B65:K67">
    <cfRule type="expression" dxfId="2287" priority="19">
      <formula>B$9&gt;=20/24</formula>
    </cfRule>
    <cfRule type="expression" dxfId="2286" priority="20">
      <formula>AND(B$9&gt;=14/24,B$9&lt;20/24)</formula>
    </cfRule>
    <cfRule type="expression" dxfId="2285" priority="21">
      <formula>AND(B$9&gt;=8/24,B$9&lt;14/24)</formula>
    </cfRule>
    <cfRule type="expression" dxfId="2284" priority="22">
      <formula>B$9&lt;8/24</formula>
    </cfRule>
  </conditionalFormatting>
  <conditionalFormatting sqref="B34:B56 B11:D32 C34:D37 E12:G32 H13:K32 E34:K36 C44:K50">
    <cfRule type="expression" dxfId="2283" priority="18">
      <formula>B11&gt;$AG11</formula>
    </cfRule>
  </conditionalFormatting>
  <conditionalFormatting sqref="B34:K34">
    <cfRule type="expression" dxfId="2282" priority="14">
      <formula>B$9&gt;=20/24</formula>
    </cfRule>
    <cfRule type="expression" dxfId="2281" priority="15">
      <formula>AND(B$9&gt;=14/24,B$9&lt;20/24)</formula>
    </cfRule>
    <cfRule type="expression" dxfId="2280" priority="16">
      <formula>AND(B$9&gt;=8/24,B$9&lt;14/24)</formula>
    </cfRule>
    <cfRule type="expression" dxfId="2279" priority="17">
      <formula>B$9&lt;8/24</formula>
    </cfRule>
  </conditionalFormatting>
  <conditionalFormatting sqref="B15:K15">
    <cfRule type="expression" dxfId="2278" priority="10">
      <formula>B$9&gt;=20/24</formula>
    </cfRule>
    <cfRule type="expression" dxfId="2277" priority="11">
      <formula>AND(B$9&gt;=14/24,B$9&lt;20/24)</formula>
    </cfRule>
    <cfRule type="expression" dxfId="2276" priority="12">
      <formula>AND(B$9&gt;=8/24,B$9&lt;14/24)</formula>
    </cfRule>
    <cfRule type="expression" dxfId="2275" priority="13">
      <formula>B$9&lt;8/24</formula>
    </cfRule>
  </conditionalFormatting>
  <conditionalFormatting sqref="B44:K44">
    <cfRule type="expression" dxfId="2274" priority="6">
      <formula>B$9&gt;=20/24</formula>
    </cfRule>
    <cfRule type="expression" dxfId="2273" priority="7">
      <formula>AND(B$9&gt;=14/24,B$9&lt;20/24)</formula>
    </cfRule>
    <cfRule type="expression" dxfId="2272" priority="8">
      <formula>AND(B$9&gt;=8/24,B$9&lt;14/24)</formula>
    </cfRule>
    <cfRule type="expression" dxfId="2271" priority="9">
      <formula>B$9&lt;8/24</formula>
    </cfRule>
  </conditionalFormatting>
  <conditionalFormatting sqref="B33:K33">
    <cfRule type="expression" dxfId="2270" priority="2">
      <formula>B$9&gt;=20/24</formula>
    </cfRule>
    <cfRule type="expression" dxfId="2269" priority="3">
      <formula>AND(B$9&gt;=14/24,B$9&lt;20/24)</formula>
    </cfRule>
    <cfRule type="expression" dxfId="2268" priority="4">
      <formula>AND(B$9&gt;=8/24,B$9&lt;14/24)</formula>
    </cfRule>
    <cfRule type="expression" dxfId="2267" priority="5">
      <formula>B$9&lt;8/24</formula>
    </cfRule>
  </conditionalFormatting>
  <conditionalFormatting sqref="B33:K33">
    <cfRule type="expression" dxfId="2266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4" id="{509FF2E6-3A55-41CF-AAEC-CB400C1A51E2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CJ472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M59" sqref="M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2078/12/24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132.80000000000001</v>
      </c>
      <c r="C5" s="157">
        <f t="shared" si="0"/>
        <v>214.6</v>
      </c>
      <c r="D5" s="157">
        <f t="shared" si="0"/>
        <v>234.8</v>
      </c>
      <c r="E5" s="157">
        <f t="shared" si="0"/>
        <v>290.60000000000002</v>
      </c>
      <c r="F5" s="157">
        <f t="shared" si="0"/>
        <v>252.5</v>
      </c>
      <c r="G5" s="157">
        <f t="shared" si="0"/>
        <v>225.5</v>
      </c>
      <c r="H5" s="157">
        <f t="shared" si="0"/>
        <v>223.39999999999998</v>
      </c>
      <c r="I5" s="157">
        <f t="shared" si="0"/>
        <v>234.29999999999998</v>
      </c>
      <c r="J5" s="157">
        <f t="shared" si="0"/>
        <v>233.1</v>
      </c>
      <c r="K5" s="157">
        <f t="shared" si="0"/>
        <v>238.9</v>
      </c>
      <c r="L5" s="157">
        <f t="shared" si="0"/>
        <v>452.8</v>
      </c>
      <c r="M5" s="157">
        <f t="shared" si="0"/>
        <v>512.29999999999995</v>
      </c>
      <c r="N5" s="157">
        <f t="shared" si="0"/>
        <v>511.9</v>
      </c>
      <c r="O5" s="157">
        <f t="shared" si="0"/>
        <v>550.29999999999995</v>
      </c>
      <c r="P5" s="157">
        <f t="shared" si="0"/>
        <v>576.6</v>
      </c>
      <c r="Q5" s="157">
        <f t="shared" si="0"/>
        <v>610.09999999999991</v>
      </c>
      <c r="R5" s="157">
        <f t="shared" si="0"/>
        <v>635.5</v>
      </c>
      <c r="S5" s="157">
        <f t="shared" si="0"/>
        <v>586</v>
      </c>
      <c r="T5" s="157">
        <f t="shared" si="0"/>
        <v>557</v>
      </c>
      <c r="U5" s="157">
        <f t="shared" si="0"/>
        <v>506</v>
      </c>
      <c r="V5" s="157">
        <f t="shared" si="0"/>
        <v>538</v>
      </c>
      <c r="W5" s="157">
        <f t="shared" si="0"/>
        <v>466</v>
      </c>
      <c r="X5" s="157">
        <f t="shared" si="0"/>
        <v>224</v>
      </c>
      <c r="Y5" s="157">
        <f t="shared" si="0"/>
        <v>264</v>
      </c>
      <c r="Z5" s="157">
        <f t="shared" si="0"/>
        <v>243</v>
      </c>
      <c r="AA5" s="157">
        <f t="shared" si="0"/>
        <v>244</v>
      </c>
      <c r="AB5" s="157">
        <f t="shared" si="0"/>
        <v>244</v>
      </c>
      <c r="AC5" s="157">
        <f t="shared" si="0"/>
        <v>225.1</v>
      </c>
      <c r="AD5" s="157">
        <f t="shared" si="0"/>
        <v>218</v>
      </c>
      <c r="AE5" s="157">
        <f t="shared" si="0"/>
        <v>181</v>
      </c>
      <c r="AF5" s="157">
        <f>B68</f>
        <v>228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1431MW at 7:30hr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Load=1228</v>
      </c>
      <c r="B7" s="146">
        <f>B75</f>
        <v>1292.1399999999999</v>
      </c>
      <c r="C7" s="146">
        <f t="shared" ref="C7:AF7" si="1">C75</f>
        <v>1243.6399999999999</v>
      </c>
      <c r="D7" s="146">
        <f t="shared" si="1"/>
        <v>1258.6400000000001</v>
      </c>
      <c r="E7" s="146">
        <f t="shared" si="1"/>
        <v>1227.54</v>
      </c>
      <c r="F7" s="146">
        <f t="shared" si="1"/>
        <v>1231.54</v>
      </c>
      <c r="G7" s="146">
        <f t="shared" si="1"/>
        <v>1244.44</v>
      </c>
      <c r="H7" s="146">
        <f t="shared" si="1"/>
        <v>1257.3400000000001</v>
      </c>
      <c r="I7" s="146">
        <f t="shared" si="1"/>
        <v>1291.94</v>
      </c>
      <c r="J7" s="146">
        <f t="shared" si="1"/>
        <v>1369.74</v>
      </c>
      <c r="K7" s="146">
        <f t="shared" si="1"/>
        <v>1408.74</v>
      </c>
      <c r="L7" s="146">
        <f t="shared" si="1"/>
        <v>1430.94</v>
      </c>
      <c r="M7" s="146">
        <f t="shared" si="1"/>
        <v>1426.1420000000001</v>
      </c>
      <c r="N7" s="146">
        <f t="shared" si="1"/>
        <v>1379.94</v>
      </c>
      <c r="O7" s="146">
        <f t="shared" si="1"/>
        <v>1431.3400000000001</v>
      </c>
      <c r="P7" s="146">
        <f t="shared" si="1"/>
        <v>1377.4399999999998</v>
      </c>
      <c r="Q7" s="146">
        <f t="shared" si="1"/>
        <v>1411.94</v>
      </c>
      <c r="R7" s="146">
        <f t="shared" si="1"/>
        <v>1445.04</v>
      </c>
      <c r="S7" s="146">
        <f t="shared" si="1"/>
        <v>1454.04</v>
      </c>
      <c r="T7" s="146">
        <f t="shared" si="1"/>
        <v>1463.54</v>
      </c>
      <c r="U7" s="146">
        <f t="shared" si="1"/>
        <v>1451.94</v>
      </c>
      <c r="V7" s="146">
        <f t="shared" si="1"/>
        <v>1471.8400000000001</v>
      </c>
      <c r="W7" s="146">
        <f t="shared" si="1"/>
        <v>1482.44</v>
      </c>
      <c r="X7" s="146">
        <f t="shared" si="1"/>
        <v>1412.44</v>
      </c>
      <c r="Y7" s="146">
        <f t="shared" si="1"/>
        <v>1521.1399999999999</v>
      </c>
      <c r="Z7" s="146">
        <f t="shared" si="1"/>
        <v>1611.14</v>
      </c>
      <c r="AA7" s="146">
        <f t="shared" si="1"/>
        <v>1620.14</v>
      </c>
      <c r="AB7" s="146">
        <f t="shared" si="1"/>
        <v>1587.5400000000002</v>
      </c>
      <c r="AC7" s="146">
        <f t="shared" si="1"/>
        <v>1537.5400000000002</v>
      </c>
      <c r="AD7" s="146">
        <f t="shared" si="1"/>
        <v>1495.64</v>
      </c>
      <c r="AE7" s="146">
        <f t="shared" si="1"/>
        <v>1387.24</v>
      </c>
      <c r="AF7" s="146">
        <f t="shared" si="1"/>
        <v>1247.8400000000001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170</v>
      </c>
      <c r="C11" s="127">
        <v>200</v>
      </c>
      <c r="D11" s="127">
        <v>150</v>
      </c>
      <c r="E11" s="127">
        <v>150</v>
      </c>
      <c r="F11" s="127">
        <v>140</v>
      </c>
      <c r="G11" s="127">
        <v>190</v>
      </c>
      <c r="H11" s="127">
        <v>230</v>
      </c>
      <c r="I11" s="127">
        <v>250</v>
      </c>
      <c r="J11" s="127">
        <v>300</v>
      </c>
      <c r="K11" s="127">
        <v>320</v>
      </c>
      <c r="L11" s="127">
        <v>320</v>
      </c>
      <c r="M11" s="103">
        <v>100</v>
      </c>
      <c r="N11" s="103">
        <v>100</v>
      </c>
      <c r="O11" s="103">
        <v>76</v>
      </c>
      <c r="P11" s="103">
        <v>40</v>
      </c>
      <c r="Q11" s="103">
        <v>30</v>
      </c>
      <c r="R11" s="135">
        <v>12</v>
      </c>
      <c r="S11" s="135">
        <v>12</v>
      </c>
      <c r="T11" s="103">
        <v>60</v>
      </c>
      <c r="U11" s="103">
        <v>80</v>
      </c>
      <c r="V11" s="103">
        <v>150</v>
      </c>
      <c r="W11" s="103">
        <v>120</v>
      </c>
      <c r="X11" s="103">
        <v>120</v>
      </c>
      <c r="Y11" s="103">
        <v>300</v>
      </c>
      <c r="Z11" s="179">
        <v>350</v>
      </c>
      <c r="AA11" s="103">
        <v>380</v>
      </c>
      <c r="AB11" s="103">
        <v>380</v>
      </c>
      <c r="AC11" s="103">
        <v>350</v>
      </c>
      <c r="AD11" s="103">
        <v>350</v>
      </c>
      <c r="AE11" s="103">
        <v>280</v>
      </c>
      <c r="AF11" s="103">
        <v>280</v>
      </c>
      <c r="AG11" s="54">
        <v>456</v>
      </c>
      <c r="AH11" s="21">
        <f>MAX(B11:AF11)</f>
        <v>380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77">
        <v>27</v>
      </c>
      <c r="W12" s="77">
        <v>27</v>
      </c>
      <c r="X12" s="77">
        <v>27</v>
      </c>
      <c r="Y12" s="7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20</v>
      </c>
      <c r="C13" s="127">
        <v>20</v>
      </c>
      <c r="D13" s="127">
        <v>20</v>
      </c>
      <c r="E13" s="127">
        <v>20</v>
      </c>
      <c r="F13" s="127">
        <v>20</v>
      </c>
      <c r="G13" s="127">
        <v>20</v>
      </c>
      <c r="H13" s="127">
        <v>20</v>
      </c>
      <c r="I13" s="127">
        <v>20</v>
      </c>
      <c r="J13" s="127">
        <v>20</v>
      </c>
      <c r="K13" s="127">
        <v>20</v>
      </c>
      <c r="L13" s="127">
        <v>20</v>
      </c>
      <c r="M13" s="127">
        <v>19.3</v>
      </c>
      <c r="N13" s="127">
        <v>16.899999999999999</v>
      </c>
      <c r="O13" s="127">
        <v>16.899999999999999</v>
      </c>
      <c r="P13" s="127">
        <v>18.8</v>
      </c>
      <c r="Q13" s="127">
        <v>18.100000000000001</v>
      </c>
      <c r="R13" s="127">
        <v>18.100000000000001</v>
      </c>
      <c r="S13" s="127">
        <v>18.100000000000001</v>
      </c>
      <c r="T13" s="127">
        <v>18.100000000000001</v>
      </c>
      <c r="U13" s="127">
        <v>18.100000000000001</v>
      </c>
      <c r="V13" s="77">
        <v>19</v>
      </c>
      <c r="W13" s="77">
        <v>19</v>
      </c>
      <c r="X13" s="77">
        <v>19</v>
      </c>
      <c r="Y13" s="77">
        <v>19</v>
      </c>
      <c r="Z13" s="103">
        <v>19</v>
      </c>
      <c r="AA13" s="103">
        <v>19</v>
      </c>
      <c r="AB13" s="103">
        <v>19</v>
      </c>
      <c r="AC13" s="103">
        <v>19</v>
      </c>
      <c r="AD13" s="103">
        <v>19</v>
      </c>
      <c r="AE13" s="103">
        <v>19</v>
      </c>
      <c r="AF13" s="103">
        <v>19</v>
      </c>
      <c r="AG13" s="134">
        <v>52.4</v>
      </c>
      <c r="AH13" s="21">
        <f t="shared" si="2"/>
        <v>20</v>
      </c>
      <c r="AI13" s="20">
        <f t="shared" si="3"/>
        <v>16.899999999999999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25.5</v>
      </c>
      <c r="C14" s="127">
        <v>25.5</v>
      </c>
      <c r="D14" s="127">
        <v>25.5</v>
      </c>
      <c r="E14" s="127">
        <v>25.5</v>
      </c>
      <c r="F14" s="127">
        <v>25.5</v>
      </c>
      <c r="G14" s="127">
        <v>25.5</v>
      </c>
      <c r="H14" s="127">
        <v>25.5</v>
      </c>
      <c r="I14" s="127">
        <v>25.5</v>
      </c>
      <c r="J14" s="127">
        <v>25.5</v>
      </c>
      <c r="K14" s="127">
        <v>25.5</v>
      </c>
      <c r="L14" s="127">
        <v>25.5</v>
      </c>
      <c r="M14" s="103">
        <v>25.2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67">
        <v>0</v>
      </c>
      <c r="W14" s="67">
        <v>0</v>
      </c>
      <c r="X14" s="67">
        <v>0</v>
      </c>
      <c r="Y14" s="67">
        <v>0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0</v>
      </c>
      <c r="AG14" s="134">
        <v>50</v>
      </c>
      <c r="AH14" s="21">
        <f t="shared" si="2"/>
        <v>25.5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22.7</v>
      </c>
      <c r="C15" s="123">
        <v>22.7</v>
      </c>
      <c r="D15" s="123">
        <v>22.7</v>
      </c>
      <c r="E15" s="123">
        <v>22.7</v>
      </c>
      <c r="F15" s="123">
        <v>22.7</v>
      </c>
      <c r="G15" s="123">
        <v>22.7</v>
      </c>
      <c r="H15" s="123">
        <v>22.7</v>
      </c>
      <c r="I15" s="123">
        <v>22.7</v>
      </c>
      <c r="J15" s="123">
        <v>22.7</v>
      </c>
      <c r="K15" s="123">
        <v>22.7</v>
      </c>
      <c r="L15" s="123">
        <v>22.7</v>
      </c>
      <c r="M15" s="103">
        <v>22.7</v>
      </c>
      <c r="N15" s="103">
        <v>22.7</v>
      </c>
      <c r="O15" s="103">
        <v>22.7</v>
      </c>
      <c r="P15" s="103">
        <v>22.7</v>
      </c>
      <c r="Q15" s="103">
        <v>22.6</v>
      </c>
      <c r="R15" s="103">
        <v>22.8</v>
      </c>
      <c r="S15" s="103">
        <v>22.8</v>
      </c>
      <c r="T15" s="103">
        <v>22.8</v>
      </c>
      <c r="U15" s="103">
        <v>22.8</v>
      </c>
      <c r="V15" s="103">
        <v>22.8</v>
      </c>
      <c r="W15" s="103">
        <v>22.8</v>
      </c>
      <c r="X15" s="103">
        <v>22.8</v>
      </c>
      <c r="Y15" s="103">
        <v>22.8</v>
      </c>
      <c r="Z15" s="103">
        <v>22.8</v>
      </c>
      <c r="AA15" s="103">
        <v>22.8</v>
      </c>
      <c r="AB15" s="103">
        <v>22.8</v>
      </c>
      <c r="AC15" s="103">
        <v>22.8</v>
      </c>
      <c r="AD15" s="103">
        <v>22.8</v>
      </c>
      <c r="AE15" s="103">
        <v>22.8</v>
      </c>
      <c r="AF15" s="103">
        <v>22.8</v>
      </c>
      <c r="AG15" s="108">
        <v>45</v>
      </c>
      <c r="AH15" s="21">
        <f t="shared" si="2"/>
        <v>22.8</v>
      </c>
      <c r="AI15" s="20">
        <f t="shared" si="3"/>
        <v>22.6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12</v>
      </c>
      <c r="C17" s="127">
        <v>12</v>
      </c>
      <c r="D17" s="127">
        <v>12</v>
      </c>
      <c r="E17" s="127">
        <v>12</v>
      </c>
      <c r="F17" s="127">
        <v>12</v>
      </c>
      <c r="G17" s="127">
        <v>12</v>
      </c>
      <c r="H17" s="127">
        <v>12</v>
      </c>
      <c r="I17" s="127">
        <v>12</v>
      </c>
      <c r="J17" s="127">
        <v>12</v>
      </c>
      <c r="K17" s="127">
        <v>12</v>
      </c>
      <c r="L17" s="127">
        <v>12</v>
      </c>
      <c r="M17" s="103">
        <v>12</v>
      </c>
      <c r="N17" s="103">
        <v>12</v>
      </c>
      <c r="O17" s="103">
        <v>12</v>
      </c>
      <c r="P17" s="103">
        <v>12</v>
      </c>
      <c r="Q17" s="103">
        <v>12</v>
      </c>
      <c r="R17" s="103">
        <v>12</v>
      </c>
      <c r="S17" s="103">
        <v>12</v>
      </c>
      <c r="T17" s="103">
        <v>12</v>
      </c>
      <c r="U17" s="103">
        <v>12</v>
      </c>
      <c r="V17" s="103">
        <v>12</v>
      </c>
      <c r="W17" s="103">
        <v>12</v>
      </c>
      <c r="X17" s="103">
        <v>12</v>
      </c>
      <c r="Y17" s="103">
        <v>12</v>
      </c>
      <c r="Z17" s="103">
        <v>12</v>
      </c>
      <c r="AA17" s="103">
        <v>12</v>
      </c>
      <c r="AB17" s="103">
        <v>12</v>
      </c>
      <c r="AC17" s="103">
        <v>12</v>
      </c>
      <c r="AD17" s="103">
        <v>12</v>
      </c>
      <c r="AE17" s="103">
        <v>12</v>
      </c>
      <c r="AF17" s="103">
        <v>12</v>
      </c>
      <c r="AG17" s="134">
        <v>42</v>
      </c>
      <c r="AH17" s="21">
        <f t="shared" si="2"/>
        <v>12</v>
      </c>
      <c r="AI17" s="20">
        <f t="shared" si="3"/>
        <v>12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13.2</v>
      </c>
      <c r="C19" s="127">
        <v>13.2</v>
      </c>
      <c r="D19" s="127">
        <v>13.2</v>
      </c>
      <c r="E19" s="127">
        <v>13.2</v>
      </c>
      <c r="F19" s="127">
        <v>13.2</v>
      </c>
      <c r="G19" s="127">
        <v>13.2</v>
      </c>
      <c r="H19" s="127">
        <v>13.2</v>
      </c>
      <c r="I19" s="127">
        <v>13.2</v>
      </c>
      <c r="J19" s="127">
        <v>13.2</v>
      </c>
      <c r="K19" s="127">
        <v>13.2</v>
      </c>
      <c r="L19" s="127">
        <v>13.2</v>
      </c>
      <c r="M19" s="103">
        <v>13.1</v>
      </c>
      <c r="N19" s="103">
        <v>13.1</v>
      </c>
      <c r="O19" s="103">
        <v>13.1</v>
      </c>
      <c r="P19" s="103">
        <v>13.1</v>
      </c>
      <c r="Q19" s="103">
        <v>13.1</v>
      </c>
      <c r="R19" s="103">
        <v>13.1</v>
      </c>
      <c r="S19" s="103">
        <v>13.1</v>
      </c>
      <c r="T19" s="103">
        <v>13.1</v>
      </c>
      <c r="U19" s="103">
        <v>13.1</v>
      </c>
      <c r="V19" s="103">
        <v>13.1</v>
      </c>
      <c r="W19" s="103">
        <v>13.1</v>
      </c>
      <c r="X19" s="103">
        <v>13.1</v>
      </c>
      <c r="Y19" s="103">
        <v>13.1</v>
      </c>
      <c r="Z19" s="103">
        <v>13.1</v>
      </c>
      <c r="AA19" s="103">
        <v>13.1</v>
      </c>
      <c r="AB19" s="103">
        <v>13.1</v>
      </c>
      <c r="AC19" s="103">
        <v>13.1</v>
      </c>
      <c r="AD19" s="103">
        <v>13.1</v>
      </c>
      <c r="AE19" s="103">
        <v>13.1</v>
      </c>
      <c r="AF19" s="103">
        <v>13.1</v>
      </c>
      <c r="AG19" s="134">
        <v>30</v>
      </c>
      <c r="AH19" s="21">
        <f t="shared" si="2"/>
        <v>13.2</v>
      </c>
      <c r="AI19" s="20">
        <f t="shared" si="3"/>
        <v>13.1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22.4</v>
      </c>
      <c r="C22" s="127">
        <v>22.4</v>
      </c>
      <c r="D22" s="127">
        <v>22.4</v>
      </c>
      <c r="E22" s="127">
        <v>22.4</v>
      </c>
      <c r="F22" s="127">
        <v>22.4</v>
      </c>
      <c r="G22" s="127">
        <v>22.4</v>
      </c>
      <c r="H22" s="127">
        <v>22.4</v>
      </c>
      <c r="I22" s="127">
        <v>22.4</v>
      </c>
      <c r="J22" s="127">
        <v>22.4</v>
      </c>
      <c r="K22" s="127">
        <v>22.4</v>
      </c>
      <c r="L22" s="127">
        <v>22.4</v>
      </c>
      <c r="M22" s="103">
        <v>22</v>
      </c>
      <c r="N22" s="103">
        <v>22</v>
      </c>
      <c r="O22" s="103">
        <v>22</v>
      </c>
      <c r="P22" s="103">
        <v>22</v>
      </c>
      <c r="Q22" s="103">
        <v>22</v>
      </c>
      <c r="R22" s="103">
        <v>22</v>
      </c>
      <c r="S22" s="103">
        <v>22</v>
      </c>
      <c r="T22" s="103">
        <v>22</v>
      </c>
      <c r="U22" s="103">
        <v>22</v>
      </c>
      <c r="V22" s="103">
        <v>22</v>
      </c>
      <c r="W22" s="103">
        <v>22</v>
      </c>
      <c r="X22" s="103">
        <v>22</v>
      </c>
      <c r="Y22" s="103">
        <v>22</v>
      </c>
      <c r="Z22" s="103">
        <v>22</v>
      </c>
      <c r="AA22" s="103">
        <v>22</v>
      </c>
      <c r="AB22" s="103">
        <v>22</v>
      </c>
      <c r="AC22" s="103">
        <v>22</v>
      </c>
      <c r="AD22" s="103">
        <v>22</v>
      </c>
      <c r="AE22" s="103">
        <v>22</v>
      </c>
      <c r="AF22" s="103">
        <v>22</v>
      </c>
      <c r="AG22" s="134">
        <v>25</v>
      </c>
      <c r="AH22" s="21">
        <f t="shared" si="2"/>
        <v>22.4</v>
      </c>
      <c r="AI22" s="20">
        <f t="shared" si="3"/>
        <v>22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4.9000000000000004</v>
      </c>
      <c r="C23" s="127">
        <v>4.9000000000000004</v>
      </c>
      <c r="D23" s="127">
        <v>4.9000000000000004</v>
      </c>
      <c r="E23" s="127">
        <v>4.9000000000000004</v>
      </c>
      <c r="F23" s="127">
        <v>4.9000000000000004</v>
      </c>
      <c r="G23" s="127">
        <v>4.9000000000000004</v>
      </c>
      <c r="H23" s="127">
        <v>4.9000000000000004</v>
      </c>
      <c r="I23" s="127">
        <v>4.9000000000000004</v>
      </c>
      <c r="J23" s="127">
        <v>4.9000000000000004</v>
      </c>
      <c r="K23" s="127">
        <v>4.9000000000000004</v>
      </c>
      <c r="L23" s="127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8.6999999999999993</v>
      </c>
      <c r="C24" s="127">
        <v>8.6999999999999993</v>
      </c>
      <c r="D24" s="127">
        <v>8.6999999999999993</v>
      </c>
      <c r="E24" s="127">
        <v>8.6999999999999993</v>
      </c>
      <c r="F24" s="127">
        <v>8.6999999999999993</v>
      </c>
      <c r="G24" s="127">
        <v>8.6999999999999993</v>
      </c>
      <c r="H24" s="127">
        <v>8.6999999999999993</v>
      </c>
      <c r="I24" s="127">
        <v>8.6999999999999993</v>
      </c>
      <c r="J24" s="127">
        <v>8.6999999999999993</v>
      </c>
      <c r="K24" s="127">
        <v>8.6999999999999993</v>
      </c>
      <c r="L24" s="127">
        <v>8.6999999999999993</v>
      </c>
      <c r="M24" s="103">
        <v>6.7</v>
      </c>
      <c r="N24" s="103">
        <v>6.7</v>
      </c>
      <c r="O24" s="103">
        <v>6.7</v>
      </c>
      <c r="P24" s="103">
        <v>6.7</v>
      </c>
      <c r="Q24" s="103">
        <v>6.7</v>
      </c>
      <c r="R24" s="103">
        <v>6.7</v>
      </c>
      <c r="S24" s="103">
        <v>6.7</v>
      </c>
      <c r="T24" s="103">
        <v>6.7</v>
      </c>
      <c r="U24" s="103">
        <v>6.7</v>
      </c>
      <c r="V24" s="103">
        <v>6.7</v>
      </c>
      <c r="W24" s="103">
        <v>6.7</v>
      </c>
      <c r="X24" s="103">
        <v>6.7</v>
      </c>
      <c r="Y24" s="103">
        <v>6.7</v>
      </c>
      <c r="Z24" s="103">
        <v>6.7</v>
      </c>
      <c r="AA24" s="103">
        <v>6.7</v>
      </c>
      <c r="AB24" s="103">
        <v>6.7</v>
      </c>
      <c r="AC24" s="103">
        <v>6.7</v>
      </c>
      <c r="AD24" s="103">
        <v>6.7</v>
      </c>
      <c r="AE24" s="103">
        <v>6.7</v>
      </c>
      <c r="AF24" s="103">
        <v>6.7</v>
      </c>
      <c r="AG24" s="134">
        <v>25</v>
      </c>
      <c r="AH24" s="21">
        <f t="shared" si="2"/>
        <v>8.6999999999999993</v>
      </c>
      <c r="AI24" s="20">
        <f t="shared" si="3"/>
        <v>6.7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11</v>
      </c>
      <c r="C26" s="127">
        <v>11</v>
      </c>
      <c r="D26" s="127">
        <v>11</v>
      </c>
      <c r="E26" s="127">
        <v>11</v>
      </c>
      <c r="F26" s="127">
        <v>11</v>
      </c>
      <c r="G26" s="127">
        <v>11</v>
      </c>
      <c r="H26" s="127">
        <v>11</v>
      </c>
      <c r="I26" s="127">
        <v>11</v>
      </c>
      <c r="J26" s="127">
        <v>11</v>
      </c>
      <c r="K26" s="127">
        <v>11</v>
      </c>
      <c r="L26" s="127">
        <v>11</v>
      </c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27">
        <v>2.5</v>
      </c>
      <c r="AC27" s="127">
        <v>2.5</v>
      </c>
      <c r="AD27" s="127">
        <v>2.5</v>
      </c>
      <c r="AE27" s="127">
        <v>2.5</v>
      </c>
      <c r="AF27" s="127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5.6</v>
      </c>
      <c r="C28" s="127">
        <v>5.6</v>
      </c>
      <c r="D28" s="127">
        <v>5.6</v>
      </c>
      <c r="E28" s="127">
        <v>5.6</v>
      </c>
      <c r="F28" s="127">
        <v>5.6</v>
      </c>
      <c r="G28" s="127">
        <v>5.6</v>
      </c>
      <c r="H28" s="127">
        <v>5.6</v>
      </c>
      <c r="I28" s="127">
        <v>5.6</v>
      </c>
      <c r="J28" s="127">
        <v>5.6</v>
      </c>
      <c r="K28" s="127">
        <v>5.6</v>
      </c>
      <c r="L28" s="127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4</v>
      </c>
      <c r="N35" s="103">
        <v>4</v>
      </c>
      <c r="O35" s="103">
        <v>4</v>
      </c>
      <c r="P35" s="103">
        <v>4</v>
      </c>
      <c r="Q35" s="103">
        <v>4</v>
      </c>
      <c r="R35" s="103">
        <v>4</v>
      </c>
      <c r="S35" s="103">
        <v>4</v>
      </c>
      <c r="T35" s="103">
        <v>4</v>
      </c>
      <c r="U35" s="103">
        <v>4</v>
      </c>
      <c r="V35" s="103">
        <v>4</v>
      </c>
      <c r="W35" s="103">
        <v>4</v>
      </c>
      <c r="X35" s="103">
        <v>4</v>
      </c>
      <c r="Y35" s="103">
        <v>4</v>
      </c>
      <c r="Z35" s="103">
        <v>4</v>
      </c>
      <c r="AA35" s="103">
        <v>4</v>
      </c>
      <c r="AB35" s="103">
        <v>4</v>
      </c>
      <c r="AC35" s="103">
        <v>4</v>
      </c>
      <c r="AD35" s="103">
        <v>4</v>
      </c>
      <c r="AE35" s="103">
        <v>4</v>
      </c>
      <c r="AF35" s="103">
        <v>4</v>
      </c>
      <c r="AG35" s="106">
        <v>15.33</v>
      </c>
      <c r="AH35" s="21">
        <f t="shared" si="2"/>
        <v>4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f>26.2+22.4</f>
        <v>48.599999999999994</v>
      </c>
      <c r="C37" s="123">
        <f>27.2+22.3</f>
        <v>49.5</v>
      </c>
      <c r="D37" s="123">
        <f>27.1+22.8</f>
        <v>49.900000000000006</v>
      </c>
      <c r="E37" s="123">
        <f>27.3+22.7</f>
        <v>50</v>
      </c>
      <c r="F37" s="123">
        <f>27.8+21.6</f>
        <v>49.400000000000006</v>
      </c>
      <c r="G37" s="123">
        <f>30.2+21.5</f>
        <v>51.7</v>
      </c>
      <c r="H37" s="123">
        <f>30.2+21.8</f>
        <v>52</v>
      </c>
      <c r="I37" s="123">
        <f>30.9+21.5</f>
        <v>52.4</v>
      </c>
      <c r="J37" s="123">
        <f>30.9+21.7</f>
        <v>52.599999999999994</v>
      </c>
      <c r="K37" s="123">
        <f>29.8+21.2</f>
        <v>51</v>
      </c>
      <c r="L37" s="123">
        <f>30.5+22</f>
        <v>52.5</v>
      </c>
      <c r="M37" s="128">
        <v>54.2</v>
      </c>
      <c r="N37" s="128">
        <v>54.2</v>
      </c>
      <c r="O37" s="128">
        <v>42.8</v>
      </c>
      <c r="P37" s="128">
        <v>46.7</v>
      </c>
      <c r="Q37" s="128">
        <v>46.4</v>
      </c>
      <c r="R37" s="128">
        <v>51.9</v>
      </c>
      <c r="S37" s="128">
        <v>51.9</v>
      </c>
      <c r="T37" s="128">
        <v>51.9</v>
      </c>
      <c r="U37" s="128">
        <v>49</v>
      </c>
      <c r="V37" s="128">
        <v>44</v>
      </c>
      <c r="W37" s="128">
        <v>44</v>
      </c>
      <c r="X37" s="128">
        <v>44</v>
      </c>
      <c r="Y37" s="128">
        <v>46</v>
      </c>
      <c r="Z37" s="128">
        <v>48.8</v>
      </c>
      <c r="AA37" s="128">
        <v>48.8</v>
      </c>
      <c r="AB37" s="128" t="s">
        <v>232</v>
      </c>
      <c r="AC37" s="128"/>
      <c r="AD37" s="128">
        <f>27.7+20.6</f>
        <v>48.3</v>
      </c>
      <c r="AE37" s="128">
        <f>27.7+20.6</f>
        <v>48.3</v>
      </c>
      <c r="AF37" s="128">
        <f>27.7+20.6</f>
        <v>48.3</v>
      </c>
      <c r="AG37" s="106">
        <v>240</v>
      </c>
      <c r="AH37" s="21">
        <f t="shared" si="2"/>
        <v>54.2</v>
      </c>
      <c r="AI37" s="20">
        <f t="shared" si="3"/>
        <v>42.8</v>
      </c>
      <c r="AK37" s="42"/>
    </row>
    <row r="38" spans="1:88" ht="15.75" thickBot="1" x14ac:dyDescent="0.3">
      <c r="A38" s="100" t="s">
        <v>173</v>
      </c>
      <c r="B38" s="99">
        <v>574</v>
      </c>
      <c r="C38" s="99">
        <f t="shared" ref="C38:AF38" si="4">SUM(C11:C36)</f>
        <v>604</v>
      </c>
      <c r="D38" s="99">
        <f t="shared" si="4"/>
        <v>554</v>
      </c>
      <c r="E38" s="99">
        <f t="shared" si="4"/>
        <v>554</v>
      </c>
      <c r="F38" s="99">
        <f t="shared" si="4"/>
        <v>544</v>
      </c>
      <c r="G38" s="99">
        <f t="shared" si="4"/>
        <v>594</v>
      </c>
      <c r="H38" s="99">
        <f t="shared" si="4"/>
        <v>634</v>
      </c>
      <c r="I38" s="99">
        <f t="shared" si="4"/>
        <v>654</v>
      </c>
      <c r="J38" s="99">
        <f t="shared" si="4"/>
        <v>704</v>
      </c>
      <c r="K38" s="99">
        <f t="shared" si="4"/>
        <v>724</v>
      </c>
      <c r="L38" s="99">
        <f t="shared" si="4"/>
        <v>724</v>
      </c>
      <c r="M38" s="99">
        <f t="shared" si="4"/>
        <v>504.5</v>
      </c>
      <c r="N38" s="99">
        <f t="shared" si="4"/>
        <v>476.90000000000003</v>
      </c>
      <c r="O38" s="99">
        <f t="shared" si="4"/>
        <v>452.9</v>
      </c>
      <c r="P38" s="99">
        <f t="shared" si="4"/>
        <v>418.79999999999995</v>
      </c>
      <c r="Q38" s="99">
        <f t="shared" si="4"/>
        <v>407.99999999999994</v>
      </c>
      <c r="R38" s="99">
        <f t="shared" si="4"/>
        <v>390.19999999999993</v>
      </c>
      <c r="S38" s="99">
        <f t="shared" si="4"/>
        <v>390.19999999999993</v>
      </c>
      <c r="T38" s="99">
        <f t="shared" si="4"/>
        <v>438.19999999999993</v>
      </c>
      <c r="U38" s="99">
        <f t="shared" si="4"/>
        <v>458.2</v>
      </c>
      <c r="V38" s="99">
        <f t="shared" si="4"/>
        <v>529.1</v>
      </c>
      <c r="W38" s="99">
        <f t="shared" si="4"/>
        <v>499.1</v>
      </c>
      <c r="X38" s="99">
        <f t="shared" si="4"/>
        <v>499.1</v>
      </c>
      <c r="Y38" s="99">
        <f t="shared" si="4"/>
        <v>679.1</v>
      </c>
      <c r="Z38" s="99">
        <f t="shared" si="4"/>
        <v>729.10000000000014</v>
      </c>
      <c r="AA38" s="99">
        <f t="shared" si="4"/>
        <v>759.10000000000014</v>
      </c>
      <c r="AB38" s="99">
        <f t="shared" si="4"/>
        <v>759.10000000000014</v>
      </c>
      <c r="AC38" s="99">
        <f t="shared" si="4"/>
        <v>729.10000000000014</v>
      </c>
      <c r="AD38" s="99">
        <f t="shared" si="4"/>
        <v>729.10000000000014</v>
      </c>
      <c r="AE38" s="99">
        <f t="shared" si="4"/>
        <v>659.1</v>
      </c>
      <c r="AF38" s="99">
        <f t="shared" si="4"/>
        <v>659.1</v>
      </c>
      <c r="AG38" s="106">
        <f>SUM(AG11:AG37)</f>
        <v>1492.8299999999997</v>
      </c>
      <c r="AH38" s="21">
        <f t="shared" si="2"/>
        <v>759.10000000000014</v>
      </c>
      <c r="AI38" s="20">
        <f t="shared" si="3"/>
        <v>390.19999999999993</v>
      </c>
      <c r="AK38" s="42"/>
    </row>
    <row r="39" spans="1:88" x14ac:dyDescent="0.25">
      <c r="A39" s="109" t="s">
        <v>172</v>
      </c>
      <c r="B39" s="127">
        <v>111.6</v>
      </c>
      <c r="C39" s="127">
        <v>144</v>
      </c>
      <c r="D39" s="127">
        <v>136</v>
      </c>
      <c r="E39" s="123">
        <v>101.5</v>
      </c>
      <c r="F39" s="123">
        <v>101.1</v>
      </c>
      <c r="G39" s="123">
        <v>101.9</v>
      </c>
      <c r="H39" s="123">
        <v>101.6</v>
      </c>
      <c r="I39" s="123">
        <v>106.2</v>
      </c>
      <c r="J39" s="123">
        <v>90.8</v>
      </c>
      <c r="K39" s="123">
        <v>91.1</v>
      </c>
      <c r="L39" s="123">
        <v>107.5</v>
      </c>
      <c r="M39" s="103">
        <v>97.5</v>
      </c>
      <c r="N39" s="103">
        <v>91</v>
      </c>
      <c r="O39" s="103">
        <v>97.1</v>
      </c>
      <c r="P39" s="103">
        <v>97.1</v>
      </c>
      <c r="Q39" s="103">
        <v>91.2</v>
      </c>
      <c r="R39" s="103">
        <v>91.1</v>
      </c>
      <c r="S39" s="103">
        <v>101</v>
      </c>
      <c r="T39" s="103">
        <v>97</v>
      </c>
      <c r="U39" s="103">
        <v>109</v>
      </c>
      <c r="V39" s="103">
        <v>109</v>
      </c>
      <c r="W39" s="103">
        <v>120</v>
      </c>
      <c r="X39" s="103">
        <v>121</v>
      </c>
      <c r="Y39" s="103">
        <v>145</v>
      </c>
      <c r="Z39" s="103">
        <v>145</v>
      </c>
      <c r="AA39" s="103">
        <v>145</v>
      </c>
      <c r="AB39" s="103">
        <v>140</v>
      </c>
      <c r="AC39" s="103">
        <v>140</v>
      </c>
      <c r="AD39" s="103">
        <v>137</v>
      </c>
      <c r="AE39" s="103">
        <v>137</v>
      </c>
      <c r="AF39" s="103">
        <v>111</v>
      </c>
      <c r="AG39" s="108">
        <v>144</v>
      </c>
      <c r="AH39" s="21">
        <f t="shared" si="2"/>
        <v>145</v>
      </c>
      <c r="AI39" s="20">
        <f t="shared" si="3"/>
        <v>90.8</v>
      </c>
      <c r="AK39" s="42"/>
    </row>
    <row r="40" spans="1:88" x14ac:dyDescent="0.25">
      <c r="A40" s="107" t="s">
        <v>171</v>
      </c>
      <c r="B40" s="123">
        <v>54.4</v>
      </c>
      <c r="C40" s="123">
        <v>71.099999999999994</v>
      </c>
      <c r="D40" s="123">
        <v>61</v>
      </c>
      <c r="E40" s="123">
        <v>51.9</v>
      </c>
      <c r="F40" s="123">
        <v>21.7</v>
      </c>
      <c r="G40" s="123">
        <v>22</v>
      </c>
      <c r="H40" s="123">
        <v>21.9</v>
      </c>
      <c r="I40" s="123">
        <v>34.200000000000003</v>
      </c>
      <c r="J40" s="123">
        <v>51.4</v>
      </c>
      <c r="K40" s="123">
        <v>71.400000000000006</v>
      </c>
      <c r="L40" s="123">
        <v>71.400000000000006</v>
      </c>
      <c r="M40" s="73">
        <v>70.400000000000006</v>
      </c>
      <c r="N40" s="73">
        <v>70.599999999999994</v>
      </c>
      <c r="O40" s="73">
        <v>71.5</v>
      </c>
      <c r="P40" s="73">
        <v>44.6</v>
      </c>
      <c r="Q40" s="73">
        <v>46.7</v>
      </c>
      <c r="R40" s="73">
        <v>60.2</v>
      </c>
      <c r="S40" s="73">
        <v>45</v>
      </c>
      <c r="T40" s="73">
        <v>68.400000000000006</v>
      </c>
      <c r="U40" s="73">
        <v>70</v>
      </c>
      <c r="V40" s="73">
        <v>70</v>
      </c>
      <c r="W40" s="73">
        <v>62</v>
      </c>
      <c r="X40" s="73">
        <v>63</v>
      </c>
      <c r="Y40" s="73">
        <v>69.3</v>
      </c>
      <c r="Z40" s="73">
        <v>69.3</v>
      </c>
      <c r="AA40" s="73">
        <v>69.3</v>
      </c>
      <c r="AB40" s="73">
        <v>71.7</v>
      </c>
      <c r="AC40" s="73">
        <v>71.7</v>
      </c>
      <c r="AD40" s="73">
        <v>71.7</v>
      </c>
      <c r="AE40" s="73">
        <v>60</v>
      </c>
      <c r="AF40" s="73">
        <v>60</v>
      </c>
      <c r="AG40" s="106">
        <v>70</v>
      </c>
      <c r="AH40" s="21">
        <f t="shared" si="2"/>
        <v>71.7</v>
      </c>
      <c r="AI40" s="20">
        <f t="shared" si="3"/>
        <v>21.7</v>
      </c>
      <c r="AK40" s="42"/>
    </row>
    <row r="41" spans="1:88" x14ac:dyDescent="0.25">
      <c r="A41" s="107" t="s">
        <v>170</v>
      </c>
      <c r="B41" s="123">
        <v>67</v>
      </c>
      <c r="C41" s="123">
        <v>66.599999999999994</v>
      </c>
      <c r="D41" s="123">
        <v>67</v>
      </c>
      <c r="E41" s="123">
        <v>62.2</v>
      </c>
      <c r="F41" s="123">
        <v>52.1</v>
      </c>
      <c r="G41" s="123">
        <v>52</v>
      </c>
      <c r="H41" s="123">
        <v>52.3</v>
      </c>
      <c r="I41" s="123">
        <v>52.1</v>
      </c>
      <c r="J41" s="123">
        <v>67.2</v>
      </c>
      <c r="K41" s="123">
        <v>66.599999999999994</v>
      </c>
      <c r="L41" s="123">
        <v>66.599999999999994</v>
      </c>
      <c r="M41" s="73">
        <v>67</v>
      </c>
      <c r="N41" s="73" t="s">
        <v>230</v>
      </c>
      <c r="O41" s="73">
        <v>66</v>
      </c>
      <c r="P41" s="73">
        <v>33.5</v>
      </c>
      <c r="Q41" s="73">
        <v>45.3</v>
      </c>
      <c r="R41" s="73">
        <v>46.7</v>
      </c>
      <c r="S41" s="73">
        <v>35</v>
      </c>
      <c r="T41" s="73">
        <v>47</v>
      </c>
      <c r="U41" s="73">
        <v>46.4</v>
      </c>
      <c r="V41" s="73">
        <v>46.4</v>
      </c>
      <c r="W41" s="73">
        <v>37</v>
      </c>
      <c r="X41" s="73">
        <v>37</v>
      </c>
      <c r="Y41" s="73">
        <v>67.5</v>
      </c>
      <c r="Z41" s="73">
        <v>67.5</v>
      </c>
      <c r="AA41" s="73">
        <v>67.5</v>
      </c>
      <c r="AB41" s="73">
        <v>66.7</v>
      </c>
      <c r="AC41" s="73">
        <v>66.7</v>
      </c>
      <c r="AD41" s="73">
        <v>66.7</v>
      </c>
      <c r="AE41" s="73">
        <v>66.7</v>
      </c>
      <c r="AF41" s="73">
        <v>66</v>
      </c>
      <c r="AG41" s="106">
        <v>69</v>
      </c>
      <c r="AH41" s="21">
        <f t="shared" si="2"/>
        <v>67.5</v>
      </c>
      <c r="AI41" s="20">
        <f t="shared" si="3"/>
        <v>33.5</v>
      </c>
      <c r="AK41" s="42"/>
    </row>
    <row r="42" spans="1:88" x14ac:dyDescent="0.25">
      <c r="A42" s="107" t="s">
        <v>169</v>
      </c>
      <c r="B42" s="123">
        <v>60.7</v>
      </c>
      <c r="C42" s="123">
        <v>60.7</v>
      </c>
      <c r="D42" s="123">
        <v>60.7</v>
      </c>
      <c r="E42" s="123">
        <v>60.7</v>
      </c>
      <c r="F42" s="123">
        <v>60.7</v>
      </c>
      <c r="G42" s="123">
        <v>60.7</v>
      </c>
      <c r="H42" s="123">
        <v>60.7</v>
      </c>
      <c r="I42" s="123">
        <v>60.7</v>
      </c>
      <c r="J42" s="123">
        <v>60.7</v>
      </c>
      <c r="K42" s="123">
        <v>60.7</v>
      </c>
      <c r="L42" s="123">
        <v>60.7</v>
      </c>
      <c r="M42" s="73">
        <v>60.2</v>
      </c>
      <c r="N42" s="73">
        <v>60.4</v>
      </c>
      <c r="O42" s="73">
        <v>60.4</v>
      </c>
      <c r="P42" s="73">
        <v>60.7</v>
      </c>
      <c r="Q42" s="73">
        <v>60.4</v>
      </c>
      <c r="R42" s="73">
        <v>60.4</v>
      </c>
      <c r="S42" s="73">
        <v>60.4</v>
      </c>
      <c r="T42" s="73">
        <v>60.4</v>
      </c>
      <c r="U42" s="73">
        <v>60.2</v>
      </c>
      <c r="V42" s="73">
        <v>60.2</v>
      </c>
      <c r="W42" s="73">
        <v>60.2</v>
      </c>
      <c r="X42" s="73">
        <v>60.2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73">
        <v>5</v>
      </c>
      <c r="AG42" s="106">
        <v>60</v>
      </c>
      <c r="AH42" s="21">
        <f t="shared" si="2"/>
        <v>60.7</v>
      </c>
      <c r="AI42" s="20">
        <f t="shared" si="3"/>
        <v>5</v>
      </c>
      <c r="AK42" s="42"/>
    </row>
    <row r="43" spans="1:88" x14ac:dyDescent="0.25">
      <c r="A43" s="107" t="s">
        <v>168</v>
      </c>
      <c r="B43" s="123">
        <v>13.3</v>
      </c>
      <c r="C43" s="123">
        <v>13.3</v>
      </c>
      <c r="D43" s="123">
        <v>13.3</v>
      </c>
      <c r="E43" s="123">
        <v>10</v>
      </c>
      <c r="F43" s="123">
        <v>10</v>
      </c>
      <c r="G43" s="123">
        <v>10</v>
      </c>
      <c r="H43" s="123">
        <v>10</v>
      </c>
      <c r="I43" s="123">
        <v>10</v>
      </c>
      <c r="J43" s="123">
        <v>10</v>
      </c>
      <c r="K43" s="123">
        <v>10</v>
      </c>
      <c r="L43" s="123">
        <v>10</v>
      </c>
      <c r="M43" s="103">
        <v>19.399999999999999</v>
      </c>
      <c r="N43" s="103">
        <v>19.2</v>
      </c>
      <c r="O43" s="103">
        <v>19.600000000000001</v>
      </c>
      <c r="P43" s="103">
        <v>20</v>
      </c>
      <c r="Q43" s="103">
        <v>20</v>
      </c>
      <c r="R43" s="103">
        <v>20</v>
      </c>
      <c r="S43" s="103">
        <v>20</v>
      </c>
      <c r="T43" s="103">
        <v>15</v>
      </c>
      <c r="U43" s="103">
        <v>0</v>
      </c>
      <c r="V43" s="103">
        <v>0</v>
      </c>
      <c r="W43" s="103">
        <v>15</v>
      </c>
      <c r="X43" s="103">
        <v>15</v>
      </c>
      <c r="Y43" s="103">
        <v>25.5</v>
      </c>
      <c r="Z43" s="73">
        <v>25.5</v>
      </c>
      <c r="AA43" s="73">
        <v>25.5</v>
      </c>
      <c r="AB43" s="73">
        <v>25.5</v>
      </c>
      <c r="AC43" s="73">
        <v>25.5</v>
      </c>
      <c r="AD43" s="73">
        <v>25.5</v>
      </c>
      <c r="AE43" s="73">
        <v>25.5</v>
      </c>
      <c r="AF43" s="73">
        <v>25.5</v>
      </c>
      <c r="AG43" s="106">
        <v>30</v>
      </c>
      <c r="AH43" s="21">
        <f t="shared" si="2"/>
        <v>25.5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17.600000000000001</v>
      </c>
      <c r="C45" s="123">
        <v>17.600000000000001</v>
      </c>
      <c r="D45" s="123">
        <v>17.600000000000001</v>
      </c>
      <c r="E45" s="123">
        <v>17.600000000000001</v>
      </c>
      <c r="F45" s="123">
        <v>17.600000000000001</v>
      </c>
      <c r="G45" s="123">
        <v>17.600000000000001</v>
      </c>
      <c r="H45" s="123">
        <v>17.600000000000001</v>
      </c>
      <c r="I45" s="123">
        <v>17.600000000000001</v>
      </c>
      <c r="J45" s="123">
        <v>17.600000000000001</v>
      </c>
      <c r="K45" s="123">
        <v>17.600000000000001</v>
      </c>
      <c r="L45" s="123">
        <v>17.600000000000001</v>
      </c>
      <c r="M45" s="103">
        <v>17.600000000000001</v>
      </c>
      <c r="N45" s="103">
        <v>17.600000000000001</v>
      </c>
      <c r="O45" s="103">
        <v>17.600000000000001</v>
      </c>
      <c r="P45" s="103">
        <v>17.600000000000001</v>
      </c>
      <c r="Q45" s="103">
        <v>17.600000000000001</v>
      </c>
      <c r="R45" s="103">
        <v>17.600000000000001</v>
      </c>
      <c r="S45" s="103">
        <v>17.600000000000001</v>
      </c>
      <c r="T45" s="103">
        <v>17.600000000000001</v>
      </c>
      <c r="U45" s="103">
        <v>17.600000000000001</v>
      </c>
      <c r="V45" s="103">
        <v>17.600000000000001</v>
      </c>
      <c r="W45" s="103">
        <v>17.600000000000001</v>
      </c>
      <c r="X45" s="103">
        <v>17.600000000000001</v>
      </c>
      <c r="Y45" s="103">
        <v>17.600000000000001</v>
      </c>
      <c r="Z45" s="103">
        <v>17.600000000000001</v>
      </c>
      <c r="AA45" s="103">
        <v>17.600000000000001</v>
      </c>
      <c r="AB45" s="103">
        <v>17.600000000000001</v>
      </c>
      <c r="AC45" s="103">
        <v>17.600000000000001</v>
      </c>
      <c r="AD45" s="103">
        <v>17.600000000000001</v>
      </c>
      <c r="AE45" s="103">
        <v>17.600000000000001</v>
      </c>
      <c r="AF45" s="103">
        <v>17.600000000000001</v>
      </c>
      <c r="AG45" s="106">
        <v>24</v>
      </c>
      <c r="AH45" s="21">
        <f t="shared" si="2"/>
        <v>17.600000000000001</v>
      </c>
      <c r="AI45" s="20">
        <f t="shared" si="3"/>
        <v>17.600000000000001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7.2</v>
      </c>
      <c r="C48" s="123">
        <v>7.2</v>
      </c>
      <c r="D48" s="123">
        <v>7.2</v>
      </c>
      <c r="E48" s="123">
        <v>7.2</v>
      </c>
      <c r="F48" s="123">
        <v>7.2</v>
      </c>
      <c r="G48" s="123">
        <v>7.2</v>
      </c>
      <c r="H48" s="123">
        <v>7.2</v>
      </c>
      <c r="I48" s="123">
        <v>7.2</v>
      </c>
      <c r="J48" s="123">
        <v>7.2</v>
      </c>
      <c r="K48" s="123">
        <v>7.2</v>
      </c>
      <c r="L48" s="123">
        <v>7.2</v>
      </c>
      <c r="M48" s="103">
        <v>7.2</v>
      </c>
      <c r="N48" s="103">
        <v>7.2</v>
      </c>
      <c r="O48" s="103">
        <v>7.2</v>
      </c>
      <c r="P48" s="103">
        <v>7.2</v>
      </c>
      <c r="Q48" s="103">
        <v>7.2</v>
      </c>
      <c r="R48" s="10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23">
        <v>8.6999999999999993</v>
      </c>
      <c r="C49" s="123">
        <v>8.6999999999999993</v>
      </c>
      <c r="D49" s="123">
        <v>8.6999999999999993</v>
      </c>
      <c r="E49" s="123">
        <v>8.6999999999999993</v>
      </c>
      <c r="F49" s="123">
        <v>8.6999999999999993</v>
      </c>
      <c r="G49" s="123">
        <v>8.6999999999999993</v>
      </c>
      <c r="H49" s="123">
        <v>8.6999999999999993</v>
      </c>
      <c r="I49" s="123">
        <v>8.6999999999999993</v>
      </c>
      <c r="J49" s="123">
        <v>8.6999999999999993</v>
      </c>
      <c r="K49" s="123">
        <v>8.6999999999999993</v>
      </c>
      <c r="L49" s="123">
        <v>8.6999999999999993</v>
      </c>
      <c r="M49" s="103">
        <v>8.6999999999999993</v>
      </c>
      <c r="N49" s="103">
        <v>8.6999999999999993</v>
      </c>
      <c r="O49" s="103">
        <v>8.6999999999999993</v>
      </c>
      <c r="P49" s="103">
        <v>8.6999999999999993</v>
      </c>
      <c r="Q49" s="103">
        <v>8.6999999999999993</v>
      </c>
      <c r="R49" s="103">
        <v>8.6999999999999993</v>
      </c>
      <c r="S49" s="103">
        <v>8.6999999999999993</v>
      </c>
      <c r="T49" s="103">
        <v>8.6999999999999993</v>
      </c>
      <c r="U49" s="103">
        <v>8.6999999999999993</v>
      </c>
      <c r="V49" s="103">
        <v>8.6999999999999993</v>
      </c>
      <c r="W49" s="103">
        <v>8.6999999999999993</v>
      </c>
      <c r="X49" s="103">
        <v>8.6999999999999993</v>
      </c>
      <c r="Y49" s="10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0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8.6999999999999993</v>
      </c>
      <c r="AK49" s="42"/>
    </row>
    <row r="50" spans="1:37" x14ac:dyDescent="0.25">
      <c r="A50" s="107" t="s">
        <v>161</v>
      </c>
      <c r="B50" s="123">
        <v>3</v>
      </c>
      <c r="C50" s="123">
        <v>3</v>
      </c>
      <c r="D50" s="123">
        <v>3</v>
      </c>
      <c r="E50" s="123">
        <v>3</v>
      </c>
      <c r="F50" s="123">
        <v>3</v>
      </c>
      <c r="G50" s="123">
        <v>3</v>
      </c>
      <c r="H50" s="123">
        <v>3</v>
      </c>
      <c r="I50" s="123">
        <v>3</v>
      </c>
      <c r="J50" s="123">
        <v>3</v>
      </c>
      <c r="K50" s="123">
        <v>3</v>
      </c>
      <c r="L50" s="123">
        <v>3</v>
      </c>
      <c r="M50" s="103">
        <v>3</v>
      </c>
      <c r="N50" s="103">
        <v>3</v>
      </c>
      <c r="O50" s="103">
        <v>3</v>
      </c>
      <c r="P50" s="103">
        <v>3</v>
      </c>
      <c r="Q50" s="103">
        <v>3</v>
      </c>
      <c r="R50" s="103">
        <v>3</v>
      </c>
      <c r="S50" s="103">
        <v>3</v>
      </c>
      <c r="T50" s="103">
        <v>3</v>
      </c>
      <c r="U50" s="103">
        <v>3</v>
      </c>
      <c r="V50" s="103">
        <v>3</v>
      </c>
      <c r="W50" s="103">
        <v>3</v>
      </c>
      <c r="X50" s="103">
        <v>3</v>
      </c>
      <c r="Y50" s="10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03">
        <v>3</v>
      </c>
      <c r="AG50" s="106">
        <v>6.2</v>
      </c>
      <c r="AH50" s="21">
        <f t="shared" si="2"/>
        <v>3</v>
      </c>
      <c r="AI50" s="20">
        <f t="shared" si="3"/>
        <v>3</v>
      </c>
      <c r="AK50" s="42"/>
    </row>
    <row r="51" spans="1:37" ht="15.75" thickBot="1" x14ac:dyDescent="0.3">
      <c r="A51" s="125" t="s">
        <v>17</v>
      </c>
      <c r="B51" s="124"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v>391.14</v>
      </c>
      <c r="C52" s="99">
        <f t="shared" ref="C52:AF52" si="6">SUM(C39:C51)</f>
        <v>407.74</v>
      </c>
      <c r="D52" s="99">
        <f t="shared" si="6"/>
        <v>390.04</v>
      </c>
      <c r="E52" s="99">
        <f t="shared" si="6"/>
        <v>338.34000000000003</v>
      </c>
      <c r="F52" s="99">
        <f t="shared" si="6"/>
        <v>297.64000000000004</v>
      </c>
      <c r="G52" s="99">
        <f t="shared" si="6"/>
        <v>298.64000000000004</v>
      </c>
      <c r="H52" s="99">
        <f t="shared" si="6"/>
        <v>298.54000000000002</v>
      </c>
      <c r="I52" s="99">
        <f t="shared" si="6"/>
        <v>315.24</v>
      </c>
      <c r="J52" s="99">
        <f t="shared" si="6"/>
        <v>332.14</v>
      </c>
      <c r="K52" s="99">
        <f t="shared" si="6"/>
        <v>351.84000000000003</v>
      </c>
      <c r="L52" s="99">
        <f t="shared" si="6"/>
        <v>368.24</v>
      </c>
      <c r="M52" s="99">
        <f t="shared" si="6"/>
        <v>366.54</v>
      </c>
      <c r="N52" s="99">
        <f t="shared" si="6"/>
        <v>293.24</v>
      </c>
      <c r="O52" s="99">
        <f t="shared" si="6"/>
        <v>366.64000000000004</v>
      </c>
      <c r="P52" s="99">
        <f t="shared" si="6"/>
        <v>307.94</v>
      </c>
      <c r="Q52" s="99">
        <f t="shared" si="6"/>
        <v>315.64000000000004</v>
      </c>
      <c r="R52" s="99">
        <f t="shared" si="6"/>
        <v>330.44</v>
      </c>
      <c r="S52" s="99">
        <f t="shared" si="6"/>
        <v>313.44</v>
      </c>
      <c r="T52" s="99">
        <f t="shared" si="6"/>
        <v>339.84000000000003</v>
      </c>
      <c r="U52" s="99">
        <f t="shared" si="6"/>
        <v>337.64000000000004</v>
      </c>
      <c r="V52" s="99">
        <f t="shared" si="6"/>
        <v>337.64000000000004</v>
      </c>
      <c r="W52" s="99">
        <f t="shared" si="6"/>
        <v>346.24</v>
      </c>
      <c r="X52" s="99">
        <f t="shared" si="6"/>
        <v>348.24</v>
      </c>
      <c r="Y52" s="99">
        <f t="shared" si="6"/>
        <v>420.04</v>
      </c>
      <c r="Z52" s="99">
        <f t="shared" si="6"/>
        <v>420.04</v>
      </c>
      <c r="AA52" s="99">
        <f t="shared" si="6"/>
        <v>420.04</v>
      </c>
      <c r="AB52" s="99">
        <f t="shared" si="6"/>
        <v>416.64</v>
      </c>
      <c r="AC52" s="99">
        <f t="shared" si="6"/>
        <v>416.64</v>
      </c>
      <c r="AD52" s="99">
        <f t="shared" si="6"/>
        <v>413.64</v>
      </c>
      <c r="AE52" s="99">
        <f t="shared" si="6"/>
        <v>401.94</v>
      </c>
      <c r="AF52" s="99">
        <f t="shared" si="6"/>
        <v>319.54000000000002</v>
      </c>
      <c r="AG52" s="98">
        <f>SUM(AG39:AG51)</f>
        <v>489.91</v>
      </c>
      <c r="AH52" s="21">
        <f t="shared" si="2"/>
        <v>420.04</v>
      </c>
      <c r="AI52" s="20">
        <f t="shared" si="3"/>
        <v>293.24</v>
      </c>
      <c r="AK52" s="42"/>
    </row>
    <row r="53" spans="1:37" x14ac:dyDescent="0.25">
      <c r="A53" s="109" t="s">
        <v>159</v>
      </c>
      <c r="B53" s="103">
        <v>59.7</v>
      </c>
      <c r="C53" s="123">
        <v>59.8</v>
      </c>
      <c r="D53" s="123">
        <v>59</v>
      </c>
      <c r="E53" s="123">
        <v>59.7</v>
      </c>
      <c r="F53" s="123">
        <v>59.2</v>
      </c>
      <c r="G53" s="123">
        <v>59.2</v>
      </c>
      <c r="H53" s="123">
        <v>59.2</v>
      </c>
      <c r="I53" s="123">
        <v>59.2</v>
      </c>
      <c r="J53" s="123">
        <v>59.2</v>
      </c>
      <c r="K53" s="123">
        <v>59.5</v>
      </c>
      <c r="L53" s="123">
        <v>59.5</v>
      </c>
      <c r="M53" s="122">
        <v>50.002000000000002</v>
      </c>
      <c r="N53" s="122">
        <v>59.3</v>
      </c>
      <c r="O53" s="122">
        <v>59.6</v>
      </c>
      <c r="P53" s="122">
        <v>59.3</v>
      </c>
      <c r="Q53" s="103">
        <v>59.7</v>
      </c>
      <c r="R53" s="103">
        <v>59.5</v>
      </c>
      <c r="S53" s="103">
        <v>59.3</v>
      </c>
      <c r="T53" s="103">
        <v>59.4</v>
      </c>
      <c r="U53" s="103">
        <v>59</v>
      </c>
      <c r="V53" s="103">
        <v>59</v>
      </c>
      <c r="W53" s="103">
        <v>59</v>
      </c>
      <c r="X53" s="103">
        <v>59</v>
      </c>
      <c r="Y53" s="103">
        <v>59.1</v>
      </c>
      <c r="Z53" s="103">
        <v>59.1</v>
      </c>
      <c r="AA53" s="103">
        <v>59.1</v>
      </c>
      <c r="AB53" s="103">
        <v>58.9</v>
      </c>
      <c r="AC53" s="103">
        <v>58.9</v>
      </c>
      <c r="AD53" s="103">
        <v>58.9</v>
      </c>
      <c r="AE53" s="103">
        <v>50</v>
      </c>
      <c r="AF53" s="103">
        <v>50</v>
      </c>
      <c r="AG53" s="108">
        <v>60</v>
      </c>
      <c r="AH53" s="21">
        <f t="shared" si="2"/>
        <v>59.8</v>
      </c>
      <c r="AI53" s="20">
        <f t="shared" si="3"/>
        <v>50</v>
      </c>
      <c r="AK53" s="42"/>
    </row>
    <row r="54" spans="1:37" x14ac:dyDescent="0.25">
      <c r="A54" s="107" t="s">
        <v>158</v>
      </c>
      <c r="B54" s="73">
        <v>29.1</v>
      </c>
      <c r="C54" s="123">
        <v>28.8</v>
      </c>
      <c r="D54" s="123">
        <v>30</v>
      </c>
      <c r="E54" s="123">
        <v>29.8</v>
      </c>
      <c r="F54" s="123">
        <v>29.4</v>
      </c>
      <c r="G54" s="123">
        <v>29.4</v>
      </c>
      <c r="H54" s="123">
        <v>29.4</v>
      </c>
      <c r="I54" s="123">
        <v>29.4</v>
      </c>
      <c r="J54" s="123">
        <v>29.4</v>
      </c>
      <c r="K54" s="123">
        <v>29.5</v>
      </c>
      <c r="L54" s="123">
        <v>29.5</v>
      </c>
      <c r="M54" s="122">
        <v>31</v>
      </c>
      <c r="N54" s="122">
        <v>28</v>
      </c>
      <c r="O54" s="122">
        <v>29.5</v>
      </c>
      <c r="P54" s="122">
        <v>30.1</v>
      </c>
      <c r="Q54" s="73">
        <v>27.1</v>
      </c>
      <c r="R54" s="73">
        <v>29.2</v>
      </c>
      <c r="S54" s="103">
        <v>29.7</v>
      </c>
      <c r="T54" s="103">
        <v>29.4</v>
      </c>
      <c r="U54" s="103">
        <v>29.4</v>
      </c>
      <c r="V54" s="103">
        <v>29.4</v>
      </c>
      <c r="W54" s="103">
        <v>29.4</v>
      </c>
      <c r="X54" s="103">
        <v>29.4</v>
      </c>
      <c r="Y54" s="103">
        <v>28.5</v>
      </c>
      <c r="Z54" s="103">
        <v>28.5</v>
      </c>
      <c r="AA54" s="103">
        <v>28.5</v>
      </c>
      <c r="AB54" s="73">
        <v>28.5</v>
      </c>
      <c r="AC54" s="73">
        <v>28.5</v>
      </c>
      <c r="AD54" s="73">
        <v>28.5</v>
      </c>
      <c r="AE54" s="73">
        <v>28</v>
      </c>
      <c r="AF54" s="73">
        <v>28</v>
      </c>
      <c r="AG54" s="106">
        <v>32</v>
      </c>
      <c r="AH54" s="21">
        <f t="shared" si="2"/>
        <v>31</v>
      </c>
      <c r="AI54" s="20">
        <f t="shared" si="3"/>
        <v>27.1</v>
      </c>
      <c r="AK54" s="42"/>
    </row>
    <row r="55" spans="1:37" ht="15.75" thickBot="1" x14ac:dyDescent="0.3">
      <c r="A55" s="121" t="s">
        <v>157</v>
      </c>
      <c r="B55" s="118">
        <v>10.6</v>
      </c>
      <c r="C55" s="120">
        <v>10.5</v>
      </c>
      <c r="D55" s="120">
        <v>11</v>
      </c>
      <c r="E55" s="120">
        <v>10.9</v>
      </c>
      <c r="F55" s="120">
        <v>10.7</v>
      </c>
      <c r="G55" s="120">
        <v>10.7</v>
      </c>
      <c r="H55" s="120">
        <v>10.7</v>
      </c>
      <c r="I55" s="120">
        <v>10.7</v>
      </c>
      <c r="J55" s="120">
        <v>10.7</v>
      </c>
      <c r="K55" s="120">
        <v>10.8</v>
      </c>
      <c r="L55" s="120">
        <v>10.8</v>
      </c>
      <c r="M55" s="119">
        <v>11.3</v>
      </c>
      <c r="N55" s="119">
        <v>10.199999999999999</v>
      </c>
      <c r="O55" s="119">
        <v>10.8</v>
      </c>
      <c r="P55" s="119">
        <v>11</v>
      </c>
      <c r="Q55" s="118">
        <v>9.9</v>
      </c>
      <c r="R55" s="118">
        <v>10.6</v>
      </c>
      <c r="S55" s="103">
        <v>10.9</v>
      </c>
      <c r="T55" s="103">
        <v>10.7</v>
      </c>
      <c r="U55" s="103">
        <v>10.7</v>
      </c>
      <c r="V55" s="103">
        <v>10.7</v>
      </c>
      <c r="W55" s="103">
        <v>10.7</v>
      </c>
      <c r="X55" s="103">
        <v>10.7</v>
      </c>
      <c r="Y55" s="103">
        <v>10.4</v>
      </c>
      <c r="Z55" s="103">
        <v>10.4</v>
      </c>
      <c r="AA55" s="103">
        <v>10.4</v>
      </c>
      <c r="AB55" s="118">
        <v>10.4</v>
      </c>
      <c r="AC55" s="118">
        <v>10.4</v>
      </c>
      <c r="AD55" s="118">
        <v>10.4</v>
      </c>
      <c r="AE55" s="118">
        <v>10.199999999999999</v>
      </c>
      <c r="AF55" s="118">
        <v>10.199999999999999</v>
      </c>
      <c r="AG55" s="117">
        <v>14</v>
      </c>
      <c r="AH55" s="21">
        <f t="shared" si="2"/>
        <v>11.3</v>
      </c>
      <c r="AI55" s="20">
        <f t="shared" si="3"/>
        <v>9.9</v>
      </c>
      <c r="AK55" s="42"/>
    </row>
    <row r="56" spans="1:37" ht="15.75" thickBot="1" x14ac:dyDescent="0.3">
      <c r="A56" s="100" t="s">
        <v>156</v>
      </c>
      <c r="B56" s="99">
        <v>99</v>
      </c>
      <c r="C56" s="99">
        <f>SUM(C53:C55)</f>
        <v>99.1</v>
      </c>
      <c r="D56" s="99">
        <f t="shared" ref="D56:AF56" si="7">SUM(D53:D55)</f>
        <v>100</v>
      </c>
      <c r="E56" s="99">
        <f t="shared" si="7"/>
        <v>100.4</v>
      </c>
      <c r="F56" s="99">
        <f t="shared" si="7"/>
        <v>99.3</v>
      </c>
      <c r="G56" s="99">
        <f t="shared" si="7"/>
        <v>99.3</v>
      </c>
      <c r="H56" s="99">
        <f t="shared" si="7"/>
        <v>99.3</v>
      </c>
      <c r="I56" s="99">
        <f t="shared" si="7"/>
        <v>99.3</v>
      </c>
      <c r="J56" s="99">
        <f t="shared" si="7"/>
        <v>99.3</v>
      </c>
      <c r="K56" s="99">
        <f t="shared" si="7"/>
        <v>99.8</v>
      </c>
      <c r="L56" s="99">
        <f t="shared" si="7"/>
        <v>99.8</v>
      </c>
      <c r="M56" s="99">
        <f t="shared" si="7"/>
        <v>92.302000000000007</v>
      </c>
      <c r="N56" s="99">
        <f t="shared" si="7"/>
        <v>97.5</v>
      </c>
      <c r="O56" s="99">
        <f t="shared" si="7"/>
        <v>99.899999999999991</v>
      </c>
      <c r="P56" s="99">
        <f t="shared" si="7"/>
        <v>100.4</v>
      </c>
      <c r="Q56" s="99">
        <f t="shared" si="7"/>
        <v>96.700000000000017</v>
      </c>
      <c r="R56" s="99">
        <f t="shared" si="7"/>
        <v>99.3</v>
      </c>
      <c r="S56" s="99">
        <f t="shared" si="7"/>
        <v>99.9</v>
      </c>
      <c r="T56" s="99">
        <f t="shared" si="7"/>
        <v>99.5</v>
      </c>
      <c r="U56" s="99">
        <f t="shared" si="7"/>
        <v>99.100000000000009</v>
      </c>
      <c r="V56" s="99">
        <f t="shared" si="7"/>
        <v>99.100000000000009</v>
      </c>
      <c r="W56" s="99">
        <f t="shared" si="7"/>
        <v>99.100000000000009</v>
      </c>
      <c r="X56" s="99">
        <f t="shared" si="7"/>
        <v>99.100000000000009</v>
      </c>
      <c r="Y56" s="99">
        <f t="shared" si="7"/>
        <v>98</v>
      </c>
      <c r="Z56" s="99">
        <f t="shared" si="7"/>
        <v>98</v>
      </c>
      <c r="AA56" s="99">
        <f t="shared" si="7"/>
        <v>98</v>
      </c>
      <c r="AB56" s="99">
        <f t="shared" si="7"/>
        <v>97.800000000000011</v>
      </c>
      <c r="AC56" s="99">
        <f t="shared" si="7"/>
        <v>97.800000000000011</v>
      </c>
      <c r="AD56" s="99">
        <f t="shared" si="7"/>
        <v>97.800000000000011</v>
      </c>
      <c r="AE56" s="99">
        <f t="shared" si="7"/>
        <v>88.2</v>
      </c>
      <c r="AF56" s="99">
        <f t="shared" si="7"/>
        <v>88.2</v>
      </c>
      <c r="AG56" s="98">
        <f>SUM(AG53:AG55)</f>
        <v>106</v>
      </c>
      <c r="AH56" s="21">
        <f t="shared" si="2"/>
        <v>100.4</v>
      </c>
      <c r="AI56" s="20">
        <f t="shared" si="3"/>
        <v>88.2</v>
      </c>
      <c r="AK56" s="42"/>
    </row>
    <row r="57" spans="1:37" x14ac:dyDescent="0.25">
      <c r="A57" s="109" t="s">
        <v>135</v>
      </c>
      <c r="B57" s="103">
        <v>44.7</v>
      </c>
      <c r="C57" s="103">
        <v>42.2</v>
      </c>
      <c r="D57" s="103">
        <v>40.9</v>
      </c>
      <c r="E57" s="103">
        <v>42.3</v>
      </c>
      <c r="F57" s="103">
        <v>41.2</v>
      </c>
      <c r="G57" s="103">
        <v>41.5</v>
      </c>
      <c r="H57" s="103">
        <v>43</v>
      </c>
      <c r="I57" s="103">
        <v>41.8</v>
      </c>
      <c r="J57" s="103">
        <v>42.5</v>
      </c>
      <c r="K57" s="103">
        <v>45</v>
      </c>
      <c r="L57" s="103">
        <v>28.4</v>
      </c>
      <c r="M57" s="103">
        <v>28.6</v>
      </c>
      <c r="N57" s="103">
        <v>29.7</v>
      </c>
      <c r="O57" s="103">
        <v>38.299999999999997</v>
      </c>
      <c r="P57" s="103">
        <v>35.9</v>
      </c>
      <c r="Q57" s="103">
        <v>35.700000000000003</v>
      </c>
      <c r="R57" s="103">
        <v>45.9</v>
      </c>
      <c r="S57" s="103">
        <v>48</v>
      </c>
      <c r="T57" s="103">
        <v>45</v>
      </c>
      <c r="U57" s="103">
        <v>70</v>
      </c>
      <c r="V57" s="103">
        <v>50</v>
      </c>
      <c r="W57" s="103">
        <v>50</v>
      </c>
      <c r="X57" s="103">
        <v>48</v>
      </c>
      <c r="Y57" s="103">
        <v>33</v>
      </c>
      <c r="Z57" s="103">
        <v>71</v>
      </c>
      <c r="AA57" s="103">
        <v>69</v>
      </c>
      <c r="AB57" s="103">
        <v>50</v>
      </c>
      <c r="AC57" s="103">
        <v>50</v>
      </c>
      <c r="AD57" s="103">
        <v>48.1</v>
      </c>
      <c r="AE57" s="103">
        <v>44</v>
      </c>
      <c r="AF57" s="103">
        <v>36</v>
      </c>
      <c r="AG57" s="108"/>
      <c r="AH57" s="21">
        <f t="shared" si="2"/>
        <v>71</v>
      </c>
      <c r="AI57" s="20">
        <f t="shared" si="3"/>
        <v>28.4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103">
        <v>143</v>
      </c>
      <c r="N58" s="103">
        <v>136.6</v>
      </c>
      <c r="O58" s="103">
        <v>150.4</v>
      </c>
      <c r="P58" s="103">
        <v>153.5</v>
      </c>
      <c r="Q58" s="103">
        <v>135.4</v>
      </c>
      <c r="R58" s="103">
        <v>146.5</v>
      </c>
      <c r="S58" s="103">
        <v>140</v>
      </c>
      <c r="T58" s="103">
        <v>145</v>
      </c>
      <c r="U58" s="103">
        <v>134</v>
      </c>
      <c r="V58" s="103">
        <v>140</v>
      </c>
      <c r="W58" s="103">
        <v>142</v>
      </c>
      <c r="X58" s="116">
        <v>142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153.5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170</v>
      </c>
      <c r="C59" s="73">
        <v>53.6</v>
      </c>
      <c r="D59" s="73">
        <v>137.19999999999999</v>
      </c>
      <c r="E59" s="73">
        <v>156</v>
      </c>
      <c r="F59" s="73">
        <v>212.9</v>
      </c>
      <c r="G59" s="73">
        <v>174.5</v>
      </c>
      <c r="H59" s="103">
        <v>146</v>
      </c>
      <c r="I59" s="103">
        <v>143.6</v>
      </c>
      <c r="J59" s="103">
        <v>95.2</v>
      </c>
      <c r="K59" s="103">
        <v>92.1</v>
      </c>
      <c r="L59" s="103">
        <v>110</v>
      </c>
      <c r="M59" s="73">
        <v>184.4</v>
      </c>
      <c r="N59" s="73">
        <v>198.5</v>
      </c>
      <c r="O59" s="73">
        <v>184</v>
      </c>
      <c r="P59" s="73">
        <v>210</v>
      </c>
      <c r="Q59" s="73">
        <v>262</v>
      </c>
      <c r="R59" s="73">
        <v>266.5</v>
      </c>
      <c r="S59" s="73">
        <v>307</v>
      </c>
      <c r="T59" s="73">
        <v>255</v>
      </c>
      <c r="U59" s="73">
        <v>217</v>
      </c>
      <c r="V59" s="73">
        <v>180</v>
      </c>
      <c r="W59" s="73">
        <v>210</v>
      </c>
      <c r="X59" s="115">
        <v>145</v>
      </c>
      <c r="Y59" s="115">
        <v>160</v>
      </c>
      <c r="Z59" s="115">
        <v>160</v>
      </c>
      <c r="AA59" s="115">
        <v>140</v>
      </c>
      <c r="AB59" s="73">
        <v>160</v>
      </c>
      <c r="AC59" s="73">
        <v>160</v>
      </c>
      <c r="AD59" s="73">
        <v>143</v>
      </c>
      <c r="AE59" s="73">
        <v>140</v>
      </c>
      <c r="AF59" s="73">
        <v>111</v>
      </c>
      <c r="AG59" s="113"/>
      <c r="AH59" s="21">
        <f t="shared" si="2"/>
        <v>307</v>
      </c>
      <c r="AI59" s="20">
        <f t="shared" si="3"/>
        <v>53.6</v>
      </c>
      <c r="AK59" s="42"/>
    </row>
    <row r="60" spans="1:37" x14ac:dyDescent="0.25">
      <c r="A60" s="107" t="s">
        <v>139</v>
      </c>
      <c r="B60" s="77">
        <v>19</v>
      </c>
      <c r="C60" s="77">
        <v>19</v>
      </c>
      <c r="D60" s="77">
        <v>18.5</v>
      </c>
      <c r="E60" s="77">
        <v>18.5</v>
      </c>
      <c r="F60" s="77">
        <v>18.5</v>
      </c>
      <c r="G60" s="77">
        <v>18.5</v>
      </c>
      <c r="H60" s="77">
        <v>18.5</v>
      </c>
      <c r="I60" s="77">
        <v>20</v>
      </c>
      <c r="J60" s="77">
        <v>50</v>
      </c>
      <c r="K60" s="77">
        <v>50</v>
      </c>
      <c r="L60" s="77">
        <v>50</v>
      </c>
      <c r="M60" s="73">
        <v>46</v>
      </c>
      <c r="N60" s="73">
        <v>49.2</v>
      </c>
      <c r="O60" s="73">
        <v>42.9</v>
      </c>
      <c r="P60" s="73">
        <v>50.8</v>
      </c>
      <c r="Q60" s="73">
        <v>51.2</v>
      </c>
      <c r="R60" s="73">
        <v>52.7</v>
      </c>
      <c r="S60" s="73">
        <v>53</v>
      </c>
      <c r="T60" s="73">
        <v>54</v>
      </c>
      <c r="U60" s="73">
        <v>50</v>
      </c>
      <c r="V60" s="73">
        <v>50</v>
      </c>
      <c r="W60" s="73">
        <v>51</v>
      </c>
      <c r="X60" s="73">
        <v>51</v>
      </c>
      <c r="Y60" s="73">
        <v>13</v>
      </c>
      <c r="Z60" s="73">
        <v>15</v>
      </c>
      <c r="AA60" s="73">
        <v>16</v>
      </c>
      <c r="AB60" s="73">
        <v>16</v>
      </c>
      <c r="AC60" s="73">
        <v>16</v>
      </c>
      <c r="AD60" s="73">
        <v>16</v>
      </c>
      <c r="AE60" s="73">
        <v>16</v>
      </c>
      <c r="AF60" s="77">
        <v>16</v>
      </c>
      <c r="AG60" s="113"/>
      <c r="AH60" s="21">
        <f t="shared" si="2"/>
        <v>54</v>
      </c>
      <c r="AI60" s="20">
        <f t="shared" si="3"/>
        <v>13</v>
      </c>
      <c r="AK60" s="42"/>
    </row>
    <row r="61" spans="1:37" x14ac:dyDescent="0.25">
      <c r="A61" s="107" t="s">
        <v>154</v>
      </c>
      <c r="B61" s="77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28.6</v>
      </c>
      <c r="K61" s="77">
        <v>28</v>
      </c>
      <c r="L61" s="77">
        <v>32.5</v>
      </c>
      <c r="M61" s="103">
        <v>32.799999999999997</v>
      </c>
      <c r="N61" s="103">
        <v>80.3</v>
      </c>
      <c r="O61" s="103">
        <v>78.3</v>
      </c>
      <c r="P61" s="103">
        <v>82.1</v>
      </c>
      <c r="Q61" s="103">
        <v>74.3</v>
      </c>
      <c r="R61" s="103">
        <v>80.5</v>
      </c>
      <c r="S61" s="103">
        <v>69.5</v>
      </c>
      <c r="T61" s="103">
        <v>69</v>
      </c>
      <c r="U61" s="103">
        <v>68</v>
      </c>
      <c r="V61" s="103">
        <v>68</v>
      </c>
      <c r="W61" s="103">
        <v>67</v>
      </c>
      <c r="X61" s="103">
        <v>62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82.1</v>
      </c>
      <c r="AI61" s="20">
        <f t="shared" si="3"/>
        <v>0</v>
      </c>
      <c r="AK61" s="42"/>
    </row>
    <row r="62" spans="1:37" x14ac:dyDescent="0.25">
      <c r="A62" s="107" t="s">
        <v>153</v>
      </c>
      <c r="B62" s="73">
        <v>8</v>
      </c>
      <c r="C62" s="73">
        <v>8</v>
      </c>
      <c r="D62" s="73">
        <v>8</v>
      </c>
      <c r="E62" s="73">
        <v>8</v>
      </c>
      <c r="F62" s="73">
        <v>8</v>
      </c>
      <c r="G62" s="73">
        <v>8</v>
      </c>
      <c r="H62" s="73">
        <v>8</v>
      </c>
      <c r="I62" s="73">
        <v>8</v>
      </c>
      <c r="J62" s="73">
        <v>8</v>
      </c>
      <c r="K62" s="73">
        <v>8</v>
      </c>
      <c r="L62" s="73">
        <v>8</v>
      </c>
      <c r="M62" s="73">
        <v>8</v>
      </c>
      <c r="N62" s="73">
        <v>8</v>
      </c>
      <c r="O62" s="73">
        <v>8</v>
      </c>
      <c r="P62" s="73">
        <v>8</v>
      </c>
      <c r="Q62" s="73">
        <v>8</v>
      </c>
      <c r="R62" s="73">
        <v>8</v>
      </c>
      <c r="S62" s="73">
        <v>8</v>
      </c>
      <c r="T62" s="73">
        <v>8</v>
      </c>
      <c r="U62" s="73">
        <v>8</v>
      </c>
      <c r="V62" s="73">
        <v>8</v>
      </c>
      <c r="W62" s="73">
        <v>8</v>
      </c>
      <c r="X62" s="73">
        <v>8</v>
      </c>
      <c r="Y62" s="73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103">
        <v>0</v>
      </c>
      <c r="C63" s="103">
        <v>0</v>
      </c>
      <c r="D63" s="103">
        <v>0</v>
      </c>
      <c r="E63" s="103">
        <v>0</v>
      </c>
      <c r="F63" s="103">
        <v>0</v>
      </c>
      <c r="G63" s="103">
        <v>0</v>
      </c>
      <c r="H63" s="103">
        <v>0</v>
      </c>
      <c r="I63" s="103">
        <v>0</v>
      </c>
      <c r="J63" s="103">
        <v>0</v>
      </c>
      <c r="K63" s="103">
        <v>0</v>
      </c>
      <c r="L63" s="103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103">
        <v>0</v>
      </c>
      <c r="U63" s="103">
        <v>0</v>
      </c>
      <c r="V63" s="103">
        <v>0</v>
      </c>
      <c r="W63" s="103">
        <v>0</v>
      </c>
      <c r="X63" s="103">
        <v>0</v>
      </c>
      <c r="Y63" s="103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77">
        <v>3</v>
      </c>
      <c r="AC65" s="77">
        <v>3</v>
      </c>
      <c r="AD65" s="77">
        <v>3</v>
      </c>
      <c r="AE65" s="77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3">
        <v>7</v>
      </c>
      <c r="C66" s="73">
        <v>7</v>
      </c>
      <c r="D66" s="73">
        <v>7</v>
      </c>
      <c r="E66" s="73">
        <v>7</v>
      </c>
      <c r="F66" s="73">
        <v>7</v>
      </c>
      <c r="G66" s="73">
        <v>7</v>
      </c>
      <c r="H66" s="73">
        <v>7</v>
      </c>
      <c r="I66" s="73">
        <v>7</v>
      </c>
      <c r="J66" s="73">
        <v>7</v>
      </c>
      <c r="K66" s="73">
        <v>7</v>
      </c>
      <c r="L66" s="73">
        <v>7</v>
      </c>
      <c r="M66" s="73">
        <v>7</v>
      </c>
      <c r="N66" s="73">
        <v>7</v>
      </c>
      <c r="O66" s="73">
        <v>7</v>
      </c>
      <c r="P66" s="73">
        <v>7</v>
      </c>
      <c r="Q66" s="73">
        <v>7</v>
      </c>
      <c r="R66" s="73">
        <v>7</v>
      </c>
      <c r="S66" s="73">
        <v>7</v>
      </c>
      <c r="T66" s="73">
        <v>7</v>
      </c>
      <c r="U66" s="73">
        <v>7</v>
      </c>
      <c r="V66" s="73">
        <v>7</v>
      </c>
      <c r="W66" s="73">
        <v>7</v>
      </c>
      <c r="X66" s="73">
        <v>7</v>
      </c>
      <c r="Y66" s="73">
        <v>7</v>
      </c>
      <c r="Z66" s="70">
        <v>7</v>
      </c>
      <c r="AA66" s="70">
        <v>7</v>
      </c>
      <c r="AB66" s="70">
        <v>7</v>
      </c>
      <c r="AC66" s="70">
        <v>7</v>
      </c>
      <c r="AD66" s="70">
        <v>7</v>
      </c>
      <c r="AE66" s="70">
        <v>7</v>
      </c>
      <c r="AF66" s="70">
        <v>7</v>
      </c>
      <c r="AG66" s="102"/>
      <c r="AH66" s="21">
        <f t="shared" si="2"/>
        <v>7</v>
      </c>
      <c r="AI66" s="20">
        <f t="shared" si="3"/>
        <v>7</v>
      </c>
      <c r="AK66" s="42"/>
    </row>
    <row r="67" spans="1:88" ht="15.75" thickBot="1" x14ac:dyDescent="0.3">
      <c r="A67" s="104" t="s">
        <v>148</v>
      </c>
      <c r="B67" s="103">
        <v>0</v>
      </c>
      <c r="C67" s="103">
        <v>0</v>
      </c>
      <c r="D67" s="103">
        <v>0</v>
      </c>
      <c r="E67" s="103">
        <v>0</v>
      </c>
      <c r="F67" s="103">
        <v>0</v>
      </c>
      <c r="G67" s="103">
        <v>0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v>228</v>
      </c>
      <c r="C68" s="99">
        <f>SUM(C57:C67)</f>
        <v>132.80000000000001</v>
      </c>
      <c r="D68" s="99">
        <f t="shared" ref="D68:AF68" si="8">SUM(D57:D67)</f>
        <v>214.6</v>
      </c>
      <c r="E68" s="99">
        <f t="shared" si="8"/>
        <v>234.8</v>
      </c>
      <c r="F68" s="99">
        <f t="shared" si="8"/>
        <v>290.60000000000002</v>
      </c>
      <c r="G68" s="99">
        <f t="shared" si="8"/>
        <v>252.5</v>
      </c>
      <c r="H68" s="99">
        <f t="shared" si="8"/>
        <v>225.5</v>
      </c>
      <c r="I68" s="99">
        <f t="shared" si="8"/>
        <v>223.39999999999998</v>
      </c>
      <c r="J68" s="99">
        <f t="shared" si="8"/>
        <v>234.29999999999998</v>
      </c>
      <c r="K68" s="99">
        <f t="shared" si="8"/>
        <v>233.1</v>
      </c>
      <c r="L68" s="99">
        <f t="shared" si="8"/>
        <v>238.9</v>
      </c>
      <c r="M68" s="99">
        <f t="shared" si="8"/>
        <v>452.8</v>
      </c>
      <c r="N68" s="99">
        <f t="shared" si="8"/>
        <v>512.29999999999995</v>
      </c>
      <c r="O68" s="99">
        <f t="shared" si="8"/>
        <v>511.9</v>
      </c>
      <c r="P68" s="99">
        <f t="shared" si="8"/>
        <v>550.29999999999995</v>
      </c>
      <c r="Q68" s="99">
        <f t="shared" si="8"/>
        <v>576.6</v>
      </c>
      <c r="R68" s="99">
        <f t="shared" si="8"/>
        <v>610.09999999999991</v>
      </c>
      <c r="S68" s="99">
        <f t="shared" si="8"/>
        <v>635.5</v>
      </c>
      <c r="T68" s="99">
        <f t="shared" si="8"/>
        <v>586</v>
      </c>
      <c r="U68" s="99">
        <f t="shared" si="8"/>
        <v>557</v>
      </c>
      <c r="V68" s="99">
        <f t="shared" si="8"/>
        <v>506</v>
      </c>
      <c r="W68" s="99">
        <f t="shared" si="8"/>
        <v>538</v>
      </c>
      <c r="X68" s="99">
        <f t="shared" si="8"/>
        <v>466</v>
      </c>
      <c r="Y68" s="99">
        <f t="shared" si="8"/>
        <v>224</v>
      </c>
      <c r="Z68" s="99">
        <f t="shared" si="8"/>
        <v>264</v>
      </c>
      <c r="AA68" s="99">
        <f t="shared" si="8"/>
        <v>243</v>
      </c>
      <c r="AB68" s="99">
        <f t="shared" si="8"/>
        <v>244</v>
      </c>
      <c r="AC68" s="99">
        <f t="shared" si="8"/>
        <v>244</v>
      </c>
      <c r="AD68" s="99">
        <f t="shared" si="8"/>
        <v>225.1</v>
      </c>
      <c r="AE68" s="99">
        <f t="shared" si="8"/>
        <v>218</v>
      </c>
      <c r="AF68" s="99">
        <f t="shared" si="8"/>
        <v>181</v>
      </c>
      <c r="AG68" s="98">
        <f>SUM(AG57:AG67)</f>
        <v>0</v>
      </c>
      <c r="AH68" s="21">
        <f t="shared" si="2"/>
        <v>635.5</v>
      </c>
      <c r="AI68" s="20">
        <f t="shared" si="3"/>
        <v>132.80000000000001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v>1292.1399999999999</v>
      </c>
      <c r="C73" s="110">
        <f>C68+C56+C52+C38+C72</f>
        <v>1243.6399999999999</v>
      </c>
      <c r="D73" s="110">
        <f t="shared" ref="D73:AG73" si="10">D68+D56+D52+D38+D72</f>
        <v>1258.6400000000001</v>
      </c>
      <c r="E73" s="110">
        <f t="shared" si="10"/>
        <v>1227.54</v>
      </c>
      <c r="F73" s="110">
        <f t="shared" si="10"/>
        <v>1231.54</v>
      </c>
      <c r="G73" s="110">
        <f t="shared" si="10"/>
        <v>1244.44</v>
      </c>
      <c r="H73" s="110">
        <f t="shared" si="10"/>
        <v>1257.3400000000001</v>
      </c>
      <c r="I73" s="110">
        <f t="shared" si="10"/>
        <v>1291.94</v>
      </c>
      <c r="J73" s="110">
        <f t="shared" si="10"/>
        <v>1369.74</v>
      </c>
      <c r="K73" s="110">
        <f t="shared" si="10"/>
        <v>1408.74</v>
      </c>
      <c r="L73" s="110">
        <f t="shared" si="10"/>
        <v>1430.94</v>
      </c>
      <c r="M73" s="110">
        <f t="shared" si="10"/>
        <v>1416.1420000000001</v>
      </c>
      <c r="N73" s="110">
        <f t="shared" si="10"/>
        <v>1379.94</v>
      </c>
      <c r="O73" s="110">
        <f t="shared" si="10"/>
        <v>1431.3400000000001</v>
      </c>
      <c r="P73" s="110">
        <f t="shared" si="10"/>
        <v>1377.4399999999998</v>
      </c>
      <c r="Q73" s="110" t="s">
        <v>231</v>
      </c>
      <c r="R73" s="110">
        <f t="shared" si="10"/>
        <v>1430.04</v>
      </c>
      <c r="S73" s="110">
        <f t="shared" si="10"/>
        <v>1439.04</v>
      </c>
      <c r="T73" s="110">
        <f t="shared" si="10"/>
        <v>1463.54</v>
      </c>
      <c r="U73" s="110">
        <f t="shared" si="10"/>
        <v>1451.94</v>
      </c>
      <c r="V73" s="110">
        <f t="shared" si="10"/>
        <v>1471.8400000000001</v>
      </c>
      <c r="W73" s="110">
        <f t="shared" si="10"/>
        <v>1482.44</v>
      </c>
      <c r="X73" s="110">
        <f t="shared" si="10"/>
        <v>1412.44</v>
      </c>
      <c r="Y73" s="110">
        <f t="shared" si="10"/>
        <v>1421.1399999999999</v>
      </c>
      <c r="Z73" s="110">
        <f t="shared" si="10"/>
        <v>1511.14</v>
      </c>
      <c r="AA73" s="110">
        <f t="shared" si="10"/>
        <v>1520.14</v>
      </c>
      <c r="AB73" s="110">
        <f t="shared" si="10"/>
        <v>1517.5400000000002</v>
      </c>
      <c r="AC73" s="110">
        <f t="shared" si="10"/>
        <v>1487.5400000000002</v>
      </c>
      <c r="AD73" s="110">
        <f t="shared" si="10"/>
        <v>1465.64</v>
      </c>
      <c r="AE73" s="110">
        <f t="shared" si="10"/>
        <v>1367.24</v>
      </c>
      <c r="AF73" s="110">
        <f t="shared" si="10"/>
        <v>1247.8400000000001</v>
      </c>
      <c r="AG73" s="110">
        <f t="shared" si="10"/>
        <v>2144.14</v>
      </c>
      <c r="AH73" s="21">
        <f t="shared" si="2"/>
        <v>1520.14</v>
      </c>
      <c r="AI73" s="20">
        <f t="shared" si="3"/>
        <v>1227.54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>
        <v>10</v>
      </c>
      <c r="N74" s="111"/>
      <c r="O74" s="111"/>
      <c r="P74" s="111"/>
      <c r="Q74" s="111">
        <v>15</v>
      </c>
      <c r="R74" s="111">
        <v>15</v>
      </c>
      <c r="S74" s="111">
        <v>15</v>
      </c>
      <c r="T74" s="111">
        <v>0</v>
      </c>
      <c r="U74" s="111">
        <v>0</v>
      </c>
      <c r="V74" s="111"/>
      <c r="W74" s="111"/>
      <c r="X74" s="111"/>
      <c r="Y74" s="111">
        <v>100</v>
      </c>
      <c r="Z74" s="111">
        <v>100</v>
      </c>
      <c r="AA74" s="111">
        <v>100</v>
      </c>
      <c r="AB74" s="111">
        <v>70</v>
      </c>
      <c r="AC74" s="111">
        <v>50</v>
      </c>
      <c r="AD74" s="111">
        <v>30</v>
      </c>
      <c r="AE74" s="111">
        <v>20</v>
      </c>
      <c r="AF74" s="111"/>
      <c r="AG74" s="98"/>
      <c r="AH74" s="21">
        <f t="shared" si="2"/>
        <v>100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v>1292.1399999999999</v>
      </c>
      <c r="C75" s="110">
        <f>C73+C74</f>
        <v>1243.6399999999999</v>
      </c>
      <c r="D75" s="110">
        <f t="shared" ref="D75:AF75" si="11">D72+D68+D56+D52+D38+D74</f>
        <v>1258.6400000000001</v>
      </c>
      <c r="E75" s="110">
        <f t="shared" si="11"/>
        <v>1227.54</v>
      </c>
      <c r="F75" s="110">
        <f t="shared" si="11"/>
        <v>1231.54</v>
      </c>
      <c r="G75" s="110">
        <f t="shared" si="11"/>
        <v>1244.44</v>
      </c>
      <c r="H75" s="110">
        <f t="shared" si="11"/>
        <v>1257.3400000000001</v>
      </c>
      <c r="I75" s="110">
        <f t="shared" si="11"/>
        <v>1291.94</v>
      </c>
      <c r="J75" s="110">
        <f t="shared" si="11"/>
        <v>1369.74</v>
      </c>
      <c r="K75" s="110">
        <f t="shared" si="11"/>
        <v>1408.74</v>
      </c>
      <c r="L75" s="110">
        <f t="shared" si="11"/>
        <v>1430.94</v>
      </c>
      <c r="M75" s="110">
        <f t="shared" si="11"/>
        <v>1426.1420000000001</v>
      </c>
      <c r="N75" s="110">
        <f t="shared" si="11"/>
        <v>1379.94</v>
      </c>
      <c r="O75" s="110">
        <f t="shared" si="11"/>
        <v>1431.3400000000001</v>
      </c>
      <c r="P75" s="110">
        <f t="shared" si="11"/>
        <v>1377.4399999999998</v>
      </c>
      <c r="Q75" s="110">
        <f t="shared" si="11"/>
        <v>1411.94</v>
      </c>
      <c r="R75" s="110">
        <f t="shared" si="11"/>
        <v>1445.04</v>
      </c>
      <c r="S75" s="110">
        <f t="shared" si="11"/>
        <v>1454.04</v>
      </c>
      <c r="T75" s="110">
        <f t="shared" si="11"/>
        <v>1463.54</v>
      </c>
      <c r="U75" s="110">
        <f t="shared" si="11"/>
        <v>1451.94</v>
      </c>
      <c r="V75" s="110">
        <f t="shared" si="11"/>
        <v>1471.8400000000001</v>
      </c>
      <c r="W75" s="110">
        <f t="shared" si="11"/>
        <v>1482.44</v>
      </c>
      <c r="X75" s="110">
        <f t="shared" si="11"/>
        <v>1412.44</v>
      </c>
      <c r="Y75" s="110">
        <f t="shared" si="11"/>
        <v>1521.1399999999999</v>
      </c>
      <c r="Z75" s="110">
        <f t="shared" si="11"/>
        <v>1611.14</v>
      </c>
      <c r="AA75" s="110">
        <f t="shared" si="11"/>
        <v>1620.14</v>
      </c>
      <c r="AB75" s="110">
        <f t="shared" si="11"/>
        <v>1587.5400000000002</v>
      </c>
      <c r="AC75" s="110">
        <f t="shared" si="11"/>
        <v>1537.5400000000002</v>
      </c>
      <c r="AD75" s="110">
        <f t="shared" si="11"/>
        <v>1495.64</v>
      </c>
      <c r="AE75" s="110">
        <f t="shared" si="11"/>
        <v>1387.24</v>
      </c>
      <c r="AF75" s="110">
        <f t="shared" si="11"/>
        <v>1247.8400000000001</v>
      </c>
      <c r="AG75" s="98">
        <f>AG72+AG68+AG56+AG52+AG38+AG74</f>
        <v>2144.14</v>
      </c>
      <c r="AH75" s="21">
        <f t="shared" si="2"/>
        <v>1620.14</v>
      </c>
      <c r="AI75" s="20">
        <f t="shared" si="3"/>
        <v>1227.54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v>2584.2799999999997</v>
      </c>
      <c r="C83" s="99">
        <f t="shared" ref="C83:AG83" si="20">SUM(C70:C82)</f>
        <v>2487.2799999999997</v>
      </c>
      <c r="D83" s="99">
        <f t="shared" si="20"/>
        <v>2517.2800000000002</v>
      </c>
      <c r="E83" s="99">
        <f t="shared" si="20"/>
        <v>2455.08</v>
      </c>
      <c r="F83" s="99">
        <f t="shared" si="20"/>
        <v>2463.08</v>
      </c>
      <c r="G83" s="99">
        <f t="shared" si="20"/>
        <v>2488.88</v>
      </c>
      <c r="H83" s="99">
        <f t="shared" si="20"/>
        <v>2514.6800000000003</v>
      </c>
      <c r="I83" s="99">
        <f t="shared" si="20"/>
        <v>2583.88</v>
      </c>
      <c r="J83" s="99">
        <f t="shared" si="20"/>
        <v>2739.48</v>
      </c>
      <c r="K83" s="99">
        <f t="shared" si="20"/>
        <v>2817.48</v>
      </c>
      <c r="L83" s="99">
        <f t="shared" si="20"/>
        <v>2861.88</v>
      </c>
      <c r="M83" s="99">
        <f t="shared" si="20"/>
        <v>2852.2840000000001</v>
      </c>
      <c r="N83" s="99">
        <f t="shared" si="20"/>
        <v>2759.88</v>
      </c>
      <c r="O83" s="99">
        <f t="shared" si="20"/>
        <v>2862.6800000000003</v>
      </c>
      <c r="P83" s="99">
        <f t="shared" si="20"/>
        <v>2754.8799999999997</v>
      </c>
      <c r="Q83" s="99">
        <f t="shared" si="20"/>
        <v>1426.94</v>
      </c>
      <c r="R83" s="99">
        <f t="shared" si="20"/>
        <v>2890.08</v>
      </c>
      <c r="S83" s="99">
        <f t="shared" si="20"/>
        <v>2908.08</v>
      </c>
      <c r="T83" s="99">
        <f t="shared" si="20"/>
        <v>2927.08</v>
      </c>
      <c r="U83" s="99">
        <f t="shared" si="20"/>
        <v>2903.88</v>
      </c>
      <c r="V83" s="99">
        <f t="shared" si="20"/>
        <v>2943.6800000000003</v>
      </c>
      <c r="W83" s="99">
        <f t="shared" si="20"/>
        <v>2964.88</v>
      </c>
      <c r="X83" s="99">
        <f t="shared" si="20"/>
        <v>2824.88</v>
      </c>
      <c r="Y83" s="99">
        <f t="shared" si="20"/>
        <v>3042.2799999999997</v>
      </c>
      <c r="Z83" s="99">
        <f t="shared" si="20"/>
        <v>3222.28</v>
      </c>
      <c r="AA83" s="99">
        <f t="shared" si="20"/>
        <v>3240.28</v>
      </c>
      <c r="AB83" s="99">
        <f t="shared" si="20"/>
        <v>3175.0800000000004</v>
      </c>
      <c r="AC83" s="99">
        <f t="shared" si="20"/>
        <v>3075.0800000000004</v>
      </c>
      <c r="AD83" s="99">
        <f t="shared" si="20"/>
        <v>2991.28</v>
      </c>
      <c r="AE83" s="99">
        <f t="shared" si="20"/>
        <v>2774.48</v>
      </c>
      <c r="AF83" s="99">
        <f t="shared" si="20"/>
        <v>2495.6800000000003</v>
      </c>
      <c r="AG83" s="98">
        <f t="shared" si="20"/>
        <v>4360.08</v>
      </c>
      <c r="AH83" s="21">
        <f t="shared" si="13"/>
        <v>3240.28</v>
      </c>
      <c r="AI83" s="20">
        <f t="shared" si="14"/>
        <v>1426.94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49.99</v>
      </c>
      <c r="C84" s="96">
        <v>49.75</v>
      </c>
      <c r="D84" s="96">
        <v>50</v>
      </c>
      <c r="E84" s="96">
        <v>49.99</v>
      </c>
      <c r="F84" s="96">
        <v>49.936999999999998</v>
      </c>
      <c r="G84" s="96">
        <v>49.786000000000001</v>
      </c>
      <c r="H84" s="96">
        <v>49.564</v>
      </c>
      <c r="I84" s="96">
        <v>49.686</v>
      </c>
      <c r="J84" s="96">
        <v>49.8</v>
      </c>
      <c r="K84" s="96">
        <v>49.968000000000004</v>
      </c>
      <c r="L84" s="96">
        <v>49.968000000000004</v>
      </c>
      <c r="M84" s="96">
        <v>50.027000000000001</v>
      </c>
      <c r="N84" s="96">
        <v>49.956000000000003</v>
      </c>
      <c r="O84" s="96">
        <v>49.905999999999999</v>
      </c>
      <c r="P84" s="96">
        <v>49.978999999999999</v>
      </c>
      <c r="Q84" s="96">
        <v>49.901000000000003</v>
      </c>
      <c r="R84" s="96">
        <v>50.048000000000002</v>
      </c>
      <c r="S84" s="96">
        <v>49.87</v>
      </c>
      <c r="T84" s="96">
        <v>49.88</v>
      </c>
      <c r="U84" s="96">
        <v>49.9</v>
      </c>
      <c r="V84" s="96">
        <v>49.88</v>
      </c>
      <c r="W84" s="96">
        <v>49.87</v>
      </c>
      <c r="X84" s="96">
        <v>49.56</v>
      </c>
      <c r="Y84" s="96">
        <v>49.8</v>
      </c>
      <c r="Z84" s="96">
        <v>49.69</v>
      </c>
      <c r="AA84" s="96">
        <v>49.58</v>
      </c>
      <c r="AB84" s="96"/>
      <c r="AC84" s="96"/>
      <c r="AD84" s="96">
        <v>49.82</v>
      </c>
      <c r="AE84" s="96">
        <v>49.63</v>
      </c>
      <c r="AF84" s="96">
        <v>49.95</v>
      </c>
      <c r="AG84" s="95"/>
      <c r="AH84" s="21">
        <f t="shared" si="13"/>
        <v>50.048000000000002</v>
      </c>
      <c r="AI84" s="20">
        <f t="shared" si="14"/>
        <v>49.56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126.8</v>
      </c>
      <c r="C85" s="73">
        <v>127.3</v>
      </c>
      <c r="D85" s="73">
        <v>126.6</v>
      </c>
      <c r="E85" s="73">
        <v>126.9</v>
      </c>
      <c r="F85" s="73">
        <v>127</v>
      </c>
      <c r="G85" s="73">
        <v>126.1</v>
      </c>
      <c r="H85" s="73">
        <v>126.2</v>
      </c>
      <c r="I85" s="73">
        <v>126</v>
      </c>
      <c r="J85" s="73">
        <v>126.1</v>
      </c>
      <c r="K85" s="73">
        <v>125.4</v>
      </c>
      <c r="L85" s="73">
        <v>125.4</v>
      </c>
      <c r="M85" s="73">
        <v>125.3</v>
      </c>
      <c r="N85" s="73">
        <v>125.9</v>
      </c>
      <c r="O85" s="73">
        <v>125.2</v>
      </c>
      <c r="P85" s="73">
        <v>124.6</v>
      </c>
      <c r="Q85" s="73">
        <v>124.2</v>
      </c>
      <c r="R85" s="73">
        <v>124.7</v>
      </c>
      <c r="S85" s="73">
        <v>123</v>
      </c>
      <c r="T85" s="73">
        <v>124</v>
      </c>
      <c r="U85" s="94">
        <v>125</v>
      </c>
      <c r="V85" s="94">
        <v>125</v>
      </c>
      <c r="W85" s="94">
        <v>125</v>
      </c>
      <c r="X85" s="94">
        <v>127</v>
      </c>
      <c r="Y85" s="94">
        <v>126.6</v>
      </c>
      <c r="Z85" s="94"/>
      <c r="AA85" s="94"/>
      <c r="AB85" s="73"/>
      <c r="AC85" s="73"/>
      <c r="AD85" s="73">
        <v>125.9</v>
      </c>
      <c r="AE85" s="73">
        <v>125.9</v>
      </c>
      <c r="AF85" s="73">
        <v>126.6</v>
      </c>
      <c r="AG85" s="89"/>
      <c r="AH85" s="21">
        <f t="shared" si="13"/>
        <v>127.3</v>
      </c>
      <c r="AI85" s="20">
        <f t="shared" si="14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131</v>
      </c>
      <c r="C86" s="73">
        <v>131.30000000000001</v>
      </c>
      <c r="D86" s="73">
        <v>131</v>
      </c>
      <c r="E86" s="73">
        <v>131.19999999999999</v>
      </c>
      <c r="F86" s="73">
        <v>131</v>
      </c>
      <c r="G86" s="73">
        <v>130.1</v>
      </c>
      <c r="H86" s="73">
        <v>129.9</v>
      </c>
      <c r="I86" s="73">
        <v>129.4</v>
      </c>
      <c r="J86" s="73">
        <v>128.6</v>
      </c>
      <c r="K86" s="73">
        <v>127.8</v>
      </c>
      <c r="L86" s="73">
        <v>127.8</v>
      </c>
      <c r="M86" s="73">
        <v>127.7</v>
      </c>
      <c r="N86" s="73">
        <v>128.30000000000001</v>
      </c>
      <c r="O86" s="73">
        <v>127.7</v>
      </c>
      <c r="P86" s="73">
        <v>127.4</v>
      </c>
      <c r="Q86" s="73">
        <v>126.8</v>
      </c>
      <c r="R86" s="73">
        <v>127.5</v>
      </c>
      <c r="S86" s="73">
        <v>126</v>
      </c>
      <c r="T86" s="73">
        <v>127</v>
      </c>
      <c r="U86" s="94">
        <v>127</v>
      </c>
      <c r="V86" s="94">
        <v>127</v>
      </c>
      <c r="W86" s="94">
        <v>127</v>
      </c>
      <c r="X86" s="94">
        <v>129</v>
      </c>
      <c r="Y86" s="94">
        <v>129.5</v>
      </c>
      <c r="Z86" s="94"/>
      <c r="AA86" s="94"/>
      <c r="AB86" s="73"/>
      <c r="AC86" s="73"/>
      <c r="AD86" s="73">
        <v>130</v>
      </c>
      <c r="AE86" s="73">
        <v>130</v>
      </c>
      <c r="AF86" s="73">
        <v>131.30000000000001</v>
      </c>
      <c r="AG86" s="89"/>
      <c r="AH86" s="21">
        <f t="shared" si="13"/>
        <v>131.30000000000001</v>
      </c>
      <c r="AI86" s="20">
        <f t="shared" si="14"/>
        <v>126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129.69999999999999</v>
      </c>
      <c r="C87" s="73">
        <v>128.6</v>
      </c>
      <c r="D87" s="73">
        <v>129.69999999999999</v>
      </c>
      <c r="E87" s="73">
        <v>128.4</v>
      </c>
      <c r="F87" s="73">
        <v>128.19999999999999</v>
      </c>
      <c r="G87" s="73">
        <v>129.19999999999999</v>
      </c>
      <c r="H87" s="73">
        <v>126.8</v>
      </c>
      <c r="I87" s="73">
        <v>127.5</v>
      </c>
      <c r="J87" s="73">
        <v>127.3</v>
      </c>
      <c r="K87" s="73">
        <v>127.5</v>
      </c>
      <c r="L87" s="73">
        <v>127.5</v>
      </c>
      <c r="M87" s="73">
        <v>128.6</v>
      </c>
      <c r="N87" s="73">
        <v>130.1</v>
      </c>
      <c r="O87" s="73">
        <v>132.4</v>
      </c>
      <c r="P87" s="73">
        <v>131</v>
      </c>
      <c r="Q87" s="73">
        <v>133.5</v>
      </c>
      <c r="R87" s="73">
        <v>133.5</v>
      </c>
      <c r="S87" s="73">
        <v>130</v>
      </c>
      <c r="T87" s="73">
        <v>130</v>
      </c>
      <c r="U87" s="73">
        <v>130</v>
      </c>
      <c r="V87" s="73">
        <v>130</v>
      </c>
      <c r="W87" s="73">
        <v>130</v>
      </c>
      <c r="X87" s="94">
        <v>129</v>
      </c>
      <c r="Y87" s="94">
        <v>125</v>
      </c>
      <c r="Z87" s="94"/>
      <c r="AA87" s="94"/>
      <c r="AB87" s="73"/>
      <c r="AC87" s="73"/>
      <c r="AD87" s="73">
        <v>129.9</v>
      </c>
      <c r="AE87" s="73">
        <v>129.9</v>
      </c>
      <c r="AF87" s="73">
        <v>128.19999999999999</v>
      </c>
      <c r="AG87" s="89"/>
      <c r="AH87" s="21">
        <f t="shared" si="13"/>
        <v>133.5</v>
      </c>
      <c r="AI87" s="20">
        <f t="shared" si="14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132.1</v>
      </c>
      <c r="C88" s="73">
        <v>131.5</v>
      </c>
      <c r="D88" s="73">
        <v>132.9</v>
      </c>
      <c r="E88" s="73">
        <v>130.5</v>
      </c>
      <c r="F88" s="73">
        <v>130.4</v>
      </c>
      <c r="G88" s="73">
        <v>131.19999999999999</v>
      </c>
      <c r="H88" s="73">
        <v>129.30000000000001</v>
      </c>
      <c r="I88" s="73">
        <v>129.80000000000001</v>
      </c>
      <c r="J88" s="73">
        <v>130.9</v>
      </c>
      <c r="K88" s="73">
        <v>131.19999999999999</v>
      </c>
      <c r="L88" s="73">
        <v>131.19999999999999</v>
      </c>
      <c r="M88" s="73">
        <v>130.9</v>
      </c>
      <c r="N88" s="73">
        <v>130.69999999999999</v>
      </c>
      <c r="O88" s="73">
        <v>132.19999999999999</v>
      </c>
      <c r="P88" s="73">
        <v>131.6</v>
      </c>
      <c r="Q88" s="73">
        <v>134.6</v>
      </c>
      <c r="R88" s="73">
        <v>134.6</v>
      </c>
      <c r="S88" s="73">
        <v>131.69999999999999</v>
      </c>
      <c r="T88" s="73">
        <v>130</v>
      </c>
      <c r="U88" s="73">
        <v>131</v>
      </c>
      <c r="V88" s="73">
        <v>131</v>
      </c>
      <c r="W88" s="73">
        <v>131</v>
      </c>
      <c r="X88" s="94">
        <v>130.9</v>
      </c>
      <c r="Y88" s="94">
        <v>126.5</v>
      </c>
      <c r="Z88" s="94"/>
      <c r="AA88" s="94"/>
      <c r="AB88" s="73"/>
      <c r="AC88" s="73"/>
      <c r="AD88" s="73">
        <v>132.5</v>
      </c>
      <c r="AE88" s="73">
        <v>132.5</v>
      </c>
      <c r="AF88" s="73">
        <v>130.4</v>
      </c>
      <c r="AG88" s="89"/>
      <c r="AH88" s="21">
        <f t="shared" si="13"/>
        <v>134.6</v>
      </c>
      <c r="AI88" s="20">
        <f t="shared" si="14"/>
        <v>126.5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134.4</v>
      </c>
      <c r="C89" s="66">
        <v>136.30000000000001</v>
      </c>
      <c r="D89" s="66">
        <v>133.6</v>
      </c>
      <c r="E89" s="66">
        <v>133</v>
      </c>
      <c r="F89" s="66">
        <v>131.5</v>
      </c>
      <c r="G89" s="66">
        <v>132.1</v>
      </c>
      <c r="H89" s="66">
        <v>132.5</v>
      </c>
      <c r="I89" s="66">
        <v>135</v>
      </c>
      <c r="J89" s="66">
        <v>1333</v>
      </c>
      <c r="K89" s="66">
        <v>131.1</v>
      </c>
      <c r="L89" s="66">
        <v>131.1</v>
      </c>
      <c r="M89" s="66">
        <v>131.6</v>
      </c>
      <c r="N89" s="66">
        <v>132.4</v>
      </c>
      <c r="O89" s="66">
        <v>130.9</v>
      </c>
      <c r="P89" s="66">
        <v>131.9</v>
      </c>
      <c r="Q89" s="66">
        <v>130.9</v>
      </c>
      <c r="R89" s="66">
        <v>130.6</v>
      </c>
      <c r="S89" s="66">
        <v>126</v>
      </c>
      <c r="T89" s="66">
        <v>131.30000000000001</v>
      </c>
      <c r="U89" s="66">
        <v>130.5</v>
      </c>
      <c r="V89" s="66">
        <v>130.5</v>
      </c>
      <c r="W89" s="66">
        <v>130.5</v>
      </c>
      <c r="X89" s="94">
        <v>135.9</v>
      </c>
      <c r="Y89" s="94">
        <v>133</v>
      </c>
      <c r="Z89" s="94"/>
      <c r="AA89" s="94"/>
      <c r="AB89" s="66"/>
      <c r="AC89" s="66"/>
      <c r="AD89" s="66">
        <v>131.5</v>
      </c>
      <c r="AE89" s="66">
        <v>131.5</v>
      </c>
      <c r="AF89" s="66">
        <v>131.69999999999999</v>
      </c>
      <c r="AG89" s="91"/>
      <c r="AH89" s="21">
        <f t="shared" si="13"/>
        <v>1333</v>
      </c>
      <c r="AI89" s="20">
        <f t="shared" si="14"/>
        <v>126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137.5</v>
      </c>
      <c r="C90" s="73">
        <v>139</v>
      </c>
      <c r="D90" s="73">
        <v>137.80000000000001</v>
      </c>
      <c r="E90" s="73">
        <v>137.1</v>
      </c>
      <c r="F90" s="73">
        <v>137.19999999999999</v>
      </c>
      <c r="G90" s="73">
        <v>136.9</v>
      </c>
      <c r="H90" s="73">
        <v>136.30000000000001</v>
      </c>
      <c r="I90" s="73">
        <v>138</v>
      </c>
      <c r="J90" s="73">
        <v>137.1</v>
      </c>
      <c r="K90" s="73">
        <v>129.6</v>
      </c>
      <c r="L90" s="73">
        <v>129.6</v>
      </c>
      <c r="M90" s="73">
        <v>134.69999999999999</v>
      </c>
      <c r="N90" s="73">
        <v>132.19999999999999</v>
      </c>
      <c r="O90" s="73">
        <v>130.9</v>
      </c>
      <c r="P90" s="73">
        <v>129.9</v>
      </c>
      <c r="Q90" s="73">
        <v>134.4</v>
      </c>
      <c r="R90" s="73">
        <v>136</v>
      </c>
      <c r="S90" s="73">
        <v>130</v>
      </c>
      <c r="T90" s="73">
        <v>132.5</v>
      </c>
      <c r="U90" s="73">
        <v>126</v>
      </c>
      <c r="V90" s="73">
        <v>126</v>
      </c>
      <c r="W90" s="73">
        <v>126</v>
      </c>
      <c r="X90" s="94">
        <v>130</v>
      </c>
      <c r="Y90" s="94">
        <v>130</v>
      </c>
      <c r="Z90" s="94"/>
      <c r="AA90" s="94"/>
      <c r="AB90" s="73"/>
      <c r="AC90" s="73"/>
      <c r="AD90" s="73">
        <v>133.4</v>
      </c>
      <c r="AE90" s="73">
        <v>133.4</v>
      </c>
      <c r="AF90" s="73">
        <v>135.30000000000001</v>
      </c>
      <c r="AG90" s="89"/>
      <c r="AH90" s="21">
        <f t="shared" si="13"/>
        <v>139</v>
      </c>
      <c r="AI90" s="20">
        <f t="shared" si="14"/>
        <v>126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66.2</v>
      </c>
      <c r="C91" s="87">
        <v>66.2</v>
      </c>
      <c r="D91" s="87">
        <v>66.5</v>
      </c>
      <c r="E91" s="87">
        <v>66.2</v>
      </c>
      <c r="F91" s="87">
        <v>66.2</v>
      </c>
      <c r="G91" s="87">
        <v>65.8</v>
      </c>
      <c r="H91" s="87">
        <v>65.5</v>
      </c>
      <c r="I91" s="87">
        <v>65.2</v>
      </c>
      <c r="J91" s="87">
        <v>64.8</v>
      </c>
      <c r="K91" s="87">
        <v>64.400000000000006</v>
      </c>
      <c r="L91" s="87">
        <v>64.400000000000006</v>
      </c>
      <c r="M91" s="87">
        <v>64.599999999999994</v>
      </c>
      <c r="N91" s="87">
        <v>64.8</v>
      </c>
      <c r="O91" s="87">
        <v>64.400000000000006</v>
      </c>
      <c r="P91" s="87">
        <v>64.099999999999994</v>
      </c>
      <c r="Q91" s="87">
        <v>63.9</v>
      </c>
      <c r="R91" s="87">
        <v>64.400000000000006</v>
      </c>
      <c r="S91" s="87">
        <v>63.7</v>
      </c>
      <c r="T91" s="87">
        <v>64</v>
      </c>
      <c r="U91" s="87">
        <v>64</v>
      </c>
      <c r="V91" s="87">
        <v>64</v>
      </c>
      <c r="W91" s="87">
        <v>64</v>
      </c>
      <c r="X91" s="87">
        <v>65.3</v>
      </c>
      <c r="Y91" s="87">
        <v>65.400000000000006</v>
      </c>
      <c r="Z91" s="87"/>
      <c r="AA91" s="87"/>
      <c r="AB91" s="87"/>
      <c r="AC91" s="87"/>
      <c r="AD91" s="87">
        <v>66.2</v>
      </c>
      <c r="AE91" s="87">
        <v>66.2</v>
      </c>
      <c r="AF91" s="87">
        <v>66.599999999999994</v>
      </c>
      <c r="AG91" s="86"/>
      <c r="AH91" s="21">
        <f t="shared" si="13"/>
        <v>66.599999999999994</v>
      </c>
      <c r="AI91" s="20">
        <f t="shared" si="14"/>
        <v>63.7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v>196.73999999999995</v>
      </c>
      <c r="C93" s="82">
        <f t="shared" ref="C93:AF93" si="21">SUM(C15,C18,C21:C22,C42,C44:C45,C47,C49,C94:C97,C103,C109,C115,C124,C126,C138,C145,C148:C149,C156,C158,C160,C164:C166,C168:C170,C175,C181:C182,C184:C186,C194,C199)</f>
        <v>173.53999999999996</v>
      </c>
      <c r="D93" s="82">
        <f t="shared" si="21"/>
        <v>171.03999999999996</v>
      </c>
      <c r="E93" s="82">
        <f t="shared" si="21"/>
        <v>166.53999999999996</v>
      </c>
      <c r="F93" s="82">
        <f t="shared" si="21"/>
        <v>171.03999999999996</v>
      </c>
      <c r="G93" s="80">
        <f t="shared" si="21"/>
        <v>192.03999999999996</v>
      </c>
      <c r="H93" s="80">
        <f t="shared" si="21"/>
        <v>217.23999999999995</v>
      </c>
      <c r="I93" s="80">
        <f t="shared" si="21"/>
        <v>254.53999999999996</v>
      </c>
      <c r="J93" s="80">
        <f t="shared" si="21"/>
        <v>290.34000000000003</v>
      </c>
      <c r="K93" s="80">
        <f t="shared" si="21"/>
        <v>314.74</v>
      </c>
      <c r="L93" s="80">
        <f t="shared" si="21"/>
        <v>331.34000000000003</v>
      </c>
      <c r="M93" s="80">
        <f t="shared" si="21"/>
        <v>332.84000000000003</v>
      </c>
      <c r="N93" s="80">
        <f t="shared" si="21"/>
        <v>318.74</v>
      </c>
      <c r="O93" s="80">
        <f t="shared" si="21"/>
        <v>320.64</v>
      </c>
      <c r="P93" s="80">
        <f t="shared" si="21"/>
        <v>314.14000000000004</v>
      </c>
      <c r="Q93" s="80">
        <f t="shared" si="21"/>
        <v>309.54000000000002</v>
      </c>
      <c r="R93" s="80">
        <f t="shared" si="21"/>
        <v>302.04000000000002</v>
      </c>
      <c r="S93" s="80">
        <f t="shared" si="21"/>
        <v>359.34000000000003</v>
      </c>
      <c r="T93" s="80">
        <f t="shared" si="21"/>
        <v>340.84000000000003</v>
      </c>
      <c r="U93" s="80">
        <f t="shared" si="21"/>
        <v>341.64</v>
      </c>
      <c r="V93" s="80">
        <f t="shared" si="21"/>
        <v>338.64</v>
      </c>
      <c r="W93" s="80">
        <f t="shared" si="21"/>
        <v>338.64</v>
      </c>
      <c r="X93" s="80">
        <f t="shared" si="21"/>
        <v>336.64</v>
      </c>
      <c r="Y93" s="80">
        <f t="shared" si="21"/>
        <v>359.14</v>
      </c>
      <c r="Z93" s="80">
        <f t="shared" si="21"/>
        <v>190.13999999999996</v>
      </c>
      <c r="AA93" s="80">
        <f t="shared" si="21"/>
        <v>190.13999999999996</v>
      </c>
      <c r="AB93" s="80">
        <f t="shared" si="21"/>
        <v>190.13999999999996</v>
      </c>
      <c r="AC93" s="80">
        <f t="shared" si="21"/>
        <v>190.13999999999996</v>
      </c>
      <c r="AD93" s="80">
        <f t="shared" si="21"/>
        <v>294.94</v>
      </c>
      <c r="AE93" s="80">
        <f t="shared" si="21"/>
        <v>226.43999999999994</v>
      </c>
      <c r="AF93" s="80">
        <f t="shared" si="21"/>
        <v>135.63999999999999</v>
      </c>
      <c r="AG93" s="79"/>
      <c r="AH93" s="21">
        <f>MAX(C93:AF93)</f>
        <v>359.34000000000003</v>
      </c>
      <c r="AI93" s="20">
        <f>MIN(C93:AF93)</f>
        <v>135.63999999999999</v>
      </c>
    </row>
    <row r="94" spans="1:88" x14ac:dyDescent="0.25">
      <c r="A94" s="48" t="s">
        <v>122</v>
      </c>
      <c r="B94" s="78">
        <v>2.2999999999999998</v>
      </c>
      <c r="C94" s="77">
        <v>24.3</v>
      </c>
      <c r="D94" s="77">
        <v>11.1</v>
      </c>
      <c r="E94" s="77">
        <v>-2.6</v>
      </c>
      <c r="F94" s="77">
        <v>-24.4</v>
      </c>
      <c r="G94" s="76">
        <v>-22.8</v>
      </c>
      <c r="H94" s="76">
        <v>-21.9</v>
      </c>
      <c r="I94" s="76">
        <v>-10.3</v>
      </c>
      <c r="J94" s="76">
        <v>1.1000000000000001</v>
      </c>
      <c r="K94" s="76">
        <v>6.7</v>
      </c>
      <c r="L94" s="76">
        <v>14.1</v>
      </c>
      <c r="M94" s="75">
        <v>10.5</v>
      </c>
      <c r="N94" s="76">
        <v>5.2</v>
      </c>
      <c r="O94" s="76">
        <v>3.4</v>
      </c>
      <c r="P94" s="76">
        <v>-19.3</v>
      </c>
      <c r="Q94" s="76">
        <v>-21.2</v>
      </c>
      <c r="R94" s="76">
        <v>-9.4</v>
      </c>
      <c r="S94" s="76">
        <v>25</v>
      </c>
      <c r="T94" s="76">
        <v>12</v>
      </c>
      <c r="U94" s="75">
        <v>12</v>
      </c>
      <c r="V94" s="75">
        <v>13</v>
      </c>
      <c r="W94" s="75">
        <v>14</v>
      </c>
      <c r="X94" s="76">
        <v>14</v>
      </c>
      <c r="Y94" s="76">
        <v>20</v>
      </c>
      <c r="Z94" s="76"/>
      <c r="AA94" s="76"/>
      <c r="AB94" s="75"/>
      <c r="AC94" s="75"/>
      <c r="AD94" s="75">
        <v>1.7</v>
      </c>
      <c r="AE94" s="75">
        <v>0</v>
      </c>
      <c r="AF94" s="75">
        <v>-5.7</v>
      </c>
      <c r="AG94" s="3">
        <v>75</v>
      </c>
      <c r="AH94" s="21">
        <f t="shared" ref="AH94:AH100" si="22">IF(ABS(MAX(C94:AF94))&gt;ABS(MIN(C94:AF94)),MAX(C94:AF94),MIN(C94:AF94))</f>
        <v>25</v>
      </c>
      <c r="AI94" s="64">
        <f t="shared" ref="AI94:AI100" si="23">INDEX($C$9:$AF$9,1,MATCH(AH94,C94:AF94,0))</f>
        <v>0.58333333333333304</v>
      </c>
    </row>
    <row r="95" spans="1:88" x14ac:dyDescent="0.25">
      <c r="A95" s="45" t="s">
        <v>121</v>
      </c>
      <c r="B95" s="74">
        <f>-27.9-40.1</f>
        <v>-68</v>
      </c>
      <c r="C95" s="67">
        <f>-32.6-45.2</f>
        <v>-77.800000000000011</v>
      </c>
      <c r="D95" s="67">
        <v>-73.5</v>
      </c>
      <c r="E95" s="67">
        <v>-73</v>
      </c>
      <c r="F95" s="67">
        <v>-64</v>
      </c>
      <c r="G95" s="67">
        <v>-58</v>
      </c>
      <c r="H95" s="67">
        <v>-47</v>
      </c>
      <c r="I95" s="67">
        <v>-34.1</v>
      </c>
      <c r="J95" s="67">
        <v>-19</v>
      </c>
      <c r="K95" s="67">
        <v>-9.5</v>
      </c>
      <c r="L95" s="67">
        <v>-3.4</v>
      </c>
      <c r="M95" s="67">
        <v>7</v>
      </c>
      <c r="N95" s="67">
        <v>11.7</v>
      </c>
      <c r="O95" s="67">
        <v>11.2</v>
      </c>
      <c r="P95" s="67">
        <v>14.9</v>
      </c>
      <c r="Q95" s="67">
        <v>11.6</v>
      </c>
      <c r="R95" s="67">
        <v>5.3</v>
      </c>
      <c r="S95" s="67">
        <v>12</v>
      </c>
      <c r="T95" s="67">
        <v>12</v>
      </c>
      <c r="U95" s="67">
        <v>14</v>
      </c>
      <c r="V95" s="67">
        <v>16</v>
      </c>
      <c r="W95" s="67">
        <v>17</v>
      </c>
      <c r="X95" s="67">
        <v>20</v>
      </c>
      <c r="Y95" s="67">
        <v>13</v>
      </c>
      <c r="Z95" s="67"/>
      <c r="AA95" s="67"/>
      <c r="AB95" s="73"/>
      <c r="AC95" s="73"/>
      <c r="AD95" s="73">
        <f>1-7.5</f>
        <v>-6.5</v>
      </c>
      <c r="AE95" s="73">
        <f>-20.5-31.5</f>
        <v>-52</v>
      </c>
      <c r="AF95" s="73">
        <f>-27.4-39.4</f>
        <v>-66.8</v>
      </c>
      <c r="AG95" s="3">
        <v>240</v>
      </c>
      <c r="AH95" s="21">
        <f t="shared" si="22"/>
        <v>-77.800000000000011</v>
      </c>
      <c r="AI95" s="64">
        <f t="shared" si="23"/>
        <v>4.1666666666666664E-2</v>
      </c>
    </row>
    <row r="96" spans="1:88" x14ac:dyDescent="0.25">
      <c r="A96" s="45" t="s">
        <v>120</v>
      </c>
      <c r="B96" s="74">
        <v>15.1</v>
      </c>
      <c r="C96" s="67">
        <v>16.5</v>
      </c>
      <c r="D96" s="67">
        <v>12.6</v>
      </c>
      <c r="E96" s="67">
        <v>17</v>
      </c>
      <c r="F96" s="67">
        <v>13.9</v>
      </c>
      <c r="G96" s="67">
        <v>17.399999999999999</v>
      </c>
      <c r="H96" s="67">
        <v>22.7</v>
      </c>
      <c r="I96" s="67">
        <v>31.1</v>
      </c>
      <c r="J96" s="67">
        <v>33.6</v>
      </c>
      <c r="K96" s="67">
        <v>35.5</v>
      </c>
      <c r="L96" s="67">
        <v>33.6</v>
      </c>
      <c r="M96" s="67">
        <v>35.6</v>
      </c>
      <c r="N96" s="67">
        <v>33.6</v>
      </c>
      <c r="O96" s="67">
        <v>34.200000000000003</v>
      </c>
      <c r="P96" s="67">
        <v>36.700000000000003</v>
      </c>
      <c r="Q96" s="67">
        <v>34.799999999999997</v>
      </c>
      <c r="R96" s="67">
        <v>33.299999999999997</v>
      </c>
      <c r="S96" s="67">
        <v>34</v>
      </c>
      <c r="T96" s="67">
        <v>34</v>
      </c>
      <c r="U96" s="67">
        <v>37</v>
      </c>
      <c r="V96" s="67">
        <v>35</v>
      </c>
      <c r="W96" s="67">
        <v>36</v>
      </c>
      <c r="X96" s="67">
        <v>34</v>
      </c>
      <c r="Y96" s="67">
        <v>42</v>
      </c>
      <c r="Z96" s="67"/>
      <c r="AA96" s="67"/>
      <c r="AB96" s="73"/>
      <c r="AC96" s="73"/>
      <c r="AD96" s="73">
        <v>29.3</v>
      </c>
      <c r="AE96" s="73">
        <v>17.2</v>
      </c>
      <c r="AF96" s="73">
        <v>16.2</v>
      </c>
      <c r="AG96" s="3">
        <v>60</v>
      </c>
      <c r="AH96" s="21">
        <f t="shared" si="22"/>
        <v>42</v>
      </c>
      <c r="AI96" s="64">
        <f t="shared" si="23"/>
        <v>0.77083333333333337</v>
      </c>
    </row>
    <row r="97" spans="1:37" x14ac:dyDescent="0.25">
      <c r="A97" s="41" t="s">
        <v>119</v>
      </c>
      <c r="B97" s="71">
        <v>44.1</v>
      </c>
      <c r="C97" s="70">
        <v>20.100000000000001</v>
      </c>
      <c r="D97" s="70">
        <v>30.4</v>
      </c>
      <c r="E97" s="70">
        <v>34.700000000000003</v>
      </c>
      <c r="F97" s="70">
        <v>55.1</v>
      </c>
      <c r="G97" s="70">
        <v>65</v>
      </c>
      <c r="H97" s="70">
        <v>73</v>
      </c>
      <c r="I97" s="70">
        <v>77.400000000000006</v>
      </c>
      <c r="J97" s="70">
        <v>84.2</v>
      </c>
      <c r="K97" s="70">
        <v>91.6</v>
      </c>
      <c r="L97" s="70">
        <v>96.6</v>
      </c>
      <c r="M97" s="70">
        <v>90.2</v>
      </c>
      <c r="N97" s="70">
        <v>78.5</v>
      </c>
      <c r="O97" s="70">
        <v>82.1</v>
      </c>
      <c r="P97" s="70">
        <v>91.8</v>
      </c>
      <c r="Q97" s="70">
        <v>94.7</v>
      </c>
      <c r="R97" s="70">
        <v>83</v>
      </c>
      <c r="S97" s="70">
        <v>98.5</v>
      </c>
      <c r="T97" s="70">
        <v>93</v>
      </c>
      <c r="U97" s="70">
        <v>89</v>
      </c>
      <c r="V97" s="70">
        <v>85</v>
      </c>
      <c r="W97" s="70">
        <v>82</v>
      </c>
      <c r="X97" s="70">
        <v>79</v>
      </c>
      <c r="Y97" s="70">
        <v>94</v>
      </c>
      <c r="Z97" s="70"/>
      <c r="AA97" s="70"/>
      <c r="AB97" s="69"/>
      <c r="AC97" s="69"/>
      <c r="AD97" s="69">
        <v>80.3</v>
      </c>
      <c r="AE97" s="69">
        <v>71.099999999999994</v>
      </c>
      <c r="AF97" s="69">
        <v>57.5</v>
      </c>
      <c r="AG97" s="72">
        <v>120</v>
      </c>
      <c r="AH97" s="21">
        <f t="shared" si="22"/>
        <v>98.5</v>
      </c>
      <c r="AI97" s="64">
        <f t="shared" si="23"/>
        <v>0.58333333333333304</v>
      </c>
    </row>
    <row r="98" spans="1:37" x14ac:dyDescent="0.25">
      <c r="A98" s="41" t="s">
        <v>118</v>
      </c>
      <c r="B98" s="71">
        <v>62.1</v>
      </c>
      <c r="C98" s="70">
        <v>35.799999999999997</v>
      </c>
      <c r="D98" s="70">
        <v>49.7</v>
      </c>
      <c r="E98" s="70">
        <v>54.6</v>
      </c>
      <c r="F98" s="70">
        <v>73.599999999999994</v>
      </c>
      <c r="G98" s="70">
        <v>78.099999999999994</v>
      </c>
      <c r="H98" s="70">
        <v>81.2</v>
      </c>
      <c r="I98" s="70">
        <v>76.7</v>
      </c>
      <c r="J98" s="70">
        <v>72.099999999999994</v>
      </c>
      <c r="K98" s="70">
        <v>75.900000000000006</v>
      </c>
      <c r="L98" s="70">
        <v>79.599999999999994</v>
      </c>
      <c r="M98" s="70">
        <v>90.7</v>
      </c>
      <c r="N98" s="70">
        <v>74.5</v>
      </c>
      <c r="O98" s="70">
        <v>76.7</v>
      </c>
      <c r="P98" s="70">
        <v>87.9</v>
      </c>
      <c r="Q98" s="70">
        <v>91.3</v>
      </c>
      <c r="R98" s="70">
        <v>85.6</v>
      </c>
      <c r="S98" s="70">
        <v>103</v>
      </c>
      <c r="T98" s="70">
        <v>93</v>
      </c>
      <c r="U98" s="70">
        <v>85</v>
      </c>
      <c r="V98" s="70">
        <v>80</v>
      </c>
      <c r="W98" s="70">
        <v>75</v>
      </c>
      <c r="X98" s="70">
        <v>65</v>
      </c>
      <c r="Y98" s="70">
        <v>82</v>
      </c>
      <c r="Z98" s="70"/>
      <c r="AA98" s="70"/>
      <c r="AB98" s="69"/>
      <c r="AC98" s="69"/>
      <c r="AD98" s="69">
        <v>90.3</v>
      </c>
      <c r="AE98" s="69">
        <v>74.099999999999994</v>
      </c>
      <c r="AF98" s="69">
        <v>64.900000000000006</v>
      </c>
      <c r="AG98" s="72"/>
      <c r="AH98" s="21">
        <f t="shared" si="22"/>
        <v>103</v>
      </c>
      <c r="AI98" s="64">
        <f t="shared" si="23"/>
        <v>0.58333333333333304</v>
      </c>
    </row>
    <row r="99" spans="1:37" x14ac:dyDescent="0.25">
      <c r="A99" s="41" t="s">
        <v>117</v>
      </c>
      <c r="B99" s="71">
        <v>82.1</v>
      </c>
      <c r="C99" s="70">
        <v>67.900000000000006</v>
      </c>
      <c r="D99" s="70">
        <v>77.099999999999994</v>
      </c>
      <c r="E99" s="70">
        <v>86.8</v>
      </c>
      <c r="F99" s="70">
        <v>89.6</v>
      </c>
      <c r="G99" s="70">
        <v>85.7</v>
      </c>
      <c r="H99" s="70">
        <v>84</v>
      </c>
      <c r="I99" s="70">
        <v>85</v>
      </c>
      <c r="J99" s="70">
        <v>77</v>
      </c>
      <c r="K99" s="70">
        <v>82</v>
      </c>
      <c r="L99" s="70">
        <v>65.099999999999994</v>
      </c>
      <c r="M99" s="70">
        <v>76.8</v>
      </c>
      <c r="N99" s="70">
        <v>78</v>
      </c>
      <c r="O99" s="70">
        <v>78.400000000000006</v>
      </c>
      <c r="P99" s="70">
        <v>78.7</v>
      </c>
      <c r="Q99" s="70">
        <v>77.7</v>
      </c>
      <c r="R99" s="70">
        <v>70.2</v>
      </c>
      <c r="S99" s="70">
        <v>77</v>
      </c>
      <c r="T99" s="70">
        <v>73</v>
      </c>
      <c r="U99" s="70">
        <v>70</v>
      </c>
      <c r="V99" s="70">
        <v>60</v>
      </c>
      <c r="W99" s="70">
        <v>50</v>
      </c>
      <c r="X99" s="70">
        <v>48</v>
      </c>
      <c r="Y99" s="70">
        <v>57</v>
      </c>
      <c r="Z99" s="70"/>
      <c r="AA99" s="70"/>
      <c r="AB99" s="69"/>
      <c r="AC99" s="69"/>
      <c r="AD99" s="69">
        <v>69.8</v>
      </c>
      <c r="AE99" s="69">
        <v>70</v>
      </c>
      <c r="AF99" s="69">
        <v>87.9</v>
      </c>
      <c r="AG99" s="65"/>
      <c r="AH99" s="21">
        <f t="shared" si="22"/>
        <v>89.6</v>
      </c>
      <c r="AI99" s="64">
        <f t="shared" si="23"/>
        <v>0.16666666666666699</v>
      </c>
    </row>
    <row r="100" spans="1:37" ht="15.75" thickBot="1" x14ac:dyDescent="0.3">
      <c r="A100" s="68" t="s">
        <v>116</v>
      </c>
      <c r="B100" s="66">
        <v>88.8</v>
      </c>
      <c r="C100" s="67">
        <v>87.5</v>
      </c>
      <c r="D100" s="67">
        <v>84.4</v>
      </c>
      <c r="E100" s="67">
        <v>81.099999999999994</v>
      </c>
      <c r="F100" s="67">
        <v>72.5</v>
      </c>
      <c r="G100" s="67">
        <v>77.400000000000006</v>
      </c>
      <c r="H100" s="67">
        <v>77.900000000000006</v>
      </c>
      <c r="I100" s="67">
        <v>88.9</v>
      </c>
      <c r="J100" s="67">
        <v>88.2</v>
      </c>
      <c r="K100" s="67">
        <v>98.7</v>
      </c>
      <c r="L100" s="67">
        <v>99.3</v>
      </c>
      <c r="M100" s="67">
        <v>50.6</v>
      </c>
      <c r="N100" s="67">
        <v>48.5</v>
      </c>
      <c r="O100" s="67">
        <v>76.8</v>
      </c>
      <c r="P100" s="67">
        <v>54.2</v>
      </c>
      <c r="Q100" s="67">
        <v>50</v>
      </c>
      <c r="R100" s="67">
        <v>42</v>
      </c>
      <c r="S100" s="67">
        <v>49</v>
      </c>
      <c r="T100" s="67">
        <v>94</v>
      </c>
      <c r="U100" s="67">
        <v>84</v>
      </c>
      <c r="V100" s="67">
        <v>75</v>
      </c>
      <c r="W100" s="67">
        <v>60</v>
      </c>
      <c r="X100" s="67">
        <v>49</v>
      </c>
      <c r="Y100" s="67">
        <v>107</v>
      </c>
      <c r="Z100" s="67"/>
      <c r="AA100" s="67"/>
      <c r="AB100" s="66"/>
      <c r="AC100" s="66"/>
      <c r="AD100" s="66">
        <v>99.4</v>
      </c>
      <c r="AE100" s="66">
        <v>88.2</v>
      </c>
      <c r="AF100" s="66">
        <v>84.5</v>
      </c>
      <c r="AG100" s="65"/>
      <c r="AH100" s="21">
        <f t="shared" si="22"/>
        <v>107</v>
      </c>
      <c r="AI100" s="64">
        <f t="shared" si="23"/>
        <v>0.77083333333333337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1430.94</v>
      </c>
      <c r="C209" s="17">
        <f>INDEX(G9:N9,1,MATCH(MAX(G75:N75),G75:N75,0))</f>
        <v>0.3125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24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2078/12/24)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2078/12/24)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1292.1399999999999</v>
      </c>
      <c r="U214" s="9">
        <f t="shared" si="60"/>
        <v>1243.6399999999999</v>
      </c>
      <c r="V214" s="9">
        <f t="shared" si="60"/>
        <v>1258.6400000000001</v>
      </c>
      <c r="W214" s="9">
        <f t="shared" si="60"/>
        <v>1227.54</v>
      </c>
      <c r="X214" s="9">
        <f t="shared" si="60"/>
        <v>1231.54</v>
      </c>
      <c r="Y214" s="9">
        <f t="shared" si="60"/>
        <v>1244.44</v>
      </c>
      <c r="Z214" s="9">
        <f t="shared" si="60"/>
        <v>1257.3400000000001</v>
      </c>
      <c r="AA214" s="9">
        <f t="shared" si="60"/>
        <v>1291.94</v>
      </c>
      <c r="AB214" s="9">
        <f t="shared" si="60"/>
        <v>1369.74</v>
      </c>
      <c r="AC214" s="9">
        <f t="shared" si="60"/>
        <v>1408.74</v>
      </c>
      <c r="AD214" s="9">
        <f t="shared" si="60"/>
        <v>1430.94</v>
      </c>
      <c r="AE214" s="9">
        <f t="shared" si="60"/>
        <v>1426.1420000000001</v>
      </c>
      <c r="AF214" s="9">
        <f t="shared" si="60"/>
        <v>1379.94</v>
      </c>
      <c r="AG214" s="9">
        <f t="shared" si="60"/>
        <v>1431.3400000000001</v>
      </c>
      <c r="AH214" s="9">
        <f t="shared" si="60"/>
        <v>1377.4399999999998</v>
      </c>
      <c r="AI214" s="9">
        <f t="shared" si="60"/>
        <v>1411.94</v>
      </c>
      <c r="AJ214" s="9">
        <f t="shared" si="60"/>
        <v>1445.04</v>
      </c>
      <c r="AK214" s="9">
        <f t="shared" si="60"/>
        <v>1454.04</v>
      </c>
      <c r="AL214" s="9">
        <f t="shared" si="60"/>
        <v>1463.54</v>
      </c>
      <c r="AM214" s="9">
        <f t="shared" si="60"/>
        <v>1451.94</v>
      </c>
      <c r="AN214" s="9">
        <f t="shared" si="60"/>
        <v>1471.8400000000001</v>
      </c>
      <c r="AO214" s="9">
        <f t="shared" si="60"/>
        <v>1482.44</v>
      </c>
      <c r="AP214" s="9">
        <f t="shared" si="60"/>
        <v>1412.44</v>
      </c>
      <c r="AQ214" s="9">
        <f t="shared" si="60"/>
        <v>1521.1399999999999</v>
      </c>
      <c r="AR214" s="9">
        <f t="shared" si="60"/>
        <v>1611.14</v>
      </c>
      <c r="AS214" s="9">
        <f t="shared" si="60"/>
        <v>1620.14</v>
      </c>
      <c r="AT214" s="9">
        <f t="shared" si="60"/>
        <v>1587.5400000000002</v>
      </c>
      <c r="AU214" s="9">
        <f t="shared" si="60"/>
        <v>1537.5400000000002</v>
      </c>
      <c r="AV214" s="9">
        <f t="shared" si="60"/>
        <v>1495.64</v>
      </c>
      <c r="AW214" s="9">
        <f t="shared" si="60"/>
        <v>1387.24</v>
      </c>
      <c r="AX214" s="9">
        <f t="shared" si="60"/>
        <v>1247.8400000000001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M37:R37 P39:R39 M39:O42 P40:Q42 P60:R61 R40:T41 M58:W59 X85:AA91 AB81:AF81 B81:R81 C56:AF56 B82:AF83 D194:AF200 B194:B200 B84:B91 B9:AF10 B192:AF192 AF57:AF67 B53:B59 AG73 B94:B100 U213:AF213 C57:L59 J61:O61 I60:O60 B36:R36 T11:AB11 M11:S14 R42:S42 T12:U14 U40:Y42 N45:X48 M16:Y32 S36:Y37 Y47:Y48 Z12:AB14 Z16:AA31 B68:AF80 AB84:AF91 AB94:AF100 AB28:AC31 AB16:AC26 AC11:AC14 Z36:AC36 Z40:AF43 M53:AF55">
    <cfRule type="expression" dxfId="2264" priority="337">
      <formula>B$9&gt;=20/24</formula>
    </cfRule>
    <cfRule type="expression" dxfId="2263" priority="338">
      <formula>AND(B$9&gt;=14/24,B$9&lt;20/24)</formula>
    </cfRule>
    <cfRule type="expression" dxfId="2262" priority="339">
      <formula>AND(B$9&gt;=8/24,B$9&lt;14/24)</formula>
    </cfRule>
    <cfRule type="expression" dxfId="2261" priority="340">
      <formula>B$9&lt;8/24</formula>
    </cfRule>
  </conditionalFormatting>
  <conditionalFormatting sqref="AL4:AL6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260" priority="332">
      <formula>M$9&gt;=20/24</formula>
    </cfRule>
    <cfRule type="expression" dxfId="2259" priority="333">
      <formula>AND(M$9&gt;=14/24,M$9&lt;20/24)</formula>
    </cfRule>
    <cfRule type="expression" dxfId="2258" priority="334">
      <formula>AND(M$9&gt;=8/24,M$9&lt;14/24)</formula>
    </cfRule>
    <cfRule type="expression" dxfId="2257" priority="335">
      <formula>M$9&lt;8/24</formula>
    </cfRule>
  </conditionalFormatting>
  <conditionalFormatting sqref="M43:S43">
    <cfRule type="expression" dxfId="2256" priority="328">
      <formula>M$9&gt;=20/24</formula>
    </cfRule>
    <cfRule type="expression" dxfId="2255" priority="329">
      <formula>AND(M$9&gt;=14/24,M$9&lt;20/24)</formula>
    </cfRule>
    <cfRule type="expression" dxfId="2254" priority="330">
      <formula>AND(M$9&gt;=8/24,M$9&lt;14/24)</formula>
    </cfRule>
    <cfRule type="expression" dxfId="2253" priority="331">
      <formula>M$9&lt;8/24</formula>
    </cfRule>
  </conditionalFormatting>
  <conditionalFormatting sqref="Z32:AC32">
    <cfRule type="expression" dxfId="2252" priority="324">
      <formula>Z$9&gt;=20/24</formula>
    </cfRule>
    <cfRule type="expression" dxfId="2251" priority="325">
      <formula>AND(Z$9&gt;=14/24,Z$9&lt;20/24)</formula>
    </cfRule>
    <cfRule type="expression" dxfId="2250" priority="326">
      <formula>AND(Z$9&gt;=8/24,Z$9&lt;14/24)</formula>
    </cfRule>
    <cfRule type="expression" dxfId="2249" priority="327">
      <formula>Z$9&lt;8/24</formula>
    </cfRule>
  </conditionalFormatting>
  <conditionalFormatting sqref="S39:AF39">
    <cfRule type="expression" dxfId="2248" priority="320">
      <formula>S$9&gt;=20/24</formula>
    </cfRule>
    <cfRule type="expression" dxfId="2247" priority="321">
      <formula>AND(S$9&gt;=14/24,S$9&lt;20/24)</formula>
    </cfRule>
    <cfRule type="expression" dxfId="2246" priority="322">
      <formula>AND(S$9&gt;=8/24,S$9&lt;14/24)</formula>
    </cfRule>
    <cfRule type="expression" dxfId="2245" priority="323">
      <formula>S$9&lt;8/24</formula>
    </cfRule>
  </conditionalFormatting>
  <conditionalFormatting sqref="S57:AE57">
    <cfRule type="expression" dxfId="2244" priority="316">
      <formula>S$9&gt;=20/24</formula>
    </cfRule>
    <cfRule type="expression" dxfId="2243" priority="317">
      <formula>AND(S$9&gt;=14/24,S$9&lt;20/24)</formula>
    </cfRule>
    <cfRule type="expression" dxfId="2242" priority="318">
      <formula>AND(S$9&gt;=8/24,S$9&lt;14/24)</formula>
    </cfRule>
    <cfRule type="expression" dxfId="2241" priority="319">
      <formula>S$9&lt;8/24</formula>
    </cfRule>
  </conditionalFormatting>
  <conditionalFormatting sqref="S81:AA81">
    <cfRule type="expression" dxfId="2240" priority="312">
      <formula>S$9&gt;=20/24</formula>
    </cfRule>
    <cfRule type="expression" dxfId="2239" priority="313">
      <formula>AND(S$9&gt;=14/24,S$9&lt;20/24)</formula>
    </cfRule>
    <cfRule type="expression" dxfId="2238" priority="314">
      <formula>AND(S$9&gt;=8/24,S$9&lt;14/24)</formula>
    </cfRule>
    <cfRule type="expression" dxfId="2237" priority="315">
      <formula>S$9&lt;8/24</formula>
    </cfRule>
  </conditionalFormatting>
  <conditionalFormatting sqref="U84:AA84">
    <cfRule type="expression" dxfId="2236" priority="308">
      <formula>U$9&gt;=20/24</formula>
    </cfRule>
    <cfRule type="expression" dxfId="2235" priority="309">
      <formula>AND(U$9&gt;=14/24,U$9&lt;20/24)</formula>
    </cfRule>
    <cfRule type="expression" dxfId="2234" priority="310">
      <formula>AND(U$9&gt;=8/24,U$9&lt;14/24)</formula>
    </cfRule>
    <cfRule type="expression" dxfId="2233" priority="311">
      <formula>U$9&lt;8/24</formula>
    </cfRule>
  </conditionalFormatting>
  <conditionalFormatting sqref="M35:Y35">
    <cfRule type="expression" dxfId="2232" priority="304">
      <formula>M$9&gt;=20/24</formula>
    </cfRule>
    <cfRule type="expression" dxfId="2231" priority="305">
      <formula>AND(M$9&gt;=14/24,M$9&lt;20/24)</formula>
    </cfRule>
    <cfRule type="expression" dxfId="2230" priority="306">
      <formula>AND(M$9&gt;=8/24,M$9&lt;14/24)</formula>
    </cfRule>
    <cfRule type="expression" dxfId="2229" priority="307">
      <formula>M$9&lt;8/24</formula>
    </cfRule>
  </conditionalFormatting>
  <conditionalFormatting sqref="M49:Y49">
    <cfRule type="expression" dxfId="2228" priority="300">
      <formula>M$9&gt;=20/24</formula>
    </cfRule>
    <cfRule type="expression" dxfId="2227" priority="301">
      <formula>AND(M$9&gt;=14/24,M$9&lt;20/24)</formula>
    </cfRule>
    <cfRule type="expression" dxfId="2226" priority="302">
      <formula>AND(M$9&gt;=8/24,M$9&lt;14/24)</formula>
    </cfRule>
    <cfRule type="expression" dxfId="2225" priority="303">
      <formula>M$9&lt;8/24</formula>
    </cfRule>
  </conditionalFormatting>
  <conditionalFormatting sqref="M50:Y50">
    <cfRule type="expression" dxfId="2224" priority="296">
      <formula>M$9&gt;=20/24</formula>
    </cfRule>
    <cfRule type="expression" dxfId="2223" priority="297">
      <formula>AND(M$9&gt;=14/24,M$9&lt;20/24)</formula>
    </cfRule>
    <cfRule type="expression" dxfId="2222" priority="298">
      <formula>AND(M$9&gt;=8/24,M$9&lt;14/24)</formula>
    </cfRule>
    <cfRule type="expression" dxfId="2221" priority="299">
      <formula>M$9&lt;8/24</formula>
    </cfRule>
  </conditionalFormatting>
  <conditionalFormatting sqref="M45:X48 Y47:Y48">
    <cfRule type="expression" dxfId="2220" priority="292">
      <formula>M$9&gt;=20/24</formula>
    </cfRule>
    <cfRule type="expression" dxfId="2219" priority="293">
      <formula>AND(M$9&gt;=14/24,M$9&lt;20/24)</formula>
    </cfRule>
    <cfRule type="expression" dxfId="2218" priority="294">
      <formula>AND(M$9&gt;=8/24,M$9&lt;14/24)</formula>
    </cfRule>
    <cfRule type="expression" dxfId="2217" priority="295">
      <formula>M$9&lt;8/24</formula>
    </cfRule>
  </conditionalFormatting>
  <conditionalFormatting sqref="Z37:AC37">
    <cfRule type="expression" dxfId="2216" priority="288">
      <formula>Z$9&gt;=20/24</formula>
    </cfRule>
    <cfRule type="expression" dxfId="2215" priority="289">
      <formula>AND(Z$9&gt;=14/24,Z$9&lt;20/24)</formula>
    </cfRule>
    <cfRule type="expression" dxfId="2214" priority="290">
      <formula>AND(Z$9&gt;=8/24,Z$9&lt;14/24)</formula>
    </cfRule>
    <cfRule type="expression" dxfId="2213" priority="291">
      <formula>Z$9&lt;8/24</formula>
    </cfRule>
  </conditionalFormatting>
  <conditionalFormatting sqref="Z35:AC35">
    <cfRule type="expression" dxfId="2212" priority="284">
      <formula>Z$9&gt;=20/24</formula>
    </cfRule>
    <cfRule type="expression" dxfId="2211" priority="285">
      <formula>AND(Z$9&gt;=14/24,Z$9&lt;20/24)</formula>
    </cfRule>
    <cfRule type="expression" dxfId="2210" priority="286">
      <formula>AND(Z$9&gt;=8/24,Z$9&lt;14/24)</formula>
    </cfRule>
    <cfRule type="expression" dxfId="2209" priority="287">
      <formula>Z$9&lt;8/24</formula>
    </cfRule>
  </conditionalFormatting>
  <conditionalFormatting sqref="S42:T43 U43:Y43 S45:AF48">
    <cfRule type="expression" dxfId="2208" priority="280">
      <formula>S$9&gt;=20/24</formula>
    </cfRule>
    <cfRule type="expression" dxfId="2207" priority="281">
      <formula>AND(S$9&gt;=14/24,S$9&lt;20/24)</formula>
    </cfRule>
    <cfRule type="expression" dxfId="2206" priority="282">
      <formula>AND(S$9&gt;=8/24,S$9&lt;14/24)</formula>
    </cfRule>
    <cfRule type="expression" dxfId="2205" priority="283">
      <formula>S$9&lt;8/24</formula>
    </cfRule>
  </conditionalFormatting>
  <conditionalFormatting sqref="S49:AF49">
    <cfRule type="expression" dxfId="2204" priority="276">
      <formula>S$9&gt;=20/24</formula>
    </cfRule>
    <cfRule type="expression" dxfId="2203" priority="277">
      <formula>AND(S$9&gt;=14/24,S$9&lt;20/24)</formula>
    </cfRule>
    <cfRule type="expression" dxfId="2202" priority="278">
      <formula>AND(S$9&gt;=8/24,S$9&lt;14/24)</formula>
    </cfRule>
    <cfRule type="expression" dxfId="2201" priority="279">
      <formula>S$9&lt;8/24</formula>
    </cfRule>
  </conditionalFormatting>
  <conditionalFormatting sqref="S50:AF50">
    <cfRule type="expression" dxfId="2200" priority="272">
      <formula>S$9&gt;=20/24</formula>
    </cfRule>
    <cfRule type="expression" dxfId="2199" priority="273">
      <formula>AND(S$9&gt;=14/24,S$9&lt;20/24)</formula>
    </cfRule>
    <cfRule type="expression" dxfId="2198" priority="274">
      <formula>AND(S$9&gt;=8/24,S$9&lt;14/24)</formula>
    </cfRule>
    <cfRule type="expression" dxfId="2197" priority="275">
      <formula>S$9&lt;8/24</formula>
    </cfRule>
  </conditionalFormatting>
  <conditionalFormatting sqref="S60:T61 X60:AD60 Z62:AA67 AE60:AE67 X61:AA61 AB61:AD67">
    <cfRule type="expression" dxfId="2196" priority="268">
      <formula>S$9&gt;=20/24</formula>
    </cfRule>
    <cfRule type="expression" dxfId="2195" priority="269">
      <formula>AND(S$9&gt;=14/24,S$9&lt;20/24)</formula>
    </cfRule>
    <cfRule type="expression" dxfId="2194" priority="270">
      <formula>AND(S$9&gt;=8/24,S$9&lt;14/24)</formula>
    </cfRule>
    <cfRule type="expression" dxfId="2193" priority="271">
      <formula>S$9&lt;8/24</formula>
    </cfRule>
  </conditionalFormatting>
  <conditionalFormatting sqref="U94:AA97">
    <cfRule type="expression" dxfId="2192" priority="260">
      <formula>U$9&gt;=20/24</formula>
    </cfRule>
    <cfRule type="expression" dxfId="2191" priority="261">
      <formula>AND(U$9&gt;=14/24,U$9&lt;20/24)</formula>
    </cfRule>
    <cfRule type="expression" dxfId="2190" priority="262">
      <formula>AND(U$9&gt;=8/24,U$9&lt;14/24)</formula>
    </cfRule>
    <cfRule type="expression" dxfId="2189" priority="263">
      <formula>U$9&lt;8/24</formula>
    </cfRule>
  </conditionalFormatting>
  <conditionalFormatting sqref="AG51 E11:R11 B11:D32 E12:L32 M12:R14 T11:AB11 S11:S14 T12:U14 M16:Y32 Z12:AB32 AC11:AC32 B34:AC37 B38:AF56">
    <cfRule type="expression" dxfId="2188" priority="259">
      <formula>B11&gt;$AG11</formula>
    </cfRule>
  </conditionalFormatting>
  <conditionalFormatting sqref="A101:A157 A84:A97 A11:A14 A16:A32 A45:A72 A80:A82 A74:A78 A35:A43 A170:A200">
    <cfRule type="expression" dxfId="2187" priority="258">
      <formula>$AH11=0</formula>
    </cfRule>
  </conditionalFormatting>
  <conditionalFormatting sqref="U98:AA98">
    <cfRule type="expression" dxfId="2186" priority="254">
      <formula>U$9&gt;=20/24</formula>
    </cfRule>
    <cfRule type="expression" dxfId="2185" priority="255">
      <formula>AND(U$9&gt;=14/24,U$9&lt;20/24)</formula>
    </cfRule>
    <cfRule type="expression" dxfId="2184" priority="256">
      <formula>AND(U$9&gt;=8/24,U$9&lt;14/24)</formula>
    </cfRule>
    <cfRule type="expression" dxfId="2183" priority="257">
      <formula>U$9&lt;8/24</formula>
    </cfRule>
  </conditionalFormatting>
  <conditionalFormatting sqref="A98">
    <cfRule type="expression" dxfId="2182" priority="253">
      <formula>$AH98=0</formula>
    </cfRule>
  </conditionalFormatting>
  <conditionalFormatting sqref="C36:L36">
    <cfRule type="expression" dxfId="2181" priority="249">
      <formula>C$9&gt;=20/24</formula>
    </cfRule>
    <cfRule type="expression" dxfId="2180" priority="250">
      <formula>AND(C$9&gt;=14/24,C$9&lt;20/24)</formula>
    </cfRule>
    <cfRule type="expression" dxfId="2179" priority="251">
      <formula>AND(C$9&gt;=8/24,C$9&lt;14/24)</formula>
    </cfRule>
    <cfRule type="expression" dxfId="2178" priority="252">
      <formula>C$9&lt;8/24</formula>
    </cfRule>
  </conditionalFormatting>
  <conditionalFormatting sqref="M62:Y64 M66:Y67">
    <cfRule type="expression" dxfId="2177" priority="241">
      <formula>M$9&gt;=20/24</formula>
    </cfRule>
    <cfRule type="expression" dxfId="2176" priority="242">
      <formula>AND(M$9&gt;=14/24,M$9&lt;20/24)</formula>
    </cfRule>
    <cfRule type="expression" dxfId="2175" priority="243">
      <formula>AND(M$9&gt;=8/24,M$9&lt;14/24)</formula>
    </cfRule>
    <cfRule type="expression" dxfId="2174" priority="244">
      <formula>M$9&lt;8/24</formula>
    </cfRule>
  </conditionalFormatting>
  <conditionalFormatting sqref="AL32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Z34:AC34">
    <cfRule type="expression" dxfId="2173" priority="236">
      <formula>Z$9&gt;=20/24</formula>
    </cfRule>
    <cfRule type="expression" dxfId="2172" priority="237">
      <formula>AND(Z$9&gt;=14/24,Z$9&lt;20/24)</formula>
    </cfRule>
    <cfRule type="expression" dxfId="2171" priority="238">
      <formula>AND(Z$9&gt;=8/24,Z$9&lt;14/24)</formula>
    </cfRule>
    <cfRule type="expression" dxfId="2170" priority="239">
      <formula>Z$9&lt;8/24</formula>
    </cfRule>
  </conditionalFormatting>
  <conditionalFormatting sqref="M34:Y34">
    <cfRule type="expression" dxfId="2169" priority="232">
      <formula>M$9&gt;=20/24</formula>
    </cfRule>
    <cfRule type="expression" dxfId="2168" priority="233">
      <formula>AND(M$9&gt;=14/24,M$9&lt;20/24)</formula>
    </cfRule>
    <cfRule type="expression" dxfId="2167" priority="234">
      <formula>AND(M$9&gt;=8/24,M$9&lt;14/24)</formula>
    </cfRule>
    <cfRule type="expression" dxfId="2166" priority="235">
      <formula>M$9&lt;8/24</formula>
    </cfRule>
  </conditionalFormatting>
  <conditionalFormatting sqref="A34">
    <cfRule type="expression" dxfId="2165" priority="227">
      <formula>$AH34=0</formula>
    </cfRule>
  </conditionalFormatting>
  <conditionalFormatting sqref="A83">
    <cfRule type="expression" dxfId="2164" priority="226">
      <formula>$AH83=0</formula>
    </cfRule>
  </conditionalFormatting>
  <conditionalFormatting sqref="Z15:AC15">
    <cfRule type="expression" dxfId="2163" priority="222">
      <formula>Z$9&gt;=20/24</formula>
    </cfRule>
    <cfRule type="expression" dxfId="2162" priority="223">
      <formula>AND(Z$9&gt;=14/24,Z$9&lt;20/24)</formula>
    </cfRule>
    <cfRule type="expression" dxfId="2161" priority="224">
      <formula>AND(Z$9&gt;=8/24,Z$9&lt;14/24)</formula>
    </cfRule>
    <cfRule type="expression" dxfId="2160" priority="225">
      <formula>Z$9&lt;8/24</formula>
    </cfRule>
  </conditionalFormatting>
  <conditionalFormatting sqref="M15:Y15">
    <cfRule type="expression" dxfId="2159" priority="218">
      <formula>M$9&gt;=20/24</formula>
    </cfRule>
    <cfRule type="expression" dxfId="2158" priority="219">
      <formula>AND(M$9&gt;=14/24,M$9&lt;20/24)</formula>
    </cfRule>
    <cfRule type="expression" dxfId="2157" priority="220">
      <formula>AND(M$9&gt;=8/24,M$9&lt;14/24)</formula>
    </cfRule>
    <cfRule type="expression" dxfId="2156" priority="221">
      <formula>M$9&lt;8/24</formula>
    </cfRule>
  </conditionalFormatting>
  <conditionalFormatting sqref="M15:Y15">
    <cfRule type="expression" dxfId="2155" priority="217">
      <formula>M15&gt;$AG15</formula>
    </cfRule>
  </conditionalFormatting>
  <conditionalFormatting sqref="A15">
    <cfRule type="expression" dxfId="2154" priority="216">
      <formula>$AH15=0</formula>
    </cfRule>
  </conditionalFormatting>
  <conditionalFormatting sqref="A164:A169">
    <cfRule type="expression" dxfId="2153" priority="215">
      <formula>$AH164=0</formula>
    </cfRule>
  </conditionalFormatting>
  <conditionalFormatting sqref="A158:A163">
    <cfRule type="expression" dxfId="2152" priority="214">
      <formula>$AH158=0</formula>
    </cfRule>
  </conditionalFormatting>
  <conditionalFormatting sqref="Z44:AF44">
    <cfRule type="expression" dxfId="2151" priority="210">
      <formula>Z$9&gt;=20/24</formula>
    </cfRule>
    <cfRule type="expression" dxfId="2150" priority="211">
      <formula>AND(Z$9&gt;=14/24,Z$9&lt;20/24)</formula>
    </cfRule>
    <cfRule type="expression" dxfId="2149" priority="212">
      <formula>AND(Z$9&gt;=8/24,Z$9&lt;14/24)</formula>
    </cfRule>
    <cfRule type="expression" dxfId="2148" priority="213">
      <formula>Z$9&lt;8/24</formula>
    </cfRule>
  </conditionalFormatting>
  <conditionalFormatting sqref="M44:T44">
    <cfRule type="expression" dxfId="2147" priority="206">
      <formula>M$9&gt;=20/24</formula>
    </cfRule>
    <cfRule type="expression" dxfId="2146" priority="207">
      <formula>AND(M$9&gt;=14/24,M$9&lt;20/24)</formula>
    </cfRule>
    <cfRule type="expression" dxfId="2145" priority="208">
      <formula>AND(M$9&gt;=8/24,M$9&lt;14/24)</formula>
    </cfRule>
    <cfRule type="expression" dxfId="2144" priority="209">
      <formula>M$9&lt;8/24</formula>
    </cfRule>
  </conditionalFormatting>
  <conditionalFormatting sqref="S44:Y44">
    <cfRule type="expression" dxfId="2143" priority="202">
      <formula>S$9&gt;=20/24</formula>
    </cfRule>
    <cfRule type="expression" dxfId="2142" priority="203">
      <formula>AND(S$9&gt;=14/24,S$9&lt;20/24)</formula>
    </cfRule>
    <cfRule type="expression" dxfId="2141" priority="204">
      <formula>AND(S$9&gt;=8/24,S$9&lt;14/24)</formula>
    </cfRule>
    <cfRule type="expression" dxfId="2140" priority="205">
      <formula>S$9&lt;8/24</formula>
    </cfRule>
  </conditionalFormatting>
  <conditionalFormatting sqref="A44">
    <cfRule type="expression" dxfId="2139" priority="201">
      <formula>$AH44=0</formula>
    </cfRule>
  </conditionalFormatting>
  <conditionalFormatting sqref="A79">
    <cfRule type="expression" dxfId="2138" priority="200">
      <formula>$AH79=0</formula>
    </cfRule>
  </conditionalFormatting>
  <conditionalFormatting sqref="A73">
    <cfRule type="expression" dxfId="2137" priority="199">
      <formula>$AH73=0</formula>
    </cfRule>
  </conditionalFormatting>
  <conditionalFormatting sqref="AL34:AL35 AL7:AL31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2136" priority="195">
      <formula>U$9&gt;=20/24</formula>
    </cfRule>
    <cfRule type="expression" dxfId="2135" priority="196">
      <formula>AND(U$9&gt;=14/24,U$9&lt;20/24)</formula>
    </cfRule>
    <cfRule type="expression" dxfId="2134" priority="197">
      <formula>AND(U$9&gt;=8/24,U$9&lt;14/24)</formula>
    </cfRule>
    <cfRule type="expression" dxfId="2133" priority="198">
      <formula>U$9&lt;8/24</formula>
    </cfRule>
  </conditionalFormatting>
  <conditionalFormatting sqref="U85:W91">
    <cfRule type="expression" dxfId="2132" priority="191">
      <formula>U$9&gt;=20/24</formula>
    </cfRule>
    <cfRule type="expression" dxfId="2131" priority="192">
      <formula>AND(U$9&gt;=14/24,U$9&lt;20/24)</formula>
    </cfRule>
    <cfRule type="expression" dxfId="2130" priority="193">
      <formula>AND(U$9&gt;=8/24,U$9&lt;14/24)</formula>
    </cfRule>
    <cfRule type="expression" dxfId="2129" priority="194">
      <formula>U$9&lt;8/24</formula>
    </cfRule>
  </conditionalFormatting>
  <conditionalFormatting sqref="S85:T91 C84:R91">
    <cfRule type="expression" dxfId="2128" priority="187">
      <formula>C$9&gt;=20/24</formula>
    </cfRule>
    <cfRule type="expression" dxfId="2127" priority="188">
      <formula>AND(C$9&gt;=14/24,C$9&lt;20/24)</formula>
    </cfRule>
    <cfRule type="expression" dxfId="2126" priority="189">
      <formula>AND(C$9&gt;=8/24,C$9&lt;14/24)</formula>
    </cfRule>
    <cfRule type="expression" dxfId="2125" priority="190">
      <formula>C$9&lt;8/24</formula>
    </cfRule>
  </conditionalFormatting>
  <conditionalFormatting sqref="S84:T84">
    <cfRule type="expression" dxfId="2124" priority="183">
      <formula>S$9&gt;=20/24</formula>
    </cfRule>
    <cfRule type="expression" dxfId="2123" priority="184">
      <formula>AND(S$9&gt;=14/24,S$9&lt;20/24)</formula>
    </cfRule>
    <cfRule type="expression" dxfId="2122" priority="185">
      <formula>AND(S$9&gt;=8/24,S$9&lt;14/24)</formula>
    </cfRule>
    <cfRule type="expression" dxfId="2121" priority="186">
      <formula>S$9&lt;8/24</formula>
    </cfRule>
  </conditionalFormatting>
  <conditionalFormatting sqref="C95:M97 C94:F94">
    <cfRule type="expression" dxfId="2120" priority="179">
      <formula>C$9&gt;=20/24</formula>
    </cfRule>
    <cfRule type="expression" dxfId="2119" priority="180">
      <formula>AND(C$9&gt;=14/24,C$9&lt;20/24)</formula>
    </cfRule>
    <cfRule type="expression" dxfId="2118" priority="181">
      <formula>AND(C$9&gt;=8/24,C$9&lt;14/24)</formula>
    </cfRule>
    <cfRule type="expression" dxfId="2117" priority="182">
      <formula>C$9&lt;8/24</formula>
    </cfRule>
  </conditionalFormatting>
  <conditionalFormatting sqref="N95:R97 O94:R94">
    <cfRule type="expression" dxfId="2116" priority="175">
      <formula>N$9&gt;=20/24</formula>
    </cfRule>
    <cfRule type="expression" dxfId="2115" priority="176">
      <formula>AND(N$9&gt;=14/24,N$9&lt;20/24)</formula>
    </cfRule>
    <cfRule type="expression" dxfId="2114" priority="177">
      <formula>AND(N$9&gt;=8/24,N$9&lt;14/24)</formula>
    </cfRule>
    <cfRule type="expression" dxfId="2113" priority="178">
      <formula>N$9&lt;8/24</formula>
    </cfRule>
  </conditionalFormatting>
  <conditionalFormatting sqref="S94:T97">
    <cfRule type="expression" dxfId="2112" priority="171">
      <formula>S$9&gt;=20/24</formula>
    </cfRule>
    <cfRule type="expression" dxfId="2111" priority="172">
      <formula>AND(S$9&gt;=14/24,S$9&lt;20/24)</formula>
    </cfRule>
    <cfRule type="expression" dxfId="2110" priority="173">
      <formula>AND(S$9&gt;=8/24,S$9&lt;14/24)</formula>
    </cfRule>
    <cfRule type="expression" dxfId="2109" priority="174">
      <formula>S$9&lt;8/24</formula>
    </cfRule>
  </conditionalFormatting>
  <conditionalFormatting sqref="C98:M98">
    <cfRule type="expression" dxfId="2108" priority="167">
      <formula>C$9&gt;=20/24</formula>
    </cfRule>
    <cfRule type="expression" dxfId="2107" priority="168">
      <formula>AND(C$9&gt;=14/24,C$9&lt;20/24)</formula>
    </cfRule>
    <cfRule type="expression" dxfId="2106" priority="169">
      <formula>AND(C$9&gt;=8/24,C$9&lt;14/24)</formula>
    </cfRule>
    <cfRule type="expression" dxfId="2105" priority="170">
      <formula>C$9&lt;8/24</formula>
    </cfRule>
  </conditionalFormatting>
  <conditionalFormatting sqref="N98:R98">
    <cfRule type="expression" dxfId="2104" priority="163">
      <formula>N$9&gt;=20/24</formula>
    </cfRule>
    <cfRule type="expression" dxfId="2103" priority="164">
      <formula>AND(N$9&gt;=14/24,N$9&lt;20/24)</formula>
    </cfRule>
    <cfRule type="expression" dxfId="2102" priority="165">
      <formula>AND(N$9&gt;=8/24,N$9&lt;14/24)</formula>
    </cfRule>
    <cfRule type="expression" dxfId="2101" priority="166">
      <formula>N$9&lt;8/24</formula>
    </cfRule>
  </conditionalFormatting>
  <conditionalFormatting sqref="S98:T98">
    <cfRule type="expression" dxfId="2100" priority="159">
      <formula>S$9&gt;=20/24</formula>
    </cfRule>
    <cfRule type="expression" dxfId="2099" priority="160">
      <formula>AND(S$9&gt;=14/24,S$9&lt;20/24)</formula>
    </cfRule>
    <cfRule type="expression" dxfId="2098" priority="161">
      <formula>AND(S$9&gt;=8/24,S$9&lt;14/24)</formula>
    </cfRule>
    <cfRule type="expression" dxfId="2097" priority="162">
      <formula>S$9&lt;8/24</formula>
    </cfRule>
  </conditionalFormatting>
  <conditionalFormatting sqref="M94:N94">
    <cfRule type="expression" dxfId="2096" priority="155">
      <formula>M$9&gt;=20/24</formula>
    </cfRule>
    <cfRule type="expression" dxfId="2095" priority="156">
      <formula>AND(M$9&gt;=14/24,M$9&lt;20/24)</formula>
    </cfRule>
    <cfRule type="expression" dxfId="2094" priority="157">
      <formula>AND(M$9&gt;=8/24,M$9&lt;14/24)</formula>
    </cfRule>
    <cfRule type="expression" dxfId="2093" priority="158">
      <formula>M$9&lt;8/24</formula>
    </cfRule>
  </conditionalFormatting>
  <conditionalFormatting sqref="G94:L94">
    <cfRule type="expression" dxfId="2092" priority="151">
      <formula>G$9&gt;=20/24</formula>
    </cfRule>
    <cfRule type="expression" dxfId="2091" priority="152">
      <formula>AND(G$9&gt;=14/24,G$9&lt;20/24)</formula>
    </cfRule>
    <cfRule type="expression" dxfId="2090" priority="153">
      <formula>AND(G$9&gt;=8/24,G$9&lt;14/24)</formula>
    </cfRule>
    <cfRule type="expression" dxfId="2089" priority="154">
      <formula>G$9&lt;8/24</formula>
    </cfRule>
  </conditionalFormatting>
  <conditionalFormatting sqref="U94:W94">
    <cfRule type="expression" dxfId="2088" priority="147">
      <formula>U$9&gt;=20/24</formula>
    </cfRule>
    <cfRule type="expression" dxfId="2087" priority="148">
      <formula>AND(U$9&gt;=14/24,U$9&lt;20/24)</formula>
    </cfRule>
    <cfRule type="expression" dxfId="2086" priority="149">
      <formula>AND(U$9&gt;=8/24,U$9&lt;14/24)</formula>
    </cfRule>
    <cfRule type="expression" dxfId="2085" priority="150">
      <formula>U$9&lt;8/24</formula>
    </cfRule>
  </conditionalFormatting>
  <conditionalFormatting sqref="N94:T94">
    <cfRule type="expression" dxfId="2084" priority="143">
      <formula>N$9&gt;=20/24</formula>
    </cfRule>
    <cfRule type="expression" dxfId="2083" priority="144">
      <formula>AND(N$9&gt;=14/24,N$9&lt;20/24)</formula>
    </cfRule>
    <cfRule type="expression" dxfId="2082" priority="145">
      <formula>AND(N$9&gt;=8/24,N$9&lt;14/24)</formula>
    </cfRule>
    <cfRule type="expression" dxfId="2081" priority="146">
      <formula>N$9&lt;8/24</formula>
    </cfRule>
  </conditionalFormatting>
  <conditionalFormatting sqref="U99:AA100">
    <cfRule type="expression" dxfId="2080" priority="139">
      <formula>U$9&gt;=20/24</formula>
    </cfRule>
    <cfRule type="expression" dxfId="2079" priority="140">
      <formula>AND(U$9&gt;=14/24,U$9&lt;20/24)</formula>
    </cfRule>
    <cfRule type="expression" dxfId="2078" priority="141">
      <formula>AND(U$9&gt;=8/24,U$9&lt;14/24)</formula>
    </cfRule>
    <cfRule type="expression" dxfId="2077" priority="142">
      <formula>U$9&lt;8/24</formula>
    </cfRule>
  </conditionalFormatting>
  <conditionalFormatting sqref="C99:M100">
    <cfRule type="expression" dxfId="2076" priority="135">
      <formula>C$9&gt;=20/24</formula>
    </cfRule>
    <cfRule type="expression" dxfId="2075" priority="136">
      <formula>AND(C$9&gt;=14/24,C$9&lt;20/24)</formula>
    </cfRule>
    <cfRule type="expression" dxfId="2074" priority="137">
      <formula>AND(C$9&gt;=8/24,C$9&lt;14/24)</formula>
    </cfRule>
    <cfRule type="expression" dxfId="2073" priority="138">
      <formula>C$9&lt;8/24</formula>
    </cfRule>
  </conditionalFormatting>
  <conditionalFormatting sqref="N99:R100">
    <cfRule type="expression" dxfId="2072" priority="131">
      <formula>N$9&gt;=20/24</formula>
    </cfRule>
    <cfRule type="expression" dxfId="2071" priority="132">
      <formula>AND(N$9&gt;=14/24,N$9&lt;20/24)</formula>
    </cfRule>
    <cfRule type="expression" dxfId="2070" priority="133">
      <formula>AND(N$9&gt;=8/24,N$9&lt;14/24)</formula>
    </cfRule>
    <cfRule type="expression" dxfId="2069" priority="134">
      <formula>N$9&lt;8/24</formula>
    </cfRule>
  </conditionalFormatting>
  <conditionalFormatting sqref="S99:T100">
    <cfRule type="expression" dxfId="2068" priority="127">
      <formula>S$9&gt;=20/24</formula>
    </cfRule>
    <cfRule type="expression" dxfId="2067" priority="128">
      <formula>AND(S$9&gt;=14/24,S$9&lt;20/24)</formula>
    </cfRule>
    <cfRule type="expression" dxfId="2066" priority="129">
      <formula>AND(S$9&gt;=8/24,S$9&lt;14/24)</formula>
    </cfRule>
    <cfRule type="expression" dxfId="2065" priority="130">
      <formula>S$9&lt;8/24</formula>
    </cfRule>
  </conditionalFormatting>
  <conditionalFormatting sqref="V12:Y14">
    <cfRule type="expression" dxfId="2064" priority="123">
      <formula>V$9&gt;=20/24</formula>
    </cfRule>
    <cfRule type="expression" dxfId="2063" priority="124">
      <formula>AND(V$9&gt;=14/24,V$9&lt;20/24)</formula>
    </cfRule>
    <cfRule type="expression" dxfId="2062" priority="125">
      <formula>AND(V$9&gt;=8/24,V$9&lt;14/24)</formula>
    </cfRule>
    <cfRule type="expression" dxfId="2061" priority="126">
      <formula>V$9&lt;8/24</formula>
    </cfRule>
  </conditionalFormatting>
  <conditionalFormatting sqref="V12:Y13">
    <cfRule type="expression" dxfId="2060" priority="115">
      <formula>V$9&gt;=20/24</formula>
    </cfRule>
    <cfRule type="expression" dxfId="2059" priority="116">
      <formula>AND(V$9&gt;=14/24,V$9&lt;20/24)</formula>
    </cfRule>
    <cfRule type="expression" dxfId="2058" priority="117">
      <formula>AND(V$9&gt;=8/24,V$9&lt;14/24)</formula>
    </cfRule>
    <cfRule type="expression" dxfId="2057" priority="118">
      <formula>V$9&lt;8/24</formula>
    </cfRule>
  </conditionalFormatting>
  <conditionalFormatting sqref="AB58:AE59">
    <cfRule type="expression" dxfId="2056" priority="111">
      <formula>AB$9&gt;=20/24</formula>
    </cfRule>
    <cfRule type="expression" dxfId="2055" priority="112">
      <formula>AND(AB$9&gt;=14/24,AB$9&lt;20/24)</formula>
    </cfRule>
    <cfRule type="expression" dxfId="2054" priority="113">
      <formula>AND(AB$9&gt;=8/24,AB$9&lt;14/24)</formula>
    </cfRule>
    <cfRule type="expression" dxfId="2053" priority="114">
      <formula>AB$9&lt;8/24</formula>
    </cfRule>
  </conditionalFormatting>
  <conditionalFormatting sqref="AL33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052" priority="344">
      <formula>C$9&gt;=20/24</formula>
    </cfRule>
    <cfRule type="expression" dxfId="2051" priority="345">
      <formula>AND(C$9&gt;=14/24,C$9&lt;20/24)</formula>
    </cfRule>
    <cfRule type="expression" dxfId="2050" priority="346">
      <formula>AND(C$9&gt;=8/24,C$9&lt;14/24)</formula>
    </cfRule>
    <cfRule type="expression" dxfId="2049" priority="347">
      <formula>C$9&lt;8/24</formula>
    </cfRule>
  </conditionalFormatting>
  <conditionalFormatting sqref="A201">
    <cfRule type="expression" dxfId="2048" priority="348">
      <formula>$AH201=0</formula>
    </cfRule>
  </conditionalFormatting>
  <conditionalFormatting sqref="AG213">
    <cfRule type="expression" dxfId="2047" priority="349">
      <formula>B$9&gt;=20/24</formula>
    </cfRule>
    <cfRule type="expression" dxfId="2046" priority="350">
      <formula>AND(B$9&gt;=14/24,B$9&lt;20/24)</formula>
    </cfRule>
    <cfRule type="expression" dxfId="2045" priority="351">
      <formula>AND(B$9&gt;=8/24,B$9&lt;14/24)</formula>
    </cfRule>
    <cfRule type="expression" dxfId="2044" priority="352">
      <formula>B$9&lt;8/24</formula>
    </cfRule>
  </conditionalFormatting>
  <conditionalFormatting sqref="S8">
    <cfRule type="expression" dxfId="2043" priority="105">
      <formula>U$9&gt;=20/24</formula>
    </cfRule>
    <cfRule type="expression" dxfId="2042" priority="106">
      <formula>AND(U$9&gt;=14/24,U$9&lt;20/24)</formula>
    </cfRule>
    <cfRule type="expression" dxfId="2041" priority="107">
      <formula>AND(U$9&gt;=8/24,U$9&lt;14/24)</formula>
    </cfRule>
    <cfRule type="expression" dxfId="2040" priority="108">
      <formula>U$9&lt;8/24</formula>
    </cfRule>
  </conditionalFormatting>
  <conditionalFormatting sqref="AB8">
    <cfRule type="expression" dxfId="2039" priority="101">
      <formula>AD$9&gt;=20/24</formula>
    </cfRule>
    <cfRule type="expression" dxfId="2038" priority="102">
      <formula>AND(AD$9&gt;=14/24,AD$9&lt;20/24)</formula>
    </cfRule>
    <cfRule type="expression" dxfId="2037" priority="103">
      <formula>AND(AD$9&gt;=8/24,AD$9&lt;14/24)</formula>
    </cfRule>
    <cfRule type="expression" dxfId="2036" priority="104">
      <formula>AD$9&lt;8/24</formula>
    </cfRule>
  </conditionalFormatting>
  <conditionalFormatting sqref="AH213:AX213">
    <cfRule type="expression" dxfId="2035" priority="353">
      <formula>AG$9&gt;=20/24</formula>
    </cfRule>
    <cfRule type="expression" dxfId="2034" priority="354">
      <formula>AND(AG$9&gt;=14/24,AG$9&lt;20/24)</formula>
    </cfRule>
    <cfRule type="expression" dxfId="2033" priority="355">
      <formula>AND(AG$9&gt;=8/24,AG$9&lt;14/24)</formula>
    </cfRule>
    <cfRule type="expression" dxfId="2032" priority="356">
      <formula>AG$9&lt;8/24</formula>
    </cfRule>
  </conditionalFormatting>
  <conditionalFormatting sqref="T213">
    <cfRule type="expression" dxfId="2031" priority="357">
      <formula>AX$9&gt;=20/24</formula>
    </cfRule>
    <cfRule type="expression" dxfId="2030" priority="358">
      <formula>AND(AX$9&gt;=14/24,AX$9&lt;20/24)</formula>
    </cfRule>
    <cfRule type="expression" dxfId="2029" priority="359">
      <formula>AND(AX$9&gt;=8/24,AX$9&lt;14/24)</formula>
    </cfRule>
    <cfRule type="expression" dxfId="2028" priority="360">
      <formula>AX$9&lt;8/24</formula>
    </cfRule>
  </conditionalFormatting>
  <conditionalFormatting sqref="A99:A100">
    <cfRule type="expression" dxfId="2027" priority="100">
      <formula>$AH99=0</formula>
    </cfRule>
  </conditionalFormatting>
  <conditionalFormatting sqref="M33:Y33">
    <cfRule type="expression" dxfId="2026" priority="96">
      <formula>M$9&gt;=20/24</formula>
    </cfRule>
    <cfRule type="expression" dxfId="2025" priority="97">
      <formula>AND(M$9&gt;=14/24,M$9&lt;20/24)</formula>
    </cfRule>
    <cfRule type="expression" dxfId="2024" priority="98">
      <formula>AND(M$9&gt;=8/24,M$9&lt;14/24)</formula>
    </cfRule>
    <cfRule type="expression" dxfId="2023" priority="99">
      <formula>M$9&lt;8/24</formula>
    </cfRule>
  </conditionalFormatting>
  <conditionalFormatting sqref="Z33:AC33">
    <cfRule type="expression" dxfId="2022" priority="92">
      <formula>Z$9&gt;=20/24</formula>
    </cfRule>
    <cfRule type="expression" dxfId="2021" priority="93">
      <formula>AND(Z$9&gt;=14/24,Z$9&lt;20/24)</formula>
    </cfRule>
    <cfRule type="expression" dxfId="2020" priority="94">
      <formula>AND(Z$9&gt;=8/24,Z$9&lt;14/24)</formula>
    </cfRule>
    <cfRule type="expression" dxfId="2019" priority="95">
      <formula>Z$9&lt;8/24</formula>
    </cfRule>
  </conditionalFormatting>
  <conditionalFormatting sqref="B33:AC33">
    <cfRule type="expression" dxfId="2018" priority="87">
      <formula>B33&gt;$AG33</formula>
    </cfRule>
  </conditionalFormatting>
  <conditionalFormatting sqref="H60:H61 I61">
    <cfRule type="expression" dxfId="2017" priority="83">
      <formula>H$9&gt;=20/24</formula>
    </cfRule>
    <cfRule type="expression" dxfId="2016" priority="84">
      <formula>AND(H$9&gt;=14/24,H$9&lt;20/24)</formula>
    </cfRule>
    <cfRule type="expression" dxfId="2015" priority="85">
      <formula>AND(H$9&gt;=8/24,H$9&lt;14/24)</formula>
    </cfRule>
    <cfRule type="expression" dxfId="2014" priority="86">
      <formula>H$9&lt;8/24</formula>
    </cfRule>
  </conditionalFormatting>
  <conditionalFormatting sqref="H62:L64 H66:L67">
    <cfRule type="expression" dxfId="2013" priority="79">
      <formula>H$9&gt;=20/24</formula>
    </cfRule>
    <cfRule type="expression" dxfId="2012" priority="80">
      <formula>AND(H$9&gt;=14/24,H$9&lt;20/24)</formula>
    </cfRule>
    <cfRule type="expression" dxfId="2011" priority="81">
      <formula>AND(H$9&gt;=8/24,H$9&lt;14/24)</formula>
    </cfRule>
    <cfRule type="expression" dxfId="2010" priority="82">
      <formula>H$9&lt;8/24</formula>
    </cfRule>
  </conditionalFormatting>
  <conditionalFormatting sqref="G60:G61">
    <cfRule type="expression" dxfId="2009" priority="75">
      <formula>G$9&gt;=20/24</formula>
    </cfRule>
    <cfRule type="expression" dxfId="2008" priority="76">
      <formula>AND(G$9&gt;=14/24,G$9&lt;20/24)</formula>
    </cfRule>
    <cfRule type="expression" dxfId="2007" priority="77">
      <formula>AND(G$9&gt;=8/24,G$9&lt;14/24)</formula>
    </cfRule>
    <cfRule type="expression" dxfId="2006" priority="78">
      <formula>G$9&lt;8/24</formula>
    </cfRule>
  </conditionalFormatting>
  <conditionalFormatting sqref="G62:G64 G66:G67">
    <cfRule type="expression" dxfId="2005" priority="71">
      <formula>G$9&gt;=20/24</formula>
    </cfRule>
    <cfRule type="expression" dxfId="2004" priority="72">
      <formula>AND(G$9&gt;=14/24,G$9&lt;20/24)</formula>
    </cfRule>
    <cfRule type="expression" dxfId="2003" priority="73">
      <formula>AND(G$9&gt;=8/24,G$9&lt;14/24)</formula>
    </cfRule>
    <cfRule type="expression" dxfId="2002" priority="74">
      <formula>G$9&lt;8/24</formula>
    </cfRule>
  </conditionalFormatting>
  <conditionalFormatting sqref="F60:F61">
    <cfRule type="expression" dxfId="2001" priority="67">
      <formula>F$9&gt;=20/24</formula>
    </cfRule>
    <cfRule type="expression" dxfId="2000" priority="68">
      <formula>AND(F$9&gt;=14/24,F$9&lt;20/24)</formula>
    </cfRule>
    <cfRule type="expression" dxfId="1999" priority="69">
      <formula>AND(F$9&gt;=8/24,F$9&lt;14/24)</formula>
    </cfRule>
    <cfRule type="expression" dxfId="1998" priority="70">
      <formula>F$9&lt;8/24</formula>
    </cfRule>
  </conditionalFormatting>
  <conditionalFormatting sqref="F62:F64 F66:F67">
    <cfRule type="expression" dxfId="1997" priority="63">
      <formula>F$9&gt;=20/24</formula>
    </cfRule>
    <cfRule type="expression" dxfId="1996" priority="64">
      <formula>AND(F$9&gt;=14/24,F$9&lt;20/24)</formula>
    </cfRule>
    <cfRule type="expression" dxfId="1995" priority="65">
      <formula>AND(F$9&gt;=8/24,F$9&lt;14/24)</formula>
    </cfRule>
    <cfRule type="expression" dxfId="1994" priority="66">
      <formula>F$9&lt;8/24</formula>
    </cfRule>
  </conditionalFormatting>
  <conditionalFormatting sqref="E60:E61">
    <cfRule type="expression" dxfId="1993" priority="59">
      <formula>E$9&gt;=20/24</formula>
    </cfRule>
    <cfRule type="expression" dxfId="1992" priority="60">
      <formula>AND(E$9&gt;=14/24,E$9&lt;20/24)</formula>
    </cfRule>
    <cfRule type="expression" dxfId="1991" priority="61">
      <formula>AND(E$9&gt;=8/24,E$9&lt;14/24)</formula>
    </cfRule>
    <cfRule type="expression" dxfId="1990" priority="62">
      <formula>E$9&lt;8/24</formula>
    </cfRule>
  </conditionalFormatting>
  <conditionalFormatting sqref="E62:E64 E66:E67">
    <cfRule type="expression" dxfId="1989" priority="55">
      <formula>E$9&gt;=20/24</formula>
    </cfRule>
    <cfRule type="expression" dxfId="1988" priority="56">
      <formula>AND(E$9&gt;=14/24,E$9&lt;20/24)</formula>
    </cfRule>
    <cfRule type="expression" dxfId="1987" priority="57">
      <formula>AND(E$9&gt;=8/24,E$9&lt;14/24)</formula>
    </cfRule>
    <cfRule type="expression" dxfId="1986" priority="58">
      <formula>E$9&lt;8/24</formula>
    </cfRule>
  </conditionalFormatting>
  <conditionalFormatting sqref="D60:D61">
    <cfRule type="expression" dxfId="1985" priority="51">
      <formula>D$9&gt;=20/24</formula>
    </cfRule>
    <cfRule type="expression" dxfId="1984" priority="52">
      <formula>AND(D$9&gt;=14/24,D$9&lt;20/24)</formula>
    </cfRule>
    <cfRule type="expression" dxfId="1983" priority="53">
      <formula>AND(D$9&gt;=8/24,D$9&lt;14/24)</formula>
    </cfRule>
    <cfRule type="expression" dxfId="1982" priority="54">
      <formula>D$9&lt;8/24</formula>
    </cfRule>
  </conditionalFormatting>
  <conditionalFormatting sqref="D62:D64 D66:D67">
    <cfRule type="expression" dxfId="1981" priority="47">
      <formula>D$9&gt;=20/24</formula>
    </cfRule>
    <cfRule type="expression" dxfId="1980" priority="48">
      <formula>AND(D$9&gt;=14/24,D$9&lt;20/24)</formula>
    </cfRule>
    <cfRule type="expression" dxfId="1979" priority="49">
      <formula>AND(D$9&gt;=8/24,D$9&lt;14/24)</formula>
    </cfRule>
    <cfRule type="expression" dxfId="1978" priority="50">
      <formula>D$9&lt;8/24</formula>
    </cfRule>
  </conditionalFormatting>
  <conditionalFormatting sqref="C60:C61">
    <cfRule type="expression" dxfId="1977" priority="43">
      <formula>C$9&gt;=20/24</formula>
    </cfRule>
    <cfRule type="expression" dxfId="1976" priority="44">
      <formula>AND(C$9&gt;=14/24,C$9&lt;20/24)</formula>
    </cfRule>
    <cfRule type="expression" dxfId="1975" priority="45">
      <formula>AND(C$9&gt;=8/24,C$9&lt;14/24)</formula>
    </cfRule>
    <cfRule type="expression" dxfId="1974" priority="46">
      <formula>C$9&lt;8/24</formula>
    </cfRule>
  </conditionalFormatting>
  <conditionalFormatting sqref="C62:C64 C66:C67">
    <cfRule type="expression" dxfId="1973" priority="39">
      <formula>C$9&gt;=20/24</formula>
    </cfRule>
    <cfRule type="expression" dxfId="1972" priority="40">
      <formula>AND(C$9&gt;=14/24,C$9&lt;20/24)</formula>
    </cfRule>
    <cfRule type="expression" dxfId="1971" priority="41">
      <formula>AND(C$9&gt;=8/24,C$9&lt;14/24)</formula>
    </cfRule>
    <cfRule type="expression" dxfId="1970" priority="42">
      <formula>C$9&lt;8/24</formula>
    </cfRule>
  </conditionalFormatting>
  <conditionalFormatting sqref="B60:B61">
    <cfRule type="expression" dxfId="1969" priority="35">
      <formula>B$9&gt;=20/24</formula>
    </cfRule>
    <cfRule type="expression" dxfId="1968" priority="36">
      <formula>AND(B$9&gt;=14/24,B$9&lt;20/24)</formula>
    </cfRule>
    <cfRule type="expression" dxfId="1967" priority="37">
      <formula>AND(B$9&gt;=8/24,B$9&lt;14/24)</formula>
    </cfRule>
    <cfRule type="expression" dxfId="1966" priority="38">
      <formula>B$9&lt;8/24</formula>
    </cfRule>
  </conditionalFormatting>
  <conditionalFormatting sqref="B62:B67 C65:Y65">
    <cfRule type="expression" dxfId="1965" priority="31">
      <formula>B$9&gt;=20/24</formula>
    </cfRule>
    <cfRule type="expression" dxfId="1964" priority="32">
      <formula>AND(B$9&gt;=14/24,B$9&lt;20/24)</formula>
    </cfRule>
    <cfRule type="expression" dxfId="1963" priority="33">
      <formula>AND(B$9&gt;=8/24,B$9&lt;14/24)</formula>
    </cfRule>
    <cfRule type="expression" dxfId="1962" priority="34">
      <formula>B$9&lt;8/24</formula>
    </cfRule>
  </conditionalFormatting>
  <conditionalFormatting sqref="AD28:AF31 AD16:AF26 AD11:AF14 AD36:AF36">
    <cfRule type="expression" dxfId="1961" priority="27">
      <formula>AD$9&gt;=20/24</formula>
    </cfRule>
    <cfRule type="expression" dxfId="1960" priority="28">
      <formula>AND(AD$9&gt;=14/24,AD$9&lt;20/24)</formula>
    </cfRule>
    <cfRule type="expression" dxfId="1959" priority="29">
      <formula>AND(AD$9&gt;=8/24,AD$9&lt;14/24)</formula>
    </cfRule>
    <cfRule type="expression" dxfId="1958" priority="30">
      <formula>AD$9&lt;8/24</formula>
    </cfRule>
  </conditionalFormatting>
  <conditionalFormatting sqref="AD32:AF32">
    <cfRule type="expression" dxfId="1957" priority="23">
      <formula>AD$9&gt;=20/24</formula>
    </cfRule>
    <cfRule type="expression" dxfId="1956" priority="24">
      <formula>AND(AD$9&gt;=14/24,AD$9&lt;20/24)</formula>
    </cfRule>
    <cfRule type="expression" dxfId="1955" priority="25">
      <formula>AND(AD$9&gt;=8/24,AD$9&lt;14/24)</formula>
    </cfRule>
    <cfRule type="expression" dxfId="1954" priority="26">
      <formula>AD$9&lt;8/24</formula>
    </cfRule>
  </conditionalFormatting>
  <conditionalFormatting sqref="AD37:AF37">
    <cfRule type="expression" dxfId="1953" priority="19">
      <formula>AD$9&gt;=20/24</formula>
    </cfRule>
    <cfRule type="expression" dxfId="1952" priority="20">
      <formula>AND(AD$9&gt;=14/24,AD$9&lt;20/24)</formula>
    </cfRule>
    <cfRule type="expression" dxfId="1951" priority="21">
      <formula>AND(AD$9&gt;=8/24,AD$9&lt;14/24)</formula>
    </cfRule>
    <cfRule type="expression" dxfId="1950" priority="22">
      <formula>AD$9&lt;8/24</formula>
    </cfRule>
  </conditionalFormatting>
  <conditionalFormatting sqref="AD35:AF35">
    <cfRule type="expression" dxfId="1949" priority="15">
      <formula>AD$9&gt;=20/24</formula>
    </cfRule>
    <cfRule type="expression" dxfId="1948" priority="16">
      <formula>AND(AD$9&gt;=14/24,AD$9&lt;20/24)</formula>
    </cfRule>
    <cfRule type="expression" dxfId="1947" priority="17">
      <formula>AND(AD$9&gt;=8/24,AD$9&lt;14/24)</formula>
    </cfRule>
    <cfRule type="expression" dxfId="1946" priority="18">
      <formula>AD$9&lt;8/24</formula>
    </cfRule>
  </conditionalFormatting>
  <conditionalFormatting sqref="AD11:AF32 AD34:AF37">
    <cfRule type="expression" dxfId="1945" priority="14">
      <formula>AD11&gt;$AG11</formula>
    </cfRule>
  </conditionalFormatting>
  <conditionalFormatting sqref="AD34:AF34">
    <cfRule type="expression" dxfId="1944" priority="10">
      <formula>AD$9&gt;=20/24</formula>
    </cfRule>
    <cfRule type="expression" dxfId="1943" priority="11">
      <formula>AND(AD$9&gt;=14/24,AD$9&lt;20/24)</formula>
    </cfRule>
    <cfRule type="expression" dxfId="1942" priority="12">
      <formula>AND(AD$9&gt;=8/24,AD$9&lt;14/24)</formula>
    </cfRule>
    <cfRule type="expression" dxfId="1941" priority="13">
      <formula>AD$9&lt;8/24</formula>
    </cfRule>
  </conditionalFormatting>
  <conditionalFormatting sqref="AD15:AF15">
    <cfRule type="expression" dxfId="1940" priority="6">
      <formula>AD$9&gt;=20/24</formula>
    </cfRule>
    <cfRule type="expression" dxfId="1939" priority="7">
      <formula>AND(AD$9&gt;=14/24,AD$9&lt;20/24)</formula>
    </cfRule>
    <cfRule type="expression" dxfId="1938" priority="8">
      <formula>AND(AD$9&gt;=8/24,AD$9&lt;14/24)</formula>
    </cfRule>
    <cfRule type="expression" dxfId="1937" priority="9">
      <formula>AD$9&lt;8/24</formula>
    </cfRule>
  </conditionalFormatting>
  <conditionalFormatting sqref="AD33:AF33">
    <cfRule type="expression" dxfId="1936" priority="2">
      <formula>AD$9&gt;=20/24</formula>
    </cfRule>
    <cfRule type="expression" dxfId="1935" priority="3">
      <formula>AND(AD$9&gt;=14/24,AD$9&lt;20/24)</formula>
    </cfRule>
    <cfRule type="expression" dxfId="1934" priority="4">
      <formula>AND(AD$9&gt;=8/24,AD$9&lt;14/24)</formula>
    </cfRule>
    <cfRule type="expression" dxfId="1933" priority="5">
      <formula>AD$9&lt;8/24</formula>
    </cfRule>
  </conditionalFormatting>
  <conditionalFormatting sqref="AD33:AF33">
    <cfRule type="expression" dxfId="1932" priority="1">
      <formula>AD33&gt;$AG33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0" id="{A6514156-BCCD-441F-AFAF-CC85EDA8A4D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CJ472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99" sqref="A99:XFD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8" width="6.42578125" bestFit="1" customWidth="1"/>
    <col min="9" max="9" width="8.285156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2078/12/25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188.3</v>
      </c>
      <c r="C5" s="157">
        <f t="shared" si="0"/>
        <v>178.9</v>
      </c>
      <c r="D5" s="157">
        <f t="shared" si="0"/>
        <v>211.5</v>
      </c>
      <c r="E5" s="157">
        <f t="shared" si="0"/>
        <v>270.10000000000002</v>
      </c>
      <c r="F5" s="157">
        <f t="shared" si="0"/>
        <v>293.3</v>
      </c>
      <c r="G5" s="157">
        <f t="shared" si="0"/>
        <v>310.10000000000002</v>
      </c>
      <c r="H5" s="157">
        <f t="shared" si="0"/>
        <v>292.10000000000002</v>
      </c>
      <c r="I5" s="157">
        <f t="shared" si="0"/>
        <v>457.7</v>
      </c>
      <c r="J5" s="157">
        <f t="shared" si="0"/>
        <v>474.8</v>
      </c>
      <c r="K5" s="157">
        <f t="shared" si="0"/>
        <v>486.4</v>
      </c>
      <c r="L5" s="157">
        <f t="shared" si="0"/>
        <v>548.20000000000005</v>
      </c>
      <c r="M5" s="157">
        <f t="shared" si="0"/>
        <v>511.30000000000007</v>
      </c>
      <c r="N5" s="157">
        <f t="shared" si="0"/>
        <v>565</v>
      </c>
      <c r="O5" s="157">
        <f t="shared" si="0"/>
        <v>549.20000000000005</v>
      </c>
      <c r="P5" s="157">
        <f t="shared" si="0"/>
        <v>629.4</v>
      </c>
      <c r="Q5" s="157">
        <f t="shared" si="0"/>
        <v>617.19999999999993</v>
      </c>
      <c r="R5" s="157">
        <f t="shared" si="0"/>
        <v>598.5</v>
      </c>
      <c r="S5" s="157">
        <f t="shared" si="0"/>
        <v>585.5</v>
      </c>
      <c r="T5" s="157">
        <f t="shared" si="0"/>
        <v>584</v>
      </c>
      <c r="U5" s="157">
        <f t="shared" si="0"/>
        <v>465</v>
      </c>
      <c r="V5" s="157">
        <f t="shared" si="0"/>
        <v>364</v>
      </c>
      <c r="W5" s="157">
        <f t="shared" si="0"/>
        <v>365</v>
      </c>
      <c r="X5" s="157">
        <f t="shared" si="0"/>
        <v>277</v>
      </c>
      <c r="Y5" s="157">
        <f t="shared" si="0"/>
        <v>230</v>
      </c>
      <c r="Z5" s="157">
        <f t="shared" si="0"/>
        <v>233.5</v>
      </c>
      <c r="AA5" s="157">
        <f t="shared" si="0"/>
        <v>267.2</v>
      </c>
      <c r="AB5" s="157">
        <f t="shared" si="0"/>
        <v>261.8</v>
      </c>
      <c r="AC5" s="157">
        <f t="shared" si="0"/>
        <v>290.89999999999998</v>
      </c>
      <c r="AD5" s="157">
        <f t="shared" si="0"/>
        <v>275.60000000000002</v>
      </c>
      <c r="AE5" s="157">
        <f t="shared" si="0"/>
        <v>212.28</v>
      </c>
      <c r="AF5" s="157">
        <f>B68</f>
        <v>181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1386MW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Load=1215</v>
      </c>
      <c r="B7" s="146">
        <f>B75</f>
        <v>1271.04</v>
      </c>
      <c r="C7" s="146">
        <f t="shared" ref="C7:AF7" si="1">C75</f>
        <v>1282.54</v>
      </c>
      <c r="D7" s="146">
        <f t="shared" si="1"/>
        <v>1248.24</v>
      </c>
      <c r="E7" s="146">
        <f t="shared" si="1"/>
        <v>1248.3399999999999</v>
      </c>
      <c r="F7" s="146">
        <f t="shared" si="1"/>
        <v>1215.3400000000001</v>
      </c>
      <c r="G7" s="146">
        <f t="shared" si="1"/>
        <v>1224.74</v>
      </c>
      <c r="H7" s="146">
        <f t="shared" si="1"/>
        <v>1258.04</v>
      </c>
      <c r="I7" s="146">
        <f t="shared" si="1"/>
        <v>1269.54</v>
      </c>
      <c r="J7" s="146">
        <f t="shared" si="1"/>
        <v>1318.0400000000002</v>
      </c>
      <c r="K7" s="146">
        <f t="shared" si="1"/>
        <v>1356.3400000000001</v>
      </c>
      <c r="L7" s="146">
        <f t="shared" si="1"/>
        <v>1330.64</v>
      </c>
      <c r="M7" s="146">
        <f t="shared" si="1"/>
        <v>1386.3400000000001</v>
      </c>
      <c r="N7" s="146">
        <f t="shared" si="1"/>
        <v>1355.5400000000002</v>
      </c>
      <c r="O7" s="146">
        <f t="shared" si="1"/>
        <v>1397.24</v>
      </c>
      <c r="P7" s="146">
        <f t="shared" si="1"/>
        <v>1374.64</v>
      </c>
      <c r="Q7" s="146">
        <f t="shared" si="1"/>
        <v>1440.84</v>
      </c>
      <c r="R7" s="146">
        <f t="shared" si="1"/>
        <v>1435.94</v>
      </c>
      <c r="S7" s="146">
        <f t="shared" si="1"/>
        <v>1414.3400000000001</v>
      </c>
      <c r="T7" s="146">
        <f t="shared" si="1"/>
        <v>1484.44</v>
      </c>
      <c r="U7" s="146">
        <f t="shared" si="1"/>
        <v>1444.8400000000001</v>
      </c>
      <c r="V7" s="146">
        <f t="shared" si="1"/>
        <v>1385.3400000000001</v>
      </c>
      <c r="W7" s="146">
        <f t="shared" si="1"/>
        <v>1432.74</v>
      </c>
      <c r="X7" s="146">
        <f t="shared" si="1"/>
        <v>1434.1399999999999</v>
      </c>
      <c r="Y7" s="146">
        <f t="shared" si="1"/>
        <v>1589.8400000000001</v>
      </c>
      <c r="Z7" s="146">
        <f t="shared" si="1"/>
        <v>1636.0400000000002</v>
      </c>
      <c r="AA7" s="146">
        <f t="shared" si="1"/>
        <v>1642.1399999999999</v>
      </c>
      <c r="AB7" s="146">
        <f t="shared" si="1"/>
        <v>1524.1399999999999</v>
      </c>
      <c r="AC7" s="146">
        <f t="shared" si="1"/>
        <v>1468.74</v>
      </c>
      <c r="AD7" s="146">
        <f t="shared" si="1"/>
        <v>1467.94</v>
      </c>
      <c r="AE7" s="146">
        <f t="shared" si="1"/>
        <v>1418.8400000000001</v>
      </c>
      <c r="AF7" s="146">
        <f t="shared" si="1"/>
        <v>1308.02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03">
        <v>250</v>
      </c>
      <c r="C11" s="103">
        <v>250</v>
      </c>
      <c r="D11" s="103">
        <v>220</v>
      </c>
      <c r="E11" s="127">
        <v>220</v>
      </c>
      <c r="F11" s="127">
        <v>175</v>
      </c>
      <c r="G11" s="127">
        <v>160</v>
      </c>
      <c r="H11" s="127">
        <v>160</v>
      </c>
      <c r="I11" s="127">
        <v>190</v>
      </c>
      <c r="J11" s="127">
        <v>120</v>
      </c>
      <c r="K11" s="127">
        <v>120</v>
      </c>
      <c r="L11" s="127">
        <v>101</v>
      </c>
      <c r="M11" s="103">
        <v>80</v>
      </c>
      <c r="N11" s="103">
        <v>80</v>
      </c>
      <c r="O11" s="103">
        <v>81</v>
      </c>
      <c r="P11" s="103">
        <v>70</v>
      </c>
      <c r="Q11" s="103">
        <v>40</v>
      </c>
      <c r="R11" s="103">
        <v>35</v>
      </c>
      <c r="S11" s="103">
        <v>35</v>
      </c>
      <c r="T11" s="103">
        <v>70</v>
      </c>
      <c r="U11" s="103">
        <v>50</v>
      </c>
      <c r="V11" s="103">
        <v>110</v>
      </c>
      <c r="W11" s="103">
        <v>228</v>
      </c>
      <c r="X11" s="103">
        <v>230</v>
      </c>
      <c r="Y11" s="103">
        <v>320</v>
      </c>
      <c r="Z11" s="179">
        <v>400</v>
      </c>
      <c r="AA11" s="179">
        <v>400</v>
      </c>
      <c r="AB11" s="103">
        <v>330</v>
      </c>
      <c r="AC11" s="103">
        <v>330</v>
      </c>
      <c r="AD11" s="103">
        <v>300</v>
      </c>
      <c r="AE11" s="103">
        <v>270</v>
      </c>
      <c r="AF11" s="127">
        <v>260</v>
      </c>
      <c r="AG11" s="54">
        <v>456</v>
      </c>
      <c r="AH11" s="21">
        <f>MAX(B11:AF11)</f>
        <v>400</v>
      </c>
      <c r="AI11" s="20">
        <f>MIN(B11:AF11)</f>
        <v>35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27</v>
      </c>
      <c r="C12" s="103">
        <v>27</v>
      </c>
      <c r="D12" s="103">
        <v>27</v>
      </c>
      <c r="E12" s="103">
        <v>27</v>
      </c>
      <c r="F12" s="103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19</v>
      </c>
      <c r="C13" s="103">
        <v>19</v>
      </c>
      <c r="D13" s="103">
        <v>19</v>
      </c>
      <c r="E13" s="103">
        <v>19</v>
      </c>
      <c r="F13" s="103">
        <v>20.399999999999999</v>
      </c>
      <c r="G13" s="103">
        <v>20.399999999999999</v>
      </c>
      <c r="H13" s="103">
        <v>20.399999999999999</v>
      </c>
      <c r="I13" s="103">
        <v>20.399999999999999</v>
      </c>
      <c r="J13" s="103">
        <v>20.399999999999999</v>
      </c>
      <c r="K13" s="103">
        <v>20.399999999999999</v>
      </c>
      <c r="L13" s="103">
        <v>20</v>
      </c>
      <c r="M13" s="127">
        <v>20</v>
      </c>
      <c r="N13" s="127">
        <v>0</v>
      </c>
      <c r="O13" s="127">
        <v>0</v>
      </c>
      <c r="P13" s="127">
        <v>0</v>
      </c>
      <c r="Q13" s="127">
        <v>19</v>
      </c>
      <c r="R13" s="127">
        <v>19.899999999999999</v>
      </c>
      <c r="S13" s="127">
        <v>19.899999999999999</v>
      </c>
      <c r="T13" s="127">
        <v>16.2</v>
      </c>
      <c r="U13" s="127">
        <v>16.2</v>
      </c>
      <c r="V13" s="127">
        <v>16.2</v>
      </c>
      <c r="W13" s="127">
        <v>16.2</v>
      </c>
      <c r="X13" s="127">
        <v>16.2</v>
      </c>
      <c r="Y13" s="127">
        <v>16.2</v>
      </c>
      <c r="Z13" s="103">
        <v>18.2</v>
      </c>
      <c r="AA13" s="103">
        <v>20.9</v>
      </c>
      <c r="AB13" s="103">
        <v>20.8</v>
      </c>
      <c r="AC13" s="103">
        <v>20.9</v>
      </c>
      <c r="AD13" s="103">
        <v>21.3</v>
      </c>
      <c r="AE13" s="103">
        <v>21.3</v>
      </c>
      <c r="AF13" s="103">
        <v>21.3</v>
      </c>
      <c r="AG13" s="134">
        <v>52.4</v>
      </c>
      <c r="AH13" s="21">
        <f t="shared" si="2"/>
        <v>21.3</v>
      </c>
      <c r="AI13" s="20">
        <f t="shared" si="3"/>
        <v>0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0</v>
      </c>
      <c r="C14" s="103">
        <v>0</v>
      </c>
      <c r="D14" s="103">
        <v>0</v>
      </c>
      <c r="E14" s="103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0</v>
      </c>
      <c r="AG14" s="134">
        <v>50</v>
      </c>
      <c r="AH14" s="21">
        <f t="shared" si="2"/>
        <v>0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22.8</v>
      </c>
      <c r="C15" s="103">
        <v>22.8</v>
      </c>
      <c r="D15" s="103">
        <v>22.8</v>
      </c>
      <c r="E15" s="103">
        <v>22.8</v>
      </c>
      <c r="F15" s="103">
        <v>22.8</v>
      </c>
      <c r="G15" s="103">
        <v>22.8</v>
      </c>
      <c r="H15" s="103">
        <v>22.8</v>
      </c>
      <c r="I15" s="103">
        <v>22.8</v>
      </c>
      <c r="J15" s="103">
        <v>22.8</v>
      </c>
      <c r="K15" s="103">
        <v>22.8</v>
      </c>
      <c r="L15" s="103">
        <v>22.7</v>
      </c>
      <c r="M15" s="103">
        <v>22.7</v>
      </c>
      <c r="N15" s="103">
        <v>22.7</v>
      </c>
      <c r="O15" s="103">
        <v>22.7</v>
      </c>
      <c r="P15" s="103">
        <v>22.7</v>
      </c>
      <c r="Q15" s="103">
        <v>22.7</v>
      </c>
      <c r="R15" s="103">
        <v>22.7</v>
      </c>
      <c r="S15" s="103">
        <v>22.7</v>
      </c>
      <c r="T15" s="103">
        <v>22.7</v>
      </c>
      <c r="U15" s="103">
        <v>22.7</v>
      </c>
      <c r="V15" s="103">
        <v>22.7</v>
      </c>
      <c r="W15" s="103">
        <v>22.7</v>
      </c>
      <c r="X15" s="103">
        <v>22.7</v>
      </c>
      <c r="Y15" s="103">
        <v>22.7</v>
      </c>
      <c r="Z15" s="103">
        <v>22.7</v>
      </c>
      <c r="AA15" s="103">
        <v>22.7</v>
      </c>
      <c r="AB15" s="103">
        <v>22.7</v>
      </c>
      <c r="AC15" s="103">
        <v>22.8</v>
      </c>
      <c r="AD15" s="103">
        <v>22.8</v>
      </c>
      <c r="AE15" s="103">
        <v>22.8</v>
      </c>
      <c r="AF15" s="103">
        <v>22.8</v>
      </c>
      <c r="AG15" s="108">
        <v>45</v>
      </c>
      <c r="AH15" s="21">
        <f t="shared" si="2"/>
        <v>22.8</v>
      </c>
      <c r="AI15" s="20">
        <f t="shared" si="3"/>
        <v>22.7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14</v>
      </c>
      <c r="C16" s="103">
        <v>14</v>
      </c>
      <c r="D16" s="103">
        <v>14</v>
      </c>
      <c r="E16" s="103">
        <v>14</v>
      </c>
      <c r="F16" s="103">
        <v>14</v>
      </c>
      <c r="G16" s="103">
        <v>14</v>
      </c>
      <c r="H16" s="103">
        <v>14</v>
      </c>
      <c r="I16" s="103">
        <v>14</v>
      </c>
      <c r="J16" s="103">
        <v>14</v>
      </c>
      <c r="K16" s="103">
        <v>14</v>
      </c>
      <c r="L16" s="103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12</v>
      </c>
      <c r="C17" s="103">
        <v>12</v>
      </c>
      <c r="D17" s="103">
        <v>12</v>
      </c>
      <c r="E17" s="103">
        <v>12</v>
      </c>
      <c r="F17" s="103">
        <v>12</v>
      </c>
      <c r="G17" s="103">
        <v>12</v>
      </c>
      <c r="H17" s="103">
        <v>12</v>
      </c>
      <c r="I17" s="103">
        <v>12</v>
      </c>
      <c r="J17" s="103">
        <v>12</v>
      </c>
      <c r="K17" s="103">
        <v>12</v>
      </c>
      <c r="L17" s="103">
        <v>12</v>
      </c>
      <c r="M17" s="103">
        <v>12</v>
      </c>
      <c r="N17" s="103">
        <v>12</v>
      </c>
      <c r="O17" s="103">
        <v>12</v>
      </c>
      <c r="P17" s="103">
        <v>12</v>
      </c>
      <c r="Q17" s="103">
        <v>12</v>
      </c>
      <c r="R17" s="103">
        <v>12</v>
      </c>
      <c r="S17" s="103">
        <v>12</v>
      </c>
      <c r="T17" s="103">
        <v>12</v>
      </c>
      <c r="U17" s="103">
        <v>12</v>
      </c>
      <c r="V17" s="103">
        <v>12</v>
      </c>
      <c r="W17" s="103">
        <v>12</v>
      </c>
      <c r="X17" s="103">
        <v>12</v>
      </c>
      <c r="Y17" s="103">
        <v>12</v>
      </c>
      <c r="Z17" s="103">
        <v>12</v>
      </c>
      <c r="AA17" s="103">
        <v>12</v>
      </c>
      <c r="AB17" s="103">
        <v>12</v>
      </c>
      <c r="AC17" s="103">
        <v>12</v>
      </c>
      <c r="AD17" s="103">
        <v>12</v>
      </c>
      <c r="AE17" s="103">
        <v>12</v>
      </c>
      <c r="AF17" s="103">
        <v>12</v>
      </c>
      <c r="AG17" s="134">
        <v>42</v>
      </c>
      <c r="AH17" s="21">
        <f t="shared" si="2"/>
        <v>12</v>
      </c>
      <c r="AI17" s="20">
        <f t="shared" si="3"/>
        <v>12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03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13.1</v>
      </c>
      <c r="C19" s="103">
        <v>13.1</v>
      </c>
      <c r="D19" s="103">
        <v>13.1</v>
      </c>
      <c r="E19" s="103">
        <v>13.1</v>
      </c>
      <c r="F19" s="103">
        <v>13.1</v>
      </c>
      <c r="G19" s="103">
        <v>13.1</v>
      </c>
      <c r="H19" s="103">
        <v>13.1</v>
      </c>
      <c r="I19" s="103">
        <v>13.1</v>
      </c>
      <c r="J19" s="103">
        <v>13.1</v>
      </c>
      <c r="K19" s="103">
        <v>13.1</v>
      </c>
      <c r="L19" s="103">
        <v>13.1</v>
      </c>
      <c r="M19" s="103">
        <v>13.1</v>
      </c>
      <c r="N19" s="103">
        <v>13.1</v>
      </c>
      <c r="O19" s="103">
        <v>13.1</v>
      </c>
      <c r="P19" s="103">
        <v>13.1</v>
      </c>
      <c r="Q19" s="103">
        <v>13.1</v>
      </c>
      <c r="R19" s="103">
        <v>13.1</v>
      </c>
      <c r="S19" s="103">
        <v>13.1</v>
      </c>
      <c r="T19" s="103">
        <v>13.1</v>
      </c>
      <c r="U19" s="103">
        <v>13.1</v>
      </c>
      <c r="V19" s="103">
        <v>13.1</v>
      </c>
      <c r="W19" s="103">
        <v>13.1</v>
      </c>
      <c r="X19" s="103">
        <v>13.1</v>
      </c>
      <c r="Y19" s="103">
        <v>13.1</v>
      </c>
      <c r="Z19" s="103">
        <v>13.1</v>
      </c>
      <c r="AA19" s="103">
        <v>13.1</v>
      </c>
      <c r="AB19" s="103">
        <v>13.1</v>
      </c>
      <c r="AC19" s="103">
        <v>13.1</v>
      </c>
      <c r="AD19" s="103">
        <v>13.1</v>
      </c>
      <c r="AE19" s="103">
        <v>13.1</v>
      </c>
      <c r="AF19" s="103">
        <v>13.2</v>
      </c>
      <c r="AG19" s="134">
        <v>30</v>
      </c>
      <c r="AH19" s="21">
        <f t="shared" si="2"/>
        <v>13.2</v>
      </c>
      <c r="AI19" s="20">
        <f t="shared" si="3"/>
        <v>13.1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6.2</v>
      </c>
      <c r="C20" s="103">
        <v>6.2</v>
      </c>
      <c r="D20" s="103">
        <v>6.2</v>
      </c>
      <c r="E20" s="103">
        <v>6.2</v>
      </c>
      <c r="F20" s="103">
        <v>6.2</v>
      </c>
      <c r="G20" s="103">
        <v>6.2</v>
      </c>
      <c r="H20" s="103">
        <v>6.2</v>
      </c>
      <c r="I20" s="103">
        <v>6.2</v>
      </c>
      <c r="J20" s="103">
        <v>6.2</v>
      </c>
      <c r="K20" s="103">
        <v>6.2</v>
      </c>
      <c r="L20" s="103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03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22</v>
      </c>
      <c r="C22" s="103">
        <v>22</v>
      </c>
      <c r="D22" s="103">
        <v>22</v>
      </c>
      <c r="E22" s="103">
        <v>22</v>
      </c>
      <c r="F22" s="103">
        <v>22</v>
      </c>
      <c r="G22" s="103">
        <v>22</v>
      </c>
      <c r="H22" s="103">
        <v>22</v>
      </c>
      <c r="I22" s="103">
        <v>22</v>
      </c>
      <c r="J22" s="103">
        <v>22</v>
      </c>
      <c r="K22" s="103">
        <v>22</v>
      </c>
      <c r="L22" s="103">
        <v>22</v>
      </c>
      <c r="M22" s="103">
        <v>22</v>
      </c>
      <c r="N22" s="103">
        <v>22</v>
      </c>
      <c r="O22" s="103">
        <v>22</v>
      </c>
      <c r="P22" s="103">
        <v>22</v>
      </c>
      <c r="Q22" s="103">
        <v>22</v>
      </c>
      <c r="R22" s="103">
        <v>22</v>
      </c>
      <c r="S22" s="103">
        <v>22</v>
      </c>
      <c r="T22" s="103">
        <v>22</v>
      </c>
      <c r="U22" s="103">
        <v>22</v>
      </c>
      <c r="V22" s="103">
        <v>22</v>
      </c>
      <c r="W22" s="103">
        <v>22</v>
      </c>
      <c r="X22" s="103">
        <v>22</v>
      </c>
      <c r="Y22" s="103">
        <v>22</v>
      </c>
      <c r="Z22" s="103">
        <v>22</v>
      </c>
      <c r="AA22" s="103">
        <v>22</v>
      </c>
      <c r="AB22" s="103">
        <v>0</v>
      </c>
      <c r="AC22" s="103">
        <v>0</v>
      </c>
      <c r="AD22" s="103">
        <v>0</v>
      </c>
      <c r="AE22" s="103">
        <v>8.8000000000000007</v>
      </c>
      <c r="AF22" s="103">
        <v>0</v>
      </c>
      <c r="AG22" s="134">
        <v>25</v>
      </c>
      <c r="AH22" s="21">
        <f t="shared" si="2"/>
        <v>22</v>
      </c>
      <c r="AI22" s="20">
        <f t="shared" si="3"/>
        <v>0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4.9000000000000004</v>
      </c>
      <c r="C23" s="103">
        <v>4.9000000000000004</v>
      </c>
      <c r="D23" s="103">
        <v>4.9000000000000004</v>
      </c>
      <c r="E23" s="103">
        <v>4.9000000000000004</v>
      </c>
      <c r="F23" s="103">
        <v>4.9000000000000004</v>
      </c>
      <c r="G23" s="103">
        <v>4.9000000000000004</v>
      </c>
      <c r="H23" s="103">
        <v>4.9000000000000004</v>
      </c>
      <c r="I23" s="103">
        <v>4.9000000000000004</v>
      </c>
      <c r="J23" s="103">
        <v>4.9000000000000004</v>
      </c>
      <c r="K23" s="103">
        <v>4.9000000000000004</v>
      </c>
      <c r="L23" s="103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7.8</v>
      </c>
      <c r="C24" s="103">
        <v>7.9</v>
      </c>
      <c r="D24" s="103">
        <v>7.9</v>
      </c>
      <c r="E24" s="103">
        <v>7.9</v>
      </c>
      <c r="F24" s="103">
        <v>7.9</v>
      </c>
      <c r="G24" s="103">
        <v>7.9</v>
      </c>
      <c r="H24" s="103">
        <v>7.9</v>
      </c>
      <c r="I24" s="103">
        <v>7.9</v>
      </c>
      <c r="J24" s="103">
        <v>7.9</v>
      </c>
      <c r="K24" s="103">
        <v>7.9</v>
      </c>
      <c r="L24" s="103">
        <v>7.9</v>
      </c>
      <c r="M24" s="103">
        <v>7.9</v>
      </c>
      <c r="N24" s="103">
        <v>7.9</v>
      </c>
      <c r="O24" s="103">
        <v>7.9</v>
      </c>
      <c r="P24" s="103">
        <v>7.9</v>
      </c>
      <c r="Q24" s="103">
        <v>7.9</v>
      </c>
      <c r="R24" s="103">
        <v>7.9</v>
      </c>
      <c r="S24" s="103">
        <v>7.9</v>
      </c>
      <c r="T24" s="103">
        <v>7.9</v>
      </c>
      <c r="U24" s="103">
        <v>7.9</v>
      </c>
      <c r="V24" s="103">
        <v>7.9</v>
      </c>
      <c r="W24" s="103">
        <v>7.9</v>
      </c>
      <c r="X24" s="103">
        <v>7.9</v>
      </c>
      <c r="Y24" s="103">
        <v>7.9</v>
      </c>
      <c r="Z24" s="103">
        <v>7.9</v>
      </c>
      <c r="AA24" s="103">
        <v>7.9</v>
      </c>
      <c r="AB24" s="103">
        <v>7.9</v>
      </c>
      <c r="AC24" s="103">
        <v>7.9</v>
      </c>
      <c r="AD24" s="103">
        <v>7.9</v>
      </c>
      <c r="AE24" s="103">
        <v>7.9</v>
      </c>
      <c r="AF24" s="103">
        <v>7.9</v>
      </c>
      <c r="AG24" s="134">
        <v>25</v>
      </c>
      <c r="AH24" s="21">
        <f t="shared" si="2"/>
        <v>7.9</v>
      </c>
      <c r="AI24" s="20">
        <f t="shared" si="3"/>
        <v>7.8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03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11</v>
      </c>
      <c r="C26" s="103">
        <v>11</v>
      </c>
      <c r="D26" s="103">
        <v>11</v>
      </c>
      <c r="E26" s="103">
        <v>11</v>
      </c>
      <c r="F26" s="103">
        <v>11</v>
      </c>
      <c r="G26" s="103">
        <v>11</v>
      </c>
      <c r="H26" s="103">
        <v>11</v>
      </c>
      <c r="I26" s="103">
        <v>11</v>
      </c>
      <c r="J26" s="103">
        <v>11</v>
      </c>
      <c r="K26" s="103">
        <v>11</v>
      </c>
      <c r="L26" s="103">
        <v>11</v>
      </c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5.6</v>
      </c>
      <c r="C28" s="103">
        <v>5.6</v>
      </c>
      <c r="D28" s="103">
        <v>5.6</v>
      </c>
      <c r="E28" s="103">
        <v>5.6</v>
      </c>
      <c r="F28" s="103">
        <v>5.6</v>
      </c>
      <c r="G28" s="103">
        <v>5.6</v>
      </c>
      <c r="H28" s="103">
        <v>5.6</v>
      </c>
      <c r="I28" s="103">
        <v>5.6</v>
      </c>
      <c r="J28" s="103">
        <v>5.6</v>
      </c>
      <c r="K28" s="103">
        <v>5.6</v>
      </c>
      <c r="L28" s="103">
        <v>5.6</v>
      </c>
      <c r="M28" s="103">
        <v>5.6</v>
      </c>
      <c r="N28" s="103">
        <v>5.6</v>
      </c>
      <c r="O28" s="103">
        <v>5.6</v>
      </c>
      <c r="P28" s="103">
        <v>5.6</v>
      </c>
      <c r="Q28" s="103">
        <v>5.6</v>
      </c>
      <c r="R28" s="103">
        <v>5.6</v>
      </c>
      <c r="S28" s="103">
        <v>5.6</v>
      </c>
      <c r="T28" s="103">
        <v>5.6</v>
      </c>
      <c r="U28" s="103">
        <v>5.6</v>
      </c>
      <c r="V28" s="103">
        <v>5.6</v>
      </c>
      <c r="W28" s="103">
        <v>5.6</v>
      </c>
      <c r="X28" s="103">
        <v>5.6</v>
      </c>
      <c r="Y28" s="103">
        <v>5.6</v>
      </c>
      <c r="Z28" s="103">
        <v>5.6</v>
      </c>
      <c r="AA28" s="103">
        <v>5.6</v>
      </c>
      <c r="AB28" s="103">
        <v>5.6</v>
      </c>
      <c r="AC28" s="103">
        <v>5.6</v>
      </c>
      <c r="AD28" s="103">
        <v>5.6</v>
      </c>
      <c r="AE28" s="103">
        <v>5.6</v>
      </c>
      <c r="AF28" s="103">
        <v>5.6</v>
      </c>
      <c r="AG28" s="134">
        <v>22.2</v>
      </c>
      <c r="AH28" s="21">
        <f t="shared" si="2"/>
        <v>5.6</v>
      </c>
      <c r="AI28" s="20">
        <f t="shared" si="3"/>
        <v>5.6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03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03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0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03">
        <v>2.5</v>
      </c>
      <c r="L33" s="10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4</v>
      </c>
      <c r="C35" s="103">
        <v>4</v>
      </c>
      <c r="D35" s="103">
        <v>4</v>
      </c>
      <c r="E35" s="103">
        <v>4</v>
      </c>
      <c r="F35" s="103">
        <v>4</v>
      </c>
      <c r="G35" s="103">
        <v>4</v>
      </c>
      <c r="H35" s="103">
        <v>4</v>
      </c>
      <c r="I35" s="103">
        <v>4</v>
      </c>
      <c r="J35" s="103">
        <v>4</v>
      </c>
      <c r="K35" s="103">
        <v>4</v>
      </c>
      <c r="L35" s="103">
        <v>4</v>
      </c>
      <c r="M35" s="103">
        <v>4</v>
      </c>
      <c r="N35" s="103">
        <v>4</v>
      </c>
      <c r="O35" s="103">
        <v>4</v>
      </c>
      <c r="P35" s="103">
        <v>4</v>
      </c>
      <c r="Q35" s="103">
        <v>4</v>
      </c>
      <c r="R35" s="103">
        <v>4</v>
      </c>
      <c r="S35" s="103">
        <v>4</v>
      </c>
      <c r="T35" s="103">
        <v>4</v>
      </c>
      <c r="U35" s="103">
        <v>4</v>
      </c>
      <c r="V35" s="103">
        <v>4</v>
      </c>
      <c r="W35" s="103">
        <v>4</v>
      </c>
      <c r="X35" s="103">
        <v>4</v>
      </c>
      <c r="Y35" s="103">
        <v>4</v>
      </c>
      <c r="Z35" s="103">
        <v>4</v>
      </c>
      <c r="AA35" s="103">
        <v>4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4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f>27.7+20.6</f>
        <v>48.3</v>
      </c>
      <c r="C37" s="128">
        <f>27.7+20.6</f>
        <v>48.3</v>
      </c>
      <c r="D37" s="128">
        <f>27.7+20.6</f>
        <v>48.3</v>
      </c>
      <c r="E37" s="123">
        <f>28+19.5</f>
        <v>47.5</v>
      </c>
      <c r="F37" s="123">
        <f>30.7+21.7</f>
        <v>52.4</v>
      </c>
      <c r="G37" s="123">
        <f>33+21.1</f>
        <v>54.1</v>
      </c>
      <c r="H37" s="123">
        <f>32.8+19.9</f>
        <v>52.699999999999996</v>
      </c>
      <c r="I37" s="123">
        <f>32.4+19.1</f>
        <v>51.5</v>
      </c>
      <c r="J37" s="123">
        <f>32.8+18.5</f>
        <v>51.3</v>
      </c>
      <c r="K37" s="123">
        <f>32.8+18.7</f>
        <v>51.5</v>
      </c>
      <c r="L37" s="123">
        <f>32+18.3</f>
        <v>50.3</v>
      </c>
      <c r="M37" s="128">
        <f>31.7+18.6</f>
        <v>50.3</v>
      </c>
      <c r="N37" s="128">
        <f>31.7+18.6</f>
        <v>50.3</v>
      </c>
      <c r="O37" s="128">
        <f>28.6+19.9</f>
        <v>48.5</v>
      </c>
      <c r="P37" s="128">
        <f>28.2+20.2</f>
        <v>48.4</v>
      </c>
      <c r="Q37" s="128">
        <f>27.7+20.1</f>
        <v>47.8</v>
      </c>
      <c r="R37" s="128">
        <f>27.6+20.5</f>
        <v>48.1</v>
      </c>
      <c r="S37" s="128">
        <v>46.7</v>
      </c>
      <c r="T37" s="128">
        <v>46.7</v>
      </c>
      <c r="U37" s="128">
        <v>46.7</v>
      </c>
      <c r="V37" s="128">
        <v>50</v>
      </c>
      <c r="W37" s="128">
        <v>48</v>
      </c>
      <c r="X37" s="128">
        <v>47</v>
      </c>
      <c r="Y37" s="128">
        <v>47</v>
      </c>
      <c r="Z37" s="128">
        <v>50</v>
      </c>
      <c r="AA37" s="128">
        <v>50</v>
      </c>
      <c r="AB37" s="128">
        <v>51.2</v>
      </c>
      <c r="AC37" s="128">
        <v>49.7</v>
      </c>
      <c r="AD37" s="128">
        <v>50.5</v>
      </c>
      <c r="AE37" s="128">
        <v>52.1</v>
      </c>
      <c r="AF37" s="128">
        <v>55</v>
      </c>
      <c r="AG37" s="106">
        <v>240</v>
      </c>
      <c r="AH37" s="21">
        <f t="shared" si="2"/>
        <v>55</v>
      </c>
      <c r="AI37" s="20">
        <f t="shared" si="3"/>
        <v>46.7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630.20000000000005</v>
      </c>
      <c r="C38" s="99">
        <f t="shared" ref="C38:AF38" si="5">SUM(C11:C36)</f>
        <v>630.29999999999995</v>
      </c>
      <c r="D38" s="99">
        <f t="shared" si="5"/>
        <v>600.29999999999995</v>
      </c>
      <c r="E38" s="99">
        <f t="shared" si="5"/>
        <v>600.29999999999995</v>
      </c>
      <c r="F38" s="99">
        <f t="shared" si="5"/>
        <v>556.70000000000005</v>
      </c>
      <c r="G38" s="99">
        <f t="shared" si="5"/>
        <v>541.70000000000005</v>
      </c>
      <c r="H38" s="99">
        <f t="shared" si="5"/>
        <v>541.70000000000005</v>
      </c>
      <c r="I38" s="99">
        <f t="shared" si="5"/>
        <v>571.70000000000005</v>
      </c>
      <c r="J38" s="99">
        <f t="shared" si="5"/>
        <v>501.7</v>
      </c>
      <c r="K38" s="99">
        <f t="shared" si="5"/>
        <v>501.7</v>
      </c>
      <c r="L38" s="99">
        <f t="shared" si="5"/>
        <v>482.2</v>
      </c>
      <c r="M38" s="99">
        <f t="shared" si="5"/>
        <v>461.2</v>
      </c>
      <c r="N38" s="99">
        <f t="shared" si="5"/>
        <v>441.2</v>
      </c>
      <c r="O38" s="99">
        <f t="shared" si="5"/>
        <v>442.2</v>
      </c>
      <c r="P38" s="99">
        <f t="shared" si="5"/>
        <v>431.2</v>
      </c>
      <c r="Q38" s="99">
        <f t="shared" si="5"/>
        <v>420.19999999999993</v>
      </c>
      <c r="R38" s="99">
        <f t="shared" si="5"/>
        <v>416.1</v>
      </c>
      <c r="S38" s="99">
        <f t="shared" si="5"/>
        <v>416.1</v>
      </c>
      <c r="T38" s="99">
        <f t="shared" si="5"/>
        <v>447.4</v>
      </c>
      <c r="U38" s="99">
        <f t="shared" si="5"/>
        <v>427.4</v>
      </c>
      <c r="V38" s="99">
        <f t="shared" si="5"/>
        <v>487.4</v>
      </c>
      <c r="W38" s="99">
        <f t="shared" si="5"/>
        <v>605.4</v>
      </c>
      <c r="X38" s="99">
        <f t="shared" si="5"/>
        <v>607.4</v>
      </c>
      <c r="Y38" s="99">
        <f t="shared" si="5"/>
        <v>697.40000000000009</v>
      </c>
      <c r="Z38" s="99">
        <f t="shared" si="5"/>
        <v>779.40000000000009</v>
      </c>
      <c r="AA38" s="99">
        <f t="shared" si="5"/>
        <v>782.1</v>
      </c>
      <c r="AB38" s="99">
        <f t="shared" si="5"/>
        <v>686</v>
      </c>
      <c r="AC38" s="99">
        <f t="shared" si="5"/>
        <v>686.2</v>
      </c>
      <c r="AD38" s="99">
        <f t="shared" si="5"/>
        <v>656.6</v>
      </c>
      <c r="AE38" s="99">
        <f t="shared" si="5"/>
        <v>635.40000000000009</v>
      </c>
      <c r="AF38" s="99">
        <f t="shared" si="5"/>
        <v>616.70000000000005</v>
      </c>
      <c r="AG38" s="106">
        <f>SUM(AG11:AG37)</f>
        <v>1492.8299999999997</v>
      </c>
      <c r="AH38" s="21">
        <f t="shared" si="2"/>
        <v>782.1</v>
      </c>
      <c r="AI38" s="20">
        <f t="shared" si="3"/>
        <v>416.1</v>
      </c>
      <c r="AK38" s="42"/>
    </row>
    <row r="39" spans="1:88" x14ac:dyDescent="0.25">
      <c r="A39" s="109" t="s">
        <v>172</v>
      </c>
      <c r="B39" s="103">
        <v>110</v>
      </c>
      <c r="C39" s="123">
        <v>100</v>
      </c>
      <c r="D39" s="123">
        <v>106.3</v>
      </c>
      <c r="E39" s="123">
        <v>106.4</v>
      </c>
      <c r="F39" s="123">
        <v>78.900000000000006</v>
      </c>
      <c r="G39" s="123">
        <v>68.3</v>
      </c>
      <c r="H39" s="123">
        <v>76</v>
      </c>
      <c r="I39" s="123">
        <v>76.2</v>
      </c>
      <c r="J39" s="123">
        <v>67.2</v>
      </c>
      <c r="K39" s="123">
        <v>75.099999999999994</v>
      </c>
      <c r="L39" s="123">
        <v>43.5</v>
      </c>
      <c r="M39" s="103">
        <v>90.9</v>
      </c>
      <c r="N39" s="103">
        <v>91</v>
      </c>
      <c r="O39" s="103">
        <v>90.8</v>
      </c>
      <c r="P39" s="103">
        <v>80.8</v>
      </c>
      <c r="Q39" s="103">
        <v>81.099999999999994</v>
      </c>
      <c r="R39" s="103">
        <v>81.099999999999994</v>
      </c>
      <c r="S39" s="103">
        <v>97</v>
      </c>
      <c r="T39" s="103">
        <v>121</v>
      </c>
      <c r="U39" s="103">
        <v>100</v>
      </c>
      <c r="V39" s="103">
        <v>123</v>
      </c>
      <c r="W39" s="103">
        <v>131</v>
      </c>
      <c r="X39" s="103">
        <v>131</v>
      </c>
      <c r="Y39" s="103">
        <v>145</v>
      </c>
      <c r="Z39" s="103">
        <v>145</v>
      </c>
      <c r="AA39" s="103">
        <v>145</v>
      </c>
      <c r="AB39" s="103">
        <v>144.6</v>
      </c>
      <c r="AC39" s="103">
        <v>144.69999999999999</v>
      </c>
      <c r="AD39" s="103">
        <v>144.5</v>
      </c>
      <c r="AE39" s="103">
        <v>144.19999999999999</v>
      </c>
      <c r="AF39" s="127">
        <v>131.30000000000001</v>
      </c>
      <c r="AG39" s="108">
        <v>144</v>
      </c>
      <c r="AH39" s="21">
        <f t="shared" si="2"/>
        <v>145</v>
      </c>
      <c r="AI39" s="20">
        <f t="shared" si="3"/>
        <v>43.5</v>
      </c>
      <c r="AK39" s="42"/>
    </row>
    <row r="40" spans="1:88" x14ac:dyDescent="0.25">
      <c r="A40" s="107" t="s">
        <v>171</v>
      </c>
      <c r="B40" s="73">
        <v>60</v>
      </c>
      <c r="C40" s="123">
        <v>71</v>
      </c>
      <c r="D40" s="123">
        <v>70.8</v>
      </c>
      <c r="E40" s="123">
        <v>68.900000000000006</v>
      </c>
      <c r="F40" s="123">
        <v>52</v>
      </c>
      <c r="G40" s="123">
        <v>42.4</v>
      </c>
      <c r="H40" s="123">
        <v>44.5</v>
      </c>
      <c r="I40" s="123">
        <v>42.4</v>
      </c>
      <c r="J40" s="123">
        <v>42.5</v>
      </c>
      <c r="K40" s="123">
        <v>51.1</v>
      </c>
      <c r="L40" s="123">
        <v>59.6</v>
      </c>
      <c r="M40" s="73">
        <v>59.3</v>
      </c>
      <c r="N40" s="73">
        <v>60.3</v>
      </c>
      <c r="O40" s="73">
        <v>60.8</v>
      </c>
      <c r="P40" s="73">
        <v>61.2</v>
      </c>
      <c r="Q40" s="73">
        <v>55.9</v>
      </c>
      <c r="R40" s="73">
        <v>55.9</v>
      </c>
      <c r="S40" s="73">
        <v>59</v>
      </c>
      <c r="T40" s="73">
        <v>65.5</v>
      </c>
      <c r="U40" s="73">
        <v>67</v>
      </c>
      <c r="V40" s="73">
        <v>61</v>
      </c>
      <c r="W40" s="73">
        <v>60</v>
      </c>
      <c r="X40" s="73">
        <v>60</v>
      </c>
      <c r="Y40" s="73">
        <v>70</v>
      </c>
      <c r="Z40" s="73">
        <v>72</v>
      </c>
      <c r="AA40" s="73">
        <v>72</v>
      </c>
      <c r="AB40" s="73">
        <v>71.7</v>
      </c>
      <c r="AC40" s="73">
        <v>70.5</v>
      </c>
      <c r="AD40" s="73">
        <v>70.8</v>
      </c>
      <c r="AE40" s="73">
        <v>70.3</v>
      </c>
      <c r="AF40" s="123">
        <v>54.5</v>
      </c>
      <c r="AG40" s="106">
        <v>70</v>
      </c>
      <c r="AH40" s="21">
        <f t="shared" si="2"/>
        <v>72</v>
      </c>
      <c r="AI40" s="20">
        <f t="shared" si="3"/>
        <v>42.4</v>
      </c>
      <c r="AK40" s="42"/>
    </row>
    <row r="41" spans="1:88" x14ac:dyDescent="0.25">
      <c r="A41" s="107" t="s">
        <v>170</v>
      </c>
      <c r="B41" s="73">
        <v>66</v>
      </c>
      <c r="C41" s="123">
        <v>66.2</v>
      </c>
      <c r="D41" s="123">
        <v>66.2</v>
      </c>
      <c r="E41" s="123">
        <v>67</v>
      </c>
      <c r="F41" s="123">
        <v>49.7</v>
      </c>
      <c r="G41" s="123">
        <v>49.8</v>
      </c>
      <c r="H41" s="123">
        <v>50</v>
      </c>
      <c r="I41" s="123">
        <v>50.2</v>
      </c>
      <c r="J41" s="123">
        <v>47.7</v>
      </c>
      <c r="K41" s="123">
        <v>46.3</v>
      </c>
      <c r="L41" s="123">
        <v>46.6</v>
      </c>
      <c r="M41" s="73">
        <v>46.5</v>
      </c>
      <c r="N41" s="73">
        <v>46.6</v>
      </c>
      <c r="O41" s="73">
        <v>46.8</v>
      </c>
      <c r="P41" s="73">
        <v>47.3</v>
      </c>
      <c r="Q41" s="73">
        <v>46.7</v>
      </c>
      <c r="R41" s="73">
        <v>46.7</v>
      </c>
      <c r="S41" s="73">
        <v>47</v>
      </c>
      <c r="T41" s="73">
        <v>47</v>
      </c>
      <c r="U41" s="73">
        <v>47</v>
      </c>
      <c r="V41" s="73">
        <v>54.5</v>
      </c>
      <c r="W41" s="73">
        <v>59</v>
      </c>
      <c r="X41" s="73">
        <v>56</v>
      </c>
      <c r="Y41" s="73">
        <v>68.5</v>
      </c>
      <c r="Z41" s="73">
        <v>68.3</v>
      </c>
      <c r="AA41" s="73">
        <v>68.3</v>
      </c>
      <c r="AB41" s="73">
        <v>67.5</v>
      </c>
      <c r="AC41" s="73">
        <v>68.099999999999994</v>
      </c>
      <c r="AD41" s="73">
        <v>67.900000000000006</v>
      </c>
      <c r="AE41" s="73">
        <v>67.400000000000006</v>
      </c>
      <c r="AF41" s="123">
        <v>67.5</v>
      </c>
      <c r="AG41" s="106">
        <v>69</v>
      </c>
      <c r="AH41" s="21">
        <f t="shared" si="2"/>
        <v>68.5</v>
      </c>
      <c r="AI41" s="20">
        <f t="shared" si="3"/>
        <v>46.3</v>
      </c>
      <c r="AK41" s="42"/>
    </row>
    <row r="42" spans="1:88" x14ac:dyDescent="0.25">
      <c r="A42" s="107" t="s">
        <v>169</v>
      </c>
      <c r="B42" s="73">
        <v>60.3</v>
      </c>
      <c r="C42" s="123">
        <v>60.7</v>
      </c>
      <c r="D42" s="123">
        <v>60</v>
      </c>
      <c r="E42" s="123">
        <v>60.7</v>
      </c>
      <c r="F42" s="123">
        <v>60.7</v>
      </c>
      <c r="G42" s="123">
        <v>60.7</v>
      </c>
      <c r="H42" s="123">
        <v>60.7</v>
      </c>
      <c r="I42" s="123">
        <v>60.7</v>
      </c>
      <c r="J42" s="123">
        <v>60.7</v>
      </c>
      <c r="K42" s="123">
        <v>60.4</v>
      </c>
      <c r="L42" s="123">
        <v>60.7</v>
      </c>
      <c r="M42" s="73">
        <v>60.7</v>
      </c>
      <c r="N42" s="73">
        <v>60.7</v>
      </c>
      <c r="O42" s="73">
        <v>60.7</v>
      </c>
      <c r="P42" s="73">
        <v>71.7</v>
      </c>
      <c r="Q42" s="73">
        <v>60.4</v>
      </c>
      <c r="R42" s="73">
        <v>60.4</v>
      </c>
      <c r="S42" s="73">
        <v>60.2</v>
      </c>
      <c r="T42" s="73">
        <v>60.4</v>
      </c>
      <c r="U42" s="73">
        <v>60.7</v>
      </c>
      <c r="V42" s="73">
        <v>60.7</v>
      </c>
      <c r="W42" s="73">
        <v>60.7</v>
      </c>
      <c r="X42" s="73">
        <v>60.4</v>
      </c>
      <c r="Y42" s="73">
        <v>60.7</v>
      </c>
      <c r="Z42" s="73">
        <v>60.7</v>
      </c>
      <c r="AA42" s="73">
        <v>60.7</v>
      </c>
      <c r="AB42" s="73">
        <v>60.4</v>
      </c>
      <c r="AC42" s="73">
        <v>60.2</v>
      </c>
      <c r="AD42" s="73">
        <v>60.4</v>
      </c>
      <c r="AE42" s="73">
        <v>60.2</v>
      </c>
      <c r="AF42" s="123">
        <v>60</v>
      </c>
      <c r="AG42" s="106">
        <v>60</v>
      </c>
      <c r="AH42" s="21">
        <f t="shared" si="2"/>
        <v>71.7</v>
      </c>
      <c r="AI42" s="20">
        <f t="shared" si="3"/>
        <v>60</v>
      </c>
      <c r="AK42" s="42"/>
    </row>
    <row r="43" spans="1:88" x14ac:dyDescent="0.25">
      <c r="A43" s="107" t="s">
        <v>168</v>
      </c>
      <c r="B43" s="73">
        <v>14.3</v>
      </c>
      <c r="C43" s="123">
        <v>14.3</v>
      </c>
      <c r="D43" s="123">
        <v>14.5</v>
      </c>
      <c r="E43" s="123">
        <v>15</v>
      </c>
      <c r="F43" s="123">
        <v>15</v>
      </c>
      <c r="G43" s="123">
        <v>15</v>
      </c>
      <c r="H43" s="123">
        <v>15</v>
      </c>
      <c r="I43" s="123">
        <v>15</v>
      </c>
      <c r="J43" s="123">
        <v>15</v>
      </c>
      <c r="K43" s="123">
        <v>15</v>
      </c>
      <c r="L43" s="123">
        <v>14.9</v>
      </c>
      <c r="M43" s="103">
        <v>15</v>
      </c>
      <c r="N43" s="103">
        <v>14.9</v>
      </c>
      <c r="O43" s="103">
        <v>14.9</v>
      </c>
      <c r="P43" s="103">
        <v>15.1</v>
      </c>
      <c r="Q43" s="103">
        <v>15.1</v>
      </c>
      <c r="R43" s="103">
        <v>15.1</v>
      </c>
      <c r="S43" s="103">
        <v>14.7</v>
      </c>
      <c r="T43" s="103">
        <v>14.7</v>
      </c>
      <c r="U43" s="103">
        <v>14.7</v>
      </c>
      <c r="V43" s="103">
        <v>14.7</v>
      </c>
      <c r="W43" s="103">
        <v>20</v>
      </c>
      <c r="X43" s="103">
        <v>30</v>
      </c>
      <c r="Y43" s="103">
        <v>30</v>
      </c>
      <c r="Z43" s="73">
        <v>30</v>
      </c>
      <c r="AA43" s="73">
        <v>30</v>
      </c>
      <c r="AB43" s="73">
        <v>26.7</v>
      </c>
      <c r="AC43" s="73">
        <v>26.7</v>
      </c>
      <c r="AD43" s="73">
        <v>26.5</v>
      </c>
      <c r="AE43" s="73">
        <v>15</v>
      </c>
      <c r="AF43" s="123">
        <v>15</v>
      </c>
      <c r="AG43" s="106">
        <v>30</v>
      </c>
      <c r="AH43" s="21">
        <f t="shared" si="2"/>
        <v>30</v>
      </c>
      <c r="AI43" s="20">
        <f t="shared" si="3"/>
        <v>14.3</v>
      </c>
      <c r="AK43" s="42"/>
    </row>
    <row r="44" spans="1:88" x14ac:dyDescent="0.25">
      <c r="A44" s="107" t="s">
        <v>167</v>
      </c>
      <c r="B44" s="10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2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17.600000000000001</v>
      </c>
      <c r="C45" s="120">
        <v>17.600000000000001</v>
      </c>
      <c r="D45" s="120">
        <v>17.600000000000001</v>
      </c>
      <c r="E45" s="120">
        <v>17.600000000000001</v>
      </c>
      <c r="F45" s="120">
        <v>17.600000000000001</v>
      </c>
      <c r="G45" s="120">
        <v>17.600000000000001</v>
      </c>
      <c r="H45" s="120">
        <v>17.600000000000001</v>
      </c>
      <c r="I45" s="120">
        <v>17.600000000000001</v>
      </c>
      <c r="J45" s="120">
        <v>17.600000000000001</v>
      </c>
      <c r="K45" s="120">
        <v>17.600000000000001</v>
      </c>
      <c r="L45" s="120">
        <v>17.600000000000001</v>
      </c>
      <c r="M45" s="120">
        <v>17.600000000000001</v>
      </c>
      <c r="N45" s="120">
        <v>17.600000000000001</v>
      </c>
      <c r="O45" s="120">
        <v>17.600000000000001</v>
      </c>
      <c r="P45" s="120">
        <v>17.600000000000001</v>
      </c>
      <c r="Q45" s="120">
        <v>17.600000000000001</v>
      </c>
      <c r="R45" s="120">
        <v>17.600000000000001</v>
      </c>
      <c r="S45" s="120">
        <v>17.600000000000001</v>
      </c>
      <c r="T45" s="120">
        <v>17.600000000000001</v>
      </c>
      <c r="U45" s="120">
        <v>17.600000000000001</v>
      </c>
      <c r="V45" s="120">
        <v>17.600000000000001</v>
      </c>
      <c r="W45" s="120">
        <v>17.600000000000001</v>
      </c>
      <c r="X45" s="120">
        <v>17.600000000000001</v>
      </c>
      <c r="Y45" s="120">
        <v>17.600000000000001</v>
      </c>
      <c r="Z45" s="103">
        <v>17.600000000000001</v>
      </c>
      <c r="AA45" s="103">
        <v>17.600000000000001</v>
      </c>
      <c r="AB45" s="103">
        <v>17.600000000000001</v>
      </c>
      <c r="AC45" s="103">
        <v>17.600000000000001</v>
      </c>
      <c r="AD45" s="103">
        <v>17.600000000000001</v>
      </c>
      <c r="AE45" s="103">
        <v>17.600000000000001</v>
      </c>
      <c r="AF45" s="123">
        <v>17.399999999999999</v>
      </c>
      <c r="AG45" s="106">
        <v>24</v>
      </c>
      <c r="AH45" s="21">
        <f t="shared" si="2"/>
        <v>17.600000000000001</v>
      </c>
      <c r="AI45" s="20">
        <f t="shared" si="3"/>
        <v>17.399999999999999</v>
      </c>
      <c r="AK45" s="42"/>
    </row>
    <row r="46" spans="1:88" x14ac:dyDescent="0.25">
      <c r="A46" s="107" t="s">
        <v>165</v>
      </c>
      <c r="B46" s="10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7.2</v>
      </c>
      <c r="C48" s="120">
        <v>7.2</v>
      </c>
      <c r="D48" s="120">
        <v>7.2</v>
      </c>
      <c r="E48" s="120">
        <v>7.2</v>
      </c>
      <c r="F48" s="120">
        <v>7.2</v>
      </c>
      <c r="G48" s="120">
        <v>7.2</v>
      </c>
      <c r="H48" s="120">
        <v>7.2</v>
      </c>
      <c r="I48" s="120">
        <v>7.2</v>
      </c>
      <c r="J48" s="120">
        <v>7.2</v>
      </c>
      <c r="K48" s="120">
        <v>7.2</v>
      </c>
      <c r="L48" s="120">
        <v>7.2</v>
      </c>
      <c r="M48" s="120">
        <v>7.2</v>
      </c>
      <c r="N48" s="120">
        <v>7.2</v>
      </c>
      <c r="O48" s="120">
        <v>7.2</v>
      </c>
      <c r="P48" s="120">
        <v>7.2</v>
      </c>
      <c r="Q48" s="120">
        <v>7.2</v>
      </c>
      <c r="R48" s="120">
        <v>7.2</v>
      </c>
      <c r="S48" s="120">
        <v>7.2</v>
      </c>
      <c r="T48" s="120">
        <v>7.2</v>
      </c>
      <c r="U48" s="120">
        <v>7.2</v>
      </c>
      <c r="V48" s="120">
        <v>7.2</v>
      </c>
      <c r="W48" s="120">
        <v>7.2</v>
      </c>
      <c r="X48" s="120">
        <v>7.2</v>
      </c>
      <c r="Y48" s="120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03">
        <v>8.6999999999999993</v>
      </c>
      <c r="C49" s="123">
        <v>8.6999999999999993</v>
      </c>
      <c r="D49" s="123">
        <v>8.6999999999999993</v>
      </c>
      <c r="E49" s="123">
        <v>8.6999999999999993</v>
      </c>
      <c r="F49" s="123">
        <v>8.6999999999999993</v>
      </c>
      <c r="G49" s="123">
        <v>8.6999999999999993</v>
      </c>
      <c r="H49" s="123">
        <v>8.6999999999999993</v>
      </c>
      <c r="I49" s="123">
        <v>8.6999999999999993</v>
      </c>
      <c r="J49" s="123">
        <v>8.6999999999999993</v>
      </c>
      <c r="K49" s="123">
        <v>8.6999999999999993</v>
      </c>
      <c r="L49" s="123">
        <v>8.6999999999999993</v>
      </c>
      <c r="M49" s="123">
        <v>8.6999999999999993</v>
      </c>
      <c r="N49" s="123">
        <v>8.6999999999999993</v>
      </c>
      <c r="O49" s="123">
        <v>8.6999999999999993</v>
      </c>
      <c r="P49" s="123">
        <v>8.6999999999999993</v>
      </c>
      <c r="Q49" s="123">
        <v>8.6999999999999993</v>
      </c>
      <c r="R49" s="123">
        <v>8.6999999999999993</v>
      </c>
      <c r="S49" s="123">
        <v>8.6999999999999993</v>
      </c>
      <c r="T49" s="123">
        <v>8.6999999999999993</v>
      </c>
      <c r="U49" s="123">
        <v>8.6999999999999993</v>
      </c>
      <c r="V49" s="123">
        <v>8.6999999999999993</v>
      </c>
      <c r="W49" s="123">
        <v>8.6999999999999993</v>
      </c>
      <c r="X49" s="123">
        <v>8.6999999999999993</v>
      </c>
      <c r="Y49" s="12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0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8.6999999999999993</v>
      </c>
      <c r="AK49" s="42"/>
    </row>
    <row r="50" spans="1:37" x14ac:dyDescent="0.25">
      <c r="A50" s="107" t="s">
        <v>161</v>
      </c>
      <c r="B50" s="103">
        <v>3</v>
      </c>
      <c r="C50" s="123">
        <v>3</v>
      </c>
      <c r="D50" s="123">
        <v>3</v>
      </c>
      <c r="E50" s="123">
        <v>3</v>
      </c>
      <c r="F50" s="123">
        <v>3</v>
      </c>
      <c r="G50" s="123">
        <v>3</v>
      </c>
      <c r="H50" s="123">
        <v>3</v>
      </c>
      <c r="I50" s="123">
        <v>3</v>
      </c>
      <c r="J50" s="123">
        <v>3</v>
      </c>
      <c r="K50" s="123">
        <v>3</v>
      </c>
      <c r="L50" s="123">
        <v>3</v>
      </c>
      <c r="M50" s="123">
        <v>3</v>
      </c>
      <c r="N50" s="123">
        <v>3</v>
      </c>
      <c r="O50" s="123">
        <v>3</v>
      </c>
      <c r="P50" s="123">
        <v>3</v>
      </c>
      <c r="Q50" s="123">
        <v>3</v>
      </c>
      <c r="R50" s="123">
        <v>3</v>
      </c>
      <c r="S50" s="123">
        <v>3</v>
      </c>
      <c r="T50" s="123">
        <v>3</v>
      </c>
      <c r="U50" s="123">
        <v>3</v>
      </c>
      <c r="V50" s="123">
        <v>3</v>
      </c>
      <c r="W50" s="123">
        <v>3</v>
      </c>
      <c r="X50" s="123">
        <v>3</v>
      </c>
      <c r="Y50" s="12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03">
        <v>3</v>
      </c>
      <c r="AG50" s="106">
        <v>6.2</v>
      </c>
      <c r="AH50" s="21">
        <f t="shared" si="2"/>
        <v>3</v>
      </c>
      <c r="AI50" s="20">
        <f t="shared" si="3"/>
        <v>3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362.64000000000004</v>
      </c>
      <c r="C52" s="99">
        <f t="shared" ref="C52:AF52" si="9">SUM(C39:C51)</f>
        <v>364.24</v>
      </c>
      <c r="D52" s="99">
        <f t="shared" si="9"/>
        <v>369.84000000000003</v>
      </c>
      <c r="E52" s="99">
        <f t="shared" si="9"/>
        <v>370.04</v>
      </c>
      <c r="F52" s="99">
        <f t="shared" si="9"/>
        <v>308.34000000000003</v>
      </c>
      <c r="G52" s="99">
        <f t="shared" si="9"/>
        <v>288.23999999999995</v>
      </c>
      <c r="H52" s="99">
        <f t="shared" si="9"/>
        <v>298.24</v>
      </c>
      <c r="I52" s="99">
        <f t="shared" si="9"/>
        <v>296.54000000000002</v>
      </c>
      <c r="J52" s="99">
        <f t="shared" si="9"/>
        <v>285.14000000000004</v>
      </c>
      <c r="K52" s="99">
        <f t="shared" si="9"/>
        <v>299.94</v>
      </c>
      <c r="L52" s="99">
        <f t="shared" si="9"/>
        <v>277.33999999999997</v>
      </c>
      <c r="M52" s="99">
        <f t="shared" si="9"/>
        <v>324.44</v>
      </c>
      <c r="N52" s="99">
        <f t="shared" si="9"/>
        <v>325.54000000000002</v>
      </c>
      <c r="O52" s="99">
        <f t="shared" si="9"/>
        <v>326.03999999999996</v>
      </c>
      <c r="P52" s="99">
        <f t="shared" si="9"/>
        <v>328.14000000000004</v>
      </c>
      <c r="Q52" s="99">
        <f t="shared" si="9"/>
        <v>311.24</v>
      </c>
      <c r="R52" s="99">
        <f t="shared" si="9"/>
        <v>311.24</v>
      </c>
      <c r="S52" s="99">
        <f t="shared" si="9"/>
        <v>329.94</v>
      </c>
      <c r="T52" s="99">
        <f t="shared" si="9"/>
        <v>360.64</v>
      </c>
      <c r="U52" s="99">
        <f t="shared" si="9"/>
        <v>341.44</v>
      </c>
      <c r="V52" s="99">
        <f t="shared" si="9"/>
        <v>365.94</v>
      </c>
      <c r="W52" s="99">
        <f t="shared" si="9"/>
        <v>382.74</v>
      </c>
      <c r="X52" s="99">
        <f t="shared" si="9"/>
        <v>389.44</v>
      </c>
      <c r="Y52" s="99">
        <f t="shared" si="9"/>
        <v>426.24</v>
      </c>
      <c r="Z52" s="99">
        <f t="shared" si="9"/>
        <v>428.04</v>
      </c>
      <c r="AA52" s="99">
        <f t="shared" si="9"/>
        <v>428.04</v>
      </c>
      <c r="AB52" s="99">
        <f t="shared" si="9"/>
        <v>422.94</v>
      </c>
      <c r="AC52" s="99">
        <f t="shared" si="9"/>
        <v>422.23999999999995</v>
      </c>
      <c r="AD52" s="99">
        <f t="shared" si="9"/>
        <v>422.14000000000004</v>
      </c>
      <c r="AE52" s="99">
        <f t="shared" si="9"/>
        <v>409.14</v>
      </c>
      <c r="AF52" s="99">
        <f t="shared" si="9"/>
        <v>380.14</v>
      </c>
      <c r="AG52" s="98">
        <f>SUM(AG39:AG51)</f>
        <v>489.91</v>
      </c>
      <c r="AH52" s="21">
        <f t="shared" si="2"/>
        <v>428.04</v>
      </c>
      <c r="AI52" s="20">
        <f t="shared" si="3"/>
        <v>277.33999999999997</v>
      </c>
      <c r="AK52" s="42"/>
    </row>
    <row r="53" spans="1:37" x14ac:dyDescent="0.25">
      <c r="A53" s="109" t="s">
        <v>159</v>
      </c>
      <c r="B53" s="103">
        <v>59</v>
      </c>
      <c r="C53" s="123">
        <v>59.7</v>
      </c>
      <c r="D53" s="123">
        <v>59.3</v>
      </c>
      <c r="E53" s="123">
        <v>42.9</v>
      </c>
      <c r="F53" s="123">
        <v>49.1</v>
      </c>
      <c r="G53" s="123">
        <v>49.7</v>
      </c>
      <c r="H53" s="123">
        <v>59.2</v>
      </c>
      <c r="I53" s="123">
        <v>59.2</v>
      </c>
      <c r="J53" s="123">
        <v>40.200000000000003</v>
      </c>
      <c r="K53" s="123">
        <v>49.9</v>
      </c>
      <c r="L53" s="123">
        <v>49</v>
      </c>
      <c r="M53" s="122">
        <v>33.6</v>
      </c>
      <c r="N53" s="122">
        <v>49.1</v>
      </c>
      <c r="O53" s="122">
        <v>40</v>
      </c>
      <c r="P53" s="122">
        <v>39.9</v>
      </c>
      <c r="Q53" s="103">
        <v>49</v>
      </c>
      <c r="R53" s="103">
        <v>59.6</v>
      </c>
      <c r="S53" s="103">
        <v>43.5</v>
      </c>
      <c r="T53" s="103">
        <v>55</v>
      </c>
      <c r="U53" s="103">
        <v>55</v>
      </c>
      <c r="V53" s="103">
        <v>41</v>
      </c>
      <c r="W53" s="103">
        <v>45</v>
      </c>
      <c r="X53" s="103">
        <v>45</v>
      </c>
      <c r="Y53" s="103">
        <v>55</v>
      </c>
      <c r="Z53" s="103">
        <v>59</v>
      </c>
      <c r="AA53" s="103">
        <v>59</v>
      </c>
      <c r="AB53" s="103">
        <v>58.6</v>
      </c>
      <c r="AC53" s="103">
        <v>59.1</v>
      </c>
      <c r="AD53" s="103">
        <v>58.8</v>
      </c>
      <c r="AE53" s="103">
        <v>59.2</v>
      </c>
      <c r="AF53" s="103">
        <v>59.4</v>
      </c>
      <c r="AG53" s="108">
        <v>60</v>
      </c>
      <c r="AH53" s="21">
        <f t="shared" si="2"/>
        <v>59.7</v>
      </c>
      <c r="AI53" s="20">
        <f t="shared" si="3"/>
        <v>33.6</v>
      </c>
      <c r="AK53" s="42"/>
    </row>
    <row r="54" spans="1:37" x14ac:dyDescent="0.25">
      <c r="A54" s="107" t="s">
        <v>158</v>
      </c>
      <c r="B54" s="73">
        <v>28</v>
      </c>
      <c r="C54" s="123">
        <v>29.3</v>
      </c>
      <c r="D54" s="123">
        <v>29.2</v>
      </c>
      <c r="E54" s="123">
        <v>17.3</v>
      </c>
      <c r="F54" s="123">
        <v>22.8</v>
      </c>
      <c r="G54" s="123">
        <v>23.3</v>
      </c>
      <c r="H54" s="123">
        <v>28.4</v>
      </c>
      <c r="I54" s="123">
        <v>29.3</v>
      </c>
      <c r="J54" s="123">
        <v>17.100000000000001</v>
      </c>
      <c r="K54" s="123">
        <v>22</v>
      </c>
      <c r="L54" s="123">
        <v>26.2</v>
      </c>
      <c r="M54" s="122">
        <v>13.8</v>
      </c>
      <c r="N54" s="122">
        <v>20.8</v>
      </c>
      <c r="O54" s="122">
        <v>17.600000000000001</v>
      </c>
      <c r="P54" s="122">
        <v>19.2</v>
      </c>
      <c r="Q54" s="73">
        <v>22.7</v>
      </c>
      <c r="R54" s="73">
        <v>23.3</v>
      </c>
      <c r="S54" s="103">
        <v>19.3</v>
      </c>
      <c r="T54" s="103">
        <v>26.3</v>
      </c>
      <c r="U54" s="103">
        <v>27</v>
      </c>
      <c r="V54" s="73">
        <v>19</v>
      </c>
      <c r="W54" s="73">
        <v>26</v>
      </c>
      <c r="X54" s="73">
        <v>20</v>
      </c>
      <c r="Y54" s="73">
        <v>25</v>
      </c>
      <c r="Z54" s="73">
        <v>29</v>
      </c>
      <c r="AA54" s="73">
        <v>29</v>
      </c>
      <c r="AB54" s="73">
        <v>28.9</v>
      </c>
      <c r="AC54" s="73">
        <v>28.9</v>
      </c>
      <c r="AD54" s="73">
        <v>28.9</v>
      </c>
      <c r="AE54" s="73">
        <v>28.9</v>
      </c>
      <c r="AF54" s="73">
        <v>28.9</v>
      </c>
      <c r="AG54" s="106">
        <v>32</v>
      </c>
      <c r="AH54" s="21">
        <f t="shared" si="2"/>
        <v>29.3</v>
      </c>
      <c r="AI54" s="20">
        <f t="shared" si="3"/>
        <v>13.8</v>
      </c>
      <c r="AK54" s="42"/>
    </row>
    <row r="55" spans="1:37" ht="15.75" thickBot="1" x14ac:dyDescent="0.3">
      <c r="A55" s="121" t="s">
        <v>157</v>
      </c>
      <c r="B55" s="118">
        <v>10.199999999999999</v>
      </c>
      <c r="C55" s="120">
        <v>10.7</v>
      </c>
      <c r="D55" s="120">
        <v>10.7</v>
      </c>
      <c r="E55" s="120">
        <v>6.3</v>
      </c>
      <c r="F55" s="120">
        <v>8.3000000000000007</v>
      </c>
      <c r="G55" s="120">
        <v>8.5</v>
      </c>
      <c r="H55" s="120">
        <v>10.4</v>
      </c>
      <c r="I55" s="120">
        <v>10.7</v>
      </c>
      <c r="J55" s="120">
        <v>6.2</v>
      </c>
      <c r="K55" s="120">
        <v>8</v>
      </c>
      <c r="L55" s="120">
        <v>9.5</v>
      </c>
      <c r="M55" s="119">
        <v>5.0999999999999996</v>
      </c>
      <c r="N55" s="119">
        <v>7.6</v>
      </c>
      <c r="O55" s="119">
        <v>6.4</v>
      </c>
      <c r="P55" s="119">
        <v>7</v>
      </c>
      <c r="Q55" s="118">
        <v>8.3000000000000007</v>
      </c>
      <c r="R55" s="118">
        <v>8.5</v>
      </c>
      <c r="S55" s="103">
        <v>7</v>
      </c>
      <c r="T55" s="103">
        <v>9.6</v>
      </c>
      <c r="U55" s="103">
        <v>10</v>
      </c>
      <c r="V55" s="118">
        <v>7</v>
      </c>
      <c r="W55" s="118">
        <v>9.6</v>
      </c>
      <c r="X55" s="118">
        <v>7.3</v>
      </c>
      <c r="Y55" s="118">
        <v>9.1999999999999993</v>
      </c>
      <c r="Z55" s="118">
        <v>10.6</v>
      </c>
      <c r="AA55" s="118">
        <v>10.5</v>
      </c>
      <c r="AB55" s="118">
        <v>10.5</v>
      </c>
      <c r="AC55" s="118">
        <v>10.5</v>
      </c>
      <c r="AD55" s="118">
        <v>10.6</v>
      </c>
      <c r="AE55" s="118">
        <v>10.6</v>
      </c>
      <c r="AF55" s="118">
        <v>10.6</v>
      </c>
      <c r="AG55" s="117">
        <v>14</v>
      </c>
      <c r="AH55" s="21">
        <f t="shared" si="2"/>
        <v>10.7</v>
      </c>
      <c r="AI55" s="20">
        <f t="shared" si="3"/>
        <v>5.0999999999999996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97.2</v>
      </c>
      <c r="C56" s="99">
        <f>SUM(C53:C55)</f>
        <v>99.7</v>
      </c>
      <c r="D56" s="99">
        <f t="shared" ref="D56:AF56" si="11">SUM(D53:D55)</f>
        <v>99.2</v>
      </c>
      <c r="E56" s="99">
        <f t="shared" si="11"/>
        <v>66.5</v>
      </c>
      <c r="F56" s="99">
        <f t="shared" si="11"/>
        <v>80.2</v>
      </c>
      <c r="G56" s="99">
        <f t="shared" si="11"/>
        <v>81.5</v>
      </c>
      <c r="H56" s="99">
        <f t="shared" si="11"/>
        <v>98</v>
      </c>
      <c r="I56" s="99">
        <f t="shared" si="11"/>
        <v>99.2</v>
      </c>
      <c r="J56" s="99">
        <f t="shared" si="11"/>
        <v>63.500000000000007</v>
      </c>
      <c r="K56" s="99">
        <f t="shared" si="11"/>
        <v>79.900000000000006</v>
      </c>
      <c r="L56" s="99">
        <f t="shared" si="11"/>
        <v>84.7</v>
      </c>
      <c r="M56" s="99">
        <f t="shared" si="11"/>
        <v>52.500000000000007</v>
      </c>
      <c r="N56" s="99">
        <f t="shared" si="11"/>
        <v>77.5</v>
      </c>
      <c r="O56" s="99">
        <f t="shared" si="11"/>
        <v>64</v>
      </c>
      <c r="P56" s="99">
        <f t="shared" si="11"/>
        <v>66.099999999999994</v>
      </c>
      <c r="Q56" s="99">
        <f t="shared" si="11"/>
        <v>80</v>
      </c>
      <c r="R56" s="99">
        <f t="shared" si="11"/>
        <v>91.4</v>
      </c>
      <c r="S56" s="99">
        <f t="shared" si="11"/>
        <v>69.8</v>
      </c>
      <c r="T56" s="99">
        <f t="shared" si="11"/>
        <v>90.899999999999991</v>
      </c>
      <c r="U56" s="99">
        <f t="shared" si="11"/>
        <v>92</v>
      </c>
      <c r="V56" s="99">
        <f t="shared" si="11"/>
        <v>67</v>
      </c>
      <c r="W56" s="99">
        <f t="shared" si="11"/>
        <v>80.599999999999994</v>
      </c>
      <c r="X56" s="99">
        <f t="shared" si="11"/>
        <v>72.3</v>
      </c>
      <c r="Y56" s="99">
        <f t="shared" si="11"/>
        <v>89.2</v>
      </c>
      <c r="Z56" s="99">
        <f t="shared" si="11"/>
        <v>98.6</v>
      </c>
      <c r="AA56" s="99">
        <f t="shared" si="11"/>
        <v>98.5</v>
      </c>
      <c r="AB56" s="99">
        <f t="shared" si="11"/>
        <v>98</v>
      </c>
      <c r="AC56" s="99">
        <f t="shared" si="11"/>
        <v>98.5</v>
      </c>
      <c r="AD56" s="99">
        <f t="shared" si="11"/>
        <v>98.299999999999983</v>
      </c>
      <c r="AE56" s="99">
        <f t="shared" si="11"/>
        <v>98.699999999999989</v>
      </c>
      <c r="AF56" s="99">
        <f t="shared" si="11"/>
        <v>98.899999999999991</v>
      </c>
      <c r="AG56" s="98">
        <f>SUM(AG53:AG55)</f>
        <v>106</v>
      </c>
      <c r="AH56" s="21">
        <f t="shared" si="2"/>
        <v>99.7</v>
      </c>
      <c r="AI56" s="20">
        <f t="shared" si="3"/>
        <v>52.500000000000007</v>
      </c>
      <c r="AK56" s="42"/>
    </row>
    <row r="57" spans="1:37" x14ac:dyDescent="0.25">
      <c r="A57" s="109" t="s">
        <v>135</v>
      </c>
      <c r="B57" s="103">
        <v>36</v>
      </c>
      <c r="C57" s="103">
        <v>42.4</v>
      </c>
      <c r="D57" s="103">
        <v>39.4</v>
      </c>
      <c r="E57" s="103">
        <v>37.799999999999997</v>
      </c>
      <c r="F57" s="103">
        <v>53</v>
      </c>
      <c r="G57" s="103">
        <v>54</v>
      </c>
      <c r="H57" s="103">
        <v>56.1</v>
      </c>
      <c r="I57" s="103">
        <v>41.4</v>
      </c>
      <c r="J57" s="103">
        <v>42</v>
      </c>
      <c r="K57" s="103">
        <v>43.9</v>
      </c>
      <c r="L57" s="103">
        <v>43.7</v>
      </c>
      <c r="M57" s="103">
        <v>44</v>
      </c>
      <c r="N57" s="103">
        <v>46.8</v>
      </c>
      <c r="O57" s="103">
        <v>48.2</v>
      </c>
      <c r="P57" s="103">
        <v>43.4</v>
      </c>
      <c r="Q57" s="103">
        <v>49.1</v>
      </c>
      <c r="R57" s="103">
        <v>51</v>
      </c>
      <c r="S57" s="103">
        <v>56</v>
      </c>
      <c r="T57" s="103">
        <v>57</v>
      </c>
      <c r="U57" s="103">
        <v>57</v>
      </c>
      <c r="V57" s="103">
        <v>34</v>
      </c>
      <c r="W57" s="103">
        <v>28</v>
      </c>
      <c r="X57" s="103">
        <v>45</v>
      </c>
      <c r="Y57" s="103">
        <v>68</v>
      </c>
      <c r="Z57" s="103">
        <v>71</v>
      </c>
      <c r="AA57" s="103">
        <v>61</v>
      </c>
      <c r="AB57" s="183">
        <v>60.7</v>
      </c>
      <c r="AC57" s="103">
        <v>57.8</v>
      </c>
      <c r="AD57" s="103">
        <v>58</v>
      </c>
      <c r="AE57" s="103">
        <v>61.6</v>
      </c>
      <c r="AF57" s="103">
        <v>53.98</v>
      </c>
      <c r="AG57" s="108"/>
      <c r="AH57" s="21">
        <f t="shared" si="2"/>
        <v>71</v>
      </c>
      <c r="AI57" s="20">
        <f t="shared" si="3"/>
        <v>28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121</v>
      </c>
      <c r="K58" s="73">
        <f>74.2+46</f>
        <v>120.2</v>
      </c>
      <c r="L58" s="73">
        <v>120</v>
      </c>
      <c r="M58" s="103">
        <f>80+56</f>
        <v>136</v>
      </c>
      <c r="N58" s="103">
        <v>132</v>
      </c>
      <c r="O58" s="103">
        <v>127</v>
      </c>
      <c r="P58" s="103">
        <v>140</v>
      </c>
      <c r="Q58" s="103">
        <f>83.5+48</f>
        <v>131.5</v>
      </c>
      <c r="R58" s="103">
        <f>65.2+54</f>
        <v>119.2</v>
      </c>
      <c r="S58" s="103">
        <v>164</v>
      </c>
      <c r="T58" s="103">
        <v>165</v>
      </c>
      <c r="U58" s="103">
        <v>160</v>
      </c>
      <c r="V58" s="103">
        <v>110</v>
      </c>
      <c r="W58" s="103">
        <v>0</v>
      </c>
      <c r="X58" s="116">
        <v>0</v>
      </c>
      <c r="Y58" s="116">
        <v>0</v>
      </c>
      <c r="Z58" s="116">
        <v>0</v>
      </c>
      <c r="AA58" s="116">
        <v>0</v>
      </c>
      <c r="AB58" s="18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165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111</v>
      </c>
      <c r="C59" s="73">
        <v>111.9</v>
      </c>
      <c r="D59" s="73">
        <v>105.5</v>
      </c>
      <c r="E59" s="73">
        <v>141.69999999999999</v>
      </c>
      <c r="F59" s="73">
        <v>183.9</v>
      </c>
      <c r="G59" s="73">
        <v>206</v>
      </c>
      <c r="H59" s="103">
        <v>220</v>
      </c>
      <c r="I59" s="103">
        <v>190</v>
      </c>
      <c r="J59" s="103">
        <v>167</v>
      </c>
      <c r="K59" s="103">
        <v>180</v>
      </c>
      <c r="L59" s="103">
        <v>190</v>
      </c>
      <c r="M59" s="73">
        <v>229</v>
      </c>
      <c r="N59" s="73">
        <v>233.9</v>
      </c>
      <c r="O59" s="73">
        <v>235.8</v>
      </c>
      <c r="P59" s="73">
        <v>222.8</v>
      </c>
      <c r="Q59" s="73">
        <v>300</v>
      </c>
      <c r="R59" s="73">
        <v>306.2</v>
      </c>
      <c r="S59" s="73">
        <v>232</v>
      </c>
      <c r="T59" s="73">
        <v>223</v>
      </c>
      <c r="U59" s="73">
        <v>217</v>
      </c>
      <c r="V59" s="73">
        <v>190</v>
      </c>
      <c r="W59" s="73">
        <v>200</v>
      </c>
      <c r="X59" s="115">
        <v>200</v>
      </c>
      <c r="Y59" s="115">
        <v>180</v>
      </c>
      <c r="Z59" s="115">
        <v>130</v>
      </c>
      <c r="AA59" s="115">
        <v>140</v>
      </c>
      <c r="AB59" s="122">
        <v>170</v>
      </c>
      <c r="AC59" s="73">
        <v>167.5</v>
      </c>
      <c r="AD59" s="73">
        <v>196.4</v>
      </c>
      <c r="AE59" s="73">
        <v>177.5</v>
      </c>
      <c r="AF59" s="73">
        <v>121.8</v>
      </c>
      <c r="AG59" s="113"/>
      <c r="AH59" s="21">
        <f t="shared" si="2"/>
        <v>306.2</v>
      </c>
      <c r="AI59" s="20">
        <f t="shared" si="3"/>
        <v>105.5</v>
      </c>
      <c r="AK59" s="42"/>
    </row>
    <row r="60" spans="1:37" x14ac:dyDescent="0.25">
      <c r="A60" s="107" t="s">
        <v>139</v>
      </c>
      <c r="B60" s="77">
        <v>16</v>
      </c>
      <c r="C60" s="77">
        <v>16</v>
      </c>
      <c r="D60" s="77">
        <v>16</v>
      </c>
      <c r="E60" s="77">
        <v>14</v>
      </c>
      <c r="F60" s="77">
        <v>15.2</v>
      </c>
      <c r="G60" s="77">
        <v>15.3</v>
      </c>
      <c r="H60" s="77">
        <v>16</v>
      </c>
      <c r="I60" s="77">
        <v>42.7</v>
      </c>
      <c r="J60" s="77">
        <v>43.5</v>
      </c>
      <c r="K60" s="77">
        <v>43.7</v>
      </c>
      <c r="L60" s="77">
        <v>49.7</v>
      </c>
      <c r="M60" s="73">
        <v>48</v>
      </c>
      <c r="N60" s="73" t="s">
        <v>234</v>
      </c>
      <c r="O60" s="73">
        <v>54</v>
      </c>
      <c r="P60" s="73">
        <v>44.8</v>
      </c>
      <c r="Q60" s="73">
        <v>44.8</v>
      </c>
      <c r="R60" s="73">
        <v>46</v>
      </c>
      <c r="S60" s="73">
        <v>48.5</v>
      </c>
      <c r="T60" s="73">
        <v>46.5</v>
      </c>
      <c r="U60" s="73">
        <v>50</v>
      </c>
      <c r="V60" s="73">
        <v>45</v>
      </c>
      <c r="W60" s="73">
        <v>45</v>
      </c>
      <c r="X60" s="73">
        <v>45</v>
      </c>
      <c r="Y60" s="73">
        <v>11</v>
      </c>
      <c r="Z60" s="73">
        <v>11</v>
      </c>
      <c r="AA60" s="73">
        <v>11</v>
      </c>
      <c r="AB60" s="122">
        <v>15</v>
      </c>
      <c r="AC60" s="122">
        <v>15</v>
      </c>
      <c r="AD60" s="73">
        <v>15</v>
      </c>
      <c r="AE60" s="73">
        <v>15</v>
      </c>
      <c r="AF60" s="77">
        <v>15</v>
      </c>
      <c r="AG60" s="113"/>
      <c r="AH60" s="21">
        <f t="shared" si="2"/>
        <v>54</v>
      </c>
      <c r="AI60" s="20">
        <f t="shared" si="3"/>
        <v>11</v>
      </c>
      <c r="AK60" s="42"/>
    </row>
    <row r="61" spans="1:37" x14ac:dyDescent="0.25">
      <c r="A61" s="107" t="s">
        <v>154</v>
      </c>
      <c r="B61" s="103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66.2</v>
      </c>
      <c r="K61" s="77">
        <v>69</v>
      </c>
      <c r="L61" s="77">
        <v>65</v>
      </c>
      <c r="M61" s="103">
        <v>73.2</v>
      </c>
      <c r="N61" s="103">
        <v>80.599999999999994</v>
      </c>
      <c r="O61" s="103">
        <v>82</v>
      </c>
      <c r="P61" s="103">
        <v>80.2</v>
      </c>
      <c r="Q61" s="103">
        <v>86</v>
      </c>
      <c r="R61" s="103">
        <v>76.8</v>
      </c>
      <c r="S61" s="103">
        <v>80</v>
      </c>
      <c r="T61" s="103">
        <v>76</v>
      </c>
      <c r="U61" s="103">
        <v>82</v>
      </c>
      <c r="V61" s="103">
        <v>68</v>
      </c>
      <c r="W61" s="103">
        <v>73</v>
      </c>
      <c r="X61" s="103">
        <v>57</v>
      </c>
      <c r="Y61" s="103">
        <v>0</v>
      </c>
      <c r="Z61" s="103">
        <v>0</v>
      </c>
      <c r="AA61" s="103">
        <v>0</v>
      </c>
      <c r="AB61" s="183">
        <v>0</v>
      </c>
      <c r="AC61" s="183">
        <v>0</v>
      </c>
      <c r="AD61" s="183">
        <v>0</v>
      </c>
      <c r="AE61" s="183">
        <v>0</v>
      </c>
      <c r="AF61" s="103">
        <v>0</v>
      </c>
      <c r="AG61" s="113"/>
      <c r="AH61" s="21">
        <f t="shared" si="2"/>
        <v>86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73">
        <v>8</v>
      </c>
      <c r="D62" s="73">
        <v>8</v>
      </c>
      <c r="E62" s="73">
        <v>8</v>
      </c>
      <c r="F62" s="73">
        <v>8</v>
      </c>
      <c r="G62" s="73">
        <v>8</v>
      </c>
      <c r="H62" s="73">
        <v>8</v>
      </c>
      <c r="I62" s="73">
        <v>8</v>
      </c>
      <c r="J62" s="73">
        <v>8</v>
      </c>
      <c r="K62" s="73">
        <v>8</v>
      </c>
      <c r="L62" s="73">
        <v>8</v>
      </c>
      <c r="M62" s="73">
        <v>8</v>
      </c>
      <c r="N62" s="73">
        <v>8</v>
      </c>
      <c r="O62" s="73">
        <v>8</v>
      </c>
      <c r="P62" s="73">
        <v>8</v>
      </c>
      <c r="Q62" s="73">
        <v>8</v>
      </c>
      <c r="R62" s="73">
        <v>8</v>
      </c>
      <c r="S62" s="73">
        <v>8</v>
      </c>
      <c r="T62" s="73">
        <v>8</v>
      </c>
      <c r="U62" s="73">
        <v>8</v>
      </c>
      <c r="V62" s="73">
        <v>8</v>
      </c>
      <c r="W62" s="73">
        <v>8</v>
      </c>
      <c r="X62" s="73">
        <v>8</v>
      </c>
      <c r="Y62" s="73">
        <v>8</v>
      </c>
      <c r="Z62" s="73">
        <v>8</v>
      </c>
      <c r="AA62" s="73">
        <v>8</v>
      </c>
      <c r="AB62" s="122">
        <v>8</v>
      </c>
      <c r="AC62" s="122">
        <v>8</v>
      </c>
      <c r="AD62" s="122">
        <v>8</v>
      </c>
      <c r="AE62" s="122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103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103">
        <v>0</v>
      </c>
      <c r="U63" s="103">
        <v>0</v>
      </c>
      <c r="V63" s="103">
        <v>0</v>
      </c>
      <c r="W63" s="103">
        <v>0</v>
      </c>
      <c r="X63" s="103">
        <v>0</v>
      </c>
      <c r="Y63" s="103">
        <v>0</v>
      </c>
      <c r="Z63" s="103">
        <v>0</v>
      </c>
      <c r="AA63" s="103">
        <v>0</v>
      </c>
      <c r="AB63" s="183">
        <v>0</v>
      </c>
      <c r="AC63" s="183">
        <v>0</v>
      </c>
      <c r="AD63" s="183">
        <v>0</v>
      </c>
      <c r="AE63" s="183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3.5</v>
      </c>
      <c r="AB64" s="184">
        <v>3.5</v>
      </c>
      <c r="AC64" s="184">
        <v>3.5</v>
      </c>
      <c r="AD64" s="184">
        <v>3.5</v>
      </c>
      <c r="AE64" s="184">
        <v>3.5</v>
      </c>
      <c r="AF64" s="77">
        <v>3.5</v>
      </c>
      <c r="AG64" s="113"/>
      <c r="AH64" s="21">
        <f t="shared" si="2"/>
        <v>3.5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184">
        <v>3</v>
      </c>
      <c r="AC65" s="184">
        <v>3</v>
      </c>
      <c r="AD65" s="184">
        <v>3</v>
      </c>
      <c r="AE65" s="184">
        <v>3</v>
      </c>
      <c r="AF65" s="77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7</v>
      </c>
      <c r="C66" s="77">
        <v>7</v>
      </c>
      <c r="D66" s="77">
        <v>7</v>
      </c>
      <c r="E66" s="77">
        <v>7</v>
      </c>
      <c r="F66" s="77">
        <v>7</v>
      </c>
      <c r="G66" s="77">
        <v>7</v>
      </c>
      <c r="H66" s="77">
        <v>7</v>
      </c>
      <c r="I66" s="77">
        <v>7</v>
      </c>
      <c r="J66" s="77">
        <v>7</v>
      </c>
      <c r="K66" s="77">
        <v>7</v>
      </c>
      <c r="L66" s="73">
        <v>7</v>
      </c>
      <c r="M66" s="73">
        <v>7</v>
      </c>
      <c r="N66" s="73">
        <v>7</v>
      </c>
      <c r="O66" s="73">
        <v>7</v>
      </c>
      <c r="P66" s="73">
        <v>7</v>
      </c>
      <c r="Q66" s="73">
        <v>7</v>
      </c>
      <c r="R66" s="73">
        <v>7</v>
      </c>
      <c r="S66" s="73">
        <v>7</v>
      </c>
      <c r="T66" s="73">
        <v>7</v>
      </c>
      <c r="U66" s="73">
        <v>7</v>
      </c>
      <c r="V66" s="73">
        <v>7</v>
      </c>
      <c r="W66" s="73">
        <v>7</v>
      </c>
      <c r="X66" s="73">
        <v>7</v>
      </c>
      <c r="Y66" s="73">
        <v>7</v>
      </c>
      <c r="Z66" s="73">
        <v>7</v>
      </c>
      <c r="AA66" s="73">
        <v>7</v>
      </c>
      <c r="AB66" s="122">
        <v>7</v>
      </c>
      <c r="AC66" s="122">
        <v>7</v>
      </c>
      <c r="AD66" s="122">
        <v>7</v>
      </c>
      <c r="AE66" s="122">
        <v>7</v>
      </c>
      <c r="AF66" s="70">
        <v>7</v>
      </c>
      <c r="AG66" s="102"/>
      <c r="AH66" s="21">
        <f t="shared" si="2"/>
        <v>7</v>
      </c>
      <c r="AI66" s="20">
        <f t="shared" si="3"/>
        <v>7</v>
      </c>
      <c r="AK66" s="42"/>
    </row>
    <row r="67" spans="1:88" ht="15.75" thickBot="1" x14ac:dyDescent="0.3">
      <c r="A67" s="104" t="s">
        <v>148</v>
      </c>
      <c r="B67" s="70">
        <v>0</v>
      </c>
      <c r="C67" s="77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181</v>
      </c>
      <c r="C68" s="99">
        <f>SUM(C57:C67)</f>
        <v>188.3</v>
      </c>
      <c r="D68" s="99">
        <f t="shared" ref="D68:AF68" si="13">SUM(D57:D67)</f>
        <v>178.9</v>
      </c>
      <c r="E68" s="99">
        <f t="shared" si="13"/>
        <v>211.5</v>
      </c>
      <c r="F68" s="99">
        <f t="shared" si="13"/>
        <v>270.10000000000002</v>
      </c>
      <c r="G68" s="99">
        <f t="shared" si="13"/>
        <v>293.3</v>
      </c>
      <c r="H68" s="99">
        <f t="shared" si="13"/>
        <v>310.10000000000002</v>
      </c>
      <c r="I68" s="99">
        <f t="shared" si="13"/>
        <v>292.10000000000002</v>
      </c>
      <c r="J68" s="99">
        <f t="shared" si="13"/>
        <v>457.7</v>
      </c>
      <c r="K68" s="99">
        <f t="shared" si="13"/>
        <v>474.8</v>
      </c>
      <c r="L68" s="99">
        <f t="shared" si="13"/>
        <v>486.4</v>
      </c>
      <c r="M68" s="99">
        <f t="shared" si="13"/>
        <v>548.20000000000005</v>
      </c>
      <c r="N68" s="99">
        <f t="shared" si="13"/>
        <v>511.30000000000007</v>
      </c>
      <c r="O68" s="99">
        <f t="shared" si="13"/>
        <v>565</v>
      </c>
      <c r="P68" s="99">
        <f t="shared" si="13"/>
        <v>549.20000000000005</v>
      </c>
      <c r="Q68" s="99">
        <f t="shared" si="13"/>
        <v>629.4</v>
      </c>
      <c r="R68" s="99">
        <f t="shared" si="13"/>
        <v>617.19999999999993</v>
      </c>
      <c r="S68" s="99">
        <f t="shared" si="13"/>
        <v>598.5</v>
      </c>
      <c r="T68" s="99">
        <f t="shared" si="13"/>
        <v>585.5</v>
      </c>
      <c r="U68" s="99">
        <f t="shared" si="13"/>
        <v>584</v>
      </c>
      <c r="V68" s="99">
        <f t="shared" si="13"/>
        <v>465</v>
      </c>
      <c r="W68" s="99">
        <f t="shared" si="13"/>
        <v>364</v>
      </c>
      <c r="X68" s="99">
        <f t="shared" si="13"/>
        <v>365</v>
      </c>
      <c r="Y68" s="99">
        <f t="shared" si="13"/>
        <v>277</v>
      </c>
      <c r="Z68" s="99">
        <f t="shared" si="13"/>
        <v>230</v>
      </c>
      <c r="AA68" s="99">
        <f t="shared" si="13"/>
        <v>233.5</v>
      </c>
      <c r="AB68" s="99">
        <f t="shared" si="13"/>
        <v>267.2</v>
      </c>
      <c r="AC68" s="99">
        <f t="shared" si="13"/>
        <v>261.8</v>
      </c>
      <c r="AD68" s="99">
        <f t="shared" si="13"/>
        <v>290.89999999999998</v>
      </c>
      <c r="AE68" s="99">
        <f t="shared" si="13"/>
        <v>275.60000000000002</v>
      </c>
      <c r="AF68" s="99">
        <f t="shared" si="13"/>
        <v>212.28</v>
      </c>
      <c r="AG68" s="98">
        <f>SUM(AG57:AG67)</f>
        <v>0</v>
      </c>
      <c r="AH68" s="21">
        <f t="shared" si="2"/>
        <v>629.4</v>
      </c>
      <c r="AI68" s="20">
        <f t="shared" si="3"/>
        <v>178.9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f t="shared" si="15"/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1271.04</v>
      </c>
      <c r="C73" s="110">
        <f>C68+C56+C52+C38+C72</f>
        <v>1282.54</v>
      </c>
      <c r="D73" s="110">
        <f t="shared" ref="D73:AG73" si="17">D68+D56+D52+D38+D72</f>
        <v>1248.24</v>
      </c>
      <c r="E73" s="110">
        <f t="shared" si="17"/>
        <v>1248.3399999999999</v>
      </c>
      <c r="F73" s="110">
        <f t="shared" si="17"/>
        <v>1215.3400000000001</v>
      </c>
      <c r="G73" s="110">
        <f t="shared" si="17"/>
        <v>1204.74</v>
      </c>
      <c r="H73" s="110">
        <f t="shared" si="17"/>
        <v>1248.04</v>
      </c>
      <c r="I73" s="110">
        <f t="shared" si="17"/>
        <v>1259.54</v>
      </c>
      <c r="J73" s="110">
        <f t="shared" si="17"/>
        <v>1308.0400000000002</v>
      </c>
      <c r="K73" s="110">
        <f t="shared" si="17"/>
        <v>1356.3400000000001</v>
      </c>
      <c r="L73" s="110">
        <f t="shared" si="17"/>
        <v>1330.64</v>
      </c>
      <c r="M73" s="110">
        <f t="shared" si="17"/>
        <v>1386.3400000000001</v>
      </c>
      <c r="N73" s="110">
        <f t="shared" si="17"/>
        <v>1355.5400000000002</v>
      </c>
      <c r="O73" s="110">
        <f t="shared" si="17"/>
        <v>1397.24</v>
      </c>
      <c r="P73" s="110">
        <f t="shared" si="17"/>
        <v>1374.64</v>
      </c>
      <c r="Q73" s="110">
        <f t="shared" si="17"/>
        <v>1440.84</v>
      </c>
      <c r="R73" s="110">
        <f t="shared" si="17"/>
        <v>1435.94</v>
      </c>
      <c r="S73" s="110">
        <f t="shared" si="17"/>
        <v>1414.3400000000001</v>
      </c>
      <c r="T73" s="110">
        <f t="shared" si="17"/>
        <v>1484.44</v>
      </c>
      <c r="U73" s="110">
        <f t="shared" si="17"/>
        <v>1444.8400000000001</v>
      </c>
      <c r="V73" s="110">
        <f t="shared" si="17"/>
        <v>1385.3400000000001</v>
      </c>
      <c r="W73" s="110">
        <f t="shared" si="17"/>
        <v>1432.74</v>
      </c>
      <c r="X73" s="110">
        <f t="shared" si="17"/>
        <v>1434.1399999999999</v>
      </c>
      <c r="Y73" s="110">
        <f t="shared" si="17"/>
        <v>1489.8400000000001</v>
      </c>
      <c r="Z73" s="110">
        <f t="shared" si="17"/>
        <v>1536.0400000000002</v>
      </c>
      <c r="AA73" s="110">
        <f t="shared" si="17"/>
        <v>1542.1399999999999</v>
      </c>
      <c r="AB73" s="110">
        <f t="shared" si="17"/>
        <v>1474.1399999999999</v>
      </c>
      <c r="AC73" s="110">
        <f t="shared" si="17"/>
        <v>1468.74</v>
      </c>
      <c r="AD73" s="110">
        <f t="shared" si="17"/>
        <v>1467.94</v>
      </c>
      <c r="AE73" s="110">
        <f t="shared" si="17"/>
        <v>1418.8400000000001</v>
      </c>
      <c r="AF73" s="110">
        <f t="shared" si="17"/>
        <v>1308.02</v>
      </c>
      <c r="AG73" s="110">
        <f t="shared" si="17"/>
        <v>2144.14</v>
      </c>
      <c r="AH73" s="21">
        <f t="shared" si="2"/>
        <v>1542.1399999999999</v>
      </c>
      <c r="AI73" s="20">
        <f t="shared" si="3"/>
        <v>1204.74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>
        <v>20</v>
      </c>
      <c r="H74" s="111">
        <v>10</v>
      </c>
      <c r="I74" s="111">
        <v>10</v>
      </c>
      <c r="J74" s="111">
        <v>10</v>
      </c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>
        <v>100</v>
      </c>
      <c r="Z74" s="111">
        <v>100</v>
      </c>
      <c r="AA74" s="111">
        <v>100</v>
      </c>
      <c r="AB74" s="111">
        <v>50</v>
      </c>
      <c r="AC74" s="111"/>
      <c r="AD74" s="111"/>
      <c r="AE74" s="111"/>
      <c r="AF74" s="111"/>
      <c r="AG74" s="98"/>
      <c r="AH74" s="21">
        <f t="shared" si="2"/>
        <v>100</v>
      </c>
      <c r="AI74" s="20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1271.04</v>
      </c>
      <c r="C75" s="110">
        <f>C73+C74</f>
        <v>1282.54</v>
      </c>
      <c r="D75" s="110">
        <f t="shared" ref="D75:AF75" si="19">D72+D68+D56+D52+D38+D74</f>
        <v>1248.24</v>
      </c>
      <c r="E75" s="110">
        <f t="shared" si="19"/>
        <v>1248.3399999999999</v>
      </c>
      <c r="F75" s="110">
        <f t="shared" si="19"/>
        <v>1215.3400000000001</v>
      </c>
      <c r="G75" s="110">
        <f t="shared" si="19"/>
        <v>1224.74</v>
      </c>
      <c r="H75" s="110">
        <f t="shared" si="19"/>
        <v>1258.04</v>
      </c>
      <c r="I75" s="110">
        <f t="shared" si="19"/>
        <v>1269.54</v>
      </c>
      <c r="J75" s="110">
        <f t="shared" si="19"/>
        <v>1318.0400000000002</v>
      </c>
      <c r="K75" s="110">
        <f t="shared" si="19"/>
        <v>1356.3400000000001</v>
      </c>
      <c r="L75" s="110">
        <f t="shared" si="19"/>
        <v>1330.64</v>
      </c>
      <c r="M75" s="110">
        <f t="shared" si="19"/>
        <v>1386.3400000000001</v>
      </c>
      <c r="N75" s="110">
        <f t="shared" si="19"/>
        <v>1355.5400000000002</v>
      </c>
      <c r="O75" s="110">
        <f t="shared" si="19"/>
        <v>1397.24</v>
      </c>
      <c r="P75" s="110">
        <f t="shared" si="19"/>
        <v>1374.64</v>
      </c>
      <c r="Q75" s="110">
        <f t="shared" si="19"/>
        <v>1440.84</v>
      </c>
      <c r="R75" s="110">
        <f t="shared" si="19"/>
        <v>1435.94</v>
      </c>
      <c r="S75" s="110">
        <f t="shared" si="19"/>
        <v>1414.3400000000001</v>
      </c>
      <c r="T75" s="110">
        <f t="shared" si="19"/>
        <v>1484.44</v>
      </c>
      <c r="U75" s="110">
        <f t="shared" si="19"/>
        <v>1444.8400000000001</v>
      </c>
      <c r="V75" s="110">
        <f t="shared" si="19"/>
        <v>1385.3400000000001</v>
      </c>
      <c r="W75" s="110">
        <f t="shared" si="19"/>
        <v>1432.74</v>
      </c>
      <c r="X75" s="110">
        <f t="shared" si="19"/>
        <v>1434.1399999999999</v>
      </c>
      <c r="Y75" s="110">
        <f t="shared" si="19"/>
        <v>1589.8400000000001</v>
      </c>
      <c r="Z75" s="110">
        <f t="shared" si="19"/>
        <v>1636.0400000000002</v>
      </c>
      <c r="AA75" s="110">
        <f t="shared" si="19"/>
        <v>1642.1399999999999</v>
      </c>
      <c r="AB75" s="110">
        <f t="shared" si="19"/>
        <v>1524.1399999999999</v>
      </c>
      <c r="AC75" s="110">
        <f t="shared" si="19"/>
        <v>1468.74</v>
      </c>
      <c r="AD75" s="110">
        <f t="shared" si="19"/>
        <v>1467.94</v>
      </c>
      <c r="AE75" s="110">
        <f t="shared" si="19"/>
        <v>1418.8400000000001</v>
      </c>
      <c r="AF75" s="110">
        <f t="shared" si="19"/>
        <v>1308.02</v>
      </c>
      <c r="AG75" s="98">
        <f>AG72+AG68+AG56+AG52+AG38+AG74</f>
        <v>2144.14</v>
      </c>
      <c r="AH75" s="21">
        <f t="shared" si="2"/>
        <v>1642.1399999999999</v>
      </c>
      <c r="AI75" s="20">
        <f t="shared" si="3"/>
        <v>1215.3400000000001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>
        <f t="shared" si="21"/>
        <v>0</v>
      </c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f t="shared" si="25"/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f t="shared" si="27"/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f t="shared" si="29"/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f t="shared" si="31"/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f t="shared" si="33"/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2542.08</v>
      </c>
      <c r="C83" s="99">
        <f t="shared" ref="C83:AG83" si="35">SUM(C70:C82)</f>
        <v>2565.08</v>
      </c>
      <c r="D83" s="99">
        <f t="shared" si="35"/>
        <v>2496.48</v>
      </c>
      <c r="E83" s="99">
        <f t="shared" si="35"/>
        <v>2496.6799999999998</v>
      </c>
      <c r="F83" s="99">
        <f t="shared" si="35"/>
        <v>2430.6800000000003</v>
      </c>
      <c r="G83" s="99">
        <f t="shared" si="35"/>
        <v>2449.48</v>
      </c>
      <c r="H83" s="99">
        <f t="shared" si="35"/>
        <v>2516.08</v>
      </c>
      <c r="I83" s="99">
        <f t="shared" si="35"/>
        <v>2539.08</v>
      </c>
      <c r="J83" s="99">
        <f t="shared" si="35"/>
        <v>2636.0800000000004</v>
      </c>
      <c r="K83" s="99">
        <f t="shared" si="35"/>
        <v>2712.6800000000003</v>
      </c>
      <c r="L83" s="99">
        <f t="shared" si="35"/>
        <v>2661.28</v>
      </c>
      <c r="M83" s="99">
        <f t="shared" si="35"/>
        <v>2772.6800000000003</v>
      </c>
      <c r="N83" s="99">
        <f t="shared" si="35"/>
        <v>2711.0800000000004</v>
      </c>
      <c r="O83" s="99">
        <f t="shared" si="35"/>
        <v>2794.48</v>
      </c>
      <c r="P83" s="99">
        <f t="shared" si="35"/>
        <v>2749.28</v>
      </c>
      <c r="Q83" s="99">
        <f t="shared" si="35"/>
        <v>2881.68</v>
      </c>
      <c r="R83" s="99">
        <f t="shared" si="35"/>
        <v>2871.88</v>
      </c>
      <c r="S83" s="99">
        <f t="shared" si="35"/>
        <v>2828.6800000000003</v>
      </c>
      <c r="T83" s="99">
        <f t="shared" si="35"/>
        <v>2968.88</v>
      </c>
      <c r="U83" s="99">
        <f t="shared" si="35"/>
        <v>2889.6800000000003</v>
      </c>
      <c r="V83" s="99">
        <f t="shared" si="35"/>
        <v>2770.6800000000003</v>
      </c>
      <c r="W83" s="99">
        <f t="shared" si="35"/>
        <v>2865.48</v>
      </c>
      <c r="X83" s="99">
        <f t="shared" si="35"/>
        <v>2868.2799999999997</v>
      </c>
      <c r="Y83" s="99">
        <f t="shared" si="35"/>
        <v>3179.6800000000003</v>
      </c>
      <c r="Z83" s="99">
        <f t="shared" si="35"/>
        <v>3272.0800000000004</v>
      </c>
      <c r="AA83" s="99">
        <f t="shared" si="35"/>
        <v>3284.2799999999997</v>
      </c>
      <c r="AB83" s="99">
        <f t="shared" si="35"/>
        <v>3048.2799999999997</v>
      </c>
      <c r="AC83" s="99">
        <f t="shared" si="35"/>
        <v>2937.48</v>
      </c>
      <c r="AD83" s="99">
        <f t="shared" si="35"/>
        <v>2935.88</v>
      </c>
      <c r="AE83" s="99">
        <f t="shared" si="35"/>
        <v>2837.6800000000003</v>
      </c>
      <c r="AF83" s="99">
        <f t="shared" si="35"/>
        <v>2616.04</v>
      </c>
      <c r="AG83" s="98">
        <f t="shared" si="35"/>
        <v>4360.08</v>
      </c>
      <c r="AH83" s="21">
        <f t="shared" si="22"/>
        <v>3284.2799999999997</v>
      </c>
      <c r="AI83" s="20">
        <f t="shared" si="23"/>
        <v>2430.6800000000003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49.86</v>
      </c>
      <c r="C84" s="96">
        <v>49.67</v>
      </c>
      <c r="D84" s="96">
        <v>49.84</v>
      </c>
      <c r="E84" s="96">
        <v>50.005000000000003</v>
      </c>
      <c r="F84" s="96">
        <v>49.886000000000003</v>
      </c>
      <c r="G84" s="96">
        <v>49.84</v>
      </c>
      <c r="H84" s="96">
        <v>49.661000000000001</v>
      </c>
      <c r="I84" s="96">
        <v>49.820999999999998</v>
      </c>
      <c r="J84" s="96">
        <v>49.82</v>
      </c>
      <c r="K84" s="96">
        <v>49.966000000000001</v>
      </c>
      <c r="L84" s="96">
        <v>50.01</v>
      </c>
      <c r="M84" s="96">
        <v>50.064</v>
      </c>
      <c r="N84" s="96">
        <v>50.051000000000002</v>
      </c>
      <c r="O84" s="96">
        <v>49.98</v>
      </c>
      <c r="P84" s="96">
        <v>49.991999999999997</v>
      </c>
      <c r="Q84" s="96">
        <v>50.07</v>
      </c>
      <c r="R84" s="96">
        <v>49.997</v>
      </c>
      <c r="S84" s="96">
        <v>50.1</v>
      </c>
      <c r="T84" s="96">
        <v>49.93</v>
      </c>
      <c r="U84" s="96">
        <v>49.826000000000001</v>
      </c>
      <c r="V84" s="96">
        <v>49.85</v>
      </c>
      <c r="W84" s="96">
        <v>50.03</v>
      </c>
      <c r="X84" s="96">
        <v>50.03</v>
      </c>
      <c r="Y84" s="96">
        <v>49.98</v>
      </c>
      <c r="Z84" s="96">
        <v>49.85</v>
      </c>
      <c r="AA84" s="96">
        <v>49.97</v>
      </c>
      <c r="AB84" s="96">
        <v>50.029000000000003</v>
      </c>
      <c r="AC84" s="96">
        <v>50.015999999999998</v>
      </c>
      <c r="AD84" s="96">
        <v>49.996000000000002</v>
      </c>
      <c r="AE84" s="96">
        <v>50.01</v>
      </c>
      <c r="AF84" s="96">
        <v>49.863999999999997</v>
      </c>
      <c r="AG84" s="95"/>
      <c r="AH84" s="21">
        <f t="shared" si="22"/>
        <v>50.1</v>
      </c>
      <c r="AI84" s="20">
        <f t="shared" si="23"/>
        <v>49.661000000000001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126.6</v>
      </c>
      <c r="C85" s="73">
        <v>125.7</v>
      </c>
      <c r="D85" s="73">
        <v>127.6</v>
      </c>
      <c r="E85" s="73">
        <v>126.8</v>
      </c>
      <c r="F85" s="73">
        <v>127.4</v>
      </c>
      <c r="G85" s="73">
        <v>126.2</v>
      </c>
      <c r="H85" s="73">
        <v>126</v>
      </c>
      <c r="I85" s="73">
        <v>125.9</v>
      </c>
      <c r="J85" s="73">
        <v>126.5</v>
      </c>
      <c r="K85" s="73">
        <v>126.9</v>
      </c>
      <c r="L85" s="73">
        <v>127.4</v>
      </c>
      <c r="M85" s="73">
        <v>125.6</v>
      </c>
      <c r="N85" s="73">
        <v>125.3</v>
      </c>
      <c r="O85" s="73">
        <v>124.5</v>
      </c>
      <c r="P85" s="73">
        <v>125.3</v>
      </c>
      <c r="Q85" s="73">
        <v>123.4</v>
      </c>
      <c r="R85" s="73">
        <v>124</v>
      </c>
      <c r="S85" s="73">
        <v>124</v>
      </c>
      <c r="T85" s="73">
        <v>125</v>
      </c>
      <c r="U85" s="94">
        <v>124</v>
      </c>
      <c r="V85" s="94">
        <v>126.6</v>
      </c>
      <c r="W85" s="94">
        <v>126</v>
      </c>
      <c r="X85" s="94">
        <v>127.6</v>
      </c>
      <c r="Y85" s="94">
        <v>125</v>
      </c>
      <c r="Z85" s="94">
        <v>125</v>
      </c>
      <c r="AA85" s="94">
        <v>125</v>
      </c>
      <c r="AB85" s="73">
        <v>126.6</v>
      </c>
      <c r="AC85" s="73">
        <v>126.3</v>
      </c>
      <c r="AD85" s="73">
        <v>125.1</v>
      </c>
      <c r="AE85" s="73">
        <v>125.9</v>
      </c>
      <c r="AF85" s="73">
        <v>126.2</v>
      </c>
      <c r="AG85" s="89"/>
      <c r="AH85" s="21">
        <f t="shared" si="22"/>
        <v>127.6</v>
      </c>
      <c r="AI85" s="20">
        <f t="shared" si="23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131.30000000000001</v>
      </c>
      <c r="C86" s="73">
        <v>130.4</v>
      </c>
      <c r="D86" s="73">
        <v>131.6</v>
      </c>
      <c r="E86" s="73">
        <v>131.5</v>
      </c>
      <c r="F86" s="73">
        <v>131.5</v>
      </c>
      <c r="G86" s="73">
        <v>130.69999999999999</v>
      </c>
      <c r="H86" s="73">
        <v>130</v>
      </c>
      <c r="I86" s="73">
        <v>129.6</v>
      </c>
      <c r="J86" s="73">
        <v>128.80000000000001</v>
      </c>
      <c r="K86" s="73">
        <v>129.6</v>
      </c>
      <c r="L86" s="73">
        <v>130</v>
      </c>
      <c r="M86" s="73">
        <v>128.5</v>
      </c>
      <c r="N86" s="73">
        <v>128.19999999999999</v>
      </c>
      <c r="O86" s="73">
        <v>127.8</v>
      </c>
      <c r="P86" s="73">
        <v>128.19999999999999</v>
      </c>
      <c r="Q86" s="73">
        <v>126.5</v>
      </c>
      <c r="R86" s="73">
        <v>126.9</v>
      </c>
      <c r="S86" s="73">
        <v>127.5</v>
      </c>
      <c r="T86" s="73">
        <v>128</v>
      </c>
      <c r="U86" s="94">
        <v>127</v>
      </c>
      <c r="V86" s="94">
        <v>129.5</v>
      </c>
      <c r="W86" s="94">
        <v>129</v>
      </c>
      <c r="X86" s="94">
        <v>130.5</v>
      </c>
      <c r="Y86" s="94">
        <v>128.5</v>
      </c>
      <c r="Z86" s="94">
        <v>128</v>
      </c>
      <c r="AA86" s="94">
        <v>129</v>
      </c>
      <c r="AB86" s="73">
        <v>130.19999999999999</v>
      </c>
      <c r="AC86" s="73">
        <v>129.80000000000001</v>
      </c>
      <c r="AD86" s="73">
        <v>128.69999999999999</v>
      </c>
      <c r="AE86" s="73">
        <v>130.4</v>
      </c>
      <c r="AF86" s="73">
        <v>130.6</v>
      </c>
      <c r="AG86" s="89"/>
      <c r="AH86" s="21">
        <f t="shared" si="22"/>
        <v>131.6</v>
      </c>
      <c r="AI86" s="20">
        <f t="shared" si="23"/>
        <v>126.5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128.19999999999999</v>
      </c>
      <c r="C87" s="73">
        <v>128.80000000000001</v>
      </c>
      <c r="D87" s="73">
        <v>129.19999999999999</v>
      </c>
      <c r="E87" s="73">
        <v>127.3</v>
      </c>
      <c r="F87" s="73">
        <v>130.6</v>
      </c>
      <c r="G87" s="73">
        <v>130.19999999999999</v>
      </c>
      <c r="H87" s="73">
        <v>129.4</v>
      </c>
      <c r="I87" s="73">
        <v>129</v>
      </c>
      <c r="J87" s="73">
        <v>130.69999999999999</v>
      </c>
      <c r="K87" s="73">
        <v>130.5</v>
      </c>
      <c r="L87" s="73">
        <v>129.4</v>
      </c>
      <c r="M87" s="73">
        <v>129.80000000000001</v>
      </c>
      <c r="N87" s="73">
        <v>128.9</v>
      </c>
      <c r="O87" s="73">
        <v>127.3</v>
      </c>
      <c r="P87" s="73">
        <v>128.1</v>
      </c>
      <c r="Q87" s="73">
        <v>129.6</v>
      </c>
      <c r="R87" s="73">
        <v>128.5</v>
      </c>
      <c r="S87" s="73">
        <v>126.4</v>
      </c>
      <c r="T87" s="73">
        <v>127</v>
      </c>
      <c r="U87" s="73">
        <v>129.4</v>
      </c>
      <c r="V87" s="73">
        <v>131</v>
      </c>
      <c r="W87" s="73">
        <v>126</v>
      </c>
      <c r="X87" s="94">
        <v>128</v>
      </c>
      <c r="Y87" s="94">
        <v>127</v>
      </c>
      <c r="Z87" s="94">
        <v>124</v>
      </c>
      <c r="AA87" s="94">
        <v>125</v>
      </c>
      <c r="AB87" s="73">
        <v>128.80000000000001</v>
      </c>
      <c r="AC87" s="73">
        <v>129</v>
      </c>
      <c r="AD87" s="73">
        <v>128.80000000000001</v>
      </c>
      <c r="AE87" s="73">
        <v>130</v>
      </c>
      <c r="AF87" s="73">
        <v>127.6</v>
      </c>
      <c r="AG87" s="89"/>
      <c r="AH87" s="21">
        <f t="shared" si="22"/>
        <v>131</v>
      </c>
      <c r="AI87" s="20">
        <f t="shared" si="23"/>
        <v>124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130.4</v>
      </c>
      <c r="C88" s="73">
        <v>130.9</v>
      </c>
      <c r="D88" s="73">
        <v>130.30000000000001</v>
      </c>
      <c r="E88" s="73">
        <v>129.4</v>
      </c>
      <c r="F88" s="73">
        <v>131.4</v>
      </c>
      <c r="G88" s="73">
        <v>130.6</v>
      </c>
      <c r="H88" s="73">
        <v>129.30000000000001</v>
      </c>
      <c r="I88" s="73">
        <v>132.30000000000001</v>
      </c>
      <c r="J88" s="73">
        <v>134</v>
      </c>
      <c r="K88" s="73">
        <v>132.6</v>
      </c>
      <c r="L88" s="73">
        <v>129.4</v>
      </c>
      <c r="M88" s="73">
        <v>128</v>
      </c>
      <c r="N88" s="73">
        <v>127.4</v>
      </c>
      <c r="O88" s="73">
        <v>128.4</v>
      </c>
      <c r="P88" s="73">
        <v>126.5</v>
      </c>
      <c r="Q88" s="73">
        <v>128.80000000000001</v>
      </c>
      <c r="R88" s="73">
        <v>127.7</v>
      </c>
      <c r="S88" s="73">
        <v>126.7</v>
      </c>
      <c r="T88" s="73">
        <v>126.6</v>
      </c>
      <c r="U88" s="73">
        <v>129.5</v>
      </c>
      <c r="V88" s="73">
        <v>131.9</v>
      </c>
      <c r="W88" s="73">
        <v>127</v>
      </c>
      <c r="X88" s="94">
        <v>129.5</v>
      </c>
      <c r="Y88" s="94">
        <v>128</v>
      </c>
      <c r="Z88" s="94">
        <v>125</v>
      </c>
      <c r="AA88" s="94">
        <v>126</v>
      </c>
      <c r="AB88" s="73">
        <v>131.30000000000001</v>
      </c>
      <c r="AC88" s="73">
        <v>131.69999999999999</v>
      </c>
      <c r="AD88" s="73">
        <v>131.69999999999999</v>
      </c>
      <c r="AE88" s="73">
        <v>133.30000000000001</v>
      </c>
      <c r="AF88" s="73">
        <v>132.4</v>
      </c>
      <c r="AG88" s="89"/>
      <c r="AH88" s="21">
        <f t="shared" si="22"/>
        <v>134</v>
      </c>
      <c r="AI88" s="20">
        <f t="shared" si="23"/>
        <v>125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131.69999999999999</v>
      </c>
      <c r="C89" s="66">
        <v>132.80000000000001</v>
      </c>
      <c r="D89" s="66">
        <v>136.69999999999999</v>
      </c>
      <c r="E89" s="66">
        <v>135.80000000000001</v>
      </c>
      <c r="F89" s="66">
        <v>132.6</v>
      </c>
      <c r="G89" s="66">
        <v>131.6</v>
      </c>
      <c r="H89" s="66">
        <v>130.9</v>
      </c>
      <c r="I89" s="66">
        <v>131</v>
      </c>
      <c r="J89" s="66">
        <v>129</v>
      </c>
      <c r="K89" s="66">
        <v>132.80000000000001</v>
      </c>
      <c r="L89" s="66">
        <v>134.30000000000001</v>
      </c>
      <c r="M89" s="66">
        <v>133.19999999999999</v>
      </c>
      <c r="N89" s="66">
        <v>131.5</v>
      </c>
      <c r="O89" s="66">
        <v>132.4</v>
      </c>
      <c r="P89" s="66">
        <v>132.4</v>
      </c>
      <c r="Q89" s="66">
        <v>126.7</v>
      </c>
      <c r="R89" s="66">
        <v>129.80000000000001</v>
      </c>
      <c r="S89" s="66">
        <v>130.19999999999999</v>
      </c>
      <c r="T89" s="66">
        <v>134</v>
      </c>
      <c r="U89" s="66">
        <v>131.19999999999999</v>
      </c>
      <c r="V89" s="66">
        <v>134.5</v>
      </c>
      <c r="W89" s="66">
        <v>130</v>
      </c>
      <c r="X89" s="94">
        <v>136.5</v>
      </c>
      <c r="Y89" s="94">
        <v>130</v>
      </c>
      <c r="Z89" s="94">
        <v>135</v>
      </c>
      <c r="AA89" s="94">
        <v>133</v>
      </c>
      <c r="AB89" s="66">
        <v>133</v>
      </c>
      <c r="AC89" s="66">
        <v>134.9</v>
      </c>
      <c r="AD89" s="66">
        <v>132.1</v>
      </c>
      <c r="AE89" s="66">
        <v>135.19999999999999</v>
      </c>
      <c r="AF89" s="66">
        <v>135.30000000000001</v>
      </c>
      <c r="AG89" s="91"/>
      <c r="AH89" s="21">
        <f t="shared" si="22"/>
        <v>136.69999999999999</v>
      </c>
      <c r="AI89" s="20">
        <f t="shared" si="23"/>
        <v>126.7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135.30000000000001</v>
      </c>
      <c r="C90" s="73">
        <v>136.19999999999999</v>
      </c>
      <c r="D90" s="73">
        <v>135.80000000000001</v>
      </c>
      <c r="E90" s="73">
        <v>134</v>
      </c>
      <c r="F90" s="73">
        <v>132.80000000000001</v>
      </c>
      <c r="G90" s="73">
        <v>132.80000000000001</v>
      </c>
      <c r="H90" s="73">
        <v>131.80000000000001</v>
      </c>
      <c r="I90" s="73">
        <v>128.4</v>
      </c>
      <c r="J90" s="73">
        <v>123.5</v>
      </c>
      <c r="K90" s="73">
        <v>132.6</v>
      </c>
      <c r="L90" s="73">
        <v>133.5</v>
      </c>
      <c r="M90" s="73">
        <v>127.8</v>
      </c>
      <c r="N90" s="73">
        <v>127</v>
      </c>
      <c r="O90" s="73">
        <v>129.1</v>
      </c>
      <c r="P90" s="73">
        <v>129.9</v>
      </c>
      <c r="Q90" s="73">
        <v>131.6</v>
      </c>
      <c r="R90" s="73">
        <v>129</v>
      </c>
      <c r="S90" s="73">
        <v>132</v>
      </c>
      <c r="T90" s="73">
        <v>136</v>
      </c>
      <c r="U90" s="73">
        <v>133</v>
      </c>
      <c r="V90" s="73">
        <v>135</v>
      </c>
      <c r="W90" s="73">
        <v>125</v>
      </c>
      <c r="X90" s="94">
        <v>131</v>
      </c>
      <c r="Y90" s="94">
        <v>134</v>
      </c>
      <c r="Z90" s="94">
        <v>133</v>
      </c>
      <c r="AA90" s="94">
        <v>135</v>
      </c>
      <c r="AB90" s="73">
        <v>133.4</v>
      </c>
      <c r="AC90" s="73">
        <v>134.5</v>
      </c>
      <c r="AD90" s="73">
        <v>132.30000000000001</v>
      </c>
      <c r="AE90" s="73">
        <v>137.5</v>
      </c>
      <c r="AF90" s="73">
        <v>137.9</v>
      </c>
      <c r="AG90" s="89"/>
      <c r="AH90" s="21">
        <f t="shared" si="22"/>
        <v>137.9</v>
      </c>
      <c r="AI90" s="20">
        <f t="shared" si="23"/>
        <v>123.5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66.599999999999994</v>
      </c>
      <c r="C91" s="87">
        <v>65.900000000000006</v>
      </c>
      <c r="D91" s="87">
        <v>66.599999999999994</v>
      </c>
      <c r="E91" s="87">
        <v>66.5</v>
      </c>
      <c r="F91" s="87">
        <v>66.5</v>
      </c>
      <c r="G91" s="87">
        <v>66.099999999999994</v>
      </c>
      <c r="H91" s="87">
        <v>65.7</v>
      </c>
      <c r="I91" s="87">
        <v>65.400000000000006</v>
      </c>
      <c r="J91" s="87">
        <v>64.900000000000006</v>
      </c>
      <c r="K91" s="87">
        <v>65.599999999999994</v>
      </c>
      <c r="L91" s="87">
        <v>65</v>
      </c>
      <c r="M91" s="87">
        <v>64.900000000000006</v>
      </c>
      <c r="N91" s="87">
        <v>64.5</v>
      </c>
      <c r="O91" s="87">
        <v>64.3</v>
      </c>
      <c r="P91" s="87">
        <v>64.5</v>
      </c>
      <c r="Q91" s="87">
        <v>63.5</v>
      </c>
      <c r="R91" s="87">
        <v>63.8</v>
      </c>
      <c r="S91" s="87">
        <v>64.099999999999994</v>
      </c>
      <c r="T91" s="87">
        <v>64.3</v>
      </c>
      <c r="U91" s="87">
        <v>63.7</v>
      </c>
      <c r="V91" s="87">
        <v>65.099999999999994</v>
      </c>
      <c r="W91" s="87">
        <v>65</v>
      </c>
      <c r="X91" s="87">
        <v>65.7</v>
      </c>
      <c r="Y91" s="87">
        <v>64.7</v>
      </c>
      <c r="Z91" s="87">
        <v>64</v>
      </c>
      <c r="AA91" s="87">
        <v>65</v>
      </c>
      <c r="AB91" s="87">
        <v>65.7</v>
      </c>
      <c r="AC91" s="87">
        <v>65.900000000000006</v>
      </c>
      <c r="AD91" s="87">
        <v>65.3</v>
      </c>
      <c r="AE91" s="87">
        <v>66</v>
      </c>
      <c r="AF91" s="87">
        <v>65.8</v>
      </c>
      <c r="AG91" s="86"/>
      <c r="AH91" s="21">
        <f t="shared" si="22"/>
        <v>66.599999999999994</v>
      </c>
      <c r="AI91" s="20">
        <f t="shared" si="23"/>
        <v>63.5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36">SUM(B15,B18,B21:B22,B42,B44:B45,B47,B49,B94:B97,B103,B109,B115,B124,B126,B138,B145,B148:B149,B156,B158,B160,B164:B166,B168:B170,B175,B181:B182,B184:B186,B194,B199)</f>
        <v>190.93999999999997</v>
      </c>
      <c r="C93" s="82">
        <f t="shared" si="36"/>
        <v>175.63999999999996</v>
      </c>
      <c r="D93" s="82">
        <f t="shared" si="36"/>
        <v>179.93999999999997</v>
      </c>
      <c r="E93" s="82">
        <f t="shared" si="36"/>
        <v>171.03999999999996</v>
      </c>
      <c r="F93" s="82">
        <f t="shared" si="36"/>
        <v>174.23999999999995</v>
      </c>
      <c r="G93" s="80">
        <f t="shared" si="36"/>
        <v>191.33999999999995</v>
      </c>
      <c r="H93" s="80">
        <f t="shared" si="36"/>
        <v>220.64</v>
      </c>
      <c r="I93" s="80">
        <f t="shared" si="36"/>
        <v>256.93999999999994</v>
      </c>
      <c r="J93" s="80">
        <f t="shared" si="36"/>
        <v>290.64</v>
      </c>
      <c r="K93" s="80">
        <f t="shared" si="36"/>
        <v>309.64</v>
      </c>
      <c r="L93" s="80">
        <f t="shared" si="36"/>
        <v>335.14000000000004</v>
      </c>
      <c r="M93" s="80">
        <f t="shared" si="36"/>
        <v>335.94000000000005</v>
      </c>
      <c r="N93" s="80">
        <f t="shared" si="36"/>
        <v>327.14</v>
      </c>
      <c r="O93" s="80">
        <f t="shared" si="36"/>
        <v>330.34000000000003</v>
      </c>
      <c r="P93" s="80">
        <f t="shared" si="36"/>
        <v>352.54</v>
      </c>
      <c r="Q93" s="80">
        <f t="shared" si="36"/>
        <v>307.24</v>
      </c>
      <c r="R93" s="80">
        <f t="shared" si="36"/>
        <v>309.64000000000004</v>
      </c>
      <c r="S93" s="80">
        <f t="shared" si="36"/>
        <v>311.04000000000002</v>
      </c>
      <c r="T93" s="80">
        <f t="shared" si="36"/>
        <v>311.74</v>
      </c>
      <c r="U93" s="80">
        <f t="shared" si="36"/>
        <v>312.64</v>
      </c>
      <c r="V93" s="80">
        <f t="shared" si="36"/>
        <v>312.04000000000002</v>
      </c>
      <c r="W93" s="80">
        <f t="shared" si="36"/>
        <v>317.04000000000002</v>
      </c>
      <c r="X93" s="80">
        <f t="shared" si="36"/>
        <v>328.64</v>
      </c>
      <c r="Y93" s="80">
        <f t="shared" si="36"/>
        <v>381.04</v>
      </c>
      <c r="Z93" s="80">
        <f t="shared" si="36"/>
        <v>398.04</v>
      </c>
      <c r="AA93" s="80">
        <f t="shared" si="36"/>
        <v>383.04</v>
      </c>
      <c r="AB93" s="80">
        <f t="shared" si="36"/>
        <v>346.84000000000003</v>
      </c>
      <c r="AC93" s="80">
        <f t="shared" si="36"/>
        <v>329.24</v>
      </c>
      <c r="AD93" s="80">
        <f t="shared" si="36"/>
        <v>307.24</v>
      </c>
      <c r="AE93" s="80">
        <f t="shared" si="36"/>
        <v>258.74000000000007</v>
      </c>
      <c r="AF93" s="80">
        <f t="shared" si="36"/>
        <v>210.23999999999995</v>
      </c>
      <c r="AG93" s="79"/>
      <c r="AH93" s="21">
        <f>MAX(C93:AF93)</f>
        <v>398.04</v>
      </c>
      <c r="AI93" s="20">
        <f>MIN(C93:AF93)</f>
        <v>171.03999999999996</v>
      </c>
    </row>
    <row r="94" spans="1:88" x14ac:dyDescent="0.25">
      <c r="A94" s="48" t="s">
        <v>122</v>
      </c>
      <c r="B94" s="75">
        <v>-5.7</v>
      </c>
      <c r="C94" s="77">
        <v>-11</v>
      </c>
      <c r="D94" s="77">
        <v>4.9000000000000004</v>
      </c>
      <c r="E94" s="77">
        <v>-6.3</v>
      </c>
      <c r="F94" s="77">
        <v>-23.3</v>
      </c>
      <c r="G94" s="76">
        <v>-19.899999999999999</v>
      </c>
      <c r="H94" s="76">
        <v>-17.7</v>
      </c>
      <c r="I94" s="76">
        <v>-9.3000000000000007</v>
      </c>
      <c r="J94" s="76">
        <v>-16.2</v>
      </c>
      <c r="K94" s="76">
        <v>-11.4</v>
      </c>
      <c r="L94" s="76">
        <v>20.3</v>
      </c>
      <c r="M94" s="75">
        <v>7.8</v>
      </c>
      <c r="N94" s="76">
        <v>1.2</v>
      </c>
      <c r="O94" s="76">
        <v>13.3</v>
      </c>
      <c r="P94" s="76">
        <v>35.5</v>
      </c>
      <c r="Q94" s="76">
        <v>-25.2</v>
      </c>
      <c r="R94" s="76">
        <v>-18.100000000000001</v>
      </c>
      <c r="S94" s="76">
        <v>-9.5</v>
      </c>
      <c r="T94" s="76">
        <v>-1</v>
      </c>
      <c r="U94" s="75">
        <v>1</v>
      </c>
      <c r="V94" s="75">
        <v>0</v>
      </c>
      <c r="W94" s="75">
        <v>2</v>
      </c>
      <c r="X94" s="76">
        <v>8</v>
      </c>
      <c r="Y94" s="76">
        <v>23</v>
      </c>
      <c r="Z94" s="76">
        <v>24</v>
      </c>
      <c r="AA94" s="76">
        <v>6</v>
      </c>
      <c r="AB94" s="75">
        <v>12.9</v>
      </c>
      <c r="AC94" s="75">
        <v>4.4000000000000004</v>
      </c>
      <c r="AD94" s="75">
        <v>2.1</v>
      </c>
      <c r="AE94" s="75">
        <v>0.9</v>
      </c>
      <c r="AF94" s="75">
        <v>-9.5</v>
      </c>
      <c r="AG94" s="3">
        <v>75</v>
      </c>
      <c r="AH94" s="21">
        <f t="shared" ref="AH94:AH100" si="37">IF(ABS(MAX(C94:AF94))&gt;ABS(MIN(C94:AF94)),MAX(C94:AF94),MIN(C94:AF94))</f>
        <v>35.5</v>
      </c>
      <c r="AI94" s="64">
        <f t="shared" ref="AI94:AI100" si="38">INDEX($C$9:$AF$9,1,MATCH(AH94,C94:AF94,0))</f>
        <v>0.45833333333333298</v>
      </c>
    </row>
    <row r="95" spans="1:88" x14ac:dyDescent="0.25">
      <c r="A95" s="45" t="s">
        <v>121</v>
      </c>
      <c r="B95" s="73">
        <f>-27.4-39.4</f>
        <v>-66.8</v>
      </c>
      <c r="C95" s="67">
        <f>-30.5-42.8</f>
        <v>-73.3</v>
      </c>
      <c r="D95" s="67">
        <f>-30-42.7</f>
        <v>-72.7</v>
      </c>
      <c r="E95" s="67">
        <v>-77</v>
      </c>
      <c r="F95" s="67">
        <v>-66</v>
      </c>
      <c r="G95" s="67">
        <v>-60</v>
      </c>
      <c r="H95" s="67">
        <v>-45</v>
      </c>
      <c r="I95" s="67">
        <v>-30</v>
      </c>
      <c r="J95" s="67">
        <v>0</v>
      </c>
      <c r="K95" s="67">
        <v>12</v>
      </c>
      <c r="L95" s="67">
        <f>0.5-6.6</f>
        <v>-6.1</v>
      </c>
      <c r="M95" s="67">
        <v>13</v>
      </c>
      <c r="N95" s="67">
        <v>12</v>
      </c>
      <c r="O95" s="67">
        <v>10</v>
      </c>
      <c r="P95" s="67">
        <v>7.2</v>
      </c>
      <c r="Q95" s="67">
        <v>7.9</v>
      </c>
      <c r="R95" s="67">
        <v>8.3000000000000007</v>
      </c>
      <c r="S95" s="67">
        <v>5</v>
      </c>
      <c r="T95" s="67">
        <v>14</v>
      </c>
      <c r="U95" s="67">
        <v>12.6</v>
      </c>
      <c r="V95" s="67">
        <v>11</v>
      </c>
      <c r="W95" s="67">
        <v>13</v>
      </c>
      <c r="X95" s="67">
        <v>7.4</v>
      </c>
      <c r="Y95" s="67">
        <v>17</v>
      </c>
      <c r="Z95" s="67">
        <v>40</v>
      </c>
      <c r="AA95" s="67">
        <v>35</v>
      </c>
      <c r="AB95" s="73">
        <v>15.5</v>
      </c>
      <c r="AC95" s="73">
        <v>14</v>
      </c>
      <c r="AD95" s="73">
        <v>-8.3000000000000007</v>
      </c>
      <c r="AE95" s="73">
        <v>-32.9</v>
      </c>
      <c r="AF95" s="73">
        <v>-46</v>
      </c>
      <c r="AG95" s="3">
        <v>240</v>
      </c>
      <c r="AH95" s="21">
        <f t="shared" si="37"/>
        <v>-77</v>
      </c>
      <c r="AI95" s="64">
        <f t="shared" si="38"/>
        <v>0.125</v>
      </c>
    </row>
    <row r="96" spans="1:88" x14ac:dyDescent="0.25">
      <c r="A96" s="45" t="s">
        <v>120</v>
      </c>
      <c r="B96" s="73">
        <v>16.2</v>
      </c>
      <c r="C96" s="67">
        <v>13.5</v>
      </c>
      <c r="D96" s="67">
        <v>13.5</v>
      </c>
      <c r="E96" s="67">
        <v>3.7</v>
      </c>
      <c r="F96" s="67">
        <v>15.8</v>
      </c>
      <c r="G96" s="67">
        <v>12.8</v>
      </c>
      <c r="H96" s="67">
        <v>19.899999999999999</v>
      </c>
      <c r="I96" s="67">
        <v>29.5</v>
      </c>
      <c r="J96" s="67">
        <v>22.6</v>
      </c>
      <c r="K96" s="67">
        <v>29.1</v>
      </c>
      <c r="L96" s="67">
        <v>28.1</v>
      </c>
      <c r="M96" s="67">
        <v>20.5</v>
      </c>
      <c r="N96" s="67">
        <v>30.6</v>
      </c>
      <c r="O96" s="67">
        <v>23.7</v>
      </c>
      <c r="P96" s="67">
        <v>28.5</v>
      </c>
      <c r="Q96" s="67">
        <v>33.9</v>
      </c>
      <c r="R96" s="67">
        <v>33</v>
      </c>
      <c r="S96" s="67">
        <v>29</v>
      </c>
      <c r="T96" s="67">
        <v>32</v>
      </c>
      <c r="U96" s="67">
        <v>31</v>
      </c>
      <c r="V96" s="67">
        <v>30</v>
      </c>
      <c r="W96" s="67">
        <v>28</v>
      </c>
      <c r="X96" s="67">
        <v>27.5</v>
      </c>
      <c r="Y96" s="67">
        <v>36</v>
      </c>
      <c r="Z96" s="67">
        <v>43</v>
      </c>
      <c r="AA96" s="67">
        <v>41</v>
      </c>
      <c r="AB96" s="73">
        <v>36.1</v>
      </c>
      <c r="AC96" s="73">
        <v>39.799999999999997</v>
      </c>
      <c r="AD96" s="73">
        <v>34.200000000000003</v>
      </c>
      <c r="AE96" s="73">
        <v>21.4</v>
      </c>
      <c r="AF96" s="73">
        <v>18.600000000000001</v>
      </c>
      <c r="AG96" s="3">
        <v>60</v>
      </c>
      <c r="AH96" s="21">
        <f t="shared" si="37"/>
        <v>43</v>
      </c>
      <c r="AI96" s="64">
        <f t="shared" si="38"/>
        <v>0.79166666666666663</v>
      </c>
    </row>
    <row r="97" spans="1:37" x14ac:dyDescent="0.25">
      <c r="A97" s="41" t="s">
        <v>119</v>
      </c>
      <c r="B97" s="69">
        <v>57.5</v>
      </c>
      <c r="C97" s="70">
        <v>56.3</v>
      </c>
      <c r="D97" s="70">
        <v>44.8</v>
      </c>
      <c r="E97" s="70">
        <v>60.5</v>
      </c>
      <c r="F97" s="70">
        <v>57.6</v>
      </c>
      <c r="G97" s="70">
        <v>68.3</v>
      </c>
      <c r="H97" s="70">
        <v>73.3</v>
      </c>
      <c r="I97" s="70">
        <v>76.599999999999994</v>
      </c>
      <c r="J97" s="70">
        <v>94.1</v>
      </c>
      <c r="K97" s="70">
        <v>90.1</v>
      </c>
      <c r="L97" s="70">
        <v>102.8</v>
      </c>
      <c r="M97" s="70">
        <v>104.6</v>
      </c>
      <c r="N97" s="70">
        <v>93.3</v>
      </c>
      <c r="O97" s="70">
        <v>93.3</v>
      </c>
      <c r="P97" s="70">
        <v>80.3</v>
      </c>
      <c r="Q97" s="70">
        <v>100.9</v>
      </c>
      <c r="R97" s="70">
        <v>96.7</v>
      </c>
      <c r="S97" s="70">
        <v>97</v>
      </c>
      <c r="T97" s="70">
        <v>77</v>
      </c>
      <c r="U97" s="70">
        <v>78</v>
      </c>
      <c r="V97" s="70">
        <v>81</v>
      </c>
      <c r="W97" s="70">
        <v>84</v>
      </c>
      <c r="X97" s="70">
        <v>96</v>
      </c>
      <c r="Y97" s="70">
        <v>115</v>
      </c>
      <c r="Z97" s="70">
        <v>101</v>
      </c>
      <c r="AA97" s="70">
        <v>111</v>
      </c>
      <c r="AB97" s="69">
        <v>114.6</v>
      </c>
      <c r="AC97" s="69">
        <v>103.4</v>
      </c>
      <c r="AD97" s="69">
        <v>111.4</v>
      </c>
      <c r="AE97" s="69">
        <v>92.9</v>
      </c>
      <c r="AF97" s="69">
        <v>79.900000000000006</v>
      </c>
      <c r="AG97" s="72">
        <v>120</v>
      </c>
      <c r="AH97" s="21">
        <f t="shared" si="37"/>
        <v>115</v>
      </c>
      <c r="AI97" s="64">
        <f t="shared" si="38"/>
        <v>0.77083333333333337</v>
      </c>
    </row>
    <row r="98" spans="1:37" x14ac:dyDescent="0.25">
      <c r="A98" s="41" t="s">
        <v>118</v>
      </c>
      <c r="B98" s="69">
        <v>64.900000000000006</v>
      </c>
      <c r="C98" s="70">
        <v>68.3</v>
      </c>
      <c r="D98" s="70">
        <v>57</v>
      </c>
      <c r="E98" s="70">
        <v>72.900000000000006</v>
      </c>
      <c r="F98" s="70">
        <v>72.3</v>
      </c>
      <c r="G98" s="70">
        <v>78.5</v>
      </c>
      <c r="H98" s="70">
        <v>81.5</v>
      </c>
      <c r="I98" s="70">
        <v>75.599999999999994</v>
      </c>
      <c r="J98" s="70">
        <v>86.7</v>
      </c>
      <c r="K98" s="70">
        <v>87.8</v>
      </c>
      <c r="L98" s="70">
        <v>47</v>
      </c>
      <c r="M98" s="70">
        <v>94</v>
      </c>
      <c r="N98" s="70">
        <v>80.2</v>
      </c>
      <c r="O98" s="70">
        <v>87</v>
      </c>
      <c r="P98" s="70">
        <v>84.2</v>
      </c>
      <c r="Q98" s="70">
        <v>96.9</v>
      </c>
      <c r="R98" s="70">
        <v>91</v>
      </c>
      <c r="S98" s="70">
        <v>93</v>
      </c>
      <c r="T98" s="70">
        <v>89</v>
      </c>
      <c r="U98" s="70">
        <v>84</v>
      </c>
      <c r="V98" s="70">
        <v>82</v>
      </c>
      <c r="W98" s="70">
        <v>81</v>
      </c>
      <c r="X98" s="70">
        <v>73</v>
      </c>
      <c r="Y98" s="70">
        <v>86</v>
      </c>
      <c r="Z98" s="70">
        <v>101</v>
      </c>
      <c r="AA98" s="70">
        <v>105</v>
      </c>
      <c r="AB98" s="69">
        <v>95.6</v>
      </c>
      <c r="AC98" s="69">
        <v>105.5</v>
      </c>
      <c r="AD98" s="69">
        <v>96.7</v>
      </c>
      <c r="AE98" s="69">
        <v>89.3</v>
      </c>
      <c r="AF98" s="69">
        <v>78.400000000000006</v>
      </c>
      <c r="AG98" s="72"/>
      <c r="AH98" s="21">
        <f t="shared" si="37"/>
        <v>105.5</v>
      </c>
      <c r="AI98" s="64">
        <f t="shared" si="38"/>
        <v>0.85416666666666663</v>
      </c>
    </row>
    <row r="99" spans="1:37" x14ac:dyDescent="0.25">
      <c r="A99" s="41" t="s">
        <v>117</v>
      </c>
      <c r="B99" s="69">
        <v>87.9</v>
      </c>
      <c r="C99" s="70">
        <v>90.8</v>
      </c>
      <c r="D99" s="70">
        <v>87.3</v>
      </c>
      <c r="E99" s="70">
        <v>83.5</v>
      </c>
      <c r="F99" s="70">
        <v>83.4</v>
      </c>
      <c r="G99" s="70">
        <v>71.900000000000006</v>
      </c>
      <c r="H99" s="70">
        <v>68</v>
      </c>
      <c r="I99" s="70">
        <v>58</v>
      </c>
      <c r="J99" s="70">
        <v>65.7</v>
      </c>
      <c r="K99" s="70">
        <v>62.4</v>
      </c>
      <c r="L99" s="70">
        <v>20.3</v>
      </c>
      <c r="M99" s="70">
        <v>43.6</v>
      </c>
      <c r="N99" s="70">
        <v>55.8</v>
      </c>
      <c r="O99" s="70">
        <v>41.9</v>
      </c>
      <c r="P99" s="70">
        <v>45.3</v>
      </c>
      <c r="Q99" s="70">
        <v>79.3</v>
      </c>
      <c r="R99" s="70">
        <v>74</v>
      </c>
      <c r="S99" s="70">
        <v>70</v>
      </c>
      <c r="T99" s="70">
        <v>58</v>
      </c>
      <c r="U99" s="70">
        <v>57</v>
      </c>
      <c r="V99" s="70">
        <v>64</v>
      </c>
      <c r="W99" s="70">
        <v>65</v>
      </c>
      <c r="X99" s="70">
        <v>48</v>
      </c>
      <c r="Y99" s="70">
        <v>52</v>
      </c>
      <c r="Z99" s="70">
        <v>51</v>
      </c>
      <c r="AA99" s="70">
        <v>71</v>
      </c>
      <c r="AB99" s="69">
        <v>68.7</v>
      </c>
      <c r="AC99" s="69">
        <v>82.6</v>
      </c>
      <c r="AD99" s="69">
        <v>84</v>
      </c>
      <c r="AE99" s="69">
        <v>81.2</v>
      </c>
      <c r="AF99" s="69">
        <v>84.3</v>
      </c>
      <c r="AG99" s="65"/>
      <c r="AH99" s="21">
        <f t="shared" si="37"/>
        <v>90.8</v>
      </c>
      <c r="AI99" s="64">
        <f t="shared" si="38"/>
        <v>4.1666666666666664E-2</v>
      </c>
    </row>
    <row r="100" spans="1:37" ht="15.75" thickBot="1" x14ac:dyDescent="0.3">
      <c r="A100" s="68" t="s">
        <v>116</v>
      </c>
      <c r="B100" s="66">
        <v>84.5</v>
      </c>
      <c r="C100" s="67">
        <v>85.2</v>
      </c>
      <c r="D100" s="67">
        <v>82.9</v>
      </c>
      <c r="E100" s="67">
        <v>82</v>
      </c>
      <c r="F100" s="67">
        <v>72.599999999999994</v>
      </c>
      <c r="G100" s="67">
        <v>78.400000000000006</v>
      </c>
      <c r="H100" s="67">
        <v>77.5</v>
      </c>
      <c r="I100" s="67">
        <v>85</v>
      </c>
      <c r="J100" s="67">
        <v>25</v>
      </c>
      <c r="K100" s="67">
        <v>28</v>
      </c>
      <c r="L100" s="67">
        <v>34.5</v>
      </c>
      <c r="M100" s="67">
        <v>30.3</v>
      </c>
      <c r="N100" s="67">
        <v>33</v>
      </c>
      <c r="O100" s="67">
        <v>29.8</v>
      </c>
      <c r="P100" s="67">
        <v>33.799999999999997</v>
      </c>
      <c r="Q100" s="67">
        <v>37.5</v>
      </c>
      <c r="R100" s="67">
        <v>37</v>
      </c>
      <c r="S100" s="67">
        <v>45</v>
      </c>
      <c r="T100" s="67">
        <v>47</v>
      </c>
      <c r="U100" s="67">
        <v>40</v>
      </c>
      <c r="V100" s="67">
        <v>29</v>
      </c>
      <c r="W100" s="67">
        <v>99</v>
      </c>
      <c r="X100" s="67">
        <v>97</v>
      </c>
      <c r="Y100" s="67">
        <v>106</v>
      </c>
      <c r="Z100" s="67">
        <v>115</v>
      </c>
      <c r="AA100" s="67">
        <v>111</v>
      </c>
      <c r="AB100" s="66">
        <v>103.9</v>
      </c>
      <c r="AC100" s="66">
        <v>101.5</v>
      </c>
      <c r="AD100" s="66">
        <v>97.4</v>
      </c>
      <c r="AE100" s="66">
        <v>95.9</v>
      </c>
      <c r="AF100" s="66">
        <v>88.9</v>
      </c>
      <c r="AG100" s="65"/>
      <c r="AH100" s="21">
        <f t="shared" si="37"/>
        <v>115</v>
      </c>
      <c r="AI100" s="64">
        <f t="shared" si="38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39">AF102</f>
        <v>9.9</v>
      </c>
      <c r="C102" s="54">
        <v>9.9</v>
      </c>
      <c r="D102" s="58">
        <f t="shared" ref="D102:S107" si="40">C102</f>
        <v>9.9</v>
      </c>
      <c r="E102" s="58">
        <f t="shared" si="40"/>
        <v>9.9</v>
      </c>
      <c r="F102" s="58">
        <f t="shared" si="40"/>
        <v>9.9</v>
      </c>
      <c r="G102" s="58">
        <f t="shared" si="40"/>
        <v>9.9</v>
      </c>
      <c r="H102" s="58">
        <f t="shared" si="40"/>
        <v>9.9</v>
      </c>
      <c r="I102" s="58">
        <f t="shared" si="40"/>
        <v>9.9</v>
      </c>
      <c r="J102" s="58">
        <f t="shared" si="40"/>
        <v>9.9</v>
      </c>
      <c r="K102" s="58">
        <f t="shared" si="40"/>
        <v>9.9</v>
      </c>
      <c r="L102" s="58">
        <f t="shared" si="40"/>
        <v>9.9</v>
      </c>
      <c r="M102" s="58">
        <f t="shared" si="40"/>
        <v>9.9</v>
      </c>
      <c r="N102" s="58">
        <f t="shared" si="40"/>
        <v>9.9</v>
      </c>
      <c r="O102" s="58">
        <f t="shared" si="40"/>
        <v>9.9</v>
      </c>
      <c r="P102" s="58">
        <f t="shared" si="40"/>
        <v>9.9</v>
      </c>
      <c r="Q102" s="58">
        <f t="shared" si="40"/>
        <v>9.9</v>
      </c>
      <c r="R102" s="58">
        <f t="shared" si="40"/>
        <v>9.9</v>
      </c>
      <c r="S102" s="58">
        <f t="shared" si="40"/>
        <v>9.9</v>
      </c>
      <c r="T102" s="58">
        <f t="shared" ref="T102:AF107" si="41">S102</f>
        <v>9.9</v>
      </c>
      <c r="U102" s="58">
        <f t="shared" si="41"/>
        <v>9.9</v>
      </c>
      <c r="V102" s="58">
        <f t="shared" si="41"/>
        <v>9.9</v>
      </c>
      <c r="W102" s="58">
        <f t="shared" si="41"/>
        <v>9.9</v>
      </c>
      <c r="X102" s="58">
        <f t="shared" si="41"/>
        <v>9.9</v>
      </c>
      <c r="Y102" s="58">
        <f t="shared" si="41"/>
        <v>9.9</v>
      </c>
      <c r="Z102" s="58">
        <f t="shared" si="41"/>
        <v>9.9</v>
      </c>
      <c r="AA102" s="58">
        <f t="shared" si="41"/>
        <v>9.9</v>
      </c>
      <c r="AB102" s="58">
        <f t="shared" si="41"/>
        <v>9.9</v>
      </c>
      <c r="AC102" s="58">
        <f t="shared" si="41"/>
        <v>9.9</v>
      </c>
      <c r="AD102" s="58">
        <f t="shared" si="41"/>
        <v>9.9</v>
      </c>
      <c r="AE102" s="58">
        <f t="shared" si="41"/>
        <v>9.9</v>
      </c>
      <c r="AF102" s="58">
        <f t="shared" si="41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39"/>
        <v>9.6</v>
      </c>
      <c r="C103" s="55">
        <v>9.6</v>
      </c>
      <c r="D103" s="44">
        <f t="shared" si="40"/>
        <v>9.6</v>
      </c>
      <c r="E103" s="44">
        <f t="shared" si="40"/>
        <v>9.6</v>
      </c>
      <c r="F103" s="44">
        <f t="shared" si="40"/>
        <v>9.6</v>
      </c>
      <c r="G103" s="44">
        <f t="shared" si="40"/>
        <v>9.6</v>
      </c>
      <c r="H103" s="44">
        <f t="shared" si="40"/>
        <v>9.6</v>
      </c>
      <c r="I103" s="44">
        <f t="shared" si="40"/>
        <v>9.6</v>
      </c>
      <c r="J103" s="44">
        <f t="shared" si="40"/>
        <v>9.6</v>
      </c>
      <c r="K103" s="44">
        <f t="shared" si="40"/>
        <v>9.6</v>
      </c>
      <c r="L103" s="44">
        <f t="shared" si="40"/>
        <v>9.6</v>
      </c>
      <c r="M103" s="44">
        <f t="shared" si="40"/>
        <v>9.6</v>
      </c>
      <c r="N103" s="44">
        <f t="shared" si="40"/>
        <v>9.6</v>
      </c>
      <c r="O103" s="44">
        <f t="shared" si="40"/>
        <v>9.6</v>
      </c>
      <c r="P103" s="44">
        <f t="shared" si="40"/>
        <v>9.6</v>
      </c>
      <c r="Q103" s="44">
        <f t="shared" si="40"/>
        <v>9.6</v>
      </c>
      <c r="R103" s="44">
        <f t="shared" si="40"/>
        <v>9.6</v>
      </c>
      <c r="S103" s="44">
        <f t="shared" si="40"/>
        <v>9.6</v>
      </c>
      <c r="T103" s="44">
        <f t="shared" si="41"/>
        <v>9.6</v>
      </c>
      <c r="U103" s="44">
        <f t="shared" si="41"/>
        <v>9.6</v>
      </c>
      <c r="V103" s="44">
        <f t="shared" si="41"/>
        <v>9.6</v>
      </c>
      <c r="W103" s="44">
        <f t="shared" si="41"/>
        <v>9.6</v>
      </c>
      <c r="X103" s="44">
        <f t="shared" si="41"/>
        <v>9.6</v>
      </c>
      <c r="Y103" s="44">
        <f t="shared" si="41"/>
        <v>9.6</v>
      </c>
      <c r="Z103" s="44">
        <f t="shared" si="41"/>
        <v>9.6</v>
      </c>
      <c r="AA103" s="44">
        <f t="shared" si="41"/>
        <v>9.6</v>
      </c>
      <c r="AB103" s="44">
        <f t="shared" si="41"/>
        <v>9.6</v>
      </c>
      <c r="AC103" s="44">
        <f t="shared" si="41"/>
        <v>9.6</v>
      </c>
      <c r="AD103" s="44">
        <f t="shared" si="41"/>
        <v>9.6</v>
      </c>
      <c r="AE103" s="44">
        <f t="shared" si="41"/>
        <v>9.6</v>
      </c>
      <c r="AF103" s="44">
        <f t="shared" si="41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39"/>
        <v>9.98</v>
      </c>
      <c r="C104" s="55">
        <v>9.98</v>
      </c>
      <c r="D104" s="44">
        <f t="shared" si="40"/>
        <v>9.98</v>
      </c>
      <c r="E104" s="44">
        <f t="shared" si="40"/>
        <v>9.98</v>
      </c>
      <c r="F104" s="44">
        <f t="shared" si="40"/>
        <v>9.98</v>
      </c>
      <c r="G104" s="44">
        <f t="shared" si="40"/>
        <v>9.98</v>
      </c>
      <c r="H104" s="44">
        <f t="shared" si="40"/>
        <v>9.98</v>
      </c>
      <c r="I104" s="44">
        <f t="shared" si="40"/>
        <v>9.98</v>
      </c>
      <c r="J104" s="44">
        <f t="shared" si="40"/>
        <v>9.98</v>
      </c>
      <c r="K104" s="44">
        <f t="shared" si="40"/>
        <v>9.98</v>
      </c>
      <c r="L104" s="44">
        <f t="shared" si="40"/>
        <v>9.98</v>
      </c>
      <c r="M104" s="44">
        <f t="shared" si="40"/>
        <v>9.98</v>
      </c>
      <c r="N104" s="44">
        <f t="shared" si="40"/>
        <v>9.98</v>
      </c>
      <c r="O104" s="44">
        <f t="shared" si="40"/>
        <v>9.98</v>
      </c>
      <c r="P104" s="44">
        <f t="shared" si="40"/>
        <v>9.98</v>
      </c>
      <c r="Q104" s="44">
        <f t="shared" si="40"/>
        <v>9.98</v>
      </c>
      <c r="R104" s="44">
        <f t="shared" si="40"/>
        <v>9.98</v>
      </c>
      <c r="S104" s="44">
        <f t="shared" si="40"/>
        <v>9.98</v>
      </c>
      <c r="T104" s="44">
        <f t="shared" si="41"/>
        <v>9.98</v>
      </c>
      <c r="U104" s="44">
        <f t="shared" si="41"/>
        <v>9.98</v>
      </c>
      <c r="V104" s="44">
        <f t="shared" si="41"/>
        <v>9.98</v>
      </c>
      <c r="W104" s="44">
        <f t="shared" si="41"/>
        <v>9.98</v>
      </c>
      <c r="X104" s="44">
        <f t="shared" si="41"/>
        <v>9.98</v>
      </c>
      <c r="Y104" s="44">
        <f t="shared" si="41"/>
        <v>9.98</v>
      </c>
      <c r="Z104" s="44">
        <f t="shared" si="41"/>
        <v>9.98</v>
      </c>
      <c r="AA104" s="44">
        <f t="shared" si="41"/>
        <v>9.98</v>
      </c>
      <c r="AB104" s="44">
        <f t="shared" si="41"/>
        <v>9.98</v>
      </c>
      <c r="AC104" s="44">
        <f t="shared" si="41"/>
        <v>9.98</v>
      </c>
      <c r="AD104" s="44">
        <f t="shared" si="41"/>
        <v>9.98</v>
      </c>
      <c r="AE104" s="44">
        <f t="shared" si="41"/>
        <v>9.98</v>
      </c>
      <c r="AF104" s="44">
        <f t="shared" si="41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39"/>
        <v>9.1</v>
      </c>
      <c r="C105" s="55">
        <v>9.1</v>
      </c>
      <c r="D105" s="44">
        <f t="shared" si="40"/>
        <v>9.1</v>
      </c>
      <c r="E105" s="44">
        <f t="shared" si="40"/>
        <v>9.1</v>
      </c>
      <c r="F105" s="44">
        <f t="shared" si="40"/>
        <v>9.1</v>
      </c>
      <c r="G105" s="44">
        <f t="shared" si="40"/>
        <v>9.1</v>
      </c>
      <c r="H105" s="44">
        <f t="shared" si="40"/>
        <v>9.1</v>
      </c>
      <c r="I105" s="44">
        <f t="shared" si="40"/>
        <v>9.1</v>
      </c>
      <c r="J105" s="44">
        <f t="shared" si="40"/>
        <v>9.1</v>
      </c>
      <c r="K105" s="44">
        <f t="shared" si="40"/>
        <v>9.1</v>
      </c>
      <c r="L105" s="44">
        <f t="shared" si="40"/>
        <v>9.1</v>
      </c>
      <c r="M105" s="44">
        <f t="shared" si="40"/>
        <v>9.1</v>
      </c>
      <c r="N105" s="44">
        <f t="shared" si="40"/>
        <v>9.1</v>
      </c>
      <c r="O105" s="44">
        <f t="shared" si="40"/>
        <v>9.1</v>
      </c>
      <c r="P105" s="44">
        <f t="shared" si="40"/>
        <v>9.1</v>
      </c>
      <c r="Q105" s="44">
        <f t="shared" si="40"/>
        <v>9.1</v>
      </c>
      <c r="R105" s="44">
        <f t="shared" si="40"/>
        <v>9.1</v>
      </c>
      <c r="S105" s="44">
        <f t="shared" si="40"/>
        <v>9.1</v>
      </c>
      <c r="T105" s="44">
        <f t="shared" si="41"/>
        <v>9.1</v>
      </c>
      <c r="U105" s="44">
        <f t="shared" si="41"/>
        <v>9.1</v>
      </c>
      <c r="V105" s="44">
        <f t="shared" si="41"/>
        <v>9.1</v>
      </c>
      <c r="W105" s="44">
        <f t="shared" si="41"/>
        <v>9.1</v>
      </c>
      <c r="X105" s="44">
        <f t="shared" si="41"/>
        <v>9.1</v>
      </c>
      <c r="Y105" s="44">
        <f t="shared" si="41"/>
        <v>9.1</v>
      </c>
      <c r="Z105" s="44">
        <f t="shared" si="41"/>
        <v>9.1</v>
      </c>
      <c r="AA105" s="44">
        <f t="shared" si="41"/>
        <v>9.1</v>
      </c>
      <c r="AB105" s="44">
        <f t="shared" si="41"/>
        <v>9.1</v>
      </c>
      <c r="AC105" s="44">
        <f t="shared" si="41"/>
        <v>9.1</v>
      </c>
      <c r="AD105" s="44">
        <f t="shared" si="41"/>
        <v>9.1</v>
      </c>
      <c r="AE105" s="44">
        <f t="shared" si="41"/>
        <v>9.1</v>
      </c>
      <c r="AF105" s="44">
        <f t="shared" si="41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39"/>
        <v>9.18</v>
      </c>
      <c r="C106" s="55">
        <v>9.18</v>
      </c>
      <c r="D106" s="44">
        <f t="shared" si="40"/>
        <v>9.18</v>
      </c>
      <c r="E106" s="44">
        <f t="shared" si="40"/>
        <v>9.18</v>
      </c>
      <c r="F106" s="44">
        <f t="shared" si="40"/>
        <v>9.18</v>
      </c>
      <c r="G106" s="44">
        <f t="shared" si="40"/>
        <v>9.18</v>
      </c>
      <c r="H106" s="44">
        <f t="shared" si="40"/>
        <v>9.18</v>
      </c>
      <c r="I106" s="44">
        <f t="shared" si="40"/>
        <v>9.18</v>
      </c>
      <c r="J106" s="44">
        <f t="shared" si="40"/>
        <v>9.18</v>
      </c>
      <c r="K106" s="44">
        <f t="shared" si="40"/>
        <v>9.18</v>
      </c>
      <c r="L106" s="44">
        <f t="shared" si="40"/>
        <v>9.18</v>
      </c>
      <c r="M106" s="44">
        <f t="shared" si="40"/>
        <v>9.18</v>
      </c>
      <c r="N106" s="44">
        <f t="shared" si="40"/>
        <v>9.18</v>
      </c>
      <c r="O106" s="44">
        <f t="shared" si="40"/>
        <v>9.18</v>
      </c>
      <c r="P106" s="44">
        <f t="shared" si="40"/>
        <v>9.18</v>
      </c>
      <c r="Q106" s="44">
        <f t="shared" si="40"/>
        <v>9.18</v>
      </c>
      <c r="R106" s="44">
        <f t="shared" si="40"/>
        <v>9.18</v>
      </c>
      <c r="S106" s="44">
        <f t="shared" si="40"/>
        <v>9.18</v>
      </c>
      <c r="T106" s="44">
        <f t="shared" si="41"/>
        <v>9.18</v>
      </c>
      <c r="U106" s="44">
        <f t="shared" si="41"/>
        <v>9.18</v>
      </c>
      <c r="V106" s="44">
        <f t="shared" si="41"/>
        <v>9.18</v>
      </c>
      <c r="W106" s="44">
        <f t="shared" si="41"/>
        <v>9.18</v>
      </c>
      <c r="X106" s="44">
        <f t="shared" si="41"/>
        <v>9.18</v>
      </c>
      <c r="Y106" s="44">
        <f t="shared" si="41"/>
        <v>9.18</v>
      </c>
      <c r="Z106" s="44">
        <f t="shared" si="41"/>
        <v>9.18</v>
      </c>
      <c r="AA106" s="44">
        <f t="shared" si="41"/>
        <v>9.18</v>
      </c>
      <c r="AB106" s="44">
        <f t="shared" si="41"/>
        <v>9.18</v>
      </c>
      <c r="AC106" s="44">
        <f t="shared" si="41"/>
        <v>9.18</v>
      </c>
      <c r="AD106" s="44">
        <f t="shared" si="41"/>
        <v>9.18</v>
      </c>
      <c r="AE106" s="44">
        <f t="shared" si="41"/>
        <v>9.18</v>
      </c>
      <c r="AF106" s="44">
        <f t="shared" si="41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39"/>
        <v>7</v>
      </c>
      <c r="C107" s="55">
        <v>7</v>
      </c>
      <c r="D107" s="44">
        <f t="shared" si="40"/>
        <v>7</v>
      </c>
      <c r="E107" s="44">
        <f t="shared" si="40"/>
        <v>7</v>
      </c>
      <c r="F107" s="44">
        <f t="shared" si="40"/>
        <v>7</v>
      </c>
      <c r="G107" s="44">
        <f t="shared" si="40"/>
        <v>7</v>
      </c>
      <c r="H107" s="44">
        <f t="shared" si="40"/>
        <v>7</v>
      </c>
      <c r="I107" s="44">
        <f t="shared" si="40"/>
        <v>7</v>
      </c>
      <c r="J107" s="44">
        <f t="shared" si="40"/>
        <v>7</v>
      </c>
      <c r="K107" s="44">
        <f t="shared" si="40"/>
        <v>7</v>
      </c>
      <c r="L107" s="44">
        <f t="shared" si="40"/>
        <v>7</v>
      </c>
      <c r="M107" s="44">
        <f t="shared" si="40"/>
        <v>7</v>
      </c>
      <c r="N107" s="44">
        <f t="shared" si="40"/>
        <v>7</v>
      </c>
      <c r="O107" s="44">
        <f t="shared" si="40"/>
        <v>7</v>
      </c>
      <c r="P107" s="44">
        <f t="shared" si="40"/>
        <v>7</v>
      </c>
      <c r="Q107" s="44">
        <f t="shared" si="40"/>
        <v>7</v>
      </c>
      <c r="R107" s="44">
        <f t="shared" si="40"/>
        <v>7</v>
      </c>
      <c r="S107" s="44">
        <f t="shared" si="40"/>
        <v>7</v>
      </c>
      <c r="T107" s="44">
        <f t="shared" si="41"/>
        <v>7</v>
      </c>
      <c r="U107" s="44">
        <f t="shared" si="41"/>
        <v>7</v>
      </c>
      <c r="V107" s="44">
        <f t="shared" si="41"/>
        <v>7</v>
      </c>
      <c r="W107" s="44">
        <f t="shared" si="41"/>
        <v>7</v>
      </c>
      <c r="X107" s="44">
        <f t="shared" si="41"/>
        <v>7</v>
      </c>
      <c r="Y107" s="44">
        <f t="shared" si="41"/>
        <v>7</v>
      </c>
      <c r="Z107" s="44">
        <f t="shared" si="41"/>
        <v>7</v>
      </c>
      <c r="AA107" s="44">
        <f t="shared" si="41"/>
        <v>7</v>
      </c>
      <c r="AB107" s="44">
        <f t="shared" si="41"/>
        <v>7</v>
      </c>
      <c r="AC107" s="44">
        <f t="shared" si="41"/>
        <v>7</v>
      </c>
      <c r="AD107" s="44">
        <f t="shared" si="41"/>
        <v>7</v>
      </c>
      <c r="AE107" s="44">
        <f t="shared" si="41"/>
        <v>7</v>
      </c>
      <c r="AF107" s="44">
        <f t="shared" si="41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2">C109</f>
        <v>2.25</v>
      </c>
      <c r="E109" s="44">
        <f t="shared" si="42"/>
        <v>2.25</v>
      </c>
      <c r="F109" s="44">
        <f t="shared" si="42"/>
        <v>2.25</v>
      </c>
      <c r="G109" s="44">
        <f t="shared" si="42"/>
        <v>2.25</v>
      </c>
      <c r="H109" s="44">
        <f t="shared" si="42"/>
        <v>2.25</v>
      </c>
      <c r="I109" s="44">
        <f t="shared" si="42"/>
        <v>2.25</v>
      </c>
      <c r="J109" s="44">
        <f t="shared" si="42"/>
        <v>2.25</v>
      </c>
      <c r="K109" s="44">
        <f t="shared" si="42"/>
        <v>2.25</v>
      </c>
      <c r="L109" s="44">
        <f t="shared" si="42"/>
        <v>2.25</v>
      </c>
      <c r="M109" s="44">
        <f t="shared" si="42"/>
        <v>2.25</v>
      </c>
      <c r="N109" s="44">
        <f t="shared" si="42"/>
        <v>2.25</v>
      </c>
      <c r="O109" s="44">
        <f t="shared" si="42"/>
        <v>2.25</v>
      </c>
      <c r="P109" s="44">
        <f t="shared" si="42"/>
        <v>2.25</v>
      </c>
      <c r="Q109" s="44">
        <f t="shared" si="42"/>
        <v>2.25</v>
      </c>
      <c r="R109" s="44">
        <f t="shared" si="42"/>
        <v>2.25</v>
      </c>
      <c r="S109" s="44">
        <f t="shared" si="42"/>
        <v>2.25</v>
      </c>
      <c r="T109" s="44">
        <f t="shared" ref="T109:AF110" si="43">S109</f>
        <v>2.25</v>
      </c>
      <c r="U109" s="44">
        <f t="shared" si="43"/>
        <v>2.25</v>
      </c>
      <c r="V109" s="44">
        <f t="shared" si="43"/>
        <v>2.25</v>
      </c>
      <c r="W109" s="44">
        <f t="shared" si="43"/>
        <v>2.25</v>
      </c>
      <c r="X109" s="44">
        <f t="shared" si="43"/>
        <v>2.25</v>
      </c>
      <c r="Y109" s="44">
        <f t="shared" si="43"/>
        <v>2.25</v>
      </c>
      <c r="Z109" s="44">
        <f t="shared" si="43"/>
        <v>2.25</v>
      </c>
      <c r="AA109" s="44">
        <f t="shared" si="43"/>
        <v>2.25</v>
      </c>
      <c r="AB109" s="44">
        <f t="shared" si="43"/>
        <v>2.25</v>
      </c>
      <c r="AC109" s="44">
        <f t="shared" si="43"/>
        <v>2.25</v>
      </c>
      <c r="AD109" s="44">
        <f t="shared" si="43"/>
        <v>2.25</v>
      </c>
      <c r="AE109" s="44">
        <f t="shared" si="43"/>
        <v>2.25</v>
      </c>
      <c r="AF109" s="44">
        <f t="shared" si="43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2"/>
        <v>1.64</v>
      </c>
      <c r="E110" s="44">
        <f t="shared" si="42"/>
        <v>1.64</v>
      </c>
      <c r="F110" s="44">
        <f t="shared" si="42"/>
        <v>1.64</v>
      </c>
      <c r="G110" s="44">
        <f t="shared" si="42"/>
        <v>1.64</v>
      </c>
      <c r="H110" s="44">
        <f t="shared" si="42"/>
        <v>1.64</v>
      </c>
      <c r="I110" s="44">
        <f t="shared" si="42"/>
        <v>1.64</v>
      </c>
      <c r="J110" s="44">
        <f t="shared" si="42"/>
        <v>1.64</v>
      </c>
      <c r="K110" s="44">
        <f t="shared" si="42"/>
        <v>1.64</v>
      </c>
      <c r="L110" s="44">
        <f t="shared" si="42"/>
        <v>1.64</v>
      </c>
      <c r="M110" s="44">
        <f t="shared" si="42"/>
        <v>1.64</v>
      </c>
      <c r="N110" s="44">
        <f t="shared" si="42"/>
        <v>1.64</v>
      </c>
      <c r="O110" s="44">
        <f t="shared" si="42"/>
        <v>1.64</v>
      </c>
      <c r="P110" s="44">
        <f t="shared" si="42"/>
        <v>1.64</v>
      </c>
      <c r="Q110" s="44">
        <f t="shared" si="42"/>
        <v>1.64</v>
      </c>
      <c r="R110" s="44">
        <f t="shared" si="42"/>
        <v>1.64</v>
      </c>
      <c r="S110" s="44">
        <f t="shared" si="42"/>
        <v>1.64</v>
      </c>
      <c r="T110" s="44">
        <f t="shared" si="43"/>
        <v>1.64</v>
      </c>
      <c r="U110" s="44">
        <f t="shared" si="43"/>
        <v>1.64</v>
      </c>
      <c r="V110" s="44">
        <f t="shared" si="43"/>
        <v>1.64</v>
      </c>
      <c r="W110" s="44">
        <f t="shared" si="43"/>
        <v>1.64</v>
      </c>
      <c r="X110" s="44">
        <f t="shared" si="43"/>
        <v>1.64</v>
      </c>
      <c r="Y110" s="44">
        <f t="shared" si="43"/>
        <v>1.64</v>
      </c>
      <c r="Z110" s="44">
        <f t="shared" si="43"/>
        <v>1.64</v>
      </c>
      <c r="AA110" s="44">
        <f t="shared" si="43"/>
        <v>1.64</v>
      </c>
      <c r="AB110" s="44">
        <f t="shared" si="43"/>
        <v>1.64</v>
      </c>
      <c r="AC110" s="44">
        <f t="shared" si="43"/>
        <v>1.64</v>
      </c>
      <c r="AD110" s="44">
        <f t="shared" si="43"/>
        <v>1.64</v>
      </c>
      <c r="AE110" s="44">
        <f t="shared" si="43"/>
        <v>1.64</v>
      </c>
      <c r="AF110" s="44">
        <f t="shared" si="43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4">AF112</f>
        <v>1.62</v>
      </c>
      <c r="C112" s="55">
        <v>1.62</v>
      </c>
      <c r="D112" s="44">
        <f t="shared" ref="D112:S119" si="45">C112</f>
        <v>1.62</v>
      </c>
      <c r="E112" s="44">
        <f t="shared" si="45"/>
        <v>1.62</v>
      </c>
      <c r="F112" s="44">
        <f t="shared" si="45"/>
        <v>1.62</v>
      </c>
      <c r="G112" s="44">
        <f t="shared" si="45"/>
        <v>1.62</v>
      </c>
      <c r="H112" s="44">
        <f t="shared" si="45"/>
        <v>1.62</v>
      </c>
      <c r="I112" s="44">
        <f t="shared" si="45"/>
        <v>1.62</v>
      </c>
      <c r="J112" s="44">
        <f t="shared" si="45"/>
        <v>1.62</v>
      </c>
      <c r="K112" s="44">
        <f t="shared" si="45"/>
        <v>1.62</v>
      </c>
      <c r="L112" s="44">
        <f t="shared" si="45"/>
        <v>1.62</v>
      </c>
      <c r="M112" s="44">
        <f t="shared" si="45"/>
        <v>1.62</v>
      </c>
      <c r="N112" s="44">
        <f t="shared" si="45"/>
        <v>1.62</v>
      </c>
      <c r="O112" s="44">
        <f t="shared" si="45"/>
        <v>1.62</v>
      </c>
      <c r="P112" s="44">
        <f t="shared" si="45"/>
        <v>1.62</v>
      </c>
      <c r="Q112" s="44">
        <f t="shared" si="45"/>
        <v>1.62</v>
      </c>
      <c r="R112" s="44">
        <f t="shared" si="45"/>
        <v>1.62</v>
      </c>
      <c r="S112" s="44">
        <f t="shared" si="45"/>
        <v>1.62</v>
      </c>
      <c r="T112" s="44">
        <f t="shared" ref="T112:AF127" si="46">S112</f>
        <v>1.62</v>
      </c>
      <c r="U112" s="44">
        <f t="shared" si="46"/>
        <v>1.62</v>
      </c>
      <c r="V112" s="44">
        <f t="shared" si="46"/>
        <v>1.62</v>
      </c>
      <c r="W112" s="44">
        <f t="shared" si="46"/>
        <v>1.62</v>
      </c>
      <c r="X112" s="44">
        <f t="shared" si="46"/>
        <v>1.62</v>
      </c>
      <c r="Y112" s="44">
        <f t="shared" si="46"/>
        <v>1.62</v>
      </c>
      <c r="Z112" s="44">
        <f t="shared" si="46"/>
        <v>1.62</v>
      </c>
      <c r="AA112" s="44">
        <f t="shared" si="46"/>
        <v>1.62</v>
      </c>
      <c r="AB112" s="44">
        <f t="shared" si="46"/>
        <v>1.62</v>
      </c>
      <c r="AC112" s="44">
        <f t="shared" si="46"/>
        <v>1.62</v>
      </c>
      <c r="AD112" s="44">
        <f t="shared" si="46"/>
        <v>1.62</v>
      </c>
      <c r="AE112" s="44">
        <f t="shared" si="46"/>
        <v>1.62</v>
      </c>
      <c r="AF112" s="44">
        <f t="shared" si="46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4"/>
        <v>8.36</v>
      </c>
      <c r="C113" s="55">
        <v>8.36</v>
      </c>
      <c r="D113" s="44">
        <f t="shared" si="45"/>
        <v>8.36</v>
      </c>
      <c r="E113" s="44">
        <f t="shared" si="45"/>
        <v>8.36</v>
      </c>
      <c r="F113" s="44">
        <f t="shared" si="45"/>
        <v>8.36</v>
      </c>
      <c r="G113" s="44">
        <f t="shared" si="45"/>
        <v>8.36</v>
      </c>
      <c r="H113" s="44">
        <f t="shared" si="45"/>
        <v>8.36</v>
      </c>
      <c r="I113" s="44">
        <f t="shared" si="45"/>
        <v>8.36</v>
      </c>
      <c r="J113" s="44">
        <f t="shared" si="45"/>
        <v>8.36</v>
      </c>
      <c r="K113" s="44">
        <f t="shared" si="45"/>
        <v>8.36</v>
      </c>
      <c r="L113" s="44">
        <f t="shared" si="45"/>
        <v>8.36</v>
      </c>
      <c r="M113" s="44">
        <f t="shared" si="45"/>
        <v>8.36</v>
      </c>
      <c r="N113" s="44">
        <f t="shared" si="45"/>
        <v>8.36</v>
      </c>
      <c r="O113" s="44">
        <f t="shared" si="45"/>
        <v>8.36</v>
      </c>
      <c r="P113" s="44">
        <f t="shared" si="45"/>
        <v>8.36</v>
      </c>
      <c r="Q113" s="44">
        <f t="shared" si="45"/>
        <v>8.36</v>
      </c>
      <c r="R113" s="44">
        <f t="shared" si="45"/>
        <v>8.36</v>
      </c>
      <c r="S113" s="44">
        <f t="shared" si="45"/>
        <v>8.36</v>
      </c>
      <c r="T113" s="44">
        <f t="shared" si="46"/>
        <v>8.36</v>
      </c>
      <c r="U113" s="44">
        <f t="shared" si="46"/>
        <v>8.36</v>
      </c>
      <c r="V113" s="44">
        <f t="shared" si="46"/>
        <v>8.36</v>
      </c>
      <c r="W113" s="44">
        <f t="shared" si="46"/>
        <v>8.36</v>
      </c>
      <c r="X113" s="44">
        <f t="shared" si="46"/>
        <v>8.36</v>
      </c>
      <c r="Y113" s="44">
        <f t="shared" si="46"/>
        <v>8.36</v>
      </c>
      <c r="Z113" s="44">
        <f t="shared" si="46"/>
        <v>8.36</v>
      </c>
      <c r="AA113" s="44">
        <f t="shared" si="46"/>
        <v>8.36</v>
      </c>
      <c r="AB113" s="44">
        <f t="shared" si="46"/>
        <v>8.36</v>
      </c>
      <c r="AC113" s="44">
        <f t="shared" si="46"/>
        <v>8.36</v>
      </c>
      <c r="AD113" s="44">
        <f t="shared" si="46"/>
        <v>8.36</v>
      </c>
      <c r="AE113" s="44">
        <f t="shared" si="46"/>
        <v>8.36</v>
      </c>
      <c r="AF113" s="44">
        <f t="shared" si="46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4"/>
        <v>5.4</v>
      </c>
      <c r="C114" s="55">
        <v>8</v>
      </c>
      <c r="D114" s="44">
        <f t="shared" si="45"/>
        <v>8</v>
      </c>
      <c r="E114" s="44">
        <f t="shared" si="45"/>
        <v>8</v>
      </c>
      <c r="F114" s="44">
        <f t="shared" si="45"/>
        <v>8</v>
      </c>
      <c r="G114" s="44">
        <f t="shared" si="45"/>
        <v>8</v>
      </c>
      <c r="H114" s="44">
        <f t="shared" si="45"/>
        <v>8</v>
      </c>
      <c r="I114" s="44">
        <f t="shared" si="45"/>
        <v>8</v>
      </c>
      <c r="J114" s="44">
        <v>5.4</v>
      </c>
      <c r="K114" s="44">
        <f t="shared" si="45"/>
        <v>5.4</v>
      </c>
      <c r="L114" s="44">
        <f t="shared" si="45"/>
        <v>5.4</v>
      </c>
      <c r="M114" s="44">
        <f t="shared" si="45"/>
        <v>5.4</v>
      </c>
      <c r="N114" s="44">
        <f t="shared" si="45"/>
        <v>5.4</v>
      </c>
      <c r="O114" s="44">
        <f t="shared" si="45"/>
        <v>5.4</v>
      </c>
      <c r="P114" s="44">
        <f t="shared" si="45"/>
        <v>5.4</v>
      </c>
      <c r="Q114" s="44">
        <f t="shared" si="45"/>
        <v>5.4</v>
      </c>
      <c r="R114" s="44">
        <f t="shared" si="45"/>
        <v>5.4</v>
      </c>
      <c r="S114" s="44">
        <f t="shared" si="45"/>
        <v>5.4</v>
      </c>
      <c r="T114" s="44">
        <f t="shared" si="46"/>
        <v>5.4</v>
      </c>
      <c r="U114" s="44">
        <f t="shared" si="46"/>
        <v>5.4</v>
      </c>
      <c r="V114" s="44">
        <f t="shared" si="46"/>
        <v>5.4</v>
      </c>
      <c r="W114" s="44">
        <f t="shared" si="46"/>
        <v>5.4</v>
      </c>
      <c r="X114" s="44">
        <f t="shared" si="46"/>
        <v>5.4</v>
      </c>
      <c r="Y114" s="44">
        <f t="shared" si="46"/>
        <v>5.4</v>
      </c>
      <c r="Z114" s="44">
        <f t="shared" si="46"/>
        <v>5.4</v>
      </c>
      <c r="AA114" s="44">
        <f t="shared" si="46"/>
        <v>5.4</v>
      </c>
      <c r="AB114" s="44">
        <f t="shared" si="46"/>
        <v>5.4</v>
      </c>
      <c r="AC114" s="44">
        <f t="shared" si="46"/>
        <v>5.4</v>
      </c>
      <c r="AD114" s="44">
        <f t="shared" si="46"/>
        <v>5.4</v>
      </c>
      <c r="AE114" s="44">
        <f t="shared" si="46"/>
        <v>5.4</v>
      </c>
      <c r="AF114" s="44">
        <f t="shared" si="46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4"/>
        <v>6.57</v>
      </c>
      <c r="C115" s="55">
        <v>6.57</v>
      </c>
      <c r="D115" s="44">
        <f t="shared" si="45"/>
        <v>6.57</v>
      </c>
      <c r="E115" s="44">
        <f t="shared" si="45"/>
        <v>6.57</v>
      </c>
      <c r="F115" s="44">
        <f t="shared" si="45"/>
        <v>6.57</v>
      </c>
      <c r="G115" s="44">
        <f t="shared" si="45"/>
        <v>6.57</v>
      </c>
      <c r="H115" s="44">
        <f t="shared" si="45"/>
        <v>6.57</v>
      </c>
      <c r="I115" s="44">
        <f t="shared" si="45"/>
        <v>6.57</v>
      </c>
      <c r="J115" s="44">
        <f t="shared" si="45"/>
        <v>6.57</v>
      </c>
      <c r="K115" s="44">
        <f t="shared" si="45"/>
        <v>6.57</v>
      </c>
      <c r="L115" s="44">
        <f t="shared" si="45"/>
        <v>6.57</v>
      </c>
      <c r="M115" s="44">
        <f t="shared" si="45"/>
        <v>6.57</v>
      </c>
      <c r="N115" s="44">
        <f t="shared" si="45"/>
        <v>6.57</v>
      </c>
      <c r="O115" s="44">
        <f t="shared" si="45"/>
        <v>6.57</v>
      </c>
      <c r="P115" s="44">
        <f t="shared" si="45"/>
        <v>6.57</v>
      </c>
      <c r="Q115" s="44">
        <f t="shared" si="45"/>
        <v>6.57</v>
      </c>
      <c r="R115" s="44">
        <f t="shared" si="45"/>
        <v>6.57</v>
      </c>
      <c r="S115" s="44">
        <f t="shared" si="45"/>
        <v>6.57</v>
      </c>
      <c r="T115" s="44">
        <f t="shared" si="46"/>
        <v>6.57</v>
      </c>
      <c r="U115" s="44">
        <f t="shared" si="46"/>
        <v>6.57</v>
      </c>
      <c r="V115" s="44">
        <f t="shared" si="46"/>
        <v>6.57</v>
      </c>
      <c r="W115" s="44">
        <f t="shared" si="46"/>
        <v>6.57</v>
      </c>
      <c r="X115" s="44">
        <f t="shared" si="46"/>
        <v>6.57</v>
      </c>
      <c r="Y115" s="44">
        <f t="shared" si="46"/>
        <v>6.57</v>
      </c>
      <c r="Z115" s="44">
        <f t="shared" si="46"/>
        <v>6.57</v>
      </c>
      <c r="AA115" s="44">
        <f t="shared" si="46"/>
        <v>6.57</v>
      </c>
      <c r="AB115" s="44">
        <f t="shared" si="46"/>
        <v>6.57</v>
      </c>
      <c r="AC115" s="44">
        <f t="shared" si="46"/>
        <v>6.57</v>
      </c>
      <c r="AD115" s="44">
        <f t="shared" si="46"/>
        <v>6.57</v>
      </c>
      <c r="AE115" s="44">
        <f t="shared" si="46"/>
        <v>6.57</v>
      </c>
      <c r="AF115" s="44">
        <f t="shared" si="46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4"/>
        <v>3.43</v>
      </c>
      <c r="C116" s="55">
        <v>3.43</v>
      </c>
      <c r="D116" s="44">
        <f t="shared" si="45"/>
        <v>3.43</v>
      </c>
      <c r="E116" s="44">
        <f t="shared" si="45"/>
        <v>3.43</v>
      </c>
      <c r="F116" s="44">
        <f t="shared" si="45"/>
        <v>3.43</v>
      </c>
      <c r="G116" s="44">
        <f t="shared" si="45"/>
        <v>3.43</v>
      </c>
      <c r="H116" s="44">
        <f t="shared" si="45"/>
        <v>3.43</v>
      </c>
      <c r="I116" s="44">
        <f t="shared" si="45"/>
        <v>3.43</v>
      </c>
      <c r="J116" s="44">
        <f t="shared" si="45"/>
        <v>3.43</v>
      </c>
      <c r="K116" s="44">
        <f t="shared" si="45"/>
        <v>3.43</v>
      </c>
      <c r="L116" s="44">
        <f t="shared" si="45"/>
        <v>3.43</v>
      </c>
      <c r="M116" s="44">
        <f t="shared" si="45"/>
        <v>3.43</v>
      </c>
      <c r="N116" s="44">
        <f t="shared" si="45"/>
        <v>3.43</v>
      </c>
      <c r="O116" s="44">
        <f t="shared" si="45"/>
        <v>3.43</v>
      </c>
      <c r="P116" s="44">
        <f t="shared" si="45"/>
        <v>3.43</v>
      </c>
      <c r="Q116" s="44">
        <f t="shared" si="45"/>
        <v>3.43</v>
      </c>
      <c r="R116" s="44">
        <f t="shared" si="45"/>
        <v>3.43</v>
      </c>
      <c r="S116" s="44">
        <f t="shared" si="45"/>
        <v>3.43</v>
      </c>
      <c r="T116" s="44">
        <f t="shared" si="46"/>
        <v>3.43</v>
      </c>
      <c r="U116" s="44">
        <f t="shared" si="46"/>
        <v>3.43</v>
      </c>
      <c r="V116" s="44">
        <f t="shared" si="46"/>
        <v>3.43</v>
      </c>
      <c r="W116" s="44">
        <f t="shared" si="46"/>
        <v>3.43</v>
      </c>
      <c r="X116" s="44">
        <f t="shared" si="46"/>
        <v>3.43</v>
      </c>
      <c r="Y116" s="44">
        <f t="shared" si="46"/>
        <v>3.43</v>
      </c>
      <c r="Z116" s="44">
        <f t="shared" si="46"/>
        <v>3.43</v>
      </c>
      <c r="AA116" s="44">
        <f t="shared" si="46"/>
        <v>3.43</v>
      </c>
      <c r="AB116" s="44">
        <f t="shared" si="46"/>
        <v>3.43</v>
      </c>
      <c r="AC116" s="44">
        <f t="shared" si="46"/>
        <v>3.43</v>
      </c>
      <c r="AD116" s="44">
        <f t="shared" si="46"/>
        <v>3.43</v>
      </c>
      <c r="AE116" s="44">
        <f t="shared" si="46"/>
        <v>3.43</v>
      </c>
      <c r="AF116" s="44">
        <f t="shared" si="46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4"/>
        <v>2.96</v>
      </c>
      <c r="C117" s="55">
        <v>2.96</v>
      </c>
      <c r="D117" s="44">
        <f t="shared" si="45"/>
        <v>2.96</v>
      </c>
      <c r="E117" s="44">
        <f t="shared" si="45"/>
        <v>2.96</v>
      </c>
      <c r="F117" s="44">
        <f t="shared" si="45"/>
        <v>2.96</v>
      </c>
      <c r="G117" s="44">
        <f t="shared" si="45"/>
        <v>2.96</v>
      </c>
      <c r="H117" s="44">
        <f t="shared" si="45"/>
        <v>2.96</v>
      </c>
      <c r="I117" s="44">
        <f t="shared" si="45"/>
        <v>2.96</v>
      </c>
      <c r="J117" s="44">
        <f t="shared" si="45"/>
        <v>2.96</v>
      </c>
      <c r="K117" s="44">
        <f t="shared" si="45"/>
        <v>2.96</v>
      </c>
      <c r="L117" s="44">
        <f t="shared" si="45"/>
        <v>2.96</v>
      </c>
      <c r="M117" s="44">
        <f t="shared" si="45"/>
        <v>2.96</v>
      </c>
      <c r="N117" s="44">
        <f t="shared" si="45"/>
        <v>2.96</v>
      </c>
      <c r="O117" s="44">
        <f t="shared" si="45"/>
        <v>2.96</v>
      </c>
      <c r="P117" s="44">
        <f t="shared" si="45"/>
        <v>2.96</v>
      </c>
      <c r="Q117" s="44">
        <f t="shared" si="45"/>
        <v>2.96</v>
      </c>
      <c r="R117" s="44">
        <f t="shared" si="45"/>
        <v>2.96</v>
      </c>
      <c r="S117" s="44">
        <f t="shared" si="45"/>
        <v>2.96</v>
      </c>
      <c r="T117" s="44">
        <f t="shared" si="46"/>
        <v>2.96</v>
      </c>
      <c r="U117" s="44">
        <f t="shared" si="46"/>
        <v>2.96</v>
      </c>
      <c r="V117" s="44">
        <f t="shared" si="46"/>
        <v>2.96</v>
      </c>
      <c r="W117" s="44">
        <f t="shared" si="46"/>
        <v>2.96</v>
      </c>
      <c r="X117" s="44">
        <f t="shared" si="46"/>
        <v>2.96</v>
      </c>
      <c r="Y117" s="44">
        <f t="shared" si="46"/>
        <v>2.96</v>
      </c>
      <c r="Z117" s="44">
        <f t="shared" si="46"/>
        <v>2.96</v>
      </c>
      <c r="AA117" s="44">
        <f t="shared" si="46"/>
        <v>2.96</v>
      </c>
      <c r="AB117" s="44">
        <f t="shared" si="46"/>
        <v>2.96</v>
      </c>
      <c r="AC117" s="44">
        <f t="shared" si="46"/>
        <v>2.96</v>
      </c>
      <c r="AD117" s="44">
        <f t="shared" si="46"/>
        <v>2.96</v>
      </c>
      <c r="AE117" s="44">
        <f t="shared" si="46"/>
        <v>2.96</v>
      </c>
      <c r="AF117" s="44">
        <f t="shared" si="46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4"/>
        <v>8</v>
      </c>
      <c r="C118" s="55">
        <v>8</v>
      </c>
      <c r="D118" s="44">
        <f t="shared" si="45"/>
        <v>8</v>
      </c>
      <c r="E118" s="44">
        <f t="shared" si="45"/>
        <v>8</v>
      </c>
      <c r="F118" s="44">
        <f t="shared" si="45"/>
        <v>8</v>
      </c>
      <c r="G118" s="44">
        <f t="shared" si="45"/>
        <v>8</v>
      </c>
      <c r="H118" s="44">
        <f t="shared" si="45"/>
        <v>8</v>
      </c>
      <c r="I118" s="44">
        <f t="shared" si="45"/>
        <v>8</v>
      </c>
      <c r="J118" s="44">
        <f t="shared" si="45"/>
        <v>8</v>
      </c>
      <c r="K118" s="44">
        <f t="shared" si="45"/>
        <v>8</v>
      </c>
      <c r="L118" s="44">
        <f t="shared" si="45"/>
        <v>8</v>
      </c>
      <c r="M118" s="44">
        <f t="shared" si="45"/>
        <v>8</v>
      </c>
      <c r="N118" s="44">
        <f t="shared" si="45"/>
        <v>8</v>
      </c>
      <c r="O118" s="44">
        <f t="shared" si="45"/>
        <v>8</v>
      </c>
      <c r="P118" s="44">
        <f t="shared" si="45"/>
        <v>8</v>
      </c>
      <c r="Q118" s="44">
        <f t="shared" si="45"/>
        <v>8</v>
      </c>
      <c r="R118" s="44">
        <f t="shared" si="45"/>
        <v>8</v>
      </c>
      <c r="S118" s="44">
        <f t="shared" si="45"/>
        <v>8</v>
      </c>
      <c r="T118" s="44">
        <f t="shared" si="46"/>
        <v>8</v>
      </c>
      <c r="U118" s="44">
        <f t="shared" si="46"/>
        <v>8</v>
      </c>
      <c r="V118" s="44">
        <f t="shared" si="46"/>
        <v>8</v>
      </c>
      <c r="W118" s="44">
        <f t="shared" si="46"/>
        <v>8</v>
      </c>
      <c r="X118" s="44">
        <f t="shared" si="46"/>
        <v>8</v>
      </c>
      <c r="Y118" s="44">
        <f t="shared" si="46"/>
        <v>8</v>
      </c>
      <c r="Z118" s="44">
        <f t="shared" si="46"/>
        <v>8</v>
      </c>
      <c r="AA118" s="44">
        <f t="shared" si="46"/>
        <v>8</v>
      </c>
      <c r="AB118" s="44">
        <f t="shared" si="46"/>
        <v>8</v>
      </c>
      <c r="AC118" s="44">
        <f t="shared" si="46"/>
        <v>8</v>
      </c>
      <c r="AD118" s="44">
        <f t="shared" si="46"/>
        <v>8</v>
      </c>
      <c r="AE118" s="44">
        <f t="shared" si="46"/>
        <v>8</v>
      </c>
      <c r="AF118" s="44">
        <f t="shared" si="46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4"/>
        <v>7</v>
      </c>
      <c r="C119" s="55">
        <v>7</v>
      </c>
      <c r="D119" s="44">
        <f>C119</f>
        <v>7</v>
      </c>
      <c r="E119" s="44">
        <f t="shared" si="45"/>
        <v>7</v>
      </c>
      <c r="F119" s="44">
        <f t="shared" si="45"/>
        <v>7</v>
      </c>
      <c r="G119" s="44">
        <f t="shared" si="45"/>
        <v>7</v>
      </c>
      <c r="H119" s="44">
        <f t="shared" si="45"/>
        <v>7</v>
      </c>
      <c r="I119" s="44">
        <f t="shared" si="45"/>
        <v>7</v>
      </c>
      <c r="J119" s="44">
        <f t="shared" si="45"/>
        <v>7</v>
      </c>
      <c r="K119" s="44">
        <f t="shared" si="45"/>
        <v>7</v>
      </c>
      <c r="L119" s="44">
        <f t="shared" si="45"/>
        <v>7</v>
      </c>
      <c r="M119" s="44">
        <f t="shared" si="45"/>
        <v>7</v>
      </c>
      <c r="N119" s="44">
        <f t="shared" si="45"/>
        <v>7</v>
      </c>
      <c r="O119" s="44">
        <f t="shared" si="45"/>
        <v>7</v>
      </c>
      <c r="P119" s="44">
        <f t="shared" si="45"/>
        <v>7</v>
      </c>
      <c r="Q119" s="44">
        <f t="shared" si="45"/>
        <v>7</v>
      </c>
      <c r="R119" s="44">
        <f t="shared" si="45"/>
        <v>7</v>
      </c>
      <c r="S119" s="44">
        <f t="shared" si="45"/>
        <v>7</v>
      </c>
      <c r="T119" s="44">
        <f t="shared" si="46"/>
        <v>7</v>
      </c>
      <c r="U119" s="44">
        <f t="shared" si="46"/>
        <v>7</v>
      </c>
      <c r="V119" s="44">
        <f t="shared" si="46"/>
        <v>7</v>
      </c>
      <c r="W119" s="44">
        <f t="shared" si="46"/>
        <v>7</v>
      </c>
      <c r="X119" s="44">
        <f t="shared" si="46"/>
        <v>7</v>
      </c>
      <c r="Y119" s="44">
        <f t="shared" si="46"/>
        <v>7</v>
      </c>
      <c r="Z119" s="44">
        <f t="shared" si="46"/>
        <v>7</v>
      </c>
      <c r="AA119" s="44">
        <f t="shared" si="46"/>
        <v>7</v>
      </c>
      <c r="AB119" s="44">
        <f t="shared" si="46"/>
        <v>7</v>
      </c>
      <c r="AC119" s="44">
        <f t="shared" si="46"/>
        <v>7</v>
      </c>
      <c r="AD119" s="44">
        <f t="shared" si="46"/>
        <v>7</v>
      </c>
      <c r="AE119" s="44">
        <f t="shared" si="46"/>
        <v>7</v>
      </c>
      <c r="AF119" s="44">
        <f t="shared" si="46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4"/>
        <v>3.47</v>
      </c>
      <c r="C120" s="55">
        <v>3.47</v>
      </c>
      <c r="D120" s="44">
        <f t="shared" ref="D120:S129" si="47">C120</f>
        <v>3.47</v>
      </c>
      <c r="E120" s="44">
        <f t="shared" si="47"/>
        <v>3.47</v>
      </c>
      <c r="F120" s="44">
        <f t="shared" si="47"/>
        <v>3.47</v>
      </c>
      <c r="G120" s="44">
        <f t="shared" si="47"/>
        <v>3.47</v>
      </c>
      <c r="H120" s="44">
        <f t="shared" si="47"/>
        <v>3.47</v>
      </c>
      <c r="I120" s="44">
        <f t="shared" si="47"/>
        <v>3.47</v>
      </c>
      <c r="J120" s="44">
        <f t="shared" si="47"/>
        <v>3.47</v>
      </c>
      <c r="K120" s="44">
        <f t="shared" si="47"/>
        <v>3.47</v>
      </c>
      <c r="L120" s="44">
        <f t="shared" si="47"/>
        <v>3.47</v>
      </c>
      <c r="M120" s="44">
        <f t="shared" si="47"/>
        <v>3.47</v>
      </c>
      <c r="N120" s="44">
        <f t="shared" si="47"/>
        <v>3.47</v>
      </c>
      <c r="O120" s="44">
        <f t="shared" si="47"/>
        <v>3.47</v>
      </c>
      <c r="P120" s="44">
        <f t="shared" si="47"/>
        <v>3.47</v>
      </c>
      <c r="Q120" s="44">
        <f t="shared" si="47"/>
        <v>3.47</v>
      </c>
      <c r="R120" s="44">
        <f t="shared" si="47"/>
        <v>3.47</v>
      </c>
      <c r="S120" s="44">
        <f t="shared" si="47"/>
        <v>3.47</v>
      </c>
      <c r="T120" s="44">
        <f t="shared" si="46"/>
        <v>3.47</v>
      </c>
      <c r="U120" s="44">
        <f t="shared" si="46"/>
        <v>3.47</v>
      </c>
      <c r="V120" s="44">
        <f t="shared" si="46"/>
        <v>3.47</v>
      </c>
      <c r="W120" s="44">
        <f t="shared" si="46"/>
        <v>3.47</v>
      </c>
      <c r="X120" s="44">
        <f t="shared" si="46"/>
        <v>3.47</v>
      </c>
      <c r="Y120" s="44">
        <f t="shared" si="46"/>
        <v>3.47</v>
      </c>
      <c r="Z120" s="44">
        <f t="shared" si="46"/>
        <v>3.47</v>
      </c>
      <c r="AA120" s="44">
        <f t="shared" si="46"/>
        <v>3.47</v>
      </c>
      <c r="AB120" s="44">
        <f t="shared" si="46"/>
        <v>3.47</v>
      </c>
      <c r="AC120" s="44">
        <f t="shared" si="46"/>
        <v>3.47</v>
      </c>
      <c r="AD120" s="44">
        <f t="shared" si="46"/>
        <v>3.47</v>
      </c>
      <c r="AE120" s="44">
        <f t="shared" si="46"/>
        <v>3.47</v>
      </c>
      <c r="AF120" s="44">
        <f t="shared" si="46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4"/>
        <v>2.1</v>
      </c>
      <c r="C121" s="55">
        <v>2.1</v>
      </c>
      <c r="D121" s="44">
        <f t="shared" si="47"/>
        <v>2.1</v>
      </c>
      <c r="E121" s="44">
        <f t="shared" si="47"/>
        <v>2.1</v>
      </c>
      <c r="F121" s="44">
        <f t="shared" si="47"/>
        <v>2.1</v>
      </c>
      <c r="G121" s="44">
        <f t="shared" si="47"/>
        <v>2.1</v>
      </c>
      <c r="H121" s="44">
        <f t="shared" si="47"/>
        <v>2.1</v>
      </c>
      <c r="I121" s="44">
        <f t="shared" si="47"/>
        <v>2.1</v>
      </c>
      <c r="J121" s="44">
        <f t="shared" si="47"/>
        <v>2.1</v>
      </c>
      <c r="K121" s="44">
        <f t="shared" si="47"/>
        <v>2.1</v>
      </c>
      <c r="L121" s="44">
        <f t="shared" si="47"/>
        <v>2.1</v>
      </c>
      <c r="M121" s="44">
        <f t="shared" si="47"/>
        <v>2.1</v>
      </c>
      <c r="N121" s="44">
        <f t="shared" si="47"/>
        <v>2.1</v>
      </c>
      <c r="O121" s="44">
        <f t="shared" si="47"/>
        <v>2.1</v>
      </c>
      <c r="P121" s="44">
        <f t="shared" si="47"/>
        <v>2.1</v>
      </c>
      <c r="Q121" s="44">
        <f t="shared" si="47"/>
        <v>2.1</v>
      </c>
      <c r="R121" s="44">
        <f t="shared" si="47"/>
        <v>2.1</v>
      </c>
      <c r="S121" s="44">
        <f t="shared" si="47"/>
        <v>2.1</v>
      </c>
      <c r="T121" s="44">
        <f t="shared" si="46"/>
        <v>2.1</v>
      </c>
      <c r="U121" s="44">
        <f t="shared" si="46"/>
        <v>2.1</v>
      </c>
      <c r="V121" s="44">
        <f t="shared" si="46"/>
        <v>2.1</v>
      </c>
      <c r="W121" s="44">
        <f t="shared" si="46"/>
        <v>2.1</v>
      </c>
      <c r="X121" s="44">
        <f t="shared" si="46"/>
        <v>2.1</v>
      </c>
      <c r="Y121" s="44">
        <f t="shared" si="46"/>
        <v>2.1</v>
      </c>
      <c r="Z121" s="44">
        <f t="shared" si="46"/>
        <v>2.1</v>
      </c>
      <c r="AA121" s="44">
        <f t="shared" si="46"/>
        <v>2.1</v>
      </c>
      <c r="AB121" s="44">
        <f t="shared" si="46"/>
        <v>2.1</v>
      </c>
      <c r="AC121" s="44">
        <f t="shared" si="46"/>
        <v>2.1</v>
      </c>
      <c r="AD121" s="44">
        <f t="shared" si="46"/>
        <v>2.1</v>
      </c>
      <c r="AE121" s="44">
        <f t="shared" si="46"/>
        <v>2.1</v>
      </c>
      <c r="AF121" s="44">
        <f t="shared" si="46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4"/>
        <v>9.3000000000000007</v>
      </c>
      <c r="C122" s="55">
        <v>9.3000000000000007</v>
      </c>
      <c r="D122" s="44">
        <f t="shared" si="47"/>
        <v>9.3000000000000007</v>
      </c>
      <c r="E122" s="44">
        <f t="shared" si="47"/>
        <v>9.3000000000000007</v>
      </c>
      <c r="F122" s="44">
        <f t="shared" si="47"/>
        <v>9.3000000000000007</v>
      </c>
      <c r="G122" s="44">
        <f t="shared" si="47"/>
        <v>9.3000000000000007</v>
      </c>
      <c r="H122" s="44">
        <f t="shared" si="47"/>
        <v>9.3000000000000007</v>
      </c>
      <c r="I122" s="44">
        <f t="shared" si="47"/>
        <v>9.3000000000000007</v>
      </c>
      <c r="J122" s="44">
        <f t="shared" si="47"/>
        <v>9.3000000000000007</v>
      </c>
      <c r="K122" s="44">
        <f t="shared" si="47"/>
        <v>9.3000000000000007</v>
      </c>
      <c r="L122" s="44">
        <f t="shared" si="47"/>
        <v>9.3000000000000007</v>
      </c>
      <c r="M122" s="44">
        <f t="shared" si="47"/>
        <v>9.3000000000000007</v>
      </c>
      <c r="N122" s="44">
        <f t="shared" si="47"/>
        <v>9.3000000000000007</v>
      </c>
      <c r="O122" s="44">
        <f t="shared" si="47"/>
        <v>9.3000000000000007</v>
      </c>
      <c r="P122" s="44">
        <f t="shared" si="47"/>
        <v>9.3000000000000007</v>
      </c>
      <c r="Q122" s="44">
        <f t="shared" si="47"/>
        <v>9.3000000000000007</v>
      </c>
      <c r="R122" s="44">
        <f t="shared" si="47"/>
        <v>9.3000000000000007</v>
      </c>
      <c r="S122" s="44">
        <f t="shared" si="47"/>
        <v>9.3000000000000007</v>
      </c>
      <c r="T122" s="44">
        <f t="shared" si="46"/>
        <v>9.3000000000000007</v>
      </c>
      <c r="U122" s="44">
        <f t="shared" si="46"/>
        <v>9.3000000000000007</v>
      </c>
      <c r="V122" s="44">
        <f t="shared" si="46"/>
        <v>9.3000000000000007</v>
      </c>
      <c r="W122" s="44">
        <f t="shared" si="46"/>
        <v>9.3000000000000007</v>
      </c>
      <c r="X122" s="44">
        <f t="shared" si="46"/>
        <v>9.3000000000000007</v>
      </c>
      <c r="Y122" s="44">
        <f t="shared" si="46"/>
        <v>9.3000000000000007</v>
      </c>
      <c r="Z122" s="44">
        <f t="shared" si="46"/>
        <v>9.3000000000000007</v>
      </c>
      <c r="AA122" s="44">
        <f t="shared" si="46"/>
        <v>9.3000000000000007</v>
      </c>
      <c r="AB122" s="44">
        <f t="shared" si="46"/>
        <v>9.3000000000000007</v>
      </c>
      <c r="AC122" s="44">
        <f t="shared" si="46"/>
        <v>9.3000000000000007</v>
      </c>
      <c r="AD122" s="44">
        <f t="shared" si="46"/>
        <v>9.3000000000000007</v>
      </c>
      <c r="AE122" s="44">
        <f t="shared" si="46"/>
        <v>9.3000000000000007</v>
      </c>
      <c r="AF122" s="44">
        <f t="shared" si="46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4"/>
        <v>0</v>
      </c>
      <c r="C123" s="55">
        <v>0</v>
      </c>
      <c r="D123" s="44">
        <f t="shared" si="47"/>
        <v>0</v>
      </c>
      <c r="E123" s="44">
        <f t="shared" si="47"/>
        <v>0</v>
      </c>
      <c r="F123" s="44">
        <f t="shared" si="47"/>
        <v>0</v>
      </c>
      <c r="G123" s="44">
        <f t="shared" si="47"/>
        <v>0</v>
      </c>
      <c r="H123" s="44">
        <f t="shared" si="47"/>
        <v>0</v>
      </c>
      <c r="I123" s="44">
        <f t="shared" si="47"/>
        <v>0</v>
      </c>
      <c r="J123" s="44">
        <f t="shared" si="47"/>
        <v>0</v>
      </c>
      <c r="K123" s="44">
        <f t="shared" si="47"/>
        <v>0</v>
      </c>
      <c r="L123" s="44">
        <f t="shared" si="47"/>
        <v>0</v>
      </c>
      <c r="M123" s="44">
        <f t="shared" si="47"/>
        <v>0</v>
      </c>
      <c r="N123" s="44">
        <f t="shared" si="47"/>
        <v>0</v>
      </c>
      <c r="O123" s="44">
        <f t="shared" si="47"/>
        <v>0</v>
      </c>
      <c r="P123" s="44">
        <f t="shared" si="47"/>
        <v>0</v>
      </c>
      <c r="Q123" s="44">
        <f t="shared" si="47"/>
        <v>0</v>
      </c>
      <c r="R123" s="44">
        <f t="shared" si="47"/>
        <v>0</v>
      </c>
      <c r="S123" s="44">
        <f t="shared" si="47"/>
        <v>0</v>
      </c>
      <c r="T123" s="44">
        <f t="shared" si="46"/>
        <v>0</v>
      </c>
      <c r="U123" s="44">
        <f t="shared" si="46"/>
        <v>0</v>
      </c>
      <c r="V123" s="44">
        <f t="shared" si="46"/>
        <v>0</v>
      </c>
      <c r="W123" s="44">
        <f t="shared" si="46"/>
        <v>0</v>
      </c>
      <c r="X123" s="44">
        <f t="shared" si="46"/>
        <v>0</v>
      </c>
      <c r="Y123" s="44">
        <f t="shared" si="46"/>
        <v>0</v>
      </c>
      <c r="Z123" s="44">
        <f t="shared" si="46"/>
        <v>0</v>
      </c>
      <c r="AA123" s="44">
        <f t="shared" si="46"/>
        <v>0</v>
      </c>
      <c r="AB123" s="44">
        <f t="shared" si="46"/>
        <v>0</v>
      </c>
      <c r="AC123" s="44">
        <f t="shared" si="46"/>
        <v>0</v>
      </c>
      <c r="AD123" s="44">
        <f t="shared" si="46"/>
        <v>0</v>
      </c>
      <c r="AE123" s="44">
        <f t="shared" si="46"/>
        <v>0</v>
      </c>
      <c r="AF123" s="44">
        <f t="shared" si="46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4"/>
        <v>0</v>
      </c>
      <c r="C124" s="55">
        <v>0</v>
      </c>
      <c r="D124" s="44">
        <f t="shared" si="47"/>
        <v>0</v>
      </c>
      <c r="E124" s="44">
        <f t="shared" si="47"/>
        <v>0</v>
      </c>
      <c r="F124" s="44">
        <f t="shared" si="47"/>
        <v>0</v>
      </c>
      <c r="G124" s="44">
        <f t="shared" si="47"/>
        <v>0</v>
      </c>
      <c r="H124" s="44">
        <f t="shared" si="47"/>
        <v>0</v>
      </c>
      <c r="I124" s="44">
        <f t="shared" si="47"/>
        <v>0</v>
      </c>
      <c r="J124" s="44">
        <f t="shared" si="47"/>
        <v>0</v>
      </c>
      <c r="K124" s="44">
        <f t="shared" si="47"/>
        <v>0</v>
      </c>
      <c r="L124" s="44">
        <f t="shared" si="47"/>
        <v>0</v>
      </c>
      <c r="M124" s="44">
        <f t="shared" si="47"/>
        <v>0</v>
      </c>
      <c r="N124" s="44">
        <f t="shared" si="47"/>
        <v>0</v>
      </c>
      <c r="O124" s="44">
        <f t="shared" si="47"/>
        <v>0</v>
      </c>
      <c r="P124" s="44">
        <f t="shared" si="47"/>
        <v>0</v>
      </c>
      <c r="Q124" s="44">
        <f t="shared" si="47"/>
        <v>0</v>
      </c>
      <c r="R124" s="44">
        <f t="shared" si="47"/>
        <v>0</v>
      </c>
      <c r="S124" s="44">
        <f t="shared" si="47"/>
        <v>0</v>
      </c>
      <c r="T124" s="44">
        <f t="shared" si="46"/>
        <v>0</v>
      </c>
      <c r="U124" s="44">
        <f t="shared" si="46"/>
        <v>0</v>
      </c>
      <c r="V124" s="44">
        <f t="shared" si="46"/>
        <v>0</v>
      </c>
      <c r="W124" s="44">
        <f t="shared" si="46"/>
        <v>0</v>
      </c>
      <c r="X124" s="44">
        <f t="shared" si="46"/>
        <v>0</v>
      </c>
      <c r="Y124" s="44">
        <f t="shared" si="46"/>
        <v>0</v>
      </c>
      <c r="Z124" s="44">
        <f t="shared" si="46"/>
        <v>0</v>
      </c>
      <c r="AA124" s="44">
        <f t="shared" si="46"/>
        <v>0</v>
      </c>
      <c r="AB124" s="44">
        <f t="shared" si="46"/>
        <v>0</v>
      </c>
      <c r="AC124" s="44">
        <f t="shared" si="46"/>
        <v>0</v>
      </c>
      <c r="AD124" s="44">
        <f t="shared" si="46"/>
        <v>0</v>
      </c>
      <c r="AE124" s="44">
        <f t="shared" si="46"/>
        <v>0</v>
      </c>
      <c r="AF124" s="44">
        <f t="shared" si="46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4"/>
        <v>5</v>
      </c>
      <c r="C125" s="55">
        <v>5</v>
      </c>
      <c r="D125" s="44">
        <f t="shared" si="47"/>
        <v>5</v>
      </c>
      <c r="E125" s="44">
        <f t="shared" si="47"/>
        <v>5</v>
      </c>
      <c r="F125" s="44">
        <f t="shared" si="47"/>
        <v>5</v>
      </c>
      <c r="G125" s="44">
        <f t="shared" si="47"/>
        <v>5</v>
      </c>
      <c r="H125" s="44">
        <f t="shared" si="47"/>
        <v>5</v>
      </c>
      <c r="I125" s="44">
        <f t="shared" si="47"/>
        <v>5</v>
      </c>
      <c r="J125" s="44">
        <f t="shared" si="47"/>
        <v>5</v>
      </c>
      <c r="K125" s="44">
        <f t="shared" si="47"/>
        <v>5</v>
      </c>
      <c r="L125" s="44">
        <f t="shared" si="47"/>
        <v>5</v>
      </c>
      <c r="M125" s="44">
        <f t="shared" si="47"/>
        <v>5</v>
      </c>
      <c r="N125" s="44">
        <f t="shared" si="47"/>
        <v>5</v>
      </c>
      <c r="O125" s="44">
        <f t="shared" si="47"/>
        <v>5</v>
      </c>
      <c r="P125" s="44">
        <f t="shared" si="47"/>
        <v>5</v>
      </c>
      <c r="Q125" s="44">
        <f t="shared" si="47"/>
        <v>5</v>
      </c>
      <c r="R125" s="44">
        <f t="shared" si="47"/>
        <v>5</v>
      </c>
      <c r="S125" s="44">
        <f t="shared" si="47"/>
        <v>5</v>
      </c>
      <c r="T125" s="44">
        <f t="shared" si="46"/>
        <v>5</v>
      </c>
      <c r="U125" s="44">
        <f t="shared" si="46"/>
        <v>5</v>
      </c>
      <c r="V125" s="44">
        <f t="shared" si="46"/>
        <v>5</v>
      </c>
      <c r="W125" s="44">
        <f t="shared" si="46"/>
        <v>5</v>
      </c>
      <c r="X125" s="44">
        <f t="shared" si="46"/>
        <v>5</v>
      </c>
      <c r="Y125" s="44">
        <f t="shared" si="46"/>
        <v>5</v>
      </c>
      <c r="Z125" s="44">
        <f t="shared" si="46"/>
        <v>5</v>
      </c>
      <c r="AA125" s="44">
        <f t="shared" si="46"/>
        <v>5</v>
      </c>
      <c r="AB125" s="44">
        <f t="shared" si="46"/>
        <v>5</v>
      </c>
      <c r="AC125" s="44">
        <f t="shared" si="46"/>
        <v>5</v>
      </c>
      <c r="AD125" s="44">
        <f t="shared" si="46"/>
        <v>5</v>
      </c>
      <c r="AE125" s="44">
        <f t="shared" si="46"/>
        <v>5</v>
      </c>
      <c r="AF125" s="44">
        <f t="shared" si="46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4"/>
        <v>1</v>
      </c>
      <c r="C126" s="55">
        <v>1</v>
      </c>
      <c r="D126" s="44">
        <f t="shared" si="47"/>
        <v>1</v>
      </c>
      <c r="E126" s="44">
        <f t="shared" si="47"/>
        <v>1</v>
      </c>
      <c r="F126" s="44">
        <f t="shared" si="47"/>
        <v>1</v>
      </c>
      <c r="G126" s="44">
        <f t="shared" si="47"/>
        <v>1</v>
      </c>
      <c r="H126" s="44">
        <f t="shared" si="47"/>
        <v>1</v>
      </c>
      <c r="I126" s="44">
        <f t="shared" si="47"/>
        <v>1</v>
      </c>
      <c r="J126" s="44">
        <f t="shared" si="47"/>
        <v>1</v>
      </c>
      <c r="K126" s="44">
        <f t="shared" si="47"/>
        <v>1</v>
      </c>
      <c r="L126" s="44">
        <f t="shared" si="47"/>
        <v>1</v>
      </c>
      <c r="M126" s="44">
        <f t="shared" si="47"/>
        <v>1</v>
      </c>
      <c r="N126" s="44">
        <f t="shared" si="47"/>
        <v>1</v>
      </c>
      <c r="O126" s="44">
        <f t="shared" si="47"/>
        <v>1</v>
      </c>
      <c r="P126" s="44">
        <f t="shared" si="47"/>
        <v>1</v>
      </c>
      <c r="Q126" s="44">
        <f t="shared" si="47"/>
        <v>1</v>
      </c>
      <c r="R126" s="44">
        <f t="shared" si="47"/>
        <v>1</v>
      </c>
      <c r="S126" s="44">
        <f t="shared" si="47"/>
        <v>1</v>
      </c>
      <c r="T126" s="44">
        <f t="shared" si="46"/>
        <v>1</v>
      </c>
      <c r="U126" s="44">
        <f t="shared" si="46"/>
        <v>1</v>
      </c>
      <c r="V126" s="44">
        <f t="shared" si="46"/>
        <v>1</v>
      </c>
      <c r="W126" s="44">
        <f t="shared" si="46"/>
        <v>1</v>
      </c>
      <c r="X126" s="44">
        <f t="shared" si="46"/>
        <v>1</v>
      </c>
      <c r="Y126" s="44">
        <f t="shared" si="46"/>
        <v>1</v>
      </c>
      <c r="Z126" s="44">
        <f t="shared" si="46"/>
        <v>1</v>
      </c>
      <c r="AA126" s="44">
        <f t="shared" si="46"/>
        <v>1</v>
      </c>
      <c r="AB126" s="44">
        <f t="shared" si="46"/>
        <v>1</v>
      </c>
      <c r="AC126" s="44">
        <f t="shared" si="46"/>
        <v>1</v>
      </c>
      <c r="AD126" s="44">
        <f t="shared" si="46"/>
        <v>1</v>
      </c>
      <c r="AE126" s="44">
        <f t="shared" si="46"/>
        <v>1</v>
      </c>
      <c r="AF126" s="44">
        <f t="shared" si="46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4"/>
        <v>1.58</v>
      </c>
      <c r="C127" s="55">
        <v>1.58</v>
      </c>
      <c r="D127" s="44">
        <f t="shared" si="47"/>
        <v>1.58</v>
      </c>
      <c r="E127" s="44">
        <f t="shared" si="47"/>
        <v>1.58</v>
      </c>
      <c r="F127" s="44">
        <f t="shared" si="47"/>
        <v>1.58</v>
      </c>
      <c r="G127" s="44">
        <f t="shared" si="47"/>
        <v>1.58</v>
      </c>
      <c r="H127" s="44">
        <f t="shared" si="47"/>
        <v>1.58</v>
      </c>
      <c r="I127" s="44">
        <f t="shared" si="47"/>
        <v>1.58</v>
      </c>
      <c r="J127" s="44">
        <f t="shared" si="47"/>
        <v>1.58</v>
      </c>
      <c r="K127" s="44">
        <f t="shared" si="47"/>
        <v>1.58</v>
      </c>
      <c r="L127" s="44">
        <f t="shared" si="47"/>
        <v>1.58</v>
      </c>
      <c r="M127" s="44">
        <f t="shared" si="47"/>
        <v>1.58</v>
      </c>
      <c r="N127" s="44">
        <f t="shared" si="47"/>
        <v>1.58</v>
      </c>
      <c r="O127" s="44">
        <f t="shared" si="47"/>
        <v>1.58</v>
      </c>
      <c r="P127" s="44">
        <f t="shared" si="47"/>
        <v>1.58</v>
      </c>
      <c r="Q127" s="44">
        <f t="shared" si="47"/>
        <v>1.58</v>
      </c>
      <c r="R127" s="44">
        <f t="shared" si="47"/>
        <v>1.58</v>
      </c>
      <c r="S127" s="44">
        <f t="shared" si="47"/>
        <v>1.58</v>
      </c>
      <c r="T127" s="44">
        <f t="shared" si="46"/>
        <v>1.58</v>
      </c>
      <c r="U127" s="44">
        <f t="shared" si="46"/>
        <v>1.58</v>
      </c>
      <c r="V127" s="44">
        <f t="shared" si="46"/>
        <v>1.58</v>
      </c>
      <c r="W127" s="44">
        <f t="shared" si="46"/>
        <v>1.58</v>
      </c>
      <c r="X127" s="44">
        <f t="shared" si="46"/>
        <v>1.58</v>
      </c>
      <c r="Y127" s="44">
        <f t="shared" si="46"/>
        <v>1.58</v>
      </c>
      <c r="Z127" s="44">
        <f t="shared" si="46"/>
        <v>1.58</v>
      </c>
      <c r="AA127" s="44">
        <f t="shared" si="46"/>
        <v>1.58</v>
      </c>
      <c r="AB127" s="44">
        <f t="shared" si="46"/>
        <v>1.58</v>
      </c>
      <c r="AC127" s="44">
        <f t="shared" si="46"/>
        <v>1.58</v>
      </c>
      <c r="AD127" s="44">
        <f t="shared" si="46"/>
        <v>1.58</v>
      </c>
      <c r="AE127" s="44">
        <f t="shared" si="46"/>
        <v>1.58</v>
      </c>
      <c r="AF127" s="44">
        <f t="shared" si="46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4"/>
        <v>1.46</v>
      </c>
      <c r="C128" s="55">
        <v>1.46</v>
      </c>
      <c r="D128" s="44">
        <f t="shared" si="47"/>
        <v>1.46</v>
      </c>
      <c r="E128" s="44">
        <f t="shared" si="47"/>
        <v>1.46</v>
      </c>
      <c r="F128" s="44">
        <f t="shared" si="47"/>
        <v>1.46</v>
      </c>
      <c r="G128" s="44">
        <f t="shared" si="47"/>
        <v>1.46</v>
      </c>
      <c r="H128" s="44">
        <f t="shared" si="47"/>
        <v>1.46</v>
      </c>
      <c r="I128" s="44">
        <f t="shared" si="47"/>
        <v>1.46</v>
      </c>
      <c r="J128" s="44">
        <f t="shared" si="47"/>
        <v>1.46</v>
      </c>
      <c r="K128" s="44">
        <f t="shared" si="47"/>
        <v>1.46</v>
      </c>
      <c r="L128" s="44">
        <f t="shared" si="47"/>
        <v>1.46</v>
      </c>
      <c r="M128" s="44">
        <f t="shared" si="47"/>
        <v>1.46</v>
      </c>
      <c r="N128" s="44">
        <f t="shared" si="47"/>
        <v>1.46</v>
      </c>
      <c r="O128" s="44">
        <f t="shared" si="47"/>
        <v>1.46</v>
      </c>
      <c r="P128" s="44">
        <f t="shared" si="47"/>
        <v>1.46</v>
      </c>
      <c r="Q128" s="44">
        <f t="shared" si="47"/>
        <v>1.46</v>
      </c>
      <c r="R128" s="44">
        <f t="shared" si="47"/>
        <v>1.46</v>
      </c>
      <c r="S128" s="44">
        <f t="shared" si="47"/>
        <v>1.46</v>
      </c>
      <c r="T128" s="44">
        <f t="shared" ref="T128:AF129" si="48">S128</f>
        <v>1.46</v>
      </c>
      <c r="U128" s="44">
        <f t="shared" si="48"/>
        <v>1.46</v>
      </c>
      <c r="V128" s="44">
        <f t="shared" si="48"/>
        <v>1.46</v>
      </c>
      <c r="W128" s="44">
        <f t="shared" si="48"/>
        <v>1.46</v>
      </c>
      <c r="X128" s="44">
        <f t="shared" si="48"/>
        <v>1.46</v>
      </c>
      <c r="Y128" s="44">
        <f t="shared" si="48"/>
        <v>1.46</v>
      </c>
      <c r="Z128" s="44">
        <f t="shared" si="48"/>
        <v>1.46</v>
      </c>
      <c r="AA128" s="44">
        <f t="shared" si="48"/>
        <v>1.46</v>
      </c>
      <c r="AB128" s="44">
        <f t="shared" si="48"/>
        <v>1.46</v>
      </c>
      <c r="AC128" s="44">
        <f t="shared" si="48"/>
        <v>1.46</v>
      </c>
      <c r="AD128" s="44">
        <f t="shared" si="48"/>
        <v>1.46</v>
      </c>
      <c r="AE128" s="44">
        <f t="shared" si="48"/>
        <v>1.46</v>
      </c>
      <c r="AF128" s="44">
        <f t="shared" si="48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4"/>
        <v>1.48</v>
      </c>
      <c r="C129" s="55">
        <v>1.48</v>
      </c>
      <c r="D129" s="44">
        <f t="shared" si="47"/>
        <v>1.48</v>
      </c>
      <c r="E129" s="44">
        <f t="shared" si="47"/>
        <v>1.48</v>
      </c>
      <c r="F129" s="44">
        <f t="shared" si="47"/>
        <v>1.48</v>
      </c>
      <c r="G129" s="44">
        <f t="shared" si="47"/>
        <v>1.48</v>
      </c>
      <c r="H129" s="44">
        <f t="shared" si="47"/>
        <v>1.48</v>
      </c>
      <c r="I129" s="44">
        <f t="shared" si="47"/>
        <v>1.48</v>
      </c>
      <c r="J129" s="44">
        <f t="shared" si="47"/>
        <v>1.48</v>
      </c>
      <c r="K129" s="44">
        <f t="shared" si="47"/>
        <v>1.48</v>
      </c>
      <c r="L129" s="44">
        <f t="shared" si="47"/>
        <v>1.48</v>
      </c>
      <c r="M129" s="44">
        <f t="shared" si="47"/>
        <v>1.48</v>
      </c>
      <c r="N129" s="44">
        <f t="shared" si="47"/>
        <v>1.48</v>
      </c>
      <c r="O129" s="44">
        <f t="shared" si="47"/>
        <v>1.48</v>
      </c>
      <c r="P129" s="44">
        <f t="shared" si="47"/>
        <v>1.48</v>
      </c>
      <c r="Q129" s="44">
        <f t="shared" si="47"/>
        <v>1.48</v>
      </c>
      <c r="R129" s="44">
        <f t="shared" si="47"/>
        <v>1.48</v>
      </c>
      <c r="S129" s="44">
        <f t="shared" si="47"/>
        <v>1.48</v>
      </c>
      <c r="T129" s="44">
        <f t="shared" si="48"/>
        <v>1.48</v>
      </c>
      <c r="U129" s="44">
        <f t="shared" si="48"/>
        <v>1.48</v>
      </c>
      <c r="V129" s="44">
        <f t="shared" si="48"/>
        <v>1.48</v>
      </c>
      <c r="W129" s="44">
        <f t="shared" si="48"/>
        <v>1.48</v>
      </c>
      <c r="X129" s="44">
        <f t="shared" si="48"/>
        <v>1.48</v>
      </c>
      <c r="Y129" s="44">
        <f t="shared" si="48"/>
        <v>1.48</v>
      </c>
      <c r="Z129" s="44">
        <f t="shared" si="48"/>
        <v>1.48</v>
      </c>
      <c r="AA129" s="44">
        <f t="shared" si="48"/>
        <v>1.48</v>
      </c>
      <c r="AB129" s="44">
        <f t="shared" si="48"/>
        <v>1.48</v>
      </c>
      <c r="AC129" s="44">
        <f t="shared" si="48"/>
        <v>1.48</v>
      </c>
      <c r="AD129" s="44">
        <f t="shared" si="48"/>
        <v>1.48</v>
      </c>
      <c r="AE129" s="44">
        <f t="shared" si="48"/>
        <v>1.48</v>
      </c>
      <c r="AF129" s="44">
        <f t="shared" si="48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49">AF131</f>
        <v>2.2000000000000002</v>
      </c>
      <c r="C131" s="55">
        <v>2.2000000000000002</v>
      </c>
      <c r="D131" s="44">
        <f t="shared" ref="D131:S138" si="50">C131</f>
        <v>2.2000000000000002</v>
      </c>
      <c r="E131" s="44">
        <f t="shared" si="50"/>
        <v>2.2000000000000002</v>
      </c>
      <c r="F131" s="44">
        <f t="shared" si="50"/>
        <v>2.2000000000000002</v>
      </c>
      <c r="G131" s="44">
        <f t="shared" si="50"/>
        <v>2.2000000000000002</v>
      </c>
      <c r="H131" s="44">
        <f t="shared" si="50"/>
        <v>2.2000000000000002</v>
      </c>
      <c r="I131" s="44">
        <f t="shared" si="50"/>
        <v>2.2000000000000002</v>
      </c>
      <c r="J131" s="44">
        <f t="shared" si="50"/>
        <v>2.2000000000000002</v>
      </c>
      <c r="K131" s="44">
        <f t="shared" si="50"/>
        <v>2.2000000000000002</v>
      </c>
      <c r="L131" s="44">
        <f t="shared" si="50"/>
        <v>2.2000000000000002</v>
      </c>
      <c r="M131" s="44">
        <f t="shared" si="50"/>
        <v>2.2000000000000002</v>
      </c>
      <c r="N131" s="44">
        <f t="shared" si="50"/>
        <v>2.2000000000000002</v>
      </c>
      <c r="O131" s="44">
        <f t="shared" si="50"/>
        <v>2.2000000000000002</v>
      </c>
      <c r="P131" s="44">
        <f t="shared" si="50"/>
        <v>2.2000000000000002</v>
      </c>
      <c r="Q131" s="44">
        <f t="shared" si="50"/>
        <v>2.2000000000000002</v>
      </c>
      <c r="R131" s="44">
        <f t="shared" si="50"/>
        <v>2.2000000000000002</v>
      </c>
      <c r="S131" s="44">
        <f t="shared" si="50"/>
        <v>2.2000000000000002</v>
      </c>
      <c r="T131" s="44">
        <f t="shared" ref="T131:AF138" si="51">S131</f>
        <v>2.2000000000000002</v>
      </c>
      <c r="U131" s="44">
        <f t="shared" si="51"/>
        <v>2.2000000000000002</v>
      </c>
      <c r="V131" s="44">
        <f t="shared" si="51"/>
        <v>2.2000000000000002</v>
      </c>
      <c r="W131" s="44">
        <f t="shared" si="51"/>
        <v>2.2000000000000002</v>
      </c>
      <c r="X131" s="44">
        <f t="shared" si="51"/>
        <v>2.2000000000000002</v>
      </c>
      <c r="Y131" s="44">
        <f t="shared" si="51"/>
        <v>2.2000000000000002</v>
      </c>
      <c r="Z131" s="44">
        <f t="shared" si="51"/>
        <v>2.2000000000000002</v>
      </c>
      <c r="AA131" s="44">
        <f t="shared" si="51"/>
        <v>2.2000000000000002</v>
      </c>
      <c r="AB131" s="44">
        <f t="shared" si="51"/>
        <v>2.2000000000000002</v>
      </c>
      <c r="AC131" s="44">
        <f t="shared" si="51"/>
        <v>2.2000000000000002</v>
      </c>
      <c r="AD131" s="44">
        <f t="shared" si="51"/>
        <v>2.2000000000000002</v>
      </c>
      <c r="AE131" s="44">
        <f t="shared" si="51"/>
        <v>2.2000000000000002</v>
      </c>
      <c r="AF131" s="44">
        <f t="shared" si="51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49"/>
        <v>2</v>
      </c>
      <c r="C132" s="55">
        <v>2</v>
      </c>
      <c r="D132" s="44">
        <f t="shared" si="50"/>
        <v>2</v>
      </c>
      <c r="E132" s="44">
        <f t="shared" si="50"/>
        <v>2</v>
      </c>
      <c r="F132" s="44">
        <f t="shared" si="50"/>
        <v>2</v>
      </c>
      <c r="G132" s="44">
        <f t="shared" si="50"/>
        <v>2</v>
      </c>
      <c r="H132" s="44">
        <f t="shared" si="50"/>
        <v>2</v>
      </c>
      <c r="I132" s="44">
        <f t="shared" si="50"/>
        <v>2</v>
      </c>
      <c r="J132" s="44">
        <f t="shared" si="50"/>
        <v>2</v>
      </c>
      <c r="K132" s="44">
        <f t="shared" si="50"/>
        <v>2</v>
      </c>
      <c r="L132" s="44">
        <f t="shared" si="50"/>
        <v>2</v>
      </c>
      <c r="M132" s="44">
        <f t="shared" si="50"/>
        <v>2</v>
      </c>
      <c r="N132" s="44">
        <f t="shared" si="50"/>
        <v>2</v>
      </c>
      <c r="O132" s="44">
        <f t="shared" si="50"/>
        <v>2</v>
      </c>
      <c r="P132" s="44">
        <f t="shared" si="50"/>
        <v>2</v>
      </c>
      <c r="Q132" s="44">
        <f t="shared" si="50"/>
        <v>2</v>
      </c>
      <c r="R132" s="44">
        <f t="shared" si="50"/>
        <v>2</v>
      </c>
      <c r="S132" s="44">
        <f t="shared" si="50"/>
        <v>2</v>
      </c>
      <c r="T132" s="44">
        <f t="shared" si="51"/>
        <v>2</v>
      </c>
      <c r="U132" s="44">
        <f t="shared" si="51"/>
        <v>2</v>
      </c>
      <c r="V132" s="44">
        <f t="shared" si="51"/>
        <v>2</v>
      </c>
      <c r="W132" s="44">
        <f t="shared" si="51"/>
        <v>2</v>
      </c>
      <c r="X132" s="44">
        <f t="shared" si="51"/>
        <v>2</v>
      </c>
      <c r="Y132" s="44">
        <f t="shared" si="51"/>
        <v>2</v>
      </c>
      <c r="Z132" s="44">
        <f t="shared" si="51"/>
        <v>2</v>
      </c>
      <c r="AA132" s="44">
        <f t="shared" si="51"/>
        <v>2</v>
      </c>
      <c r="AB132" s="44">
        <f t="shared" si="51"/>
        <v>2</v>
      </c>
      <c r="AC132" s="44">
        <f t="shared" si="51"/>
        <v>2</v>
      </c>
      <c r="AD132" s="44">
        <f t="shared" si="51"/>
        <v>2</v>
      </c>
      <c r="AE132" s="44">
        <f t="shared" si="51"/>
        <v>2</v>
      </c>
      <c r="AF132" s="44">
        <f t="shared" si="51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49"/>
        <v>1.25</v>
      </c>
      <c r="C133" s="55">
        <v>1.25</v>
      </c>
      <c r="D133" s="44">
        <f t="shared" si="50"/>
        <v>1.25</v>
      </c>
      <c r="E133" s="44">
        <f t="shared" si="50"/>
        <v>1.25</v>
      </c>
      <c r="F133" s="44">
        <f t="shared" si="50"/>
        <v>1.25</v>
      </c>
      <c r="G133" s="44">
        <f t="shared" si="50"/>
        <v>1.25</v>
      </c>
      <c r="H133" s="44">
        <f t="shared" si="50"/>
        <v>1.25</v>
      </c>
      <c r="I133" s="44">
        <f t="shared" si="50"/>
        <v>1.25</v>
      </c>
      <c r="J133" s="44">
        <f t="shared" si="50"/>
        <v>1.25</v>
      </c>
      <c r="K133" s="44">
        <f t="shared" si="50"/>
        <v>1.25</v>
      </c>
      <c r="L133" s="44">
        <f t="shared" si="50"/>
        <v>1.25</v>
      </c>
      <c r="M133" s="44">
        <f t="shared" si="50"/>
        <v>1.25</v>
      </c>
      <c r="N133" s="44">
        <f t="shared" si="50"/>
        <v>1.25</v>
      </c>
      <c r="O133" s="44">
        <f t="shared" si="50"/>
        <v>1.25</v>
      </c>
      <c r="P133" s="44">
        <f t="shared" si="50"/>
        <v>1.25</v>
      </c>
      <c r="Q133" s="44">
        <f t="shared" si="50"/>
        <v>1.25</v>
      </c>
      <c r="R133" s="44">
        <f t="shared" si="50"/>
        <v>1.25</v>
      </c>
      <c r="S133" s="44">
        <f t="shared" si="50"/>
        <v>1.25</v>
      </c>
      <c r="T133" s="44">
        <f t="shared" si="51"/>
        <v>1.25</v>
      </c>
      <c r="U133" s="44">
        <f t="shared" si="51"/>
        <v>1.25</v>
      </c>
      <c r="V133" s="44">
        <f t="shared" si="51"/>
        <v>1.25</v>
      </c>
      <c r="W133" s="44">
        <f t="shared" si="51"/>
        <v>1.25</v>
      </c>
      <c r="X133" s="44">
        <f t="shared" si="51"/>
        <v>1.25</v>
      </c>
      <c r="Y133" s="44">
        <f t="shared" si="51"/>
        <v>1.25</v>
      </c>
      <c r="Z133" s="44">
        <f t="shared" si="51"/>
        <v>1.25</v>
      </c>
      <c r="AA133" s="44">
        <f t="shared" si="51"/>
        <v>1.25</v>
      </c>
      <c r="AB133" s="44">
        <f t="shared" si="51"/>
        <v>1.25</v>
      </c>
      <c r="AC133" s="44">
        <f t="shared" si="51"/>
        <v>1.25</v>
      </c>
      <c r="AD133" s="44">
        <f t="shared" si="51"/>
        <v>1.25</v>
      </c>
      <c r="AE133" s="44">
        <f t="shared" si="51"/>
        <v>1.25</v>
      </c>
      <c r="AF133" s="44">
        <f t="shared" si="51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49"/>
        <v>1.1499999999999999</v>
      </c>
      <c r="C134" s="55">
        <v>1.1499999999999999</v>
      </c>
      <c r="D134" s="44">
        <f t="shared" si="50"/>
        <v>1.1499999999999999</v>
      </c>
      <c r="E134" s="44">
        <f t="shared" si="50"/>
        <v>1.1499999999999999</v>
      </c>
      <c r="F134" s="44">
        <f t="shared" si="50"/>
        <v>1.1499999999999999</v>
      </c>
      <c r="G134" s="44">
        <f t="shared" si="50"/>
        <v>1.1499999999999999</v>
      </c>
      <c r="H134" s="44">
        <f t="shared" si="50"/>
        <v>1.1499999999999999</v>
      </c>
      <c r="I134" s="44">
        <f t="shared" si="50"/>
        <v>1.1499999999999999</v>
      </c>
      <c r="J134" s="44">
        <f t="shared" si="50"/>
        <v>1.1499999999999999</v>
      </c>
      <c r="K134" s="44">
        <f t="shared" si="50"/>
        <v>1.1499999999999999</v>
      </c>
      <c r="L134" s="44">
        <f t="shared" si="50"/>
        <v>1.1499999999999999</v>
      </c>
      <c r="M134" s="44">
        <f t="shared" si="50"/>
        <v>1.1499999999999999</v>
      </c>
      <c r="N134" s="44">
        <f t="shared" si="50"/>
        <v>1.1499999999999999</v>
      </c>
      <c r="O134" s="44">
        <f t="shared" si="50"/>
        <v>1.1499999999999999</v>
      </c>
      <c r="P134" s="44">
        <f t="shared" si="50"/>
        <v>1.1499999999999999</v>
      </c>
      <c r="Q134" s="44">
        <f t="shared" si="50"/>
        <v>1.1499999999999999</v>
      </c>
      <c r="R134" s="44">
        <f t="shared" si="50"/>
        <v>1.1499999999999999</v>
      </c>
      <c r="S134" s="44">
        <f t="shared" si="50"/>
        <v>1.1499999999999999</v>
      </c>
      <c r="T134" s="44">
        <f t="shared" si="51"/>
        <v>1.1499999999999999</v>
      </c>
      <c r="U134" s="44">
        <f t="shared" si="51"/>
        <v>1.1499999999999999</v>
      </c>
      <c r="V134" s="44">
        <f t="shared" si="51"/>
        <v>1.1499999999999999</v>
      </c>
      <c r="W134" s="44">
        <f t="shared" si="51"/>
        <v>1.1499999999999999</v>
      </c>
      <c r="X134" s="44">
        <f t="shared" si="51"/>
        <v>1.1499999999999999</v>
      </c>
      <c r="Y134" s="44">
        <f t="shared" si="51"/>
        <v>1.1499999999999999</v>
      </c>
      <c r="Z134" s="44">
        <f t="shared" si="51"/>
        <v>1.1499999999999999</v>
      </c>
      <c r="AA134" s="44">
        <f t="shared" si="51"/>
        <v>1.1499999999999999</v>
      </c>
      <c r="AB134" s="44">
        <f t="shared" si="51"/>
        <v>1.1499999999999999</v>
      </c>
      <c r="AC134" s="44">
        <f t="shared" si="51"/>
        <v>1.1499999999999999</v>
      </c>
      <c r="AD134" s="44">
        <f t="shared" si="51"/>
        <v>1.1499999999999999</v>
      </c>
      <c r="AE134" s="44">
        <f t="shared" si="51"/>
        <v>1.1499999999999999</v>
      </c>
      <c r="AF134" s="44">
        <f t="shared" si="51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49"/>
        <v>2.133</v>
      </c>
      <c r="C135" s="55">
        <v>2.133</v>
      </c>
      <c r="D135" s="44">
        <f t="shared" si="50"/>
        <v>2.133</v>
      </c>
      <c r="E135" s="44">
        <f t="shared" si="50"/>
        <v>2.133</v>
      </c>
      <c r="F135" s="44">
        <f t="shared" si="50"/>
        <v>2.133</v>
      </c>
      <c r="G135" s="44">
        <f t="shared" si="50"/>
        <v>2.133</v>
      </c>
      <c r="H135" s="44">
        <f t="shared" si="50"/>
        <v>2.133</v>
      </c>
      <c r="I135" s="44">
        <f t="shared" si="50"/>
        <v>2.133</v>
      </c>
      <c r="J135" s="44">
        <f t="shared" si="50"/>
        <v>2.133</v>
      </c>
      <c r="K135" s="44">
        <f t="shared" si="50"/>
        <v>2.133</v>
      </c>
      <c r="L135" s="44">
        <f t="shared" si="50"/>
        <v>2.133</v>
      </c>
      <c r="M135" s="44">
        <f t="shared" si="50"/>
        <v>2.133</v>
      </c>
      <c r="N135" s="44">
        <f t="shared" si="50"/>
        <v>2.133</v>
      </c>
      <c r="O135" s="44">
        <f t="shared" si="50"/>
        <v>2.133</v>
      </c>
      <c r="P135" s="44">
        <f t="shared" si="50"/>
        <v>2.133</v>
      </c>
      <c r="Q135" s="44">
        <f t="shared" si="50"/>
        <v>2.133</v>
      </c>
      <c r="R135" s="44">
        <f t="shared" si="50"/>
        <v>2.133</v>
      </c>
      <c r="S135" s="44">
        <f t="shared" si="50"/>
        <v>2.133</v>
      </c>
      <c r="T135" s="44">
        <f t="shared" si="51"/>
        <v>2.133</v>
      </c>
      <c r="U135" s="44">
        <f t="shared" si="51"/>
        <v>2.133</v>
      </c>
      <c r="V135" s="44">
        <f t="shared" si="51"/>
        <v>2.133</v>
      </c>
      <c r="W135" s="44">
        <f t="shared" si="51"/>
        <v>2.133</v>
      </c>
      <c r="X135" s="44">
        <f t="shared" si="51"/>
        <v>2.133</v>
      </c>
      <c r="Y135" s="44">
        <f t="shared" si="51"/>
        <v>2.133</v>
      </c>
      <c r="Z135" s="44">
        <f t="shared" si="51"/>
        <v>2.133</v>
      </c>
      <c r="AA135" s="44">
        <f t="shared" si="51"/>
        <v>2.133</v>
      </c>
      <c r="AB135" s="44">
        <f t="shared" si="51"/>
        <v>2.133</v>
      </c>
      <c r="AC135" s="44">
        <f t="shared" si="51"/>
        <v>2.133</v>
      </c>
      <c r="AD135" s="44">
        <f t="shared" si="51"/>
        <v>2.133</v>
      </c>
      <c r="AE135" s="44">
        <f t="shared" si="51"/>
        <v>2.133</v>
      </c>
      <c r="AF135" s="44">
        <f t="shared" si="51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49"/>
        <v>2.09</v>
      </c>
      <c r="C136" s="55">
        <v>2.09</v>
      </c>
      <c r="D136" s="44">
        <f t="shared" si="50"/>
        <v>2.09</v>
      </c>
      <c r="E136" s="44">
        <f t="shared" si="50"/>
        <v>2.09</v>
      </c>
      <c r="F136" s="44">
        <f t="shared" si="50"/>
        <v>2.09</v>
      </c>
      <c r="G136" s="44">
        <f t="shared" si="50"/>
        <v>2.09</v>
      </c>
      <c r="H136" s="44">
        <f t="shared" si="50"/>
        <v>2.09</v>
      </c>
      <c r="I136" s="44">
        <f t="shared" si="50"/>
        <v>2.09</v>
      </c>
      <c r="J136" s="44">
        <f t="shared" si="50"/>
        <v>2.09</v>
      </c>
      <c r="K136" s="44">
        <f t="shared" si="50"/>
        <v>2.09</v>
      </c>
      <c r="L136" s="44">
        <f t="shared" si="50"/>
        <v>2.09</v>
      </c>
      <c r="M136" s="44">
        <f t="shared" si="50"/>
        <v>2.09</v>
      </c>
      <c r="N136" s="44">
        <f t="shared" si="50"/>
        <v>2.09</v>
      </c>
      <c r="O136" s="44">
        <f t="shared" si="50"/>
        <v>2.09</v>
      </c>
      <c r="P136" s="44">
        <f t="shared" si="50"/>
        <v>2.09</v>
      </c>
      <c r="Q136" s="44">
        <f t="shared" si="50"/>
        <v>2.09</v>
      </c>
      <c r="R136" s="44">
        <f t="shared" si="50"/>
        <v>2.09</v>
      </c>
      <c r="S136" s="44">
        <f t="shared" si="50"/>
        <v>2.09</v>
      </c>
      <c r="T136" s="44">
        <f t="shared" si="51"/>
        <v>2.09</v>
      </c>
      <c r="U136" s="44">
        <f t="shared" si="51"/>
        <v>2.09</v>
      </c>
      <c r="V136" s="44">
        <f t="shared" si="51"/>
        <v>2.09</v>
      </c>
      <c r="W136" s="44">
        <f t="shared" si="51"/>
        <v>2.09</v>
      </c>
      <c r="X136" s="44">
        <f t="shared" si="51"/>
        <v>2.09</v>
      </c>
      <c r="Y136" s="44">
        <f t="shared" si="51"/>
        <v>2.09</v>
      </c>
      <c r="Z136" s="44">
        <f t="shared" si="51"/>
        <v>2.09</v>
      </c>
      <c r="AA136" s="44">
        <f t="shared" si="51"/>
        <v>2.09</v>
      </c>
      <c r="AB136" s="44">
        <f t="shared" si="51"/>
        <v>2.09</v>
      </c>
      <c r="AC136" s="44">
        <f t="shared" si="51"/>
        <v>2.09</v>
      </c>
      <c r="AD136" s="44">
        <f t="shared" si="51"/>
        <v>2.09</v>
      </c>
      <c r="AE136" s="44">
        <f t="shared" si="51"/>
        <v>2.09</v>
      </c>
      <c r="AF136" s="44">
        <f t="shared" si="51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49"/>
        <v>1.1399999999999999</v>
      </c>
      <c r="C137" s="55">
        <v>1.1399999999999999</v>
      </c>
      <c r="D137" s="44">
        <f t="shared" si="50"/>
        <v>1.1399999999999999</v>
      </c>
      <c r="E137" s="44">
        <f t="shared" si="50"/>
        <v>1.1399999999999999</v>
      </c>
      <c r="F137" s="44">
        <f t="shared" si="50"/>
        <v>1.1399999999999999</v>
      </c>
      <c r="G137" s="44">
        <f t="shared" si="50"/>
        <v>1.1399999999999999</v>
      </c>
      <c r="H137" s="44">
        <f t="shared" si="50"/>
        <v>1.1399999999999999</v>
      </c>
      <c r="I137" s="44">
        <f t="shared" si="50"/>
        <v>1.1399999999999999</v>
      </c>
      <c r="J137" s="44">
        <f t="shared" si="50"/>
        <v>1.1399999999999999</v>
      </c>
      <c r="K137" s="44">
        <f t="shared" si="50"/>
        <v>1.1399999999999999</v>
      </c>
      <c r="L137" s="44">
        <f t="shared" si="50"/>
        <v>1.1399999999999999</v>
      </c>
      <c r="M137" s="44">
        <f t="shared" si="50"/>
        <v>1.1399999999999999</v>
      </c>
      <c r="N137" s="44">
        <f t="shared" si="50"/>
        <v>1.1399999999999999</v>
      </c>
      <c r="O137" s="44">
        <f t="shared" si="50"/>
        <v>1.1399999999999999</v>
      </c>
      <c r="P137" s="44">
        <f t="shared" si="50"/>
        <v>1.1399999999999999</v>
      </c>
      <c r="Q137" s="44">
        <f t="shared" si="50"/>
        <v>1.1399999999999999</v>
      </c>
      <c r="R137" s="44">
        <f t="shared" si="50"/>
        <v>1.1399999999999999</v>
      </c>
      <c r="S137" s="44">
        <f t="shared" si="50"/>
        <v>1.1399999999999999</v>
      </c>
      <c r="T137" s="44">
        <f t="shared" si="51"/>
        <v>1.1399999999999999</v>
      </c>
      <c r="U137" s="44">
        <f t="shared" si="51"/>
        <v>1.1399999999999999</v>
      </c>
      <c r="V137" s="44">
        <f t="shared" si="51"/>
        <v>1.1399999999999999</v>
      </c>
      <c r="W137" s="44">
        <f t="shared" si="51"/>
        <v>1.1399999999999999</v>
      </c>
      <c r="X137" s="44">
        <f t="shared" si="51"/>
        <v>1.1399999999999999</v>
      </c>
      <c r="Y137" s="44">
        <f t="shared" si="51"/>
        <v>1.1399999999999999</v>
      </c>
      <c r="Z137" s="44">
        <f t="shared" si="51"/>
        <v>1.1399999999999999</v>
      </c>
      <c r="AA137" s="44">
        <f t="shared" si="51"/>
        <v>1.1399999999999999</v>
      </c>
      <c r="AB137" s="44">
        <f t="shared" si="51"/>
        <v>1.1399999999999999</v>
      </c>
      <c r="AC137" s="44">
        <f t="shared" si="51"/>
        <v>1.1399999999999999</v>
      </c>
      <c r="AD137" s="44">
        <f t="shared" si="51"/>
        <v>1.1399999999999999</v>
      </c>
      <c r="AE137" s="44">
        <f t="shared" si="51"/>
        <v>1.1399999999999999</v>
      </c>
      <c r="AF137" s="44">
        <f t="shared" si="51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49"/>
        <v>0.82</v>
      </c>
      <c r="C138" s="55">
        <v>0.82</v>
      </c>
      <c r="D138" s="44">
        <f t="shared" si="50"/>
        <v>0.82</v>
      </c>
      <c r="E138" s="44">
        <f t="shared" si="50"/>
        <v>0.82</v>
      </c>
      <c r="F138" s="44">
        <f t="shared" si="50"/>
        <v>0.82</v>
      </c>
      <c r="G138" s="44">
        <f t="shared" si="50"/>
        <v>0.82</v>
      </c>
      <c r="H138" s="44">
        <f t="shared" si="50"/>
        <v>0.82</v>
      </c>
      <c r="I138" s="44">
        <f t="shared" si="50"/>
        <v>0.82</v>
      </c>
      <c r="J138" s="44">
        <f t="shared" si="50"/>
        <v>0.82</v>
      </c>
      <c r="K138" s="44">
        <f t="shared" si="50"/>
        <v>0.82</v>
      </c>
      <c r="L138" s="44">
        <f t="shared" si="50"/>
        <v>0.82</v>
      </c>
      <c r="M138" s="44">
        <f t="shared" si="50"/>
        <v>0.82</v>
      </c>
      <c r="N138" s="44">
        <f t="shared" si="50"/>
        <v>0.82</v>
      </c>
      <c r="O138" s="44">
        <f t="shared" si="50"/>
        <v>0.82</v>
      </c>
      <c r="P138" s="44">
        <f t="shared" si="50"/>
        <v>0.82</v>
      </c>
      <c r="Q138" s="44">
        <f t="shared" si="50"/>
        <v>0.82</v>
      </c>
      <c r="R138" s="44">
        <f t="shared" si="50"/>
        <v>0.82</v>
      </c>
      <c r="S138" s="44">
        <f t="shared" si="50"/>
        <v>0.82</v>
      </c>
      <c r="T138" s="44">
        <f t="shared" si="51"/>
        <v>0.82</v>
      </c>
      <c r="U138" s="44">
        <f t="shared" si="51"/>
        <v>0.82</v>
      </c>
      <c r="V138" s="44">
        <f t="shared" si="51"/>
        <v>0.82</v>
      </c>
      <c r="W138" s="44">
        <f t="shared" si="51"/>
        <v>0.82</v>
      </c>
      <c r="X138" s="44">
        <f t="shared" si="51"/>
        <v>0.82</v>
      </c>
      <c r="Y138" s="44">
        <f t="shared" si="51"/>
        <v>0.82</v>
      </c>
      <c r="Z138" s="44">
        <f t="shared" si="51"/>
        <v>0.82</v>
      </c>
      <c r="AA138" s="44">
        <f t="shared" si="51"/>
        <v>0.82</v>
      </c>
      <c r="AB138" s="44">
        <f t="shared" si="51"/>
        <v>0.82</v>
      </c>
      <c r="AC138" s="44">
        <f t="shared" si="51"/>
        <v>0.82</v>
      </c>
      <c r="AD138" s="44">
        <f t="shared" si="51"/>
        <v>0.82</v>
      </c>
      <c r="AE138" s="44">
        <f t="shared" si="51"/>
        <v>0.82</v>
      </c>
      <c r="AF138" s="44">
        <f t="shared" si="51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2">AF140</f>
        <v>2</v>
      </c>
      <c r="C140" s="55">
        <v>2</v>
      </c>
      <c r="D140" s="44">
        <f t="shared" ref="D140:S146" si="53">C140</f>
        <v>2</v>
      </c>
      <c r="E140" s="44">
        <f t="shared" si="53"/>
        <v>2</v>
      </c>
      <c r="F140" s="44">
        <f t="shared" si="53"/>
        <v>2</v>
      </c>
      <c r="G140" s="44">
        <f t="shared" si="53"/>
        <v>2</v>
      </c>
      <c r="H140" s="44">
        <f t="shared" si="53"/>
        <v>2</v>
      </c>
      <c r="I140" s="44">
        <f t="shared" si="53"/>
        <v>2</v>
      </c>
      <c r="J140" s="44">
        <f t="shared" si="53"/>
        <v>2</v>
      </c>
      <c r="K140" s="44">
        <f t="shared" si="53"/>
        <v>2</v>
      </c>
      <c r="L140" s="44">
        <f t="shared" si="53"/>
        <v>2</v>
      </c>
      <c r="M140" s="44">
        <f t="shared" si="53"/>
        <v>2</v>
      </c>
      <c r="N140" s="44">
        <f t="shared" si="53"/>
        <v>2</v>
      </c>
      <c r="O140" s="44">
        <f t="shared" si="53"/>
        <v>2</v>
      </c>
      <c r="P140" s="44">
        <f t="shared" si="53"/>
        <v>2</v>
      </c>
      <c r="Q140" s="44">
        <f t="shared" si="53"/>
        <v>2</v>
      </c>
      <c r="R140" s="44">
        <f t="shared" si="53"/>
        <v>2</v>
      </c>
      <c r="S140" s="44">
        <f t="shared" si="53"/>
        <v>2</v>
      </c>
      <c r="T140" s="44">
        <f t="shared" ref="T140:AF146" si="54">S140</f>
        <v>2</v>
      </c>
      <c r="U140" s="44">
        <f t="shared" si="54"/>
        <v>2</v>
      </c>
      <c r="V140" s="44">
        <f t="shared" si="54"/>
        <v>2</v>
      </c>
      <c r="W140" s="44">
        <f t="shared" si="54"/>
        <v>2</v>
      </c>
      <c r="X140" s="44">
        <f t="shared" si="54"/>
        <v>2</v>
      </c>
      <c r="Y140" s="44">
        <f t="shared" si="54"/>
        <v>2</v>
      </c>
      <c r="Z140" s="44">
        <f t="shared" si="54"/>
        <v>2</v>
      </c>
      <c r="AA140" s="44">
        <f t="shared" si="54"/>
        <v>2</v>
      </c>
      <c r="AB140" s="44">
        <f t="shared" si="54"/>
        <v>2</v>
      </c>
      <c r="AC140" s="44">
        <f t="shared" si="54"/>
        <v>2</v>
      </c>
      <c r="AD140" s="44">
        <f t="shared" si="54"/>
        <v>2</v>
      </c>
      <c r="AE140" s="44">
        <f t="shared" si="54"/>
        <v>2</v>
      </c>
      <c r="AF140" s="44">
        <f t="shared" si="54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2"/>
        <v>5.61</v>
      </c>
      <c r="C141" s="55">
        <v>5.61</v>
      </c>
      <c r="D141" s="44">
        <f t="shared" si="53"/>
        <v>5.61</v>
      </c>
      <c r="E141" s="44">
        <f t="shared" si="53"/>
        <v>5.61</v>
      </c>
      <c r="F141" s="44">
        <f t="shared" si="53"/>
        <v>5.61</v>
      </c>
      <c r="G141" s="44">
        <f t="shared" si="53"/>
        <v>5.61</v>
      </c>
      <c r="H141" s="44">
        <f t="shared" si="53"/>
        <v>5.61</v>
      </c>
      <c r="I141" s="44">
        <f t="shared" si="53"/>
        <v>5.61</v>
      </c>
      <c r="J141" s="44">
        <f t="shared" si="53"/>
        <v>5.61</v>
      </c>
      <c r="K141" s="44">
        <f t="shared" si="53"/>
        <v>5.61</v>
      </c>
      <c r="L141" s="44">
        <f t="shared" si="53"/>
        <v>5.61</v>
      </c>
      <c r="M141" s="44">
        <f t="shared" si="53"/>
        <v>5.61</v>
      </c>
      <c r="N141" s="44">
        <f t="shared" si="53"/>
        <v>5.61</v>
      </c>
      <c r="O141" s="44">
        <f t="shared" si="53"/>
        <v>5.61</v>
      </c>
      <c r="P141" s="44">
        <f t="shared" si="53"/>
        <v>5.61</v>
      </c>
      <c r="Q141" s="44">
        <f t="shared" si="53"/>
        <v>5.61</v>
      </c>
      <c r="R141" s="44">
        <f t="shared" si="53"/>
        <v>5.61</v>
      </c>
      <c r="S141" s="44">
        <f t="shared" si="53"/>
        <v>5.61</v>
      </c>
      <c r="T141" s="44">
        <f t="shared" si="54"/>
        <v>5.61</v>
      </c>
      <c r="U141" s="44">
        <f t="shared" si="54"/>
        <v>5.61</v>
      </c>
      <c r="V141" s="44">
        <f t="shared" si="54"/>
        <v>5.61</v>
      </c>
      <c r="W141" s="44">
        <f t="shared" si="54"/>
        <v>5.61</v>
      </c>
      <c r="X141" s="44">
        <f t="shared" si="54"/>
        <v>5.61</v>
      </c>
      <c r="Y141" s="44">
        <f t="shared" si="54"/>
        <v>5.61</v>
      </c>
      <c r="Z141" s="44">
        <f t="shared" si="54"/>
        <v>5.61</v>
      </c>
      <c r="AA141" s="44">
        <f t="shared" si="54"/>
        <v>5.61</v>
      </c>
      <c r="AB141" s="44">
        <f t="shared" si="54"/>
        <v>5.61</v>
      </c>
      <c r="AC141" s="44">
        <f t="shared" si="54"/>
        <v>5.61</v>
      </c>
      <c r="AD141" s="44">
        <f t="shared" si="54"/>
        <v>5.61</v>
      </c>
      <c r="AE141" s="44">
        <f t="shared" si="54"/>
        <v>5.61</v>
      </c>
      <c r="AF141" s="44">
        <f t="shared" si="54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2"/>
        <v>1.25</v>
      </c>
      <c r="C142" s="55">
        <v>1.25</v>
      </c>
      <c r="D142" s="44">
        <f t="shared" si="53"/>
        <v>1.25</v>
      </c>
      <c r="E142" s="44">
        <f t="shared" si="53"/>
        <v>1.25</v>
      </c>
      <c r="F142" s="44">
        <f t="shared" si="53"/>
        <v>1.25</v>
      </c>
      <c r="G142" s="44">
        <f t="shared" si="53"/>
        <v>1.25</v>
      </c>
      <c r="H142" s="44">
        <f t="shared" si="53"/>
        <v>1.25</v>
      </c>
      <c r="I142" s="44">
        <f t="shared" si="53"/>
        <v>1.25</v>
      </c>
      <c r="J142" s="44">
        <f t="shared" si="53"/>
        <v>1.25</v>
      </c>
      <c r="K142" s="44">
        <f t="shared" si="53"/>
        <v>1.25</v>
      </c>
      <c r="L142" s="44">
        <f t="shared" si="53"/>
        <v>1.25</v>
      </c>
      <c r="M142" s="44">
        <f t="shared" si="53"/>
        <v>1.25</v>
      </c>
      <c r="N142" s="44">
        <f t="shared" si="53"/>
        <v>1.25</v>
      </c>
      <c r="O142" s="44">
        <f t="shared" si="53"/>
        <v>1.25</v>
      </c>
      <c r="P142" s="44">
        <f t="shared" si="53"/>
        <v>1.25</v>
      </c>
      <c r="Q142" s="44">
        <f t="shared" si="53"/>
        <v>1.25</v>
      </c>
      <c r="R142" s="44">
        <f t="shared" si="53"/>
        <v>1.25</v>
      </c>
      <c r="S142" s="44">
        <f t="shared" si="53"/>
        <v>1.25</v>
      </c>
      <c r="T142" s="44">
        <f t="shared" si="54"/>
        <v>1.25</v>
      </c>
      <c r="U142" s="44">
        <f t="shared" si="54"/>
        <v>1.25</v>
      </c>
      <c r="V142" s="44">
        <f t="shared" si="54"/>
        <v>1.25</v>
      </c>
      <c r="W142" s="44">
        <f t="shared" si="54"/>
        <v>1.25</v>
      </c>
      <c r="X142" s="44">
        <f t="shared" si="54"/>
        <v>1.25</v>
      </c>
      <c r="Y142" s="44">
        <f t="shared" si="54"/>
        <v>1.25</v>
      </c>
      <c r="Z142" s="44">
        <f t="shared" si="54"/>
        <v>1.25</v>
      </c>
      <c r="AA142" s="44">
        <f t="shared" si="54"/>
        <v>1.25</v>
      </c>
      <c r="AB142" s="44">
        <f t="shared" si="54"/>
        <v>1.25</v>
      </c>
      <c r="AC142" s="44">
        <f t="shared" si="54"/>
        <v>1.25</v>
      </c>
      <c r="AD142" s="44">
        <f t="shared" si="54"/>
        <v>1.25</v>
      </c>
      <c r="AE142" s="44">
        <f t="shared" si="54"/>
        <v>1.25</v>
      </c>
      <c r="AF142" s="44">
        <f t="shared" si="54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2"/>
        <v>1.25</v>
      </c>
      <c r="C143" s="55">
        <v>1.25</v>
      </c>
      <c r="D143" s="44">
        <f t="shared" si="53"/>
        <v>1.25</v>
      </c>
      <c r="E143" s="44">
        <f t="shared" si="53"/>
        <v>1.25</v>
      </c>
      <c r="F143" s="44">
        <f t="shared" si="53"/>
        <v>1.25</v>
      </c>
      <c r="G143" s="44">
        <f t="shared" si="53"/>
        <v>1.25</v>
      </c>
      <c r="H143" s="44">
        <f t="shared" si="53"/>
        <v>1.25</v>
      </c>
      <c r="I143" s="44">
        <f t="shared" si="53"/>
        <v>1.25</v>
      </c>
      <c r="J143" s="44">
        <f t="shared" si="53"/>
        <v>1.25</v>
      </c>
      <c r="K143" s="44">
        <f t="shared" si="53"/>
        <v>1.25</v>
      </c>
      <c r="L143" s="44">
        <f t="shared" si="53"/>
        <v>1.25</v>
      </c>
      <c r="M143" s="44">
        <f t="shared" si="53"/>
        <v>1.25</v>
      </c>
      <c r="N143" s="44">
        <f t="shared" si="53"/>
        <v>1.25</v>
      </c>
      <c r="O143" s="44">
        <f t="shared" si="53"/>
        <v>1.25</v>
      </c>
      <c r="P143" s="44">
        <f t="shared" si="53"/>
        <v>1.25</v>
      </c>
      <c r="Q143" s="44">
        <f t="shared" si="53"/>
        <v>1.25</v>
      </c>
      <c r="R143" s="44">
        <f t="shared" si="53"/>
        <v>1.25</v>
      </c>
      <c r="S143" s="44">
        <f t="shared" si="53"/>
        <v>1.25</v>
      </c>
      <c r="T143" s="44">
        <f t="shared" si="54"/>
        <v>1.25</v>
      </c>
      <c r="U143" s="44">
        <f t="shared" si="54"/>
        <v>1.25</v>
      </c>
      <c r="V143" s="44">
        <f t="shared" si="54"/>
        <v>1.25</v>
      </c>
      <c r="W143" s="44">
        <f t="shared" si="54"/>
        <v>1.25</v>
      </c>
      <c r="X143" s="44">
        <f t="shared" si="54"/>
        <v>1.25</v>
      </c>
      <c r="Y143" s="44">
        <f t="shared" si="54"/>
        <v>1.25</v>
      </c>
      <c r="Z143" s="44">
        <f t="shared" si="54"/>
        <v>1.25</v>
      </c>
      <c r="AA143" s="44">
        <f t="shared" si="54"/>
        <v>1.25</v>
      </c>
      <c r="AB143" s="44">
        <f t="shared" si="54"/>
        <v>1.25</v>
      </c>
      <c r="AC143" s="44">
        <f t="shared" si="54"/>
        <v>1.25</v>
      </c>
      <c r="AD143" s="44">
        <f t="shared" si="54"/>
        <v>1.25</v>
      </c>
      <c r="AE143" s="44">
        <f t="shared" si="54"/>
        <v>1.25</v>
      </c>
      <c r="AF143" s="44">
        <f t="shared" si="54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2"/>
        <v>1.46</v>
      </c>
      <c r="C144" s="55">
        <v>1.46</v>
      </c>
      <c r="D144" s="44">
        <f t="shared" si="53"/>
        <v>1.46</v>
      </c>
      <c r="E144" s="44">
        <f t="shared" si="53"/>
        <v>1.46</v>
      </c>
      <c r="F144" s="44">
        <f t="shared" si="53"/>
        <v>1.46</v>
      </c>
      <c r="G144" s="44">
        <f t="shared" si="53"/>
        <v>1.46</v>
      </c>
      <c r="H144" s="44">
        <f t="shared" si="53"/>
        <v>1.46</v>
      </c>
      <c r="I144" s="44">
        <f t="shared" si="53"/>
        <v>1.46</v>
      </c>
      <c r="J144" s="44">
        <f t="shared" si="53"/>
        <v>1.46</v>
      </c>
      <c r="K144" s="44">
        <f t="shared" si="53"/>
        <v>1.46</v>
      </c>
      <c r="L144" s="44">
        <f t="shared" si="53"/>
        <v>1.46</v>
      </c>
      <c r="M144" s="44">
        <f t="shared" si="53"/>
        <v>1.46</v>
      </c>
      <c r="N144" s="44">
        <f t="shared" si="53"/>
        <v>1.46</v>
      </c>
      <c r="O144" s="44">
        <f t="shared" si="53"/>
        <v>1.46</v>
      </c>
      <c r="P144" s="44">
        <f t="shared" si="53"/>
        <v>1.46</v>
      </c>
      <c r="Q144" s="44">
        <f t="shared" si="53"/>
        <v>1.46</v>
      </c>
      <c r="R144" s="44">
        <f t="shared" si="53"/>
        <v>1.46</v>
      </c>
      <c r="S144" s="44">
        <f t="shared" si="53"/>
        <v>1.46</v>
      </c>
      <c r="T144" s="44">
        <f t="shared" si="54"/>
        <v>1.46</v>
      </c>
      <c r="U144" s="44">
        <f t="shared" si="54"/>
        <v>1.46</v>
      </c>
      <c r="V144" s="44">
        <f t="shared" si="54"/>
        <v>1.46</v>
      </c>
      <c r="W144" s="44">
        <f t="shared" si="54"/>
        <v>1.46</v>
      </c>
      <c r="X144" s="44">
        <f t="shared" si="54"/>
        <v>1.46</v>
      </c>
      <c r="Y144" s="44">
        <f t="shared" si="54"/>
        <v>1.46</v>
      </c>
      <c r="Z144" s="44">
        <f t="shared" si="54"/>
        <v>1.46</v>
      </c>
      <c r="AA144" s="44">
        <f t="shared" si="54"/>
        <v>1.46</v>
      </c>
      <c r="AB144" s="44">
        <f t="shared" si="54"/>
        <v>1.46</v>
      </c>
      <c r="AC144" s="44">
        <f t="shared" si="54"/>
        <v>1.46</v>
      </c>
      <c r="AD144" s="44">
        <f t="shared" si="54"/>
        <v>1.46</v>
      </c>
      <c r="AE144" s="44">
        <f t="shared" si="54"/>
        <v>1.46</v>
      </c>
      <c r="AF144" s="44">
        <f t="shared" si="54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2"/>
        <v>3</v>
      </c>
      <c r="C145" s="55">
        <v>3</v>
      </c>
      <c r="D145" s="44">
        <f t="shared" si="53"/>
        <v>3</v>
      </c>
      <c r="E145" s="44">
        <f t="shared" si="53"/>
        <v>3</v>
      </c>
      <c r="F145" s="44">
        <f t="shared" si="53"/>
        <v>3</v>
      </c>
      <c r="G145" s="44">
        <f t="shared" si="53"/>
        <v>3</v>
      </c>
      <c r="H145" s="44">
        <f t="shared" si="53"/>
        <v>3</v>
      </c>
      <c r="I145" s="44">
        <f t="shared" si="53"/>
        <v>3</v>
      </c>
      <c r="J145" s="44">
        <f t="shared" si="53"/>
        <v>3</v>
      </c>
      <c r="K145" s="44">
        <f t="shared" si="53"/>
        <v>3</v>
      </c>
      <c r="L145" s="44">
        <f t="shared" si="53"/>
        <v>3</v>
      </c>
      <c r="M145" s="44">
        <f t="shared" si="53"/>
        <v>3</v>
      </c>
      <c r="N145" s="44">
        <f t="shared" si="53"/>
        <v>3</v>
      </c>
      <c r="O145" s="44">
        <f t="shared" si="53"/>
        <v>3</v>
      </c>
      <c r="P145" s="44">
        <f t="shared" si="53"/>
        <v>3</v>
      </c>
      <c r="Q145" s="44">
        <f t="shared" si="53"/>
        <v>3</v>
      </c>
      <c r="R145" s="44">
        <f t="shared" si="53"/>
        <v>3</v>
      </c>
      <c r="S145" s="44">
        <f t="shared" si="53"/>
        <v>3</v>
      </c>
      <c r="T145" s="44">
        <f t="shared" si="54"/>
        <v>3</v>
      </c>
      <c r="U145" s="44">
        <f t="shared" si="54"/>
        <v>3</v>
      </c>
      <c r="V145" s="44">
        <f t="shared" si="54"/>
        <v>3</v>
      </c>
      <c r="W145" s="44">
        <f t="shared" si="54"/>
        <v>3</v>
      </c>
      <c r="X145" s="44">
        <f t="shared" si="54"/>
        <v>3</v>
      </c>
      <c r="Y145" s="44">
        <f t="shared" si="54"/>
        <v>3</v>
      </c>
      <c r="Z145" s="44">
        <f t="shared" si="54"/>
        <v>3</v>
      </c>
      <c r="AA145" s="44">
        <f t="shared" si="54"/>
        <v>3</v>
      </c>
      <c r="AB145" s="44">
        <f t="shared" si="54"/>
        <v>3</v>
      </c>
      <c r="AC145" s="44">
        <f t="shared" si="54"/>
        <v>3</v>
      </c>
      <c r="AD145" s="44">
        <f t="shared" si="54"/>
        <v>3</v>
      </c>
      <c r="AE145" s="44">
        <f t="shared" si="54"/>
        <v>3</v>
      </c>
      <c r="AF145" s="44">
        <f t="shared" si="54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2"/>
        <v>3.3</v>
      </c>
      <c r="C146" s="55">
        <v>3.3</v>
      </c>
      <c r="D146" s="44">
        <f t="shared" si="53"/>
        <v>3.3</v>
      </c>
      <c r="E146" s="44">
        <f t="shared" si="53"/>
        <v>3.3</v>
      </c>
      <c r="F146" s="44">
        <f t="shared" si="53"/>
        <v>3.3</v>
      </c>
      <c r="G146" s="44">
        <f t="shared" si="53"/>
        <v>3.3</v>
      </c>
      <c r="H146" s="44">
        <f t="shared" si="53"/>
        <v>3.3</v>
      </c>
      <c r="I146" s="44">
        <f t="shared" si="53"/>
        <v>3.3</v>
      </c>
      <c r="J146" s="44">
        <f t="shared" si="53"/>
        <v>3.3</v>
      </c>
      <c r="K146" s="44">
        <f t="shared" si="53"/>
        <v>3.3</v>
      </c>
      <c r="L146" s="44">
        <f t="shared" si="53"/>
        <v>3.3</v>
      </c>
      <c r="M146" s="44">
        <f t="shared" si="53"/>
        <v>3.3</v>
      </c>
      <c r="N146" s="44">
        <f t="shared" si="53"/>
        <v>3.3</v>
      </c>
      <c r="O146" s="44">
        <f t="shared" si="53"/>
        <v>3.3</v>
      </c>
      <c r="P146" s="44">
        <f t="shared" si="53"/>
        <v>3.3</v>
      </c>
      <c r="Q146" s="44">
        <f t="shared" si="53"/>
        <v>3.3</v>
      </c>
      <c r="R146" s="44">
        <f t="shared" si="53"/>
        <v>3.3</v>
      </c>
      <c r="S146" s="44">
        <f t="shared" si="53"/>
        <v>3.3</v>
      </c>
      <c r="T146" s="44">
        <f t="shared" si="54"/>
        <v>3.3</v>
      </c>
      <c r="U146" s="44">
        <f t="shared" si="54"/>
        <v>3.3</v>
      </c>
      <c r="V146" s="44">
        <f t="shared" si="54"/>
        <v>3.3</v>
      </c>
      <c r="W146" s="44">
        <f t="shared" si="54"/>
        <v>3.3</v>
      </c>
      <c r="X146" s="44">
        <f t="shared" si="54"/>
        <v>3.3</v>
      </c>
      <c r="Y146" s="44">
        <f t="shared" si="54"/>
        <v>3.3</v>
      </c>
      <c r="Z146" s="44">
        <f t="shared" si="54"/>
        <v>3.3</v>
      </c>
      <c r="AA146" s="44">
        <f t="shared" si="54"/>
        <v>3.3</v>
      </c>
      <c r="AB146" s="44">
        <f t="shared" si="54"/>
        <v>3.3</v>
      </c>
      <c r="AC146" s="44">
        <f t="shared" si="54"/>
        <v>3.3</v>
      </c>
      <c r="AD146" s="44">
        <f t="shared" si="54"/>
        <v>3.3</v>
      </c>
      <c r="AE146" s="44">
        <f t="shared" si="54"/>
        <v>3.3</v>
      </c>
      <c r="AF146" s="44">
        <f t="shared" si="54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5">C148</f>
        <v>1.76</v>
      </c>
      <c r="E148" s="44">
        <f t="shared" si="55"/>
        <v>1.76</v>
      </c>
      <c r="F148" s="44">
        <f t="shared" si="55"/>
        <v>1.76</v>
      </c>
      <c r="G148" s="44">
        <f t="shared" si="55"/>
        <v>1.76</v>
      </c>
      <c r="H148" s="44">
        <f t="shared" si="55"/>
        <v>1.76</v>
      </c>
      <c r="I148" s="44">
        <f t="shared" si="55"/>
        <v>1.76</v>
      </c>
      <c r="J148" s="44">
        <f t="shared" si="55"/>
        <v>1.76</v>
      </c>
      <c r="K148" s="44">
        <f t="shared" si="55"/>
        <v>1.76</v>
      </c>
      <c r="L148" s="44">
        <f t="shared" si="55"/>
        <v>1.76</v>
      </c>
      <c r="M148" s="44">
        <f t="shared" si="55"/>
        <v>1.76</v>
      </c>
      <c r="N148" s="44">
        <f t="shared" si="55"/>
        <v>1.76</v>
      </c>
      <c r="O148" s="44">
        <f t="shared" si="55"/>
        <v>1.76</v>
      </c>
      <c r="P148" s="44">
        <f t="shared" si="55"/>
        <v>1.76</v>
      </c>
      <c r="Q148" s="44">
        <f t="shared" si="55"/>
        <v>1.76</v>
      </c>
      <c r="R148" s="44">
        <f t="shared" si="55"/>
        <v>1.76</v>
      </c>
      <c r="S148" s="44">
        <f t="shared" si="55"/>
        <v>1.76</v>
      </c>
      <c r="T148" s="44">
        <f t="shared" ref="T148:AF149" si="56">S148</f>
        <v>1.76</v>
      </c>
      <c r="U148" s="44">
        <f t="shared" si="56"/>
        <v>1.76</v>
      </c>
      <c r="V148" s="44">
        <f t="shared" si="56"/>
        <v>1.76</v>
      </c>
      <c r="W148" s="44">
        <f t="shared" si="56"/>
        <v>1.76</v>
      </c>
      <c r="X148" s="44">
        <f t="shared" si="56"/>
        <v>1.76</v>
      </c>
      <c r="Y148" s="44">
        <f t="shared" si="56"/>
        <v>1.76</v>
      </c>
      <c r="Z148" s="44">
        <f t="shared" si="56"/>
        <v>1.76</v>
      </c>
      <c r="AA148" s="44">
        <f t="shared" si="56"/>
        <v>1.76</v>
      </c>
      <c r="AB148" s="44">
        <f t="shared" si="56"/>
        <v>1.76</v>
      </c>
      <c r="AC148" s="44">
        <f t="shared" si="56"/>
        <v>1.76</v>
      </c>
      <c r="AD148" s="44">
        <f t="shared" si="56"/>
        <v>1.76</v>
      </c>
      <c r="AE148" s="44">
        <f t="shared" si="56"/>
        <v>1.76</v>
      </c>
      <c r="AF148" s="44">
        <f t="shared" si="56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5"/>
        <v>0</v>
      </c>
      <c r="E149" s="44">
        <f t="shared" si="55"/>
        <v>0</v>
      </c>
      <c r="F149" s="44">
        <f t="shared" si="55"/>
        <v>0</v>
      </c>
      <c r="G149" s="44">
        <f t="shared" si="55"/>
        <v>0</v>
      </c>
      <c r="H149" s="44">
        <f t="shared" si="55"/>
        <v>0</v>
      </c>
      <c r="I149" s="44">
        <f t="shared" si="55"/>
        <v>0</v>
      </c>
      <c r="J149" s="44">
        <f t="shared" si="55"/>
        <v>0</v>
      </c>
      <c r="K149" s="44">
        <f t="shared" si="55"/>
        <v>0</v>
      </c>
      <c r="L149" s="44">
        <f t="shared" si="55"/>
        <v>0</v>
      </c>
      <c r="M149" s="44">
        <f t="shared" si="55"/>
        <v>0</v>
      </c>
      <c r="N149" s="44">
        <f t="shared" si="55"/>
        <v>0</v>
      </c>
      <c r="O149" s="44">
        <f t="shared" si="55"/>
        <v>0</v>
      </c>
      <c r="P149" s="44">
        <f t="shared" si="55"/>
        <v>0</v>
      </c>
      <c r="Q149" s="44">
        <f t="shared" si="55"/>
        <v>0</v>
      </c>
      <c r="R149" s="44">
        <f t="shared" si="55"/>
        <v>0</v>
      </c>
      <c r="S149" s="44">
        <f t="shared" si="55"/>
        <v>0</v>
      </c>
      <c r="T149" s="44">
        <f t="shared" si="56"/>
        <v>0</v>
      </c>
      <c r="U149" s="44">
        <f t="shared" si="56"/>
        <v>0</v>
      </c>
      <c r="V149" s="44">
        <f t="shared" si="56"/>
        <v>0</v>
      </c>
      <c r="W149" s="44">
        <f t="shared" si="56"/>
        <v>0</v>
      </c>
      <c r="X149" s="44">
        <f t="shared" si="56"/>
        <v>0</v>
      </c>
      <c r="Y149" s="44">
        <f t="shared" si="56"/>
        <v>0</v>
      </c>
      <c r="Z149" s="44">
        <f t="shared" si="56"/>
        <v>0</v>
      </c>
      <c r="AA149" s="44">
        <f t="shared" si="56"/>
        <v>0</v>
      </c>
      <c r="AB149" s="44">
        <f t="shared" si="56"/>
        <v>0</v>
      </c>
      <c r="AC149" s="44">
        <f t="shared" si="56"/>
        <v>0</v>
      </c>
      <c r="AD149" s="44">
        <f t="shared" si="56"/>
        <v>0</v>
      </c>
      <c r="AE149" s="44">
        <f t="shared" si="56"/>
        <v>0</v>
      </c>
      <c r="AF149" s="44">
        <f t="shared" si="56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7">C151</f>
        <v>0.1</v>
      </c>
      <c r="E151" s="44">
        <f t="shared" si="57"/>
        <v>0.1</v>
      </c>
      <c r="F151" s="44">
        <f t="shared" si="57"/>
        <v>0.1</v>
      </c>
      <c r="G151" s="44">
        <f t="shared" si="57"/>
        <v>0.1</v>
      </c>
      <c r="H151" s="44">
        <f t="shared" si="57"/>
        <v>0.1</v>
      </c>
      <c r="I151" s="44">
        <f t="shared" si="57"/>
        <v>0.1</v>
      </c>
      <c r="J151" s="44">
        <f t="shared" si="57"/>
        <v>0.1</v>
      </c>
      <c r="K151" s="44">
        <f t="shared" si="57"/>
        <v>0.1</v>
      </c>
      <c r="L151" s="44">
        <f t="shared" si="57"/>
        <v>0.1</v>
      </c>
      <c r="M151" s="44">
        <f t="shared" si="57"/>
        <v>0.1</v>
      </c>
      <c r="N151" s="44">
        <f t="shared" si="57"/>
        <v>0.1</v>
      </c>
      <c r="O151" s="44">
        <f t="shared" si="57"/>
        <v>0.1</v>
      </c>
      <c r="P151" s="44">
        <f t="shared" si="57"/>
        <v>0.1</v>
      </c>
      <c r="Q151" s="44">
        <f t="shared" si="57"/>
        <v>0.1</v>
      </c>
      <c r="R151" s="44">
        <f t="shared" si="57"/>
        <v>0.1</v>
      </c>
      <c r="S151" s="44">
        <f t="shared" si="57"/>
        <v>0.1</v>
      </c>
      <c r="T151" s="44">
        <f t="shared" ref="T151:AF154" si="58">S151</f>
        <v>0.1</v>
      </c>
      <c r="U151" s="44">
        <f t="shared" si="58"/>
        <v>0.1</v>
      </c>
      <c r="V151" s="44">
        <f t="shared" si="58"/>
        <v>0.1</v>
      </c>
      <c r="W151" s="44">
        <f t="shared" si="58"/>
        <v>0.1</v>
      </c>
      <c r="X151" s="44">
        <f t="shared" si="58"/>
        <v>0.1</v>
      </c>
      <c r="Y151" s="44">
        <f t="shared" si="58"/>
        <v>0.1</v>
      </c>
      <c r="Z151" s="44">
        <f t="shared" si="58"/>
        <v>0.1</v>
      </c>
      <c r="AA151" s="44">
        <f t="shared" si="58"/>
        <v>0.1</v>
      </c>
      <c r="AB151" s="44">
        <f t="shared" si="58"/>
        <v>0.1</v>
      </c>
      <c r="AC151" s="44">
        <f t="shared" si="58"/>
        <v>0.1</v>
      </c>
      <c r="AD151" s="44">
        <f t="shared" si="58"/>
        <v>0.1</v>
      </c>
      <c r="AE151" s="44">
        <f t="shared" si="58"/>
        <v>0.1</v>
      </c>
      <c r="AF151" s="44">
        <f t="shared" si="58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7"/>
        <v>2.0499999999999998</v>
      </c>
      <c r="E152" s="44">
        <f t="shared" si="57"/>
        <v>2.0499999999999998</v>
      </c>
      <c r="F152" s="44">
        <f t="shared" si="57"/>
        <v>2.0499999999999998</v>
      </c>
      <c r="G152" s="44">
        <f t="shared" si="57"/>
        <v>2.0499999999999998</v>
      </c>
      <c r="H152" s="44">
        <f t="shared" si="57"/>
        <v>2.0499999999999998</v>
      </c>
      <c r="I152" s="44">
        <f t="shared" si="57"/>
        <v>2.0499999999999998</v>
      </c>
      <c r="J152" s="44">
        <f t="shared" si="57"/>
        <v>2.0499999999999998</v>
      </c>
      <c r="K152" s="44">
        <f t="shared" si="57"/>
        <v>2.0499999999999998</v>
      </c>
      <c r="L152" s="44">
        <f t="shared" si="57"/>
        <v>2.0499999999999998</v>
      </c>
      <c r="M152" s="44">
        <f t="shared" si="57"/>
        <v>2.0499999999999998</v>
      </c>
      <c r="N152" s="44">
        <f t="shared" si="57"/>
        <v>2.0499999999999998</v>
      </c>
      <c r="O152" s="44">
        <f t="shared" si="57"/>
        <v>2.0499999999999998</v>
      </c>
      <c r="P152" s="44">
        <f t="shared" si="57"/>
        <v>2.0499999999999998</v>
      </c>
      <c r="Q152" s="44">
        <f t="shared" si="57"/>
        <v>2.0499999999999998</v>
      </c>
      <c r="R152" s="44">
        <f t="shared" si="57"/>
        <v>2.0499999999999998</v>
      </c>
      <c r="S152" s="44">
        <f t="shared" si="57"/>
        <v>2.0499999999999998</v>
      </c>
      <c r="T152" s="44">
        <f t="shared" si="58"/>
        <v>2.0499999999999998</v>
      </c>
      <c r="U152" s="44">
        <f t="shared" si="58"/>
        <v>2.0499999999999998</v>
      </c>
      <c r="V152" s="44">
        <f t="shared" si="58"/>
        <v>2.0499999999999998</v>
      </c>
      <c r="W152" s="44">
        <f t="shared" si="58"/>
        <v>2.0499999999999998</v>
      </c>
      <c r="X152" s="44">
        <f t="shared" si="58"/>
        <v>2.0499999999999998</v>
      </c>
      <c r="Y152" s="44">
        <f t="shared" si="58"/>
        <v>2.0499999999999998</v>
      </c>
      <c r="Z152" s="44">
        <f t="shared" si="58"/>
        <v>2.0499999999999998</v>
      </c>
      <c r="AA152" s="44">
        <f t="shared" si="58"/>
        <v>2.0499999999999998</v>
      </c>
      <c r="AB152" s="44">
        <f t="shared" si="58"/>
        <v>2.0499999999999998</v>
      </c>
      <c r="AC152" s="44">
        <f t="shared" si="58"/>
        <v>2.0499999999999998</v>
      </c>
      <c r="AD152" s="44">
        <f t="shared" si="58"/>
        <v>2.0499999999999998</v>
      </c>
      <c r="AE152" s="44">
        <f t="shared" si="58"/>
        <v>2.0499999999999998</v>
      </c>
      <c r="AF152" s="44">
        <f t="shared" si="58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7"/>
        <v>2.7</v>
      </c>
      <c r="E153" s="44">
        <f t="shared" si="57"/>
        <v>2.7</v>
      </c>
      <c r="F153" s="44">
        <f t="shared" si="57"/>
        <v>2.7</v>
      </c>
      <c r="G153" s="44">
        <f t="shared" si="57"/>
        <v>2.7</v>
      </c>
      <c r="H153" s="44">
        <f t="shared" si="57"/>
        <v>2.7</v>
      </c>
      <c r="I153" s="44">
        <f t="shared" si="57"/>
        <v>2.7</v>
      </c>
      <c r="J153" s="44">
        <f t="shared" si="57"/>
        <v>2.7</v>
      </c>
      <c r="K153" s="44">
        <f t="shared" si="57"/>
        <v>2.7</v>
      </c>
      <c r="L153" s="44">
        <f t="shared" si="57"/>
        <v>2.7</v>
      </c>
      <c r="M153" s="44">
        <f t="shared" si="57"/>
        <v>2.7</v>
      </c>
      <c r="N153" s="44">
        <f t="shared" si="57"/>
        <v>2.7</v>
      </c>
      <c r="O153" s="44">
        <f t="shared" si="57"/>
        <v>2.7</v>
      </c>
      <c r="P153" s="44">
        <f t="shared" si="57"/>
        <v>2.7</v>
      </c>
      <c r="Q153" s="44">
        <f t="shared" si="57"/>
        <v>2.7</v>
      </c>
      <c r="R153" s="44">
        <f t="shared" si="57"/>
        <v>2.7</v>
      </c>
      <c r="S153" s="44">
        <f t="shared" si="57"/>
        <v>2.7</v>
      </c>
      <c r="T153" s="44">
        <f t="shared" si="58"/>
        <v>2.7</v>
      </c>
      <c r="U153" s="44">
        <f t="shared" si="58"/>
        <v>2.7</v>
      </c>
      <c r="V153" s="44">
        <f t="shared" si="58"/>
        <v>2.7</v>
      </c>
      <c r="W153" s="44">
        <f t="shared" si="58"/>
        <v>2.7</v>
      </c>
      <c r="X153" s="44">
        <f t="shared" si="58"/>
        <v>2.7</v>
      </c>
      <c r="Y153" s="44">
        <f t="shared" si="58"/>
        <v>2.7</v>
      </c>
      <c r="Z153" s="44">
        <f t="shared" si="58"/>
        <v>2.7</v>
      </c>
      <c r="AA153" s="44">
        <f t="shared" si="58"/>
        <v>2.7</v>
      </c>
      <c r="AB153" s="44">
        <f t="shared" si="58"/>
        <v>2.7</v>
      </c>
      <c r="AC153" s="44">
        <f t="shared" si="58"/>
        <v>2.7</v>
      </c>
      <c r="AD153" s="44">
        <f t="shared" si="58"/>
        <v>2.7</v>
      </c>
      <c r="AE153" s="44">
        <f t="shared" si="58"/>
        <v>2.7</v>
      </c>
      <c r="AF153" s="44">
        <f t="shared" si="58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7"/>
        <v>2.15</v>
      </c>
      <c r="E154" s="44">
        <f t="shared" si="57"/>
        <v>2.15</v>
      </c>
      <c r="F154" s="44">
        <f t="shared" si="57"/>
        <v>2.15</v>
      </c>
      <c r="G154" s="44">
        <f t="shared" si="57"/>
        <v>2.15</v>
      </c>
      <c r="H154" s="44">
        <f t="shared" si="57"/>
        <v>2.15</v>
      </c>
      <c r="I154" s="44">
        <f t="shared" si="57"/>
        <v>2.15</v>
      </c>
      <c r="J154" s="44">
        <f t="shared" si="57"/>
        <v>2.15</v>
      </c>
      <c r="K154" s="44">
        <f t="shared" si="57"/>
        <v>2.15</v>
      </c>
      <c r="L154" s="44">
        <f t="shared" si="57"/>
        <v>2.15</v>
      </c>
      <c r="M154" s="44">
        <f t="shared" si="57"/>
        <v>2.15</v>
      </c>
      <c r="N154" s="44">
        <f t="shared" si="57"/>
        <v>2.15</v>
      </c>
      <c r="O154" s="44">
        <f t="shared" si="57"/>
        <v>2.15</v>
      </c>
      <c r="P154" s="44">
        <f t="shared" si="57"/>
        <v>2.15</v>
      </c>
      <c r="Q154" s="44">
        <f t="shared" si="57"/>
        <v>2.15</v>
      </c>
      <c r="R154" s="44">
        <f t="shared" si="57"/>
        <v>2.15</v>
      </c>
      <c r="S154" s="44">
        <f t="shared" si="57"/>
        <v>2.15</v>
      </c>
      <c r="T154" s="44">
        <f t="shared" si="58"/>
        <v>2.15</v>
      </c>
      <c r="U154" s="44">
        <f t="shared" si="58"/>
        <v>2.15</v>
      </c>
      <c r="V154" s="44">
        <f t="shared" si="58"/>
        <v>2.15</v>
      </c>
      <c r="W154" s="44">
        <f t="shared" si="58"/>
        <v>2.15</v>
      </c>
      <c r="X154" s="44">
        <f t="shared" si="58"/>
        <v>2.15</v>
      </c>
      <c r="Y154" s="44">
        <f t="shared" si="58"/>
        <v>2.15</v>
      </c>
      <c r="Z154" s="44">
        <f t="shared" si="58"/>
        <v>2.15</v>
      </c>
      <c r="AA154" s="44">
        <f t="shared" si="58"/>
        <v>2.15</v>
      </c>
      <c r="AB154" s="44">
        <f t="shared" si="58"/>
        <v>2.15</v>
      </c>
      <c r="AC154" s="44">
        <f t="shared" si="58"/>
        <v>2.15</v>
      </c>
      <c r="AD154" s="44">
        <f t="shared" si="58"/>
        <v>2.15</v>
      </c>
      <c r="AE154" s="44">
        <f t="shared" si="58"/>
        <v>2.15</v>
      </c>
      <c r="AF154" s="44">
        <f t="shared" si="58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59">AF156</f>
        <v>0.9</v>
      </c>
      <c r="C156" s="55">
        <v>0.9</v>
      </c>
      <c r="D156" s="44">
        <f t="shared" ref="D156:S168" si="60">C156</f>
        <v>0.9</v>
      </c>
      <c r="E156" s="44">
        <f t="shared" si="60"/>
        <v>0.9</v>
      </c>
      <c r="F156" s="44">
        <f t="shared" si="60"/>
        <v>0.9</v>
      </c>
      <c r="G156" s="44">
        <f t="shared" si="60"/>
        <v>0.9</v>
      </c>
      <c r="H156" s="44">
        <f t="shared" si="60"/>
        <v>0.9</v>
      </c>
      <c r="I156" s="44">
        <f t="shared" si="60"/>
        <v>0.9</v>
      </c>
      <c r="J156" s="44">
        <f t="shared" si="60"/>
        <v>0.9</v>
      </c>
      <c r="K156" s="44">
        <f t="shared" si="60"/>
        <v>0.9</v>
      </c>
      <c r="L156" s="44">
        <f t="shared" si="60"/>
        <v>0.9</v>
      </c>
      <c r="M156" s="44">
        <f t="shared" si="60"/>
        <v>0.9</v>
      </c>
      <c r="N156" s="44">
        <f t="shared" si="60"/>
        <v>0.9</v>
      </c>
      <c r="O156" s="44">
        <f t="shared" si="60"/>
        <v>0.9</v>
      </c>
      <c r="P156" s="44">
        <f t="shared" si="60"/>
        <v>0.9</v>
      </c>
      <c r="Q156" s="44">
        <f t="shared" si="60"/>
        <v>0.9</v>
      </c>
      <c r="R156" s="44">
        <f t="shared" si="60"/>
        <v>0.9</v>
      </c>
      <c r="S156" s="44">
        <f t="shared" si="60"/>
        <v>0.9</v>
      </c>
      <c r="T156" s="44">
        <f t="shared" ref="S156:AF168" si="61">S156</f>
        <v>0.9</v>
      </c>
      <c r="U156" s="44">
        <f t="shared" si="61"/>
        <v>0.9</v>
      </c>
      <c r="V156" s="44">
        <f t="shared" si="61"/>
        <v>0.9</v>
      </c>
      <c r="W156" s="44">
        <f t="shared" si="61"/>
        <v>0.9</v>
      </c>
      <c r="X156" s="44">
        <f t="shared" si="61"/>
        <v>0.9</v>
      </c>
      <c r="Y156" s="44">
        <f t="shared" si="61"/>
        <v>0.9</v>
      </c>
      <c r="Z156" s="44">
        <f t="shared" si="61"/>
        <v>0.9</v>
      </c>
      <c r="AA156" s="44">
        <f t="shared" si="61"/>
        <v>0.9</v>
      </c>
      <c r="AB156" s="44">
        <f t="shared" si="61"/>
        <v>0.9</v>
      </c>
      <c r="AC156" s="44">
        <f t="shared" si="61"/>
        <v>0.9</v>
      </c>
      <c r="AD156" s="44">
        <f t="shared" si="61"/>
        <v>0.9</v>
      </c>
      <c r="AE156" s="44">
        <f t="shared" si="61"/>
        <v>0.9</v>
      </c>
      <c r="AF156" s="44">
        <f t="shared" si="61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59"/>
        <v>1.08</v>
      </c>
      <c r="C157" s="55">
        <v>1.08</v>
      </c>
      <c r="D157" s="44">
        <f t="shared" si="60"/>
        <v>1.08</v>
      </c>
      <c r="E157" s="44">
        <f t="shared" si="60"/>
        <v>1.08</v>
      </c>
      <c r="F157" s="44">
        <f t="shared" si="60"/>
        <v>1.08</v>
      </c>
      <c r="G157" s="44">
        <f t="shared" si="60"/>
        <v>1.08</v>
      </c>
      <c r="H157" s="44">
        <f t="shared" si="60"/>
        <v>1.08</v>
      </c>
      <c r="I157" s="44">
        <f t="shared" si="60"/>
        <v>1.08</v>
      </c>
      <c r="J157" s="44">
        <f t="shared" si="60"/>
        <v>1.08</v>
      </c>
      <c r="K157" s="44">
        <f t="shared" si="60"/>
        <v>1.08</v>
      </c>
      <c r="L157" s="44">
        <f t="shared" si="60"/>
        <v>1.08</v>
      </c>
      <c r="M157" s="44">
        <f t="shared" si="60"/>
        <v>1.08</v>
      </c>
      <c r="N157" s="44">
        <f t="shared" si="60"/>
        <v>1.08</v>
      </c>
      <c r="O157" s="44">
        <f t="shared" si="60"/>
        <v>1.08</v>
      </c>
      <c r="P157" s="44">
        <f t="shared" si="60"/>
        <v>1.08</v>
      </c>
      <c r="Q157" s="44">
        <f t="shared" si="60"/>
        <v>1.08</v>
      </c>
      <c r="R157" s="44">
        <f t="shared" si="60"/>
        <v>1.08</v>
      </c>
      <c r="S157" s="44">
        <f t="shared" si="60"/>
        <v>1.08</v>
      </c>
      <c r="T157" s="44">
        <f t="shared" si="61"/>
        <v>1.08</v>
      </c>
      <c r="U157" s="44">
        <f t="shared" si="61"/>
        <v>1.08</v>
      </c>
      <c r="V157" s="44">
        <f t="shared" si="61"/>
        <v>1.08</v>
      </c>
      <c r="W157" s="44">
        <f t="shared" si="61"/>
        <v>1.08</v>
      </c>
      <c r="X157" s="44">
        <f t="shared" si="61"/>
        <v>1.08</v>
      </c>
      <c r="Y157" s="44">
        <f t="shared" si="61"/>
        <v>1.08</v>
      </c>
      <c r="Z157" s="44">
        <f t="shared" si="61"/>
        <v>1.08</v>
      </c>
      <c r="AA157" s="44">
        <f t="shared" si="61"/>
        <v>1.08</v>
      </c>
      <c r="AB157" s="44">
        <f t="shared" si="61"/>
        <v>1.08</v>
      </c>
      <c r="AC157" s="44">
        <f t="shared" si="61"/>
        <v>1.08</v>
      </c>
      <c r="AD157" s="44">
        <f t="shared" si="61"/>
        <v>1.08</v>
      </c>
      <c r="AE157" s="44">
        <f t="shared" si="61"/>
        <v>1.08</v>
      </c>
      <c r="AF157" s="44">
        <f t="shared" si="61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59"/>
        <v>2.37</v>
      </c>
      <c r="C158" s="55">
        <v>2.37</v>
      </c>
      <c r="D158" s="44">
        <f t="shared" si="60"/>
        <v>2.37</v>
      </c>
      <c r="E158" s="44">
        <f t="shared" si="60"/>
        <v>2.37</v>
      </c>
      <c r="F158" s="44">
        <f t="shared" si="60"/>
        <v>2.37</v>
      </c>
      <c r="G158" s="44">
        <f t="shared" si="60"/>
        <v>2.37</v>
      </c>
      <c r="H158" s="44">
        <f t="shared" si="60"/>
        <v>2.37</v>
      </c>
      <c r="I158" s="44">
        <f t="shared" si="60"/>
        <v>2.37</v>
      </c>
      <c r="J158" s="44">
        <f t="shared" si="60"/>
        <v>2.37</v>
      </c>
      <c r="K158" s="44">
        <f t="shared" si="60"/>
        <v>2.37</v>
      </c>
      <c r="L158" s="44">
        <f t="shared" si="60"/>
        <v>2.37</v>
      </c>
      <c r="M158" s="44">
        <f t="shared" si="60"/>
        <v>2.37</v>
      </c>
      <c r="N158" s="44">
        <f t="shared" si="60"/>
        <v>2.37</v>
      </c>
      <c r="O158" s="44">
        <f t="shared" si="60"/>
        <v>2.37</v>
      </c>
      <c r="P158" s="44">
        <f t="shared" si="60"/>
        <v>2.37</v>
      </c>
      <c r="Q158" s="44">
        <f t="shared" si="60"/>
        <v>2.37</v>
      </c>
      <c r="R158" s="44">
        <f t="shared" si="60"/>
        <v>2.37</v>
      </c>
      <c r="S158" s="44">
        <f t="shared" si="60"/>
        <v>2.37</v>
      </c>
      <c r="T158" s="44">
        <f t="shared" si="61"/>
        <v>2.37</v>
      </c>
      <c r="U158" s="44">
        <f t="shared" si="61"/>
        <v>2.37</v>
      </c>
      <c r="V158" s="44">
        <f t="shared" si="61"/>
        <v>2.37</v>
      </c>
      <c r="W158" s="44">
        <f t="shared" si="61"/>
        <v>2.37</v>
      </c>
      <c r="X158" s="44">
        <f t="shared" si="61"/>
        <v>2.37</v>
      </c>
      <c r="Y158" s="44">
        <f t="shared" si="61"/>
        <v>2.37</v>
      </c>
      <c r="Z158" s="44">
        <f t="shared" si="61"/>
        <v>2.37</v>
      </c>
      <c r="AA158" s="44">
        <f t="shared" si="61"/>
        <v>2.37</v>
      </c>
      <c r="AB158" s="44">
        <f t="shared" si="61"/>
        <v>2.37</v>
      </c>
      <c r="AC158" s="44">
        <f t="shared" si="61"/>
        <v>2.37</v>
      </c>
      <c r="AD158" s="44">
        <f t="shared" si="61"/>
        <v>2.37</v>
      </c>
      <c r="AE158" s="44">
        <f t="shared" si="61"/>
        <v>2.37</v>
      </c>
      <c r="AF158" s="44">
        <f t="shared" si="61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59"/>
        <v>1.81</v>
      </c>
      <c r="C159" s="55">
        <v>1.81</v>
      </c>
      <c r="D159" s="44">
        <f t="shared" si="60"/>
        <v>1.81</v>
      </c>
      <c r="E159" s="44">
        <f t="shared" si="60"/>
        <v>1.81</v>
      </c>
      <c r="F159" s="44">
        <f t="shared" si="60"/>
        <v>1.81</v>
      </c>
      <c r="G159" s="44">
        <f t="shared" si="60"/>
        <v>1.81</v>
      </c>
      <c r="H159" s="44">
        <f t="shared" si="60"/>
        <v>1.81</v>
      </c>
      <c r="I159" s="44">
        <f t="shared" si="60"/>
        <v>1.81</v>
      </c>
      <c r="J159" s="44">
        <f t="shared" si="60"/>
        <v>1.81</v>
      </c>
      <c r="K159" s="44">
        <f t="shared" si="60"/>
        <v>1.81</v>
      </c>
      <c r="L159" s="44">
        <f t="shared" si="60"/>
        <v>1.81</v>
      </c>
      <c r="M159" s="44">
        <f t="shared" si="60"/>
        <v>1.81</v>
      </c>
      <c r="N159" s="44">
        <f t="shared" si="60"/>
        <v>1.81</v>
      </c>
      <c r="O159" s="44">
        <f t="shared" si="60"/>
        <v>1.81</v>
      </c>
      <c r="P159" s="44">
        <f t="shared" si="60"/>
        <v>1.81</v>
      </c>
      <c r="Q159" s="44">
        <f t="shared" si="60"/>
        <v>1.81</v>
      </c>
      <c r="R159" s="44">
        <f t="shared" si="60"/>
        <v>1.81</v>
      </c>
      <c r="S159" s="44">
        <f t="shared" si="60"/>
        <v>1.81</v>
      </c>
      <c r="T159" s="44">
        <f t="shared" si="61"/>
        <v>1.81</v>
      </c>
      <c r="U159" s="44">
        <f t="shared" si="61"/>
        <v>1.81</v>
      </c>
      <c r="V159" s="44">
        <f t="shared" si="61"/>
        <v>1.81</v>
      </c>
      <c r="W159" s="44">
        <f t="shared" si="61"/>
        <v>1.81</v>
      </c>
      <c r="X159" s="44">
        <f t="shared" si="61"/>
        <v>1.81</v>
      </c>
      <c r="Y159" s="44">
        <f t="shared" si="61"/>
        <v>1.81</v>
      </c>
      <c r="Z159" s="44">
        <f t="shared" si="61"/>
        <v>1.81</v>
      </c>
      <c r="AA159" s="44">
        <f t="shared" si="61"/>
        <v>1.81</v>
      </c>
      <c r="AB159" s="44">
        <f t="shared" si="61"/>
        <v>1.81</v>
      </c>
      <c r="AC159" s="44">
        <f t="shared" si="61"/>
        <v>1.81</v>
      </c>
      <c r="AD159" s="44">
        <f t="shared" si="61"/>
        <v>1.81</v>
      </c>
      <c r="AE159" s="44">
        <f t="shared" si="61"/>
        <v>1.81</v>
      </c>
      <c r="AF159" s="44">
        <f t="shared" si="61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59"/>
        <v>1.0900000000000001</v>
      </c>
      <c r="C160" s="55">
        <v>1.0900000000000001</v>
      </c>
      <c r="D160" s="44">
        <f t="shared" si="60"/>
        <v>1.0900000000000001</v>
      </c>
      <c r="E160" s="44">
        <f t="shared" si="60"/>
        <v>1.0900000000000001</v>
      </c>
      <c r="F160" s="44">
        <f t="shared" si="60"/>
        <v>1.0900000000000001</v>
      </c>
      <c r="G160" s="44">
        <f t="shared" si="60"/>
        <v>1.0900000000000001</v>
      </c>
      <c r="H160" s="44">
        <f t="shared" si="60"/>
        <v>1.0900000000000001</v>
      </c>
      <c r="I160" s="44">
        <f t="shared" si="60"/>
        <v>1.0900000000000001</v>
      </c>
      <c r="J160" s="44">
        <f t="shared" si="60"/>
        <v>1.0900000000000001</v>
      </c>
      <c r="K160" s="44">
        <f t="shared" si="60"/>
        <v>1.0900000000000001</v>
      </c>
      <c r="L160" s="44">
        <f t="shared" si="60"/>
        <v>1.0900000000000001</v>
      </c>
      <c r="M160" s="44">
        <f t="shared" si="60"/>
        <v>1.0900000000000001</v>
      </c>
      <c r="N160" s="44">
        <f t="shared" si="60"/>
        <v>1.0900000000000001</v>
      </c>
      <c r="O160" s="44">
        <f t="shared" si="60"/>
        <v>1.0900000000000001</v>
      </c>
      <c r="P160" s="44">
        <f t="shared" si="60"/>
        <v>1.0900000000000001</v>
      </c>
      <c r="Q160" s="44">
        <f t="shared" si="60"/>
        <v>1.0900000000000001</v>
      </c>
      <c r="R160" s="44">
        <f t="shared" si="60"/>
        <v>1.0900000000000001</v>
      </c>
      <c r="S160" s="44">
        <f t="shared" si="60"/>
        <v>1.0900000000000001</v>
      </c>
      <c r="T160" s="44">
        <f t="shared" si="61"/>
        <v>1.0900000000000001</v>
      </c>
      <c r="U160" s="44">
        <f t="shared" si="61"/>
        <v>1.0900000000000001</v>
      </c>
      <c r="V160" s="44">
        <f t="shared" si="61"/>
        <v>1.0900000000000001</v>
      </c>
      <c r="W160" s="44">
        <f t="shared" si="61"/>
        <v>1.0900000000000001</v>
      </c>
      <c r="X160" s="44">
        <f t="shared" si="61"/>
        <v>1.0900000000000001</v>
      </c>
      <c r="Y160" s="44">
        <f t="shared" si="61"/>
        <v>1.0900000000000001</v>
      </c>
      <c r="Z160" s="44">
        <f t="shared" si="61"/>
        <v>1.0900000000000001</v>
      </c>
      <c r="AA160" s="44">
        <f t="shared" si="61"/>
        <v>1.0900000000000001</v>
      </c>
      <c r="AB160" s="44">
        <f t="shared" si="61"/>
        <v>1.0900000000000001</v>
      </c>
      <c r="AC160" s="44">
        <f t="shared" si="61"/>
        <v>1.0900000000000001</v>
      </c>
      <c r="AD160" s="44">
        <f t="shared" si="61"/>
        <v>1.0900000000000001</v>
      </c>
      <c r="AE160" s="44">
        <f t="shared" si="61"/>
        <v>1.0900000000000001</v>
      </c>
      <c r="AF160" s="44">
        <f t="shared" si="61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59"/>
        <v>1.58</v>
      </c>
      <c r="C161" s="55">
        <v>1.58</v>
      </c>
      <c r="D161" s="44">
        <f t="shared" si="60"/>
        <v>1.58</v>
      </c>
      <c r="E161" s="44">
        <f t="shared" si="60"/>
        <v>1.58</v>
      </c>
      <c r="F161" s="44">
        <f t="shared" si="60"/>
        <v>1.58</v>
      </c>
      <c r="G161" s="44">
        <f t="shared" si="60"/>
        <v>1.58</v>
      </c>
      <c r="H161" s="44">
        <f t="shared" si="60"/>
        <v>1.58</v>
      </c>
      <c r="I161" s="44">
        <f t="shared" si="60"/>
        <v>1.58</v>
      </c>
      <c r="J161" s="44">
        <f t="shared" si="60"/>
        <v>1.58</v>
      </c>
      <c r="K161" s="44">
        <f t="shared" si="60"/>
        <v>1.58</v>
      </c>
      <c r="L161" s="44">
        <f t="shared" si="60"/>
        <v>1.58</v>
      </c>
      <c r="M161" s="44">
        <f t="shared" si="60"/>
        <v>1.58</v>
      </c>
      <c r="N161" s="44">
        <f t="shared" si="60"/>
        <v>1.58</v>
      </c>
      <c r="O161" s="44">
        <f t="shared" si="60"/>
        <v>1.58</v>
      </c>
      <c r="P161" s="44">
        <f t="shared" si="60"/>
        <v>1.58</v>
      </c>
      <c r="Q161" s="44">
        <f t="shared" si="60"/>
        <v>1.58</v>
      </c>
      <c r="R161" s="44">
        <f t="shared" si="60"/>
        <v>1.58</v>
      </c>
      <c r="S161" s="44">
        <f t="shared" si="60"/>
        <v>1.58</v>
      </c>
      <c r="T161" s="44">
        <f t="shared" si="61"/>
        <v>1.58</v>
      </c>
      <c r="U161" s="44">
        <f t="shared" si="61"/>
        <v>1.58</v>
      </c>
      <c r="V161" s="44">
        <f t="shared" si="61"/>
        <v>1.58</v>
      </c>
      <c r="W161" s="44">
        <f t="shared" si="61"/>
        <v>1.58</v>
      </c>
      <c r="X161" s="44">
        <f t="shared" si="61"/>
        <v>1.58</v>
      </c>
      <c r="Y161" s="44">
        <f t="shared" si="61"/>
        <v>1.58</v>
      </c>
      <c r="Z161" s="44">
        <f t="shared" si="61"/>
        <v>1.58</v>
      </c>
      <c r="AA161" s="44">
        <f t="shared" si="61"/>
        <v>1.58</v>
      </c>
      <c r="AB161" s="44">
        <f t="shared" si="61"/>
        <v>1.58</v>
      </c>
      <c r="AC161" s="44">
        <f t="shared" si="61"/>
        <v>1.58</v>
      </c>
      <c r="AD161" s="44">
        <f t="shared" si="61"/>
        <v>1.58</v>
      </c>
      <c r="AE161" s="44">
        <f t="shared" si="61"/>
        <v>1.58</v>
      </c>
      <c r="AF161" s="44">
        <f t="shared" si="61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59"/>
        <v>2</v>
      </c>
      <c r="C162" s="55">
        <v>2</v>
      </c>
      <c r="D162" s="44">
        <f t="shared" si="60"/>
        <v>2</v>
      </c>
      <c r="E162" s="44">
        <f t="shared" si="60"/>
        <v>2</v>
      </c>
      <c r="F162" s="44">
        <f t="shared" si="60"/>
        <v>2</v>
      </c>
      <c r="G162" s="44">
        <f t="shared" si="60"/>
        <v>2</v>
      </c>
      <c r="H162" s="44">
        <f t="shared" si="60"/>
        <v>2</v>
      </c>
      <c r="I162" s="44">
        <f t="shared" si="60"/>
        <v>2</v>
      </c>
      <c r="J162" s="44">
        <f t="shared" si="60"/>
        <v>2</v>
      </c>
      <c r="K162" s="44">
        <f t="shared" si="60"/>
        <v>2</v>
      </c>
      <c r="L162" s="44">
        <f t="shared" si="60"/>
        <v>2</v>
      </c>
      <c r="M162" s="44">
        <f t="shared" si="60"/>
        <v>2</v>
      </c>
      <c r="N162" s="44">
        <f t="shared" si="60"/>
        <v>2</v>
      </c>
      <c r="O162" s="44">
        <f t="shared" si="60"/>
        <v>2</v>
      </c>
      <c r="P162" s="44">
        <f t="shared" si="60"/>
        <v>2</v>
      </c>
      <c r="Q162" s="44">
        <f t="shared" si="60"/>
        <v>2</v>
      </c>
      <c r="R162" s="44">
        <f t="shared" si="60"/>
        <v>2</v>
      </c>
      <c r="S162" s="44">
        <f t="shared" si="60"/>
        <v>2</v>
      </c>
      <c r="T162" s="44">
        <f t="shared" si="61"/>
        <v>2</v>
      </c>
      <c r="U162" s="44">
        <f t="shared" si="61"/>
        <v>2</v>
      </c>
      <c r="V162" s="44">
        <f t="shared" si="61"/>
        <v>2</v>
      </c>
      <c r="W162" s="44">
        <f t="shared" si="61"/>
        <v>2</v>
      </c>
      <c r="X162" s="44">
        <f t="shared" si="61"/>
        <v>2</v>
      </c>
      <c r="Y162" s="44">
        <f t="shared" si="61"/>
        <v>2</v>
      </c>
      <c r="Z162" s="44">
        <f t="shared" si="61"/>
        <v>2</v>
      </c>
      <c r="AA162" s="44">
        <f t="shared" si="61"/>
        <v>2</v>
      </c>
      <c r="AB162" s="44">
        <f t="shared" si="61"/>
        <v>2</v>
      </c>
      <c r="AC162" s="44">
        <f t="shared" si="61"/>
        <v>2</v>
      </c>
      <c r="AD162" s="44">
        <f t="shared" si="61"/>
        <v>2</v>
      </c>
      <c r="AE162" s="44">
        <f t="shared" si="61"/>
        <v>2</v>
      </c>
      <c r="AF162" s="44">
        <f t="shared" si="61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59"/>
        <v>0.47</v>
      </c>
      <c r="C163" s="55">
        <v>0.47</v>
      </c>
      <c r="D163" s="44">
        <f t="shared" si="60"/>
        <v>0.47</v>
      </c>
      <c r="E163" s="44">
        <f t="shared" si="60"/>
        <v>0.47</v>
      </c>
      <c r="F163" s="44">
        <f t="shared" si="60"/>
        <v>0.47</v>
      </c>
      <c r="G163" s="44">
        <f t="shared" si="60"/>
        <v>0.47</v>
      </c>
      <c r="H163" s="44">
        <f t="shared" si="60"/>
        <v>0.47</v>
      </c>
      <c r="I163" s="44">
        <f t="shared" si="60"/>
        <v>0.47</v>
      </c>
      <c r="J163" s="44">
        <f t="shared" si="60"/>
        <v>0.47</v>
      </c>
      <c r="K163" s="44">
        <f t="shared" si="60"/>
        <v>0.47</v>
      </c>
      <c r="L163" s="44">
        <f t="shared" si="60"/>
        <v>0.47</v>
      </c>
      <c r="M163" s="44">
        <f t="shared" si="60"/>
        <v>0.47</v>
      </c>
      <c r="N163" s="44">
        <f t="shared" si="60"/>
        <v>0.47</v>
      </c>
      <c r="O163" s="44">
        <f t="shared" si="60"/>
        <v>0.47</v>
      </c>
      <c r="P163" s="44">
        <f t="shared" si="60"/>
        <v>0.47</v>
      </c>
      <c r="Q163" s="44">
        <f t="shared" si="60"/>
        <v>0.47</v>
      </c>
      <c r="R163" s="44">
        <f t="shared" si="60"/>
        <v>0.47</v>
      </c>
      <c r="S163" s="44">
        <f t="shared" si="60"/>
        <v>0.47</v>
      </c>
      <c r="T163" s="44">
        <f t="shared" si="61"/>
        <v>0.47</v>
      </c>
      <c r="U163" s="44">
        <f t="shared" si="61"/>
        <v>0.47</v>
      </c>
      <c r="V163" s="44">
        <f t="shared" si="61"/>
        <v>0.47</v>
      </c>
      <c r="W163" s="44">
        <f t="shared" si="61"/>
        <v>0.47</v>
      </c>
      <c r="X163" s="44">
        <f t="shared" si="61"/>
        <v>0.47</v>
      </c>
      <c r="Y163" s="44">
        <f t="shared" si="61"/>
        <v>0.47</v>
      </c>
      <c r="Z163" s="44">
        <f t="shared" si="61"/>
        <v>0.47</v>
      </c>
      <c r="AA163" s="44">
        <f t="shared" si="61"/>
        <v>0.47</v>
      </c>
      <c r="AB163" s="44">
        <f t="shared" si="61"/>
        <v>0.47</v>
      </c>
      <c r="AC163" s="44">
        <f t="shared" si="61"/>
        <v>0.47</v>
      </c>
      <c r="AD163" s="44">
        <f t="shared" si="61"/>
        <v>0.47</v>
      </c>
      <c r="AE163" s="44">
        <f t="shared" si="61"/>
        <v>0.47</v>
      </c>
      <c r="AF163" s="44">
        <f t="shared" si="61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59"/>
        <v>0</v>
      </c>
      <c r="C164" s="55">
        <v>0</v>
      </c>
      <c r="D164" s="44">
        <f t="shared" si="60"/>
        <v>0</v>
      </c>
      <c r="E164" s="44">
        <f t="shared" si="60"/>
        <v>0</v>
      </c>
      <c r="F164" s="44">
        <f t="shared" si="60"/>
        <v>0</v>
      </c>
      <c r="G164" s="44">
        <f t="shared" si="60"/>
        <v>0</v>
      </c>
      <c r="H164" s="44">
        <f t="shared" si="60"/>
        <v>0</v>
      </c>
      <c r="I164" s="44">
        <f t="shared" si="60"/>
        <v>0</v>
      </c>
      <c r="J164" s="44">
        <f t="shared" si="60"/>
        <v>0</v>
      </c>
      <c r="K164" s="44">
        <f t="shared" si="60"/>
        <v>0</v>
      </c>
      <c r="L164" s="44">
        <f t="shared" si="60"/>
        <v>0</v>
      </c>
      <c r="M164" s="44">
        <f t="shared" si="60"/>
        <v>0</v>
      </c>
      <c r="N164" s="44">
        <f t="shared" si="60"/>
        <v>0</v>
      </c>
      <c r="O164" s="44">
        <f t="shared" si="60"/>
        <v>0</v>
      </c>
      <c r="P164" s="44">
        <f t="shared" si="60"/>
        <v>0</v>
      </c>
      <c r="Q164" s="44">
        <f t="shared" si="60"/>
        <v>0</v>
      </c>
      <c r="R164" s="44">
        <f t="shared" si="60"/>
        <v>0</v>
      </c>
      <c r="S164" s="44">
        <f t="shared" si="60"/>
        <v>0</v>
      </c>
      <c r="T164" s="44">
        <f t="shared" si="61"/>
        <v>0</v>
      </c>
      <c r="U164" s="44">
        <f t="shared" si="61"/>
        <v>0</v>
      </c>
      <c r="V164" s="44">
        <f t="shared" si="61"/>
        <v>0</v>
      </c>
      <c r="W164" s="44">
        <f t="shared" si="61"/>
        <v>0</v>
      </c>
      <c r="X164" s="44">
        <f t="shared" si="61"/>
        <v>0</v>
      </c>
      <c r="Y164" s="44">
        <f t="shared" si="61"/>
        <v>0</v>
      </c>
      <c r="Z164" s="44">
        <f t="shared" si="61"/>
        <v>0</v>
      </c>
      <c r="AA164" s="44">
        <f t="shared" si="61"/>
        <v>0</v>
      </c>
      <c r="AB164" s="44">
        <f t="shared" si="61"/>
        <v>0</v>
      </c>
      <c r="AC164" s="44">
        <f t="shared" si="61"/>
        <v>0</v>
      </c>
      <c r="AD164" s="44">
        <f t="shared" si="61"/>
        <v>0</v>
      </c>
      <c r="AE164" s="44">
        <f t="shared" si="61"/>
        <v>0</v>
      </c>
      <c r="AF164" s="44">
        <f t="shared" si="61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59"/>
        <v>0</v>
      </c>
      <c r="C165" s="55">
        <v>0</v>
      </c>
      <c r="D165" s="44">
        <f t="shared" si="60"/>
        <v>0</v>
      </c>
      <c r="E165" s="44">
        <f t="shared" si="60"/>
        <v>0</v>
      </c>
      <c r="F165" s="44">
        <f t="shared" si="60"/>
        <v>0</v>
      </c>
      <c r="G165" s="44">
        <f t="shared" si="60"/>
        <v>0</v>
      </c>
      <c r="H165" s="44">
        <f t="shared" si="60"/>
        <v>0</v>
      </c>
      <c r="I165" s="44">
        <f t="shared" si="60"/>
        <v>0</v>
      </c>
      <c r="J165" s="44">
        <f t="shared" si="60"/>
        <v>0</v>
      </c>
      <c r="K165" s="44">
        <f t="shared" si="60"/>
        <v>0</v>
      </c>
      <c r="L165" s="44">
        <f t="shared" si="60"/>
        <v>0</v>
      </c>
      <c r="M165" s="44">
        <f t="shared" si="60"/>
        <v>0</v>
      </c>
      <c r="N165" s="44">
        <f t="shared" si="60"/>
        <v>0</v>
      </c>
      <c r="O165" s="44">
        <f t="shared" si="60"/>
        <v>0</v>
      </c>
      <c r="P165" s="44">
        <f t="shared" si="60"/>
        <v>0</v>
      </c>
      <c r="Q165" s="44">
        <f t="shared" si="60"/>
        <v>0</v>
      </c>
      <c r="R165" s="44">
        <f t="shared" si="60"/>
        <v>0</v>
      </c>
      <c r="S165" s="44">
        <f t="shared" si="61"/>
        <v>0</v>
      </c>
      <c r="T165" s="44">
        <f t="shared" si="61"/>
        <v>0</v>
      </c>
      <c r="U165" s="44">
        <f t="shared" si="61"/>
        <v>0</v>
      </c>
      <c r="V165" s="44">
        <f t="shared" si="61"/>
        <v>0</v>
      </c>
      <c r="W165" s="44">
        <f t="shared" si="61"/>
        <v>0</v>
      </c>
      <c r="X165" s="44">
        <f t="shared" si="61"/>
        <v>0</v>
      </c>
      <c r="Y165" s="44">
        <f t="shared" si="61"/>
        <v>0</v>
      </c>
      <c r="Z165" s="44">
        <f t="shared" si="61"/>
        <v>0</v>
      </c>
      <c r="AA165" s="44">
        <f t="shared" si="61"/>
        <v>0</v>
      </c>
      <c r="AB165" s="44">
        <f t="shared" si="61"/>
        <v>0</v>
      </c>
      <c r="AC165" s="44">
        <f t="shared" si="61"/>
        <v>0</v>
      </c>
      <c r="AD165" s="44">
        <f t="shared" si="61"/>
        <v>0</v>
      </c>
      <c r="AE165" s="44">
        <f t="shared" si="61"/>
        <v>0</v>
      </c>
      <c r="AF165" s="44">
        <f t="shared" si="61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59"/>
        <v>0.8</v>
      </c>
      <c r="C166" s="55">
        <v>0.8</v>
      </c>
      <c r="D166" s="44">
        <f t="shared" si="60"/>
        <v>0.8</v>
      </c>
      <c r="E166" s="44">
        <f t="shared" si="60"/>
        <v>0.8</v>
      </c>
      <c r="F166" s="44">
        <f t="shared" si="60"/>
        <v>0.8</v>
      </c>
      <c r="G166" s="44">
        <f t="shared" si="60"/>
        <v>0.8</v>
      </c>
      <c r="H166" s="44">
        <f t="shared" si="60"/>
        <v>0.8</v>
      </c>
      <c r="I166" s="44">
        <f t="shared" si="60"/>
        <v>0.8</v>
      </c>
      <c r="J166" s="44">
        <f t="shared" si="60"/>
        <v>0.8</v>
      </c>
      <c r="K166" s="44">
        <f t="shared" si="60"/>
        <v>0.8</v>
      </c>
      <c r="L166" s="44">
        <f t="shared" si="60"/>
        <v>0.8</v>
      </c>
      <c r="M166" s="44">
        <f t="shared" si="60"/>
        <v>0.8</v>
      </c>
      <c r="N166" s="44">
        <f t="shared" si="60"/>
        <v>0.8</v>
      </c>
      <c r="O166" s="44">
        <f t="shared" si="60"/>
        <v>0.8</v>
      </c>
      <c r="P166" s="44">
        <f t="shared" si="60"/>
        <v>0.8</v>
      </c>
      <c r="Q166" s="44">
        <f t="shared" si="60"/>
        <v>0.8</v>
      </c>
      <c r="R166" s="44">
        <f t="shared" si="60"/>
        <v>0.8</v>
      </c>
      <c r="S166" s="44">
        <f t="shared" si="61"/>
        <v>0.8</v>
      </c>
      <c r="T166" s="44">
        <f t="shared" si="61"/>
        <v>0.8</v>
      </c>
      <c r="U166" s="44">
        <f t="shared" si="61"/>
        <v>0.8</v>
      </c>
      <c r="V166" s="44">
        <f t="shared" si="61"/>
        <v>0.8</v>
      </c>
      <c r="W166" s="44">
        <f t="shared" si="61"/>
        <v>0.8</v>
      </c>
      <c r="X166" s="44">
        <f t="shared" si="61"/>
        <v>0.8</v>
      </c>
      <c r="Y166" s="44">
        <f t="shared" si="61"/>
        <v>0.8</v>
      </c>
      <c r="Z166" s="44">
        <f t="shared" si="61"/>
        <v>0.8</v>
      </c>
      <c r="AA166" s="44">
        <f t="shared" si="61"/>
        <v>0.8</v>
      </c>
      <c r="AB166" s="44">
        <f t="shared" si="61"/>
        <v>0.8</v>
      </c>
      <c r="AC166" s="44">
        <f t="shared" si="61"/>
        <v>0.8</v>
      </c>
      <c r="AD166" s="44">
        <f t="shared" si="61"/>
        <v>0.8</v>
      </c>
      <c r="AE166" s="44">
        <f t="shared" si="61"/>
        <v>0.8</v>
      </c>
      <c r="AF166" s="44">
        <f t="shared" si="61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59"/>
        <v>1.5</v>
      </c>
      <c r="C167" s="55">
        <v>1.5</v>
      </c>
      <c r="D167" s="44">
        <f t="shared" si="60"/>
        <v>1.5</v>
      </c>
      <c r="E167" s="44">
        <f t="shared" si="60"/>
        <v>1.5</v>
      </c>
      <c r="F167" s="44">
        <f t="shared" si="60"/>
        <v>1.5</v>
      </c>
      <c r="G167" s="44">
        <f t="shared" si="60"/>
        <v>1.5</v>
      </c>
      <c r="H167" s="44">
        <f t="shared" si="60"/>
        <v>1.5</v>
      </c>
      <c r="I167" s="44">
        <f t="shared" si="60"/>
        <v>1.5</v>
      </c>
      <c r="J167" s="44">
        <f t="shared" si="60"/>
        <v>1.5</v>
      </c>
      <c r="K167" s="44">
        <f t="shared" si="60"/>
        <v>1.5</v>
      </c>
      <c r="L167" s="44">
        <f t="shared" si="60"/>
        <v>1.5</v>
      </c>
      <c r="M167" s="44">
        <f t="shared" si="60"/>
        <v>1.5</v>
      </c>
      <c r="N167" s="44">
        <f t="shared" si="60"/>
        <v>1.5</v>
      </c>
      <c r="O167" s="44">
        <f t="shared" si="60"/>
        <v>1.5</v>
      </c>
      <c r="P167" s="44">
        <f t="shared" si="60"/>
        <v>1.5</v>
      </c>
      <c r="Q167" s="44">
        <f t="shared" si="60"/>
        <v>1.5</v>
      </c>
      <c r="R167" s="44">
        <f t="shared" si="60"/>
        <v>1.5</v>
      </c>
      <c r="S167" s="44">
        <f t="shared" si="61"/>
        <v>1.5</v>
      </c>
      <c r="T167" s="44">
        <f t="shared" si="61"/>
        <v>1.5</v>
      </c>
      <c r="U167" s="44">
        <f t="shared" si="61"/>
        <v>1.5</v>
      </c>
      <c r="V167" s="44">
        <f t="shared" si="61"/>
        <v>1.5</v>
      </c>
      <c r="W167" s="44">
        <f t="shared" si="61"/>
        <v>1.5</v>
      </c>
      <c r="X167" s="44">
        <f t="shared" si="61"/>
        <v>1.5</v>
      </c>
      <c r="Y167" s="44">
        <f t="shared" si="61"/>
        <v>1.5</v>
      </c>
      <c r="Z167" s="44">
        <f t="shared" si="61"/>
        <v>1.5</v>
      </c>
      <c r="AA167" s="44">
        <f t="shared" si="61"/>
        <v>1.5</v>
      </c>
      <c r="AB167" s="44">
        <f t="shared" si="61"/>
        <v>1.5</v>
      </c>
      <c r="AC167" s="44">
        <f t="shared" si="61"/>
        <v>1.5</v>
      </c>
      <c r="AD167" s="44">
        <f t="shared" si="61"/>
        <v>1.5</v>
      </c>
      <c r="AE167" s="44">
        <f t="shared" si="61"/>
        <v>1.5</v>
      </c>
      <c r="AF167" s="44">
        <f t="shared" si="61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59"/>
        <v>1</v>
      </c>
      <c r="C168" s="55">
        <v>1</v>
      </c>
      <c r="D168" s="44">
        <f t="shared" si="60"/>
        <v>1</v>
      </c>
      <c r="E168" s="44">
        <f t="shared" si="60"/>
        <v>1</v>
      </c>
      <c r="F168" s="44">
        <f t="shared" si="60"/>
        <v>1</v>
      </c>
      <c r="G168" s="44">
        <f t="shared" si="60"/>
        <v>1</v>
      </c>
      <c r="H168" s="44">
        <f t="shared" si="60"/>
        <v>1</v>
      </c>
      <c r="I168" s="44">
        <f t="shared" si="60"/>
        <v>1</v>
      </c>
      <c r="J168" s="44">
        <f t="shared" si="60"/>
        <v>1</v>
      </c>
      <c r="K168" s="44">
        <f t="shared" si="60"/>
        <v>1</v>
      </c>
      <c r="L168" s="44">
        <f t="shared" si="60"/>
        <v>1</v>
      </c>
      <c r="M168" s="44">
        <f t="shared" si="60"/>
        <v>1</v>
      </c>
      <c r="N168" s="44">
        <f t="shared" si="60"/>
        <v>1</v>
      </c>
      <c r="O168" s="44">
        <f t="shared" si="60"/>
        <v>1</v>
      </c>
      <c r="P168" s="44">
        <f t="shared" si="60"/>
        <v>1</v>
      </c>
      <c r="Q168" s="44">
        <f t="shared" si="60"/>
        <v>1</v>
      </c>
      <c r="R168" s="44">
        <f t="shared" si="60"/>
        <v>1</v>
      </c>
      <c r="S168" s="44">
        <f t="shared" si="61"/>
        <v>1</v>
      </c>
      <c r="T168" s="44">
        <f t="shared" si="61"/>
        <v>1</v>
      </c>
      <c r="U168" s="44">
        <f t="shared" si="61"/>
        <v>1</v>
      </c>
      <c r="V168" s="44">
        <f t="shared" si="61"/>
        <v>1</v>
      </c>
      <c r="W168" s="44">
        <f t="shared" si="61"/>
        <v>1</v>
      </c>
      <c r="X168" s="44">
        <f t="shared" si="61"/>
        <v>1</v>
      </c>
      <c r="Y168" s="44">
        <f t="shared" si="61"/>
        <v>1</v>
      </c>
      <c r="Z168" s="44">
        <f t="shared" si="61"/>
        <v>1</v>
      </c>
      <c r="AA168" s="44">
        <f t="shared" si="61"/>
        <v>1</v>
      </c>
      <c r="AB168" s="44">
        <f t="shared" si="61"/>
        <v>1</v>
      </c>
      <c r="AC168" s="44">
        <f t="shared" si="61"/>
        <v>1</v>
      </c>
      <c r="AD168" s="44">
        <f t="shared" si="61"/>
        <v>1</v>
      </c>
      <c r="AE168" s="44">
        <f t="shared" si="61"/>
        <v>1</v>
      </c>
      <c r="AF168" s="44">
        <f t="shared" si="61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2">AF170</f>
        <v>1</v>
      </c>
      <c r="C170" s="55">
        <v>1</v>
      </c>
      <c r="D170" s="44">
        <f t="shared" ref="D170:S177" si="63">C170</f>
        <v>1</v>
      </c>
      <c r="E170" s="44">
        <f t="shared" si="63"/>
        <v>1</v>
      </c>
      <c r="F170" s="44">
        <f t="shared" si="63"/>
        <v>1</v>
      </c>
      <c r="G170" s="44">
        <f t="shared" si="63"/>
        <v>1</v>
      </c>
      <c r="H170" s="44">
        <f t="shared" si="63"/>
        <v>1</v>
      </c>
      <c r="I170" s="44">
        <f t="shared" si="63"/>
        <v>1</v>
      </c>
      <c r="J170" s="44">
        <f t="shared" si="63"/>
        <v>1</v>
      </c>
      <c r="K170" s="44">
        <f t="shared" si="63"/>
        <v>1</v>
      </c>
      <c r="L170" s="44">
        <f t="shared" si="63"/>
        <v>1</v>
      </c>
      <c r="M170" s="44">
        <f t="shared" si="63"/>
        <v>1</v>
      </c>
      <c r="N170" s="44">
        <f t="shared" si="63"/>
        <v>1</v>
      </c>
      <c r="O170" s="44">
        <f t="shared" si="63"/>
        <v>1</v>
      </c>
      <c r="P170" s="44">
        <f t="shared" si="63"/>
        <v>1</v>
      </c>
      <c r="Q170" s="44">
        <f t="shared" si="63"/>
        <v>1</v>
      </c>
      <c r="R170" s="44">
        <f t="shared" si="63"/>
        <v>1</v>
      </c>
      <c r="S170" s="44">
        <f t="shared" si="63"/>
        <v>1</v>
      </c>
      <c r="T170" s="44">
        <f t="shared" ref="S170:AF177" si="64">S170</f>
        <v>1</v>
      </c>
      <c r="U170" s="44">
        <f t="shared" si="64"/>
        <v>1</v>
      </c>
      <c r="V170" s="44">
        <f t="shared" si="64"/>
        <v>1</v>
      </c>
      <c r="W170" s="44">
        <f t="shared" si="64"/>
        <v>1</v>
      </c>
      <c r="X170" s="44">
        <f t="shared" si="64"/>
        <v>1</v>
      </c>
      <c r="Y170" s="44">
        <f t="shared" si="64"/>
        <v>1</v>
      </c>
      <c r="Z170" s="44">
        <f t="shared" si="64"/>
        <v>1</v>
      </c>
      <c r="AA170" s="44">
        <f t="shared" si="64"/>
        <v>1</v>
      </c>
      <c r="AB170" s="44">
        <f t="shared" si="64"/>
        <v>1</v>
      </c>
      <c r="AC170" s="44">
        <f t="shared" si="64"/>
        <v>1</v>
      </c>
      <c r="AD170" s="44">
        <f t="shared" si="64"/>
        <v>1</v>
      </c>
      <c r="AE170" s="44">
        <f t="shared" si="64"/>
        <v>1</v>
      </c>
      <c r="AF170" s="44">
        <f t="shared" si="64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2"/>
        <v>0.42</v>
      </c>
      <c r="C171" s="55">
        <v>0.42</v>
      </c>
      <c r="D171" s="44">
        <f t="shared" si="63"/>
        <v>0.42</v>
      </c>
      <c r="E171" s="44">
        <f t="shared" si="63"/>
        <v>0.42</v>
      </c>
      <c r="F171" s="44">
        <f t="shared" si="63"/>
        <v>0.42</v>
      </c>
      <c r="G171" s="44">
        <f t="shared" si="63"/>
        <v>0.42</v>
      </c>
      <c r="H171" s="44">
        <f t="shared" si="63"/>
        <v>0.42</v>
      </c>
      <c r="I171" s="44">
        <f t="shared" si="63"/>
        <v>0.42</v>
      </c>
      <c r="J171" s="44">
        <f t="shared" si="63"/>
        <v>0.42</v>
      </c>
      <c r="K171" s="44">
        <f t="shared" si="63"/>
        <v>0.42</v>
      </c>
      <c r="L171" s="44">
        <f t="shared" si="63"/>
        <v>0.42</v>
      </c>
      <c r="M171" s="44">
        <f t="shared" si="63"/>
        <v>0.42</v>
      </c>
      <c r="N171" s="44">
        <f t="shared" si="63"/>
        <v>0.42</v>
      </c>
      <c r="O171" s="44">
        <f t="shared" si="63"/>
        <v>0.42</v>
      </c>
      <c r="P171" s="44">
        <f t="shared" si="63"/>
        <v>0.42</v>
      </c>
      <c r="Q171" s="44">
        <f t="shared" si="63"/>
        <v>0.42</v>
      </c>
      <c r="R171" s="44">
        <f t="shared" si="63"/>
        <v>0.42</v>
      </c>
      <c r="S171" s="44">
        <f t="shared" si="64"/>
        <v>0.42</v>
      </c>
      <c r="T171" s="44">
        <f t="shared" si="64"/>
        <v>0.42</v>
      </c>
      <c r="U171" s="44">
        <f t="shared" si="64"/>
        <v>0.42</v>
      </c>
      <c r="V171" s="44">
        <f t="shared" si="64"/>
        <v>0.42</v>
      </c>
      <c r="W171" s="44">
        <f t="shared" si="64"/>
        <v>0.42</v>
      </c>
      <c r="X171" s="44">
        <f t="shared" si="64"/>
        <v>0.42</v>
      </c>
      <c r="Y171" s="44">
        <f t="shared" si="64"/>
        <v>0.42</v>
      </c>
      <c r="Z171" s="44">
        <f t="shared" si="64"/>
        <v>0.42</v>
      </c>
      <c r="AA171" s="44">
        <f t="shared" si="64"/>
        <v>0.42</v>
      </c>
      <c r="AB171" s="44">
        <f t="shared" si="64"/>
        <v>0.42</v>
      </c>
      <c r="AC171" s="44">
        <f t="shared" si="64"/>
        <v>0.42</v>
      </c>
      <c r="AD171" s="44">
        <f t="shared" si="64"/>
        <v>0.42</v>
      </c>
      <c r="AE171" s="44">
        <f t="shared" si="64"/>
        <v>0.42</v>
      </c>
      <c r="AF171" s="44">
        <f t="shared" si="64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2"/>
        <v>0.46</v>
      </c>
      <c r="C172" s="55">
        <v>0.46</v>
      </c>
      <c r="D172" s="44">
        <f t="shared" si="63"/>
        <v>0.46</v>
      </c>
      <c r="E172" s="44">
        <f t="shared" si="63"/>
        <v>0.46</v>
      </c>
      <c r="F172" s="44">
        <f t="shared" si="63"/>
        <v>0.46</v>
      </c>
      <c r="G172" s="44">
        <f t="shared" si="63"/>
        <v>0.46</v>
      </c>
      <c r="H172" s="44">
        <f t="shared" si="63"/>
        <v>0.46</v>
      </c>
      <c r="I172" s="44">
        <f t="shared" si="63"/>
        <v>0.46</v>
      </c>
      <c r="J172" s="44">
        <f t="shared" si="63"/>
        <v>0.46</v>
      </c>
      <c r="K172" s="44">
        <f t="shared" si="63"/>
        <v>0.46</v>
      </c>
      <c r="L172" s="44">
        <f t="shared" si="63"/>
        <v>0.46</v>
      </c>
      <c r="M172" s="44">
        <f t="shared" si="63"/>
        <v>0.46</v>
      </c>
      <c r="N172" s="44">
        <f t="shared" si="63"/>
        <v>0.46</v>
      </c>
      <c r="O172" s="44">
        <f t="shared" si="63"/>
        <v>0.46</v>
      </c>
      <c r="P172" s="44">
        <f t="shared" si="63"/>
        <v>0.46</v>
      </c>
      <c r="Q172" s="44">
        <f t="shared" si="63"/>
        <v>0.46</v>
      </c>
      <c r="R172" s="44">
        <f t="shared" si="63"/>
        <v>0.46</v>
      </c>
      <c r="S172" s="44">
        <f t="shared" si="64"/>
        <v>0.46</v>
      </c>
      <c r="T172" s="44">
        <f t="shared" si="64"/>
        <v>0.46</v>
      </c>
      <c r="U172" s="44">
        <f t="shared" si="64"/>
        <v>0.46</v>
      </c>
      <c r="V172" s="44">
        <f t="shared" si="64"/>
        <v>0.46</v>
      </c>
      <c r="W172" s="44">
        <f t="shared" si="64"/>
        <v>0.46</v>
      </c>
      <c r="X172" s="44">
        <f t="shared" si="64"/>
        <v>0.46</v>
      </c>
      <c r="Y172" s="44">
        <f t="shared" si="64"/>
        <v>0.46</v>
      </c>
      <c r="Z172" s="44">
        <f t="shared" si="64"/>
        <v>0.46</v>
      </c>
      <c r="AA172" s="44">
        <f t="shared" si="64"/>
        <v>0.46</v>
      </c>
      <c r="AB172" s="44">
        <f t="shared" si="64"/>
        <v>0.46</v>
      </c>
      <c r="AC172" s="44">
        <f t="shared" si="64"/>
        <v>0.46</v>
      </c>
      <c r="AD172" s="44">
        <f t="shared" si="64"/>
        <v>0.46</v>
      </c>
      <c r="AE172" s="44">
        <f t="shared" si="64"/>
        <v>0.46</v>
      </c>
      <c r="AF172" s="44">
        <f t="shared" si="64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2"/>
        <v>0.85</v>
      </c>
      <c r="C173" s="55">
        <v>0.85</v>
      </c>
      <c r="D173" s="44">
        <f t="shared" si="63"/>
        <v>0.85</v>
      </c>
      <c r="E173" s="44">
        <f t="shared" si="63"/>
        <v>0.85</v>
      </c>
      <c r="F173" s="44">
        <f t="shared" si="63"/>
        <v>0.85</v>
      </c>
      <c r="G173" s="44">
        <f t="shared" si="63"/>
        <v>0.85</v>
      </c>
      <c r="H173" s="44">
        <f t="shared" si="63"/>
        <v>0.85</v>
      </c>
      <c r="I173" s="44">
        <f t="shared" si="63"/>
        <v>0.85</v>
      </c>
      <c r="J173" s="44">
        <f t="shared" si="63"/>
        <v>0.85</v>
      </c>
      <c r="K173" s="44">
        <f t="shared" si="63"/>
        <v>0.85</v>
      </c>
      <c r="L173" s="44">
        <f t="shared" si="63"/>
        <v>0.85</v>
      </c>
      <c r="M173" s="44">
        <f t="shared" si="63"/>
        <v>0.85</v>
      </c>
      <c r="N173" s="44">
        <f t="shared" si="63"/>
        <v>0.85</v>
      </c>
      <c r="O173" s="44">
        <f t="shared" si="63"/>
        <v>0.85</v>
      </c>
      <c r="P173" s="44">
        <f t="shared" si="63"/>
        <v>0.85</v>
      </c>
      <c r="Q173" s="44">
        <f t="shared" si="63"/>
        <v>0.85</v>
      </c>
      <c r="R173" s="44">
        <f t="shared" si="63"/>
        <v>0.85</v>
      </c>
      <c r="S173" s="44">
        <f t="shared" si="64"/>
        <v>0.85</v>
      </c>
      <c r="T173" s="44">
        <f t="shared" si="64"/>
        <v>0.85</v>
      </c>
      <c r="U173" s="44">
        <f t="shared" si="64"/>
        <v>0.85</v>
      </c>
      <c r="V173" s="44">
        <f t="shared" si="64"/>
        <v>0.85</v>
      </c>
      <c r="W173" s="44">
        <f t="shared" si="64"/>
        <v>0.85</v>
      </c>
      <c r="X173" s="44">
        <f t="shared" si="64"/>
        <v>0.85</v>
      </c>
      <c r="Y173" s="44">
        <f t="shared" si="64"/>
        <v>0.85</v>
      </c>
      <c r="Z173" s="44">
        <f t="shared" si="64"/>
        <v>0.85</v>
      </c>
      <c r="AA173" s="44">
        <f t="shared" si="64"/>
        <v>0.85</v>
      </c>
      <c r="AB173" s="44">
        <f t="shared" si="64"/>
        <v>0.85</v>
      </c>
      <c r="AC173" s="44">
        <f t="shared" si="64"/>
        <v>0.85</v>
      </c>
      <c r="AD173" s="44">
        <f t="shared" si="64"/>
        <v>0.85</v>
      </c>
      <c r="AE173" s="44">
        <f t="shared" si="64"/>
        <v>0.85</v>
      </c>
      <c r="AF173" s="44">
        <f t="shared" si="64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2"/>
        <v>0.9</v>
      </c>
      <c r="C174" s="55">
        <v>0.9</v>
      </c>
      <c r="D174" s="44">
        <f t="shared" si="63"/>
        <v>0.9</v>
      </c>
      <c r="E174" s="44">
        <f t="shared" si="63"/>
        <v>0.9</v>
      </c>
      <c r="F174" s="44">
        <f t="shared" si="63"/>
        <v>0.9</v>
      </c>
      <c r="G174" s="44">
        <f t="shared" si="63"/>
        <v>0.9</v>
      </c>
      <c r="H174" s="44">
        <f t="shared" si="63"/>
        <v>0.9</v>
      </c>
      <c r="I174" s="44">
        <f t="shared" si="63"/>
        <v>0.9</v>
      </c>
      <c r="J174" s="44">
        <f t="shared" si="63"/>
        <v>0.9</v>
      </c>
      <c r="K174" s="44">
        <f t="shared" si="63"/>
        <v>0.9</v>
      </c>
      <c r="L174" s="44">
        <f t="shared" si="63"/>
        <v>0.9</v>
      </c>
      <c r="M174" s="44">
        <f t="shared" si="63"/>
        <v>0.9</v>
      </c>
      <c r="N174" s="44">
        <f t="shared" si="63"/>
        <v>0.9</v>
      </c>
      <c r="O174" s="44">
        <f t="shared" si="63"/>
        <v>0.9</v>
      </c>
      <c r="P174" s="44">
        <f t="shared" si="63"/>
        <v>0.9</v>
      </c>
      <c r="Q174" s="44">
        <f t="shared" si="63"/>
        <v>0.9</v>
      </c>
      <c r="R174" s="44">
        <f t="shared" si="63"/>
        <v>0.9</v>
      </c>
      <c r="S174" s="44">
        <f t="shared" si="64"/>
        <v>0.9</v>
      </c>
      <c r="T174" s="44">
        <f t="shared" si="64"/>
        <v>0.9</v>
      </c>
      <c r="U174" s="44">
        <f t="shared" si="64"/>
        <v>0.9</v>
      </c>
      <c r="V174" s="44">
        <f t="shared" si="64"/>
        <v>0.9</v>
      </c>
      <c r="W174" s="44">
        <f t="shared" si="64"/>
        <v>0.9</v>
      </c>
      <c r="X174" s="44">
        <f t="shared" si="64"/>
        <v>0.9</v>
      </c>
      <c r="Y174" s="44">
        <f t="shared" si="64"/>
        <v>0.9</v>
      </c>
      <c r="Z174" s="44">
        <f t="shared" si="64"/>
        <v>0.9</v>
      </c>
      <c r="AA174" s="44">
        <f t="shared" si="64"/>
        <v>0.9</v>
      </c>
      <c r="AB174" s="44">
        <f t="shared" si="64"/>
        <v>0.9</v>
      </c>
      <c r="AC174" s="44">
        <f t="shared" si="64"/>
        <v>0.9</v>
      </c>
      <c r="AD174" s="44">
        <f t="shared" si="64"/>
        <v>0.9</v>
      </c>
      <c r="AE174" s="44">
        <f t="shared" si="64"/>
        <v>0.9</v>
      </c>
      <c r="AF174" s="44">
        <f t="shared" si="64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2"/>
        <v>0.44</v>
      </c>
      <c r="C175" s="55">
        <v>0.44</v>
      </c>
      <c r="D175" s="44">
        <f t="shared" si="63"/>
        <v>0.44</v>
      </c>
      <c r="E175" s="44">
        <f t="shared" si="63"/>
        <v>0.44</v>
      </c>
      <c r="F175" s="44">
        <f t="shared" si="63"/>
        <v>0.44</v>
      </c>
      <c r="G175" s="44">
        <f t="shared" si="63"/>
        <v>0.44</v>
      </c>
      <c r="H175" s="44">
        <f t="shared" si="63"/>
        <v>0.44</v>
      </c>
      <c r="I175" s="44">
        <f t="shared" si="63"/>
        <v>0.44</v>
      </c>
      <c r="J175" s="44">
        <f t="shared" si="63"/>
        <v>0.44</v>
      </c>
      <c r="K175" s="44">
        <f t="shared" si="63"/>
        <v>0.44</v>
      </c>
      <c r="L175" s="44">
        <f t="shared" si="63"/>
        <v>0.44</v>
      </c>
      <c r="M175" s="44">
        <f t="shared" si="63"/>
        <v>0.44</v>
      </c>
      <c r="N175" s="44">
        <f t="shared" si="63"/>
        <v>0.44</v>
      </c>
      <c r="O175" s="44">
        <f t="shared" si="63"/>
        <v>0.44</v>
      </c>
      <c r="P175" s="44">
        <f t="shared" si="63"/>
        <v>0.44</v>
      </c>
      <c r="Q175" s="44">
        <f t="shared" si="63"/>
        <v>0.44</v>
      </c>
      <c r="R175" s="44">
        <f t="shared" si="63"/>
        <v>0.44</v>
      </c>
      <c r="S175" s="44">
        <f t="shared" si="64"/>
        <v>0.44</v>
      </c>
      <c r="T175" s="44">
        <f t="shared" si="64"/>
        <v>0.44</v>
      </c>
      <c r="U175" s="44">
        <f t="shared" si="64"/>
        <v>0.44</v>
      </c>
      <c r="V175" s="44">
        <f t="shared" si="64"/>
        <v>0.44</v>
      </c>
      <c r="W175" s="44">
        <f t="shared" si="64"/>
        <v>0.44</v>
      </c>
      <c r="X175" s="44">
        <f t="shared" si="64"/>
        <v>0.44</v>
      </c>
      <c r="Y175" s="44">
        <f t="shared" si="64"/>
        <v>0.44</v>
      </c>
      <c r="Z175" s="44">
        <f t="shared" si="64"/>
        <v>0.44</v>
      </c>
      <c r="AA175" s="44">
        <f t="shared" si="64"/>
        <v>0.44</v>
      </c>
      <c r="AB175" s="44">
        <f t="shared" si="64"/>
        <v>0.44</v>
      </c>
      <c r="AC175" s="44">
        <f t="shared" si="64"/>
        <v>0.44</v>
      </c>
      <c r="AD175" s="44">
        <f t="shared" si="64"/>
        <v>0.44</v>
      </c>
      <c r="AE175" s="44">
        <f t="shared" si="64"/>
        <v>0.44</v>
      </c>
      <c r="AF175" s="44">
        <f t="shared" si="64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2"/>
        <v>2.1</v>
      </c>
      <c r="C176" s="55">
        <v>2.1</v>
      </c>
      <c r="D176" s="44">
        <f t="shared" si="63"/>
        <v>2.1</v>
      </c>
      <c r="E176" s="44">
        <f t="shared" si="63"/>
        <v>2.1</v>
      </c>
      <c r="F176" s="44">
        <f t="shared" si="63"/>
        <v>2.1</v>
      </c>
      <c r="G176" s="44">
        <f t="shared" si="63"/>
        <v>2.1</v>
      </c>
      <c r="H176" s="44">
        <f t="shared" si="63"/>
        <v>2.1</v>
      </c>
      <c r="I176" s="44">
        <f t="shared" si="63"/>
        <v>2.1</v>
      </c>
      <c r="J176" s="44">
        <f t="shared" si="63"/>
        <v>2.1</v>
      </c>
      <c r="K176" s="44">
        <f t="shared" si="63"/>
        <v>2.1</v>
      </c>
      <c r="L176" s="44">
        <f t="shared" si="63"/>
        <v>2.1</v>
      </c>
      <c r="M176" s="44">
        <f t="shared" si="63"/>
        <v>2.1</v>
      </c>
      <c r="N176" s="44">
        <f t="shared" si="63"/>
        <v>2.1</v>
      </c>
      <c r="O176" s="44">
        <f t="shared" si="63"/>
        <v>2.1</v>
      </c>
      <c r="P176" s="44">
        <f t="shared" si="63"/>
        <v>2.1</v>
      </c>
      <c r="Q176" s="44">
        <f t="shared" si="63"/>
        <v>2.1</v>
      </c>
      <c r="R176" s="44">
        <f t="shared" si="63"/>
        <v>2.1</v>
      </c>
      <c r="S176" s="44">
        <f t="shared" si="64"/>
        <v>2.1</v>
      </c>
      <c r="T176" s="44">
        <f t="shared" si="64"/>
        <v>2.1</v>
      </c>
      <c r="U176" s="44">
        <f t="shared" si="64"/>
        <v>2.1</v>
      </c>
      <c r="V176" s="44">
        <f t="shared" si="64"/>
        <v>2.1</v>
      </c>
      <c r="W176" s="44">
        <f t="shared" si="64"/>
        <v>2.1</v>
      </c>
      <c r="X176" s="44">
        <f t="shared" si="64"/>
        <v>2.1</v>
      </c>
      <c r="Y176" s="44">
        <f t="shared" si="64"/>
        <v>2.1</v>
      </c>
      <c r="Z176" s="44">
        <f t="shared" si="64"/>
        <v>2.1</v>
      </c>
      <c r="AA176" s="44">
        <f t="shared" si="64"/>
        <v>2.1</v>
      </c>
      <c r="AB176" s="44">
        <f t="shared" si="64"/>
        <v>2.1</v>
      </c>
      <c r="AC176" s="44">
        <f t="shared" si="64"/>
        <v>2.1</v>
      </c>
      <c r="AD176" s="44">
        <f t="shared" si="64"/>
        <v>2.1</v>
      </c>
      <c r="AE176" s="44">
        <f t="shared" si="64"/>
        <v>2.1</v>
      </c>
      <c r="AF176" s="44">
        <f t="shared" si="64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2"/>
        <v>0.9</v>
      </c>
      <c r="C177" s="55">
        <v>0.9</v>
      </c>
      <c r="D177" s="44">
        <f t="shared" si="63"/>
        <v>0.9</v>
      </c>
      <c r="E177" s="44">
        <f t="shared" si="63"/>
        <v>0.9</v>
      </c>
      <c r="F177" s="44">
        <f t="shared" si="63"/>
        <v>0.9</v>
      </c>
      <c r="G177" s="44">
        <f t="shared" si="63"/>
        <v>0.9</v>
      </c>
      <c r="H177" s="44">
        <f t="shared" si="63"/>
        <v>0.9</v>
      </c>
      <c r="I177" s="44">
        <f t="shared" si="63"/>
        <v>0.9</v>
      </c>
      <c r="J177" s="44">
        <f t="shared" si="63"/>
        <v>0.9</v>
      </c>
      <c r="K177" s="44">
        <f t="shared" si="63"/>
        <v>0.9</v>
      </c>
      <c r="L177" s="44">
        <f t="shared" si="63"/>
        <v>0.9</v>
      </c>
      <c r="M177" s="44">
        <f t="shared" si="63"/>
        <v>0.9</v>
      </c>
      <c r="N177" s="44">
        <f t="shared" si="63"/>
        <v>0.9</v>
      </c>
      <c r="O177" s="44">
        <f t="shared" si="63"/>
        <v>0.9</v>
      </c>
      <c r="P177" s="44">
        <f t="shared" si="63"/>
        <v>0.9</v>
      </c>
      <c r="Q177" s="44">
        <f t="shared" si="63"/>
        <v>0.9</v>
      </c>
      <c r="R177" s="44">
        <f t="shared" si="63"/>
        <v>0.9</v>
      </c>
      <c r="S177" s="44">
        <f t="shared" si="64"/>
        <v>0.9</v>
      </c>
      <c r="T177" s="44">
        <f t="shared" si="64"/>
        <v>0.9</v>
      </c>
      <c r="U177" s="44">
        <f t="shared" si="64"/>
        <v>0.9</v>
      </c>
      <c r="V177" s="44">
        <f t="shared" si="64"/>
        <v>0.9</v>
      </c>
      <c r="W177" s="44">
        <f t="shared" si="64"/>
        <v>0.9</v>
      </c>
      <c r="X177" s="44">
        <f t="shared" si="64"/>
        <v>0.9</v>
      </c>
      <c r="Y177" s="44">
        <f t="shared" si="64"/>
        <v>0.9</v>
      </c>
      <c r="Z177" s="44">
        <f t="shared" si="64"/>
        <v>0.9</v>
      </c>
      <c r="AA177" s="44">
        <f t="shared" si="64"/>
        <v>0.9</v>
      </c>
      <c r="AB177" s="44">
        <f t="shared" si="64"/>
        <v>0.9</v>
      </c>
      <c r="AC177" s="44">
        <f t="shared" si="64"/>
        <v>0.9</v>
      </c>
      <c r="AD177" s="44">
        <f t="shared" si="64"/>
        <v>0.9</v>
      </c>
      <c r="AE177" s="44">
        <f t="shared" si="64"/>
        <v>0.9</v>
      </c>
      <c r="AF177" s="44">
        <f t="shared" si="64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5">AF179</f>
        <v>0.57999999999999996</v>
      </c>
      <c r="C179" s="55">
        <v>0.57999999999999996</v>
      </c>
      <c r="D179" s="44">
        <f t="shared" ref="D179:S191" si="66">C179</f>
        <v>0.57999999999999996</v>
      </c>
      <c r="E179" s="44">
        <f t="shared" si="66"/>
        <v>0.57999999999999996</v>
      </c>
      <c r="F179" s="44">
        <f t="shared" si="66"/>
        <v>0.57999999999999996</v>
      </c>
      <c r="G179" s="44">
        <f t="shared" si="66"/>
        <v>0.57999999999999996</v>
      </c>
      <c r="H179" s="44">
        <f t="shared" si="66"/>
        <v>0.57999999999999996</v>
      </c>
      <c r="I179" s="44">
        <f t="shared" si="66"/>
        <v>0.57999999999999996</v>
      </c>
      <c r="J179" s="44">
        <f t="shared" si="66"/>
        <v>0.57999999999999996</v>
      </c>
      <c r="K179" s="44">
        <f t="shared" si="66"/>
        <v>0.57999999999999996</v>
      </c>
      <c r="L179" s="44">
        <f t="shared" si="66"/>
        <v>0.57999999999999996</v>
      </c>
      <c r="M179" s="44">
        <f t="shared" si="66"/>
        <v>0.57999999999999996</v>
      </c>
      <c r="N179" s="44">
        <f t="shared" si="66"/>
        <v>0.57999999999999996</v>
      </c>
      <c r="O179" s="44">
        <f t="shared" si="66"/>
        <v>0.57999999999999996</v>
      </c>
      <c r="P179" s="44">
        <f t="shared" si="66"/>
        <v>0.57999999999999996</v>
      </c>
      <c r="Q179" s="44">
        <f t="shared" si="66"/>
        <v>0.57999999999999996</v>
      </c>
      <c r="R179" s="44">
        <f t="shared" si="66"/>
        <v>0.57999999999999996</v>
      </c>
      <c r="S179" s="44">
        <f t="shared" si="66"/>
        <v>0.57999999999999996</v>
      </c>
      <c r="T179" s="44">
        <f t="shared" ref="S179:AF191" si="67">S179</f>
        <v>0.57999999999999996</v>
      </c>
      <c r="U179" s="44">
        <f t="shared" si="67"/>
        <v>0.57999999999999996</v>
      </c>
      <c r="V179" s="44">
        <f t="shared" si="67"/>
        <v>0.57999999999999996</v>
      </c>
      <c r="W179" s="44">
        <f t="shared" si="67"/>
        <v>0.57999999999999996</v>
      </c>
      <c r="X179" s="44">
        <f t="shared" si="67"/>
        <v>0.57999999999999996</v>
      </c>
      <c r="Y179" s="44">
        <f t="shared" si="67"/>
        <v>0.57999999999999996</v>
      </c>
      <c r="Z179" s="44">
        <f t="shared" si="67"/>
        <v>0.57999999999999996</v>
      </c>
      <c r="AA179" s="44">
        <f t="shared" si="67"/>
        <v>0.57999999999999996</v>
      </c>
      <c r="AB179" s="44">
        <f t="shared" si="67"/>
        <v>0.57999999999999996</v>
      </c>
      <c r="AC179" s="44">
        <f t="shared" si="67"/>
        <v>0.57999999999999996</v>
      </c>
      <c r="AD179" s="44">
        <f t="shared" si="67"/>
        <v>0.57999999999999996</v>
      </c>
      <c r="AE179" s="44">
        <f t="shared" si="67"/>
        <v>0.57999999999999996</v>
      </c>
      <c r="AF179" s="44">
        <f t="shared" si="67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5"/>
        <v>0.8</v>
      </c>
      <c r="C180" s="55">
        <v>0.8</v>
      </c>
      <c r="D180" s="44">
        <f t="shared" si="66"/>
        <v>0.8</v>
      </c>
      <c r="E180" s="44">
        <f t="shared" si="66"/>
        <v>0.8</v>
      </c>
      <c r="F180" s="44">
        <f t="shared" si="66"/>
        <v>0.8</v>
      </c>
      <c r="G180" s="44">
        <f t="shared" si="66"/>
        <v>0.8</v>
      </c>
      <c r="H180" s="44">
        <f t="shared" si="66"/>
        <v>0.8</v>
      </c>
      <c r="I180" s="44">
        <f t="shared" si="66"/>
        <v>0.8</v>
      </c>
      <c r="J180" s="44">
        <f t="shared" si="66"/>
        <v>0.8</v>
      </c>
      <c r="K180" s="44">
        <f t="shared" si="66"/>
        <v>0.8</v>
      </c>
      <c r="L180" s="44">
        <f t="shared" si="66"/>
        <v>0.8</v>
      </c>
      <c r="M180" s="44">
        <f t="shared" si="66"/>
        <v>0.8</v>
      </c>
      <c r="N180" s="44">
        <f t="shared" si="66"/>
        <v>0.8</v>
      </c>
      <c r="O180" s="44">
        <f t="shared" si="66"/>
        <v>0.8</v>
      </c>
      <c r="P180" s="44">
        <f t="shared" si="66"/>
        <v>0.8</v>
      </c>
      <c r="Q180" s="44">
        <f t="shared" si="66"/>
        <v>0.8</v>
      </c>
      <c r="R180" s="44">
        <f t="shared" si="66"/>
        <v>0.8</v>
      </c>
      <c r="S180" s="44">
        <f t="shared" si="66"/>
        <v>0.8</v>
      </c>
      <c r="T180" s="44">
        <f t="shared" si="67"/>
        <v>0.8</v>
      </c>
      <c r="U180" s="44">
        <f t="shared" si="67"/>
        <v>0.8</v>
      </c>
      <c r="V180" s="44">
        <f t="shared" si="67"/>
        <v>0.8</v>
      </c>
      <c r="W180" s="44">
        <f t="shared" si="67"/>
        <v>0.8</v>
      </c>
      <c r="X180" s="44">
        <f t="shared" si="67"/>
        <v>0.8</v>
      </c>
      <c r="Y180" s="44">
        <f t="shared" si="67"/>
        <v>0.8</v>
      </c>
      <c r="Z180" s="44">
        <f t="shared" si="67"/>
        <v>0.8</v>
      </c>
      <c r="AA180" s="44">
        <f t="shared" si="67"/>
        <v>0.8</v>
      </c>
      <c r="AB180" s="44">
        <f t="shared" si="67"/>
        <v>0.8</v>
      </c>
      <c r="AC180" s="44">
        <f t="shared" si="67"/>
        <v>0.8</v>
      </c>
      <c r="AD180" s="44">
        <f t="shared" si="67"/>
        <v>0.8</v>
      </c>
      <c r="AE180" s="44">
        <f t="shared" si="67"/>
        <v>0.8</v>
      </c>
      <c r="AF180" s="44">
        <f t="shared" si="67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5"/>
        <v>0</v>
      </c>
      <c r="C181" s="55">
        <v>0</v>
      </c>
      <c r="D181" s="44">
        <f t="shared" si="66"/>
        <v>0</v>
      </c>
      <c r="E181" s="44">
        <f t="shared" si="66"/>
        <v>0</v>
      </c>
      <c r="F181" s="44">
        <f t="shared" si="66"/>
        <v>0</v>
      </c>
      <c r="G181" s="44">
        <f t="shared" si="66"/>
        <v>0</v>
      </c>
      <c r="H181" s="44">
        <f t="shared" si="66"/>
        <v>0</v>
      </c>
      <c r="I181" s="44">
        <f t="shared" si="66"/>
        <v>0</v>
      </c>
      <c r="J181" s="44">
        <f t="shared" si="66"/>
        <v>0</v>
      </c>
      <c r="K181" s="44">
        <f t="shared" si="66"/>
        <v>0</v>
      </c>
      <c r="L181" s="44">
        <f t="shared" si="66"/>
        <v>0</v>
      </c>
      <c r="M181" s="44">
        <f t="shared" si="66"/>
        <v>0</v>
      </c>
      <c r="N181" s="44">
        <f t="shared" si="66"/>
        <v>0</v>
      </c>
      <c r="O181" s="44">
        <f t="shared" si="66"/>
        <v>0</v>
      </c>
      <c r="P181" s="44">
        <f t="shared" si="66"/>
        <v>0</v>
      </c>
      <c r="Q181" s="44">
        <f t="shared" si="66"/>
        <v>0</v>
      </c>
      <c r="R181" s="44">
        <f t="shared" si="66"/>
        <v>0</v>
      </c>
      <c r="S181" s="44">
        <f t="shared" si="66"/>
        <v>0</v>
      </c>
      <c r="T181" s="44">
        <f t="shared" si="67"/>
        <v>0</v>
      </c>
      <c r="U181" s="44">
        <f t="shared" si="67"/>
        <v>0</v>
      </c>
      <c r="V181" s="44">
        <f t="shared" si="67"/>
        <v>0</v>
      </c>
      <c r="W181" s="44">
        <f t="shared" si="67"/>
        <v>0</v>
      </c>
      <c r="X181" s="44">
        <f t="shared" si="67"/>
        <v>0</v>
      </c>
      <c r="Y181" s="44">
        <f t="shared" si="67"/>
        <v>0</v>
      </c>
      <c r="Z181" s="44">
        <f t="shared" si="67"/>
        <v>0</v>
      </c>
      <c r="AA181" s="44">
        <f t="shared" si="67"/>
        <v>0</v>
      </c>
      <c r="AB181" s="44">
        <f t="shared" si="67"/>
        <v>0</v>
      </c>
      <c r="AC181" s="44">
        <f t="shared" si="67"/>
        <v>0</v>
      </c>
      <c r="AD181" s="44">
        <f t="shared" si="67"/>
        <v>0</v>
      </c>
      <c r="AE181" s="44">
        <f t="shared" si="67"/>
        <v>0</v>
      </c>
      <c r="AF181" s="44">
        <f t="shared" si="67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5"/>
        <v>0.6</v>
      </c>
      <c r="C182" s="55">
        <v>0.6</v>
      </c>
      <c r="D182" s="44">
        <f t="shared" si="66"/>
        <v>0.6</v>
      </c>
      <c r="E182" s="44">
        <f t="shared" si="66"/>
        <v>0.6</v>
      </c>
      <c r="F182" s="44">
        <f t="shared" si="66"/>
        <v>0.6</v>
      </c>
      <c r="G182" s="44">
        <f t="shared" si="66"/>
        <v>0.6</v>
      </c>
      <c r="H182" s="44">
        <f t="shared" si="66"/>
        <v>0.6</v>
      </c>
      <c r="I182" s="44">
        <f t="shared" si="66"/>
        <v>0.6</v>
      </c>
      <c r="J182" s="44">
        <f t="shared" si="66"/>
        <v>0.6</v>
      </c>
      <c r="K182" s="44">
        <f t="shared" si="66"/>
        <v>0.6</v>
      </c>
      <c r="L182" s="44">
        <f t="shared" si="66"/>
        <v>0.6</v>
      </c>
      <c r="M182" s="44">
        <f t="shared" si="66"/>
        <v>0.6</v>
      </c>
      <c r="N182" s="44">
        <f t="shared" si="66"/>
        <v>0.6</v>
      </c>
      <c r="O182" s="44">
        <f t="shared" si="66"/>
        <v>0.6</v>
      </c>
      <c r="P182" s="44">
        <f t="shared" si="66"/>
        <v>0.6</v>
      </c>
      <c r="Q182" s="44">
        <f t="shared" si="66"/>
        <v>0.6</v>
      </c>
      <c r="R182" s="44">
        <f t="shared" si="66"/>
        <v>0.6</v>
      </c>
      <c r="S182" s="44">
        <f t="shared" si="66"/>
        <v>0.6</v>
      </c>
      <c r="T182" s="44">
        <f t="shared" si="67"/>
        <v>0.6</v>
      </c>
      <c r="U182" s="44">
        <f t="shared" si="67"/>
        <v>0.6</v>
      </c>
      <c r="V182" s="44">
        <f t="shared" si="67"/>
        <v>0.6</v>
      </c>
      <c r="W182" s="44">
        <f t="shared" si="67"/>
        <v>0.6</v>
      </c>
      <c r="X182" s="44">
        <f t="shared" si="67"/>
        <v>0.6</v>
      </c>
      <c r="Y182" s="44">
        <f t="shared" si="67"/>
        <v>0.6</v>
      </c>
      <c r="Z182" s="44">
        <f t="shared" si="67"/>
        <v>0.6</v>
      </c>
      <c r="AA182" s="44">
        <f t="shared" si="67"/>
        <v>0.6</v>
      </c>
      <c r="AB182" s="44">
        <f t="shared" si="67"/>
        <v>0.6</v>
      </c>
      <c r="AC182" s="44">
        <f t="shared" si="67"/>
        <v>0.6</v>
      </c>
      <c r="AD182" s="44">
        <f t="shared" si="67"/>
        <v>0.6</v>
      </c>
      <c r="AE182" s="44">
        <f t="shared" si="67"/>
        <v>0.6</v>
      </c>
      <c r="AF182" s="44">
        <f t="shared" si="67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5"/>
        <v>0.6</v>
      </c>
      <c r="C183" s="55">
        <v>0.6</v>
      </c>
      <c r="D183" s="44">
        <f t="shared" si="66"/>
        <v>0.6</v>
      </c>
      <c r="E183" s="44">
        <f t="shared" si="66"/>
        <v>0.6</v>
      </c>
      <c r="F183" s="44">
        <f t="shared" si="66"/>
        <v>0.6</v>
      </c>
      <c r="G183" s="44">
        <f t="shared" si="66"/>
        <v>0.6</v>
      </c>
      <c r="H183" s="44">
        <f t="shared" si="66"/>
        <v>0.6</v>
      </c>
      <c r="I183" s="44">
        <f t="shared" si="66"/>
        <v>0.6</v>
      </c>
      <c r="J183" s="44">
        <f t="shared" si="66"/>
        <v>0.6</v>
      </c>
      <c r="K183" s="44">
        <f t="shared" si="66"/>
        <v>0.6</v>
      </c>
      <c r="L183" s="44">
        <f t="shared" si="66"/>
        <v>0.6</v>
      </c>
      <c r="M183" s="44">
        <f t="shared" si="66"/>
        <v>0.6</v>
      </c>
      <c r="N183" s="44">
        <f t="shared" si="66"/>
        <v>0.6</v>
      </c>
      <c r="O183" s="44">
        <f t="shared" si="66"/>
        <v>0.6</v>
      </c>
      <c r="P183" s="44">
        <f t="shared" si="66"/>
        <v>0.6</v>
      </c>
      <c r="Q183" s="44">
        <f t="shared" si="66"/>
        <v>0.6</v>
      </c>
      <c r="R183" s="44">
        <f t="shared" si="66"/>
        <v>0.6</v>
      </c>
      <c r="S183" s="44">
        <f t="shared" si="66"/>
        <v>0.6</v>
      </c>
      <c r="T183" s="44">
        <f t="shared" si="67"/>
        <v>0.6</v>
      </c>
      <c r="U183" s="44">
        <f t="shared" si="67"/>
        <v>0.6</v>
      </c>
      <c r="V183" s="44">
        <f t="shared" si="67"/>
        <v>0.6</v>
      </c>
      <c r="W183" s="44">
        <f t="shared" si="67"/>
        <v>0.6</v>
      </c>
      <c r="X183" s="44">
        <f t="shared" si="67"/>
        <v>0.6</v>
      </c>
      <c r="Y183" s="44">
        <f t="shared" si="67"/>
        <v>0.6</v>
      </c>
      <c r="Z183" s="44">
        <f t="shared" si="67"/>
        <v>0.6</v>
      </c>
      <c r="AA183" s="44">
        <f t="shared" si="67"/>
        <v>0.6</v>
      </c>
      <c r="AB183" s="44">
        <f t="shared" si="67"/>
        <v>0.6</v>
      </c>
      <c r="AC183" s="44">
        <f t="shared" si="67"/>
        <v>0.6</v>
      </c>
      <c r="AD183" s="44">
        <f t="shared" si="67"/>
        <v>0.6</v>
      </c>
      <c r="AE183" s="44">
        <f t="shared" si="67"/>
        <v>0.6</v>
      </c>
      <c r="AF183" s="44">
        <f t="shared" si="67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5"/>
        <v>0.35</v>
      </c>
      <c r="C184" s="55">
        <v>0.35</v>
      </c>
      <c r="D184" s="44">
        <f t="shared" si="66"/>
        <v>0.35</v>
      </c>
      <c r="E184" s="44">
        <f t="shared" si="66"/>
        <v>0.35</v>
      </c>
      <c r="F184" s="44">
        <f t="shared" si="66"/>
        <v>0.35</v>
      </c>
      <c r="G184" s="44">
        <f t="shared" si="66"/>
        <v>0.35</v>
      </c>
      <c r="H184" s="44">
        <f t="shared" si="66"/>
        <v>0.35</v>
      </c>
      <c r="I184" s="44">
        <f t="shared" si="66"/>
        <v>0.35</v>
      </c>
      <c r="J184" s="44">
        <f t="shared" si="66"/>
        <v>0.35</v>
      </c>
      <c r="K184" s="44">
        <f t="shared" si="66"/>
        <v>0.35</v>
      </c>
      <c r="L184" s="44">
        <f t="shared" si="66"/>
        <v>0.35</v>
      </c>
      <c r="M184" s="44">
        <f t="shared" si="66"/>
        <v>0.35</v>
      </c>
      <c r="N184" s="44">
        <f t="shared" si="66"/>
        <v>0.35</v>
      </c>
      <c r="O184" s="44">
        <f t="shared" si="66"/>
        <v>0.35</v>
      </c>
      <c r="P184" s="44">
        <f t="shared" si="66"/>
        <v>0.35</v>
      </c>
      <c r="Q184" s="44">
        <f t="shared" si="66"/>
        <v>0.35</v>
      </c>
      <c r="R184" s="44">
        <f t="shared" si="66"/>
        <v>0.35</v>
      </c>
      <c r="S184" s="44">
        <f t="shared" si="66"/>
        <v>0.35</v>
      </c>
      <c r="T184" s="44">
        <f t="shared" si="67"/>
        <v>0.35</v>
      </c>
      <c r="U184" s="44">
        <f t="shared" si="67"/>
        <v>0.35</v>
      </c>
      <c r="V184" s="44">
        <f t="shared" si="67"/>
        <v>0.35</v>
      </c>
      <c r="W184" s="44">
        <f t="shared" si="67"/>
        <v>0.35</v>
      </c>
      <c r="X184" s="44">
        <f t="shared" si="67"/>
        <v>0.35</v>
      </c>
      <c r="Y184" s="44">
        <f t="shared" si="67"/>
        <v>0.35</v>
      </c>
      <c r="Z184" s="44">
        <f t="shared" si="67"/>
        <v>0.35</v>
      </c>
      <c r="AA184" s="44">
        <f t="shared" si="67"/>
        <v>0.35</v>
      </c>
      <c r="AB184" s="44">
        <f t="shared" si="67"/>
        <v>0.35</v>
      </c>
      <c r="AC184" s="44">
        <f t="shared" si="67"/>
        <v>0.35</v>
      </c>
      <c r="AD184" s="44">
        <f t="shared" si="67"/>
        <v>0.35</v>
      </c>
      <c r="AE184" s="44">
        <f t="shared" si="67"/>
        <v>0.35</v>
      </c>
      <c r="AF184" s="44">
        <f t="shared" si="67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5"/>
        <v>0.28999999999999998</v>
      </c>
      <c r="C185" s="55">
        <v>0.28999999999999998</v>
      </c>
      <c r="D185" s="44">
        <f t="shared" si="66"/>
        <v>0.28999999999999998</v>
      </c>
      <c r="E185" s="44">
        <f t="shared" si="66"/>
        <v>0.28999999999999998</v>
      </c>
      <c r="F185" s="44">
        <f t="shared" si="66"/>
        <v>0.28999999999999998</v>
      </c>
      <c r="G185" s="44">
        <f t="shared" si="66"/>
        <v>0.28999999999999998</v>
      </c>
      <c r="H185" s="44">
        <f t="shared" si="66"/>
        <v>0.28999999999999998</v>
      </c>
      <c r="I185" s="44">
        <f t="shared" si="66"/>
        <v>0.28999999999999998</v>
      </c>
      <c r="J185" s="44">
        <f t="shared" si="66"/>
        <v>0.28999999999999998</v>
      </c>
      <c r="K185" s="44">
        <f t="shared" si="66"/>
        <v>0.28999999999999998</v>
      </c>
      <c r="L185" s="44">
        <f t="shared" si="66"/>
        <v>0.28999999999999998</v>
      </c>
      <c r="M185" s="44">
        <f t="shared" si="66"/>
        <v>0.28999999999999998</v>
      </c>
      <c r="N185" s="44">
        <f t="shared" si="66"/>
        <v>0.28999999999999998</v>
      </c>
      <c r="O185" s="44">
        <f t="shared" si="66"/>
        <v>0.28999999999999998</v>
      </c>
      <c r="P185" s="44">
        <f t="shared" si="66"/>
        <v>0.28999999999999998</v>
      </c>
      <c r="Q185" s="44">
        <f t="shared" si="66"/>
        <v>0.28999999999999998</v>
      </c>
      <c r="R185" s="44">
        <f t="shared" si="66"/>
        <v>0.28999999999999998</v>
      </c>
      <c r="S185" s="44">
        <f t="shared" si="66"/>
        <v>0.28999999999999998</v>
      </c>
      <c r="T185" s="44">
        <f t="shared" si="67"/>
        <v>0.28999999999999998</v>
      </c>
      <c r="U185" s="44">
        <f t="shared" si="67"/>
        <v>0.28999999999999998</v>
      </c>
      <c r="V185" s="44">
        <f t="shared" si="67"/>
        <v>0.28999999999999998</v>
      </c>
      <c r="W185" s="44">
        <f t="shared" si="67"/>
        <v>0.28999999999999998</v>
      </c>
      <c r="X185" s="44">
        <f t="shared" si="67"/>
        <v>0.28999999999999998</v>
      </c>
      <c r="Y185" s="44">
        <f t="shared" si="67"/>
        <v>0.28999999999999998</v>
      </c>
      <c r="Z185" s="44">
        <f t="shared" si="67"/>
        <v>0.28999999999999998</v>
      </c>
      <c r="AA185" s="44">
        <f t="shared" si="67"/>
        <v>0.28999999999999998</v>
      </c>
      <c r="AB185" s="44">
        <f t="shared" si="67"/>
        <v>0.28999999999999998</v>
      </c>
      <c r="AC185" s="44">
        <f t="shared" si="67"/>
        <v>0.28999999999999998</v>
      </c>
      <c r="AD185" s="44">
        <f t="shared" si="67"/>
        <v>0.28999999999999998</v>
      </c>
      <c r="AE185" s="44">
        <f t="shared" si="67"/>
        <v>0.28999999999999998</v>
      </c>
      <c r="AF185" s="44">
        <f t="shared" si="67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5"/>
        <v>0.06</v>
      </c>
      <c r="C186" s="55">
        <v>0.06</v>
      </c>
      <c r="D186" s="44">
        <f t="shared" si="66"/>
        <v>0.06</v>
      </c>
      <c r="E186" s="44">
        <f t="shared" si="66"/>
        <v>0.06</v>
      </c>
      <c r="F186" s="44">
        <f t="shared" si="66"/>
        <v>0.06</v>
      </c>
      <c r="G186" s="44">
        <f t="shared" si="66"/>
        <v>0.06</v>
      </c>
      <c r="H186" s="44">
        <f t="shared" si="66"/>
        <v>0.06</v>
      </c>
      <c r="I186" s="44">
        <f t="shared" si="66"/>
        <v>0.06</v>
      </c>
      <c r="J186" s="44">
        <f t="shared" si="66"/>
        <v>0.06</v>
      </c>
      <c r="K186" s="44">
        <f t="shared" si="66"/>
        <v>0.06</v>
      </c>
      <c r="L186" s="44">
        <f t="shared" si="66"/>
        <v>0.06</v>
      </c>
      <c r="M186" s="44">
        <f t="shared" si="66"/>
        <v>0.06</v>
      </c>
      <c r="N186" s="44">
        <f t="shared" si="66"/>
        <v>0.06</v>
      </c>
      <c r="O186" s="44">
        <f t="shared" si="66"/>
        <v>0.06</v>
      </c>
      <c r="P186" s="44">
        <f t="shared" si="66"/>
        <v>0.06</v>
      </c>
      <c r="Q186" s="44">
        <f t="shared" si="66"/>
        <v>0.06</v>
      </c>
      <c r="R186" s="44">
        <f t="shared" si="66"/>
        <v>0.06</v>
      </c>
      <c r="S186" s="44">
        <f t="shared" si="66"/>
        <v>0.06</v>
      </c>
      <c r="T186" s="44">
        <f t="shared" si="67"/>
        <v>0.06</v>
      </c>
      <c r="U186" s="44">
        <f t="shared" si="67"/>
        <v>0.06</v>
      </c>
      <c r="V186" s="44">
        <f t="shared" si="67"/>
        <v>0.06</v>
      </c>
      <c r="W186" s="44">
        <f t="shared" si="67"/>
        <v>0.06</v>
      </c>
      <c r="X186" s="44">
        <f t="shared" si="67"/>
        <v>0.06</v>
      </c>
      <c r="Y186" s="44">
        <f t="shared" si="67"/>
        <v>0.06</v>
      </c>
      <c r="Z186" s="44">
        <f t="shared" si="67"/>
        <v>0.06</v>
      </c>
      <c r="AA186" s="44">
        <f t="shared" si="67"/>
        <v>0.06</v>
      </c>
      <c r="AB186" s="44">
        <f t="shared" si="67"/>
        <v>0.06</v>
      </c>
      <c r="AC186" s="44">
        <f t="shared" si="67"/>
        <v>0.06</v>
      </c>
      <c r="AD186" s="44">
        <f t="shared" si="67"/>
        <v>0.06</v>
      </c>
      <c r="AE186" s="44">
        <f t="shared" si="67"/>
        <v>0.06</v>
      </c>
      <c r="AF186" s="44">
        <f t="shared" si="67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5"/>
        <v>0.11</v>
      </c>
      <c r="C187" s="55">
        <v>0.11</v>
      </c>
      <c r="D187" s="44">
        <f t="shared" si="66"/>
        <v>0.11</v>
      </c>
      <c r="E187" s="44">
        <f t="shared" si="66"/>
        <v>0.11</v>
      </c>
      <c r="F187" s="44">
        <f t="shared" si="66"/>
        <v>0.11</v>
      </c>
      <c r="G187" s="44">
        <f t="shared" si="66"/>
        <v>0.11</v>
      </c>
      <c r="H187" s="44">
        <f t="shared" si="66"/>
        <v>0.11</v>
      </c>
      <c r="I187" s="44">
        <f t="shared" si="66"/>
        <v>0.11</v>
      </c>
      <c r="J187" s="44">
        <f t="shared" si="66"/>
        <v>0.11</v>
      </c>
      <c r="K187" s="44">
        <f t="shared" si="66"/>
        <v>0.11</v>
      </c>
      <c r="L187" s="44">
        <f t="shared" si="66"/>
        <v>0.11</v>
      </c>
      <c r="M187" s="44">
        <f t="shared" si="66"/>
        <v>0.11</v>
      </c>
      <c r="N187" s="44">
        <f t="shared" si="66"/>
        <v>0.11</v>
      </c>
      <c r="O187" s="44">
        <f t="shared" si="66"/>
        <v>0.11</v>
      </c>
      <c r="P187" s="44">
        <f t="shared" si="66"/>
        <v>0.11</v>
      </c>
      <c r="Q187" s="44">
        <f t="shared" si="66"/>
        <v>0.11</v>
      </c>
      <c r="R187" s="44">
        <f t="shared" si="66"/>
        <v>0.11</v>
      </c>
      <c r="S187" s="44">
        <f t="shared" si="66"/>
        <v>0.11</v>
      </c>
      <c r="T187" s="44">
        <f t="shared" si="67"/>
        <v>0.11</v>
      </c>
      <c r="U187" s="44">
        <f t="shared" si="67"/>
        <v>0.11</v>
      </c>
      <c r="V187" s="44">
        <f t="shared" si="67"/>
        <v>0.11</v>
      </c>
      <c r="W187" s="44">
        <f t="shared" si="67"/>
        <v>0.11</v>
      </c>
      <c r="X187" s="44">
        <f t="shared" si="67"/>
        <v>0.11</v>
      </c>
      <c r="Y187" s="44">
        <f t="shared" si="67"/>
        <v>0.11</v>
      </c>
      <c r="Z187" s="44">
        <f t="shared" si="67"/>
        <v>0.11</v>
      </c>
      <c r="AA187" s="44">
        <f t="shared" si="67"/>
        <v>0.11</v>
      </c>
      <c r="AB187" s="44">
        <f t="shared" si="67"/>
        <v>0.11</v>
      </c>
      <c r="AC187" s="44">
        <f t="shared" si="67"/>
        <v>0.11</v>
      </c>
      <c r="AD187" s="44">
        <f t="shared" si="67"/>
        <v>0.11</v>
      </c>
      <c r="AE187" s="44">
        <f t="shared" si="67"/>
        <v>0.11</v>
      </c>
      <c r="AF187" s="44">
        <f t="shared" si="67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5"/>
        <v>0.1</v>
      </c>
      <c r="C188" s="55">
        <v>0.1</v>
      </c>
      <c r="D188" s="44">
        <f t="shared" si="66"/>
        <v>0.1</v>
      </c>
      <c r="E188" s="44">
        <f t="shared" si="66"/>
        <v>0.1</v>
      </c>
      <c r="F188" s="44">
        <f t="shared" si="66"/>
        <v>0.1</v>
      </c>
      <c r="G188" s="44">
        <f t="shared" si="66"/>
        <v>0.1</v>
      </c>
      <c r="H188" s="44">
        <f t="shared" si="66"/>
        <v>0.1</v>
      </c>
      <c r="I188" s="44">
        <f t="shared" si="66"/>
        <v>0.1</v>
      </c>
      <c r="J188" s="44">
        <f t="shared" si="66"/>
        <v>0.1</v>
      </c>
      <c r="K188" s="44">
        <f t="shared" si="66"/>
        <v>0.1</v>
      </c>
      <c r="L188" s="44">
        <f t="shared" si="66"/>
        <v>0.1</v>
      </c>
      <c r="M188" s="44">
        <f t="shared" si="66"/>
        <v>0.1</v>
      </c>
      <c r="N188" s="44">
        <f t="shared" si="66"/>
        <v>0.1</v>
      </c>
      <c r="O188" s="44">
        <f t="shared" si="66"/>
        <v>0.1</v>
      </c>
      <c r="P188" s="44">
        <f t="shared" si="66"/>
        <v>0.1</v>
      </c>
      <c r="Q188" s="44">
        <f t="shared" si="66"/>
        <v>0.1</v>
      </c>
      <c r="R188" s="44">
        <f t="shared" si="66"/>
        <v>0.1</v>
      </c>
      <c r="S188" s="44">
        <f t="shared" si="67"/>
        <v>0.1</v>
      </c>
      <c r="T188" s="44">
        <f t="shared" si="67"/>
        <v>0.1</v>
      </c>
      <c r="U188" s="44">
        <f t="shared" si="67"/>
        <v>0.1</v>
      </c>
      <c r="V188" s="44">
        <f t="shared" si="67"/>
        <v>0.1</v>
      </c>
      <c r="W188" s="44">
        <f t="shared" si="67"/>
        <v>0.1</v>
      </c>
      <c r="X188" s="44">
        <f t="shared" si="67"/>
        <v>0.1</v>
      </c>
      <c r="Y188" s="44">
        <f t="shared" si="67"/>
        <v>0.1</v>
      </c>
      <c r="Z188" s="44">
        <f t="shared" si="67"/>
        <v>0.1</v>
      </c>
      <c r="AA188" s="44">
        <f t="shared" si="67"/>
        <v>0.1</v>
      </c>
      <c r="AB188" s="44">
        <f t="shared" si="67"/>
        <v>0.1</v>
      </c>
      <c r="AC188" s="44">
        <f t="shared" si="67"/>
        <v>0.1</v>
      </c>
      <c r="AD188" s="44">
        <f t="shared" si="67"/>
        <v>0.1</v>
      </c>
      <c r="AE188" s="44">
        <f t="shared" si="67"/>
        <v>0.1</v>
      </c>
      <c r="AF188" s="44">
        <f t="shared" si="67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5"/>
        <v>0.09</v>
      </c>
      <c r="C189" s="55">
        <v>0.09</v>
      </c>
      <c r="D189" s="44">
        <f t="shared" si="66"/>
        <v>0.09</v>
      </c>
      <c r="E189" s="44">
        <f t="shared" si="66"/>
        <v>0.09</v>
      </c>
      <c r="F189" s="44">
        <f t="shared" si="66"/>
        <v>0.09</v>
      </c>
      <c r="G189" s="44">
        <f t="shared" si="66"/>
        <v>0.09</v>
      </c>
      <c r="H189" s="44">
        <f t="shared" si="66"/>
        <v>0.09</v>
      </c>
      <c r="I189" s="44">
        <f t="shared" si="66"/>
        <v>0.09</v>
      </c>
      <c r="J189" s="44">
        <f t="shared" si="66"/>
        <v>0.09</v>
      </c>
      <c r="K189" s="44">
        <f t="shared" si="66"/>
        <v>0.09</v>
      </c>
      <c r="L189" s="44">
        <f t="shared" si="66"/>
        <v>0.09</v>
      </c>
      <c r="M189" s="44">
        <f t="shared" si="66"/>
        <v>0.09</v>
      </c>
      <c r="N189" s="44">
        <f t="shared" si="66"/>
        <v>0.09</v>
      </c>
      <c r="O189" s="44">
        <f t="shared" si="66"/>
        <v>0.09</v>
      </c>
      <c r="P189" s="44">
        <f t="shared" si="66"/>
        <v>0.09</v>
      </c>
      <c r="Q189" s="44">
        <f t="shared" si="66"/>
        <v>0.09</v>
      </c>
      <c r="R189" s="44">
        <f t="shared" si="66"/>
        <v>0.09</v>
      </c>
      <c r="S189" s="44">
        <f t="shared" si="67"/>
        <v>0.09</v>
      </c>
      <c r="T189" s="44">
        <f t="shared" si="67"/>
        <v>0.09</v>
      </c>
      <c r="U189" s="44">
        <f t="shared" si="67"/>
        <v>0.09</v>
      </c>
      <c r="V189" s="44">
        <f t="shared" si="67"/>
        <v>0.09</v>
      </c>
      <c r="W189" s="44">
        <f t="shared" si="67"/>
        <v>0.09</v>
      </c>
      <c r="X189" s="44">
        <f t="shared" si="67"/>
        <v>0.09</v>
      </c>
      <c r="Y189" s="44">
        <f t="shared" si="67"/>
        <v>0.09</v>
      </c>
      <c r="Z189" s="44">
        <f t="shared" si="67"/>
        <v>0.09</v>
      </c>
      <c r="AA189" s="44">
        <f t="shared" si="67"/>
        <v>0.09</v>
      </c>
      <c r="AB189" s="44">
        <f t="shared" si="67"/>
        <v>0.09</v>
      </c>
      <c r="AC189" s="44">
        <f t="shared" si="67"/>
        <v>0.09</v>
      </c>
      <c r="AD189" s="44">
        <f t="shared" si="67"/>
        <v>0.09</v>
      </c>
      <c r="AE189" s="44">
        <f t="shared" si="67"/>
        <v>0.09</v>
      </c>
      <c r="AF189" s="44">
        <f t="shared" si="67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5"/>
        <v>0.04</v>
      </c>
      <c r="C190" s="54">
        <v>0.04</v>
      </c>
      <c r="D190" s="44">
        <f t="shared" si="66"/>
        <v>0.04</v>
      </c>
      <c r="E190" s="44">
        <f t="shared" si="66"/>
        <v>0.04</v>
      </c>
      <c r="F190" s="44">
        <f t="shared" si="66"/>
        <v>0.04</v>
      </c>
      <c r="G190" s="44">
        <f t="shared" si="66"/>
        <v>0.04</v>
      </c>
      <c r="H190" s="44">
        <f t="shared" si="66"/>
        <v>0.04</v>
      </c>
      <c r="I190" s="44">
        <f t="shared" si="66"/>
        <v>0.04</v>
      </c>
      <c r="J190" s="44">
        <f t="shared" si="66"/>
        <v>0.04</v>
      </c>
      <c r="K190" s="44">
        <f t="shared" si="66"/>
        <v>0.04</v>
      </c>
      <c r="L190" s="44">
        <f t="shared" si="66"/>
        <v>0.04</v>
      </c>
      <c r="M190" s="44">
        <f t="shared" si="66"/>
        <v>0.04</v>
      </c>
      <c r="N190" s="44">
        <f t="shared" si="66"/>
        <v>0.04</v>
      </c>
      <c r="O190" s="44">
        <f t="shared" si="66"/>
        <v>0.04</v>
      </c>
      <c r="P190" s="44">
        <f t="shared" si="66"/>
        <v>0.04</v>
      </c>
      <c r="Q190" s="44">
        <f t="shared" si="66"/>
        <v>0.04</v>
      </c>
      <c r="R190" s="44">
        <f t="shared" si="66"/>
        <v>0.04</v>
      </c>
      <c r="S190" s="44">
        <f t="shared" si="67"/>
        <v>0.04</v>
      </c>
      <c r="T190" s="44">
        <f t="shared" si="67"/>
        <v>0.04</v>
      </c>
      <c r="U190" s="44">
        <f t="shared" si="67"/>
        <v>0.04</v>
      </c>
      <c r="V190" s="44">
        <f t="shared" si="67"/>
        <v>0.04</v>
      </c>
      <c r="W190" s="44">
        <f t="shared" si="67"/>
        <v>0.04</v>
      </c>
      <c r="X190" s="44">
        <f t="shared" si="67"/>
        <v>0.04</v>
      </c>
      <c r="Y190" s="44">
        <f t="shared" si="67"/>
        <v>0.04</v>
      </c>
      <c r="Z190" s="44">
        <f t="shared" si="67"/>
        <v>0.04</v>
      </c>
      <c r="AA190" s="44">
        <f t="shared" si="67"/>
        <v>0.04</v>
      </c>
      <c r="AB190" s="44">
        <f t="shared" si="67"/>
        <v>0.04</v>
      </c>
      <c r="AC190" s="44">
        <f t="shared" si="67"/>
        <v>0.04</v>
      </c>
      <c r="AD190" s="44">
        <f t="shared" si="67"/>
        <v>0.04</v>
      </c>
      <c r="AE190" s="44">
        <f t="shared" si="67"/>
        <v>0.04</v>
      </c>
      <c r="AF190" s="44">
        <f t="shared" si="67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5"/>
        <v>2.3E-2</v>
      </c>
      <c r="C191" s="54">
        <v>2.3E-2</v>
      </c>
      <c r="D191" s="44">
        <f>C191</f>
        <v>2.3E-2</v>
      </c>
      <c r="E191" s="44">
        <f t="shared" si="66"/>
        <v>2.3E-2</v>
      </c>
      <c r="F191" s="44">
        <f t="shared" si="66"/>
        <v>2.3E-2</v>
      </c>
      <c r="G191" s="44">
        <f t="shared" si="66"/>
        <v>2.3E-2</v>
      </c>
      <c r="H191" s="44">
        <f t="shared" si="66"/>
        <v>2.3E-2</v>
      </c>
      <c r="I191" s="44">
        <f t="shared" si="66"/>
        <v>2.3E-2</v>
      </c>
      <c r="J191" s="44">
        <f t="shared" si="66"/>
        <v>2.3E-2</v>
      </c>
      <c r="K191" s="44">
        <f t="shared" si="66"/>
        <v>2.3E-2</v>
      </c>
      <c r="L191" s="44">
        <f t="shared" si="66"/>
        <v>2.3E-2</v>
      </c>
      <c r="M191" s="44">
        <f t="shared" si="66"/>
        <v>2.3E-2</v>
      </c>
      <c r="N191" s="44">
        <f t="shared" si="66"/>
        <v>2.3E-2</v>
      </c>
      <c r="O191" s="44">
        <f t="shared" si="66"/>
        <v>2.3E-2</v>
      </c>
      <c r="P191" s="44">
        <f t="shared" si="66"/>
        <v>2.3E-2</v>
      </c>
      <c r="Q191" s="44">
        <f t="shared" si="66"/>
        <v>2.3E-2</v>
      </c>
      <c r="R191" s="44">
        <f t="shared" si="66"/>
        <v>2.3E-2</v>
      </c>
      <c r="S191" s="44">
        <f t="shared" si="67"/>
        <v>2.3E-2</v>
      </c>
      <c r="T191" s="44">
        <f t="shared" si="67"/>
        <v>2.3E-2</v>
      </c>
      <c r="U191" s="44">
        <f t="shared" si="67"/>
        <v>2.3E-2</v>
      </c>
      <c r="V191" s="44">
        <f t="shared" si="67"/>
        <v>2.3E-2</v>
      </c>
      <c r="W191" s="44">
        <f t="shared" si="67"/>
        <v>2.3E-2</v>
      </c>
      <c r="X191" s="44">
        <f t="shared" si="67"/>
        <v>2.3E-2</v>
      </c>
      <c r="Y191" s="44">
        <f t="shared" si="67"/>
        <v>2.3E-2</v>
      </c>
      <c r="Z191" s="44">
        <f t="shared" si="67"/>
        <v>2.3E-2</v>
      </c>
      <c r="AA191" s="44">
        <f t="shared" si="67"/>
        <v>2.3E-2</v>
      </c>
      <c r="AB191" s="44">
        <f t="shared" si="67"/>
        <v>2.3E-2</v>
      </c>
      <c r="AC191" s="44">
        <f t="shared" si="67"/>
        <v>2.3E-2</v>
      </c>
      <c r="AD191" s="44">
        <f t="shared" si="67"/>
        <v>2.3E-2</v>
      </c>
      <c r="AE191" s="44">
        <f t="shared" si="67"/>
        <v>2.3E-2</v>
      </c>
      <c r="AF191" s="44">
        <f t="shared" si="67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8">SUM(C102:C191)</f>
        <v>194.70600000000002</v>
      </c>
      <c r="D192" s="51">
        <f t="shared" si="68"/>
        <v>194.70600000000002</v>
      </c>
      <c r="E192" s="51">
        <f t="shared" si="68"/>
        <v>194.70600000000002</v>
      </c>
      <c r="F192" s="51">
        <f t="shared" si="68"/>
        <v>194.70600000000002</v>
      </c>
      <c r="G192" s="51">
        <f t="shared" si="68"/>
        <v>194.70600000000002</v>
      </c>
      <c r="H192" s="51">
        <f t="shared" si="68"/>
        <v>194.70600000000002</v>
      </c>
      <c r="I192" s="51">
        <f t="shared" si="68"/>
        <v>194.70600000000002</v>
      </c>
      <c r="J192" s="51">
        <f t="shared" si="68"/>
        <v>192.10600000000005</v>
      </c>
      <c r="K192" s="51">
        <f t="shared" si="68"/>
        <v>192.10600000000005</v>
      </c>
      <c r="L192" s="51">
        <f t="shared" si="68"/>
        <v>192.10600000000005</v>
      </c>
      <c r="M192" s="51">
        <f t="shared" si="68"/>
        <v>192.10600000000005</v>
      </c>
      <c r="N192" s="51">
        <f t="shared" si="68"/>
        <v>192.10600000000005</v>
      </c>
      <c r="O192" s="51">
        <f t="shared" si="68"/>
        <v>192.10600000000005</v>
      </c>
      <c r="P192" s="51">
        <f t="shared" si="68"/>
        <v>192.10600000000005</v>
      </c>
      <c r="Q192" s="51">
        <f t="shared" si="68"/>
        <v>192.10600000000005</v>
      </c>
      <c r="R192" s="51">
        <f t="shared" si="68"/>
        <v>192.10600000000005</v>
      </c>
      <c r="S192" s="51">
        <f t="shared" si="68"/>
        <v>192.10600000000005</v>
      </c>
      <c r="T192" s="51">
        <f t="shared" si="68"/>
        <v>192.10600000000005</v>
      </c>
      <c r="U192" s="51">
        <f t="shared" si="68"/>
        <v>192.10600000000005</v>
      </c>
      <c r="V192" s="51">
        <f t="shared" si="68"/>
        <v>192.10600000000005</v>
      </c>
      <c r="W192" s="51">
        <f t="shared" si="68"/>
        <v>192.10600000000005</v>
      </c>
      <c r="X192" s="51">
        <f t="shared" si="68"/>
        <v>192.10600000000005</v>
      </c>
      <c r="Y192" s="51">
        <f t="shared" si="68"/>
        <v>192.10600000000005</v>
      </c>
      <c r="Z192" s="51">
        <f t="shared" si="68"/>
        <v>192.10600000000005</v>
      </c>
      <c r="AA192" s="51">
        <f t="shared" si="68"/>
        <v>192.10600000000005</v>
      </c>
      <c r="AB192" s="51">
        <f t="shared" si="68"/>
        <v>192.10600000000005</v>
      </c>
      <c r="AC192" s="51">
        <f t="shared" si="68"/>
        <v>192.10600000000005</v>
      </c>
      <c r="AD192" s="51">
        <f t="shared" si="68"/>
        <v>192.10600000000005</v>
      </c>
      <c r="AE192" s="51">
        <f t="shared" si="68"/>
        <v>192.10600000000005</v>
      </c>
      <c r="AF192" s="51">
        <f t="shared" si="68"/>
        <v>192.10600000000005</v>
      </c>
      <c r="AG192" s="50">
        <f t="shared" si="68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69">AF194</f>
        <v>0.3</v>
      </c>
      <c r="C194" s="47">
        <v>0.3</v>
      </c>
      <c r="D194" s="47">
        <f t="shared" ref="D194:S199" si="70">C194</f>
        <v>0.3</v>
      </c>
      <c r="E194" s="47">
        <f t="shared" si="70"/>
        <v>0.3</v>
      </c>
      <c r="F194" s="47">
        <f t="shared" si="70"/>
        <v>0.3</v>
      </c>
      <c r="G194" s="47">
        <f t="shared" si="70"/>
        <v>0.3</v>
      </c>
      <c r="H194" s="47">
        <f t="shared" si="70"/>
        <v>0.3</v>
      </c>
      <c r="I194" s="47">
        <f t="shared" si="70"/>
        <v>0.3</v>
      </c>
      <c r="J194" s="47">
        <f t="shared" si="70"/>
        <v>0.3</v>
      </c>
      <c r="K194" s="47">
        <f t="shared" si="70"/>
        <v>0.3</v>
      </c>
      <c r="L194" s="47">
        <f t="shared" si="70"/>
        <v>0.3</v>
      </c>
      <c r="M194" s="47">
        <f t="shared" si="70"/>
        <v>0.3</v>
      </c>
      <c r="N194" s="47">
        <f t="shared" si="70"/>
        <v>0.3</v>
      </c>
      <c r="O194" s="47">
        <f t="shared" si="70"/>
        <v>0.3</v>
      </c>
      <c r="P194" s="47">
        <f t="shared" si="70"/>
        <v>0.3</v>
      </c>
      <c r="Q194" s="47">
        <f t="shared" si="70"/>
        <v>0.3</v>
      </c>
      <c r="R194" s="47">
        <f t="shared" si="70"/>
        <v>0.3</v>
      </c>
      <c r="S194" s="47">
        <f t="shared" si="70"/>
        <v>0.3</v>
      </c>
      <c r="T194" s="47">
        <f t="shared" ref="T194:AF199" si="71">S194</f>
        <v>0.3</v>
      </c>
      <c r="U194" s="47">
        <f t="shared" si="71"/>
        <v>0.3</v>
      </c>
      <c r="V194" s="47">
        <f t="shared" si="71"/>
        <v>0.3</v>
      </c>
      <c r="W194" s="47">
        <f t="shared" si="71"/>
        <v>0.3</v>
      </c>
      <c r="X194" s="47">
        <f t="shared" si="71"/>
        <v>0.3</v>
      </c>
      <c r="Y194" s="47">
        <f t="shared" si="71"/>
        <v>0.3</v>
      </c>
      <c r="Z194" s="47">
        <f t="shared" si="71"/>
        <v>0.3</v>
      </c>
      <c r="AA194" s="47">
        <f t="shared" si="71"/>
        <v>0.3</v>
      </c>
      <c r="AB194" s="47">
        <f t="shared" si="71"/>
        <v>0.3</v>
      </c>
      <c r="AC194" s="47">
        <f t="shared" si="71"/>
        <v>0.3</v>
      </c>
      <c r="AD194" s="47">
        <f t="shared" si="71"/>
        <v>0.3</v>
      </c>
      <c r="AE194" s="47">
        <f t="shared" si="71"/>
        <v>0.3</v>
      </c>
      <c r="AF194" s="47">
        <f t="shared" si="71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69"/>
        <v>0.4</v>
      </c>
      <c r="C195" s="44">
        <v>0.4</v>
      </c>
      <c r="D195" s="44">
        <f t="shared" si="70"/>
        <v>0.4</v>
      </c>
      <c r="E195" s="44">
        <f t="shared" si="70"/>
        <v>0.4</v>
      </c>
      <c r="F195" s="44">
        <f t="shared" si="70"/>
        <v>0.4</v>
      </c>
      <c r="G195" s="44">
        <f t="shared" si="70"/>
        <v>0.4</v>
      </c>
      <c r="H195" s="44">
        <f t="shared" si="70"/>
        <v>0.4</v>
      </c>
      <c r="I195" s="44">
        <f t="shared" si="70"/>
        <v>0.4</v>
      </c>
      <c r="J195" s="44">
        <f t="shared" si="70"/>
        <v>0.4</v>
      </c>
      <c r="K195" s="44">
        <f t="shared" si="70"/>
        <v>0.4</v>
      </c>
      <c r="L195" s="44">
        <f t="shared" si="70"/>
        <v>0.4</v>
      </c>
      <c r="M195" s="44">
        <f t="shared" si="70"/>
        <v>0.4</v>
      </c>
      <c r="N195" s="44">
        <f t="shared" si="70"/>
        <v>0.4</v>
      </c>
      <c r="O195" s="44">
        <f t="shared" si="70"/>
        <v>0.4</v>
      </c>
      <c r="P195" s="44">
        <f t="shared" si="70"/>
        <v>0.4</v>
      </c>
      <c r="Q195" s="44">
        <f t="shared" si="70"/>
        <v>0.4</v>
      </c>
      <c r="R195" s="44">
        <f t="shared" si="70"/>
        <v>0.4</v>
      </c>
      <c r="S195" s="44">
        <f t="shared" si="70"/>
        <v>0.4</v>
      </c>
      <c r="T195" s="44">
        <f t="shared" si="71"/>
        <v>0.4</v>
      </c>
      <c r="U195" s="44">
        <f t="shared" si="71"/>
        <v>0.4</v>
      </c>
      <c r="V195" s="44">
        <f t="shared" si="71"/>
        <v>0.4</v>
      </c>
      <c r="W195" s="44">
        <f>V195</f>
        <v>0.4</v>
      </c>
      <c r="X195" s="44">
        <f>W195</f>
        <v>0.4</v>
      </c>
      <c r="Y195" s="44">
        <f t="shared" si="71"/>
        <v>0.4</v>
      </c>
      <c r="Z195" s="44">
        <f t="shared" si="71"/>
        <v>0.4</v>
      </c>
      <c r="AA195" s="44">
        <f t="shared" si="71"/>
        <v>0.4</v>
      </c>
      <c r="AB195" s="44">
        <f t="shared" si="71"/>
        <v>0.4</v>
      </c>
      <c r="AC195" s="44">
        <f t="shared" si="71"/>
        <v>0.4</v>
      </c>
      <c r="AD195" s="44">
        <f t="shared" si="71"/>
        <v>0.4</v>
      </c>
      <c r="AE195" s="44">
        <f t="shared" si="71"/>
        <v>0.4</v>
      </c>
      <c r="AF195" s="44">
        <f t="shared" si="71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69"/>
        <v>1.5</v>
      </c>
      <c r="C196" s="44">
        <v>1.5</v>
      </c>
      <c r="D196" s="44">
        <f t="shared" si="70"/>
        <v>1.5</v>
      </c>
      <c r="E196" s="44">
        <f t="shared" si="70"/>
        <v>1.5</v>
      </c>
      <c r="F196" s="44">
        <f t="shared" si="70"/>
        <v>1.5</v>
      </c>
      <c r="G196" s="44">
        <f t="shared" si="70"/>
        <v>1.5</v>
      </c>
      <c r="H196" s="44">
        <f t="shared" si="70"/>
        <v>1.5</v>
      </c>
      <c r="I196" s="44">
        <f t="shared" si="70"/>
        <v>1.5</v>
      </c>
      <c r="J196" s="44">
        <f t="shared" si="70"/>
        <v>1.5</v>
      </c>
      <c r="K196" s="44">
        <f t="shared" si="70"/>
        <v>1.5</v>
      </c>
      <c r="L196" s="44">
        <f t="shared" si="70"/>
        <v>1.5</v>
      </c>
      <c r="M196" s="44">
        <f t="shared" si="70"/>
        <v>1.5</v>
      </c>
      <c r="N196" s="44">
        <f t="shared" si="70"/>
        <v>1.5</v>
      </c>
      <c r="O196" s="44">
        <f t="shared" si="70"/>
        <v>1.5</v>
      </c>
      <c r="P196" s="44">
        <f t="shared" si="70"/>
        <v>1.5</v>
      </c>
      <c r="Q196" s="44">
        <f t="shared" si="70"/>
        <v>1.5</v>
      </c>
      <c r="R196" s="44">
        <f t="shared" si="70"/>
        <v>1.5</v>
      </c>
      <c r="S196" s="44">
        <f t="shared" si="70"/>
        <v>1.5</v>
      </c>
      <c r="T196" s="44">
        <f t="shared" si="71"/>
        <v>1.5</v>
      </c>
      <c r="U196" s="44">
        <f t="shared" si="71"/>
        <v>1.5</v>
      </c>
      <c r="V196" s="44">
        <f t="shared" si="71"/>
        <v>1.5</v>
      </c>
      <c r="W196" s="44">
        <f t="shared" si="71"/>
        <v>1.5</v>
      </c>
      <c r="X196" s="44">
        <f t="shared" si="71"/>
        <v>1.5</v>
      </c>
      <c r="Y196" s="44">
        <f t="shared" si="71"/>
        <v>1.5</v>
      </c>
      <c r="Z196" s="44">
        <f t="shared" si="71"/>
        <v>1.5</v>
      </c>
      <c r="AA196" s="44">
        <f t="shared" si="71"/>
        <v>1.5</v>
      </c>
      <c r="AB196" s="44">
        <f t="shared" si="71"/>
        <v>1.5</v>
      </c>
      <c r="AC196" s="44">
        <f t="shared" si="71"/>
        <v>1.5</v>
      </c>
      <c r="AD196" s="44">
        <f t="shared" si="71"/>
        <v>1.5</v>
      </c>
      <c r="AE196" s="44">
        <f t="shared" si="71"/>
        <v>1.5</v>
      </c>
      <c r="AF196" s="44">
        <f t="shared" si="71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69"/>
        <v>0.3</v>
      </c>
      <c r="C197" s="44">
        <v>0.3</v>
      </c>
      <c r="D197" s="44">
        <f t="shared" si="70"/>
        <v>0.3</v>
      </c>
      <c r="E197" s="44">
        <f t="shared" si="70"/>
        <v>0.3</v>
      </c>
      <c r="F197" s="44">
        <f t="shared" si="70"/>
        <v>0.3</v>
      </c>
      <c r="G197" s="44">
        <f t="shared" si="70"/>
        <v>0.3</v>
      </c>
      <c r="H197" s="44">
        <f t="shared" si="70"/>
        <v>0.3</v>
      </c>
      <c r="I197" s="44">
        <f t="shared" si="70"/>
        <v>0.3</v>
      </c>
      <c r="J197" s="44">
        <f t="shared" si="70"/>
        <v>0.3</v>
      </c>
      <c r="K197" s="44">
        <f t="shared" si="70"/>
        <v>0.3</v>
      </c>
      <c r="L197" s="44">
        <f t="shared" si="70"/>
        <v>0.3</v>
      </c>
      <c r="M197" s="44">
        <f t="shared" si="70"/>
        <v>0.3</v>
      </c>
      <c r="N197" s="44">
        <f t="shared" si="70"/>
        <v>0.3</v>
      </c>
      <c r="O197" s="44">
        <f t="shared" si="70"/>
        <v>0.3</v>
      </c>
      <c r="P197" s="44">
        <f t="shared" si="70"/>
        <v>0.3</v>
      </c>
      <c r="Q197" s="44">
        <f t="shared" si="70"/>
        <v>0.3</v>
      </c>
      <c r="R197" s="44">
        <f t="shared" si="70"/>
        <v>0.3</v>
      </c>
      <c r="S197" s="44">
        <f t="shared" si="70"/>
        <v>0.3</v>
      </c>
      <c r="T197" s="44">
        <f t="shared" si="71"/>
        <v>0.3</v>
      </c>
      <c r="U197" s="44">
        <f t="shared" si="71"/>
        <v>0.3</v>
      </c>
      <c r="V197" s="44">
        <f t="shared" si="71"/>
        <v>0.3</v>
      </c>
      <c r="W197" s="44">
        <f t="shared" si="71"/>
        <v>0.3</v>
      </c>
      <c r="X197" s="44">
        <f t="shared" si="71"/>
        <v>0.3</v>
      </c>
      <c r="Y197" s="44">
        <f t="shared" si="71"/>
        <v>0.3</v>
      </c>
      <c r="Z197" s="44">
        <f t="shared" si="71"/>
        <v>0.3</v>
      </c>
      <c r="AA197" s="44">
        <f t="shared" si="71"/>
        <v>0.3</v>
      </c>
      <c r="AB197" s="44">
        <f t="shared" si="71"/>
        <v>0.3</v>
      </c>
      <c r="AC197" s="44">
        <f t="shared" si="71"/>
        <v>0.3</v>
      </c>
      <c r="AD197" s="44">
        <f t="shared" si="71"/>
        <v>0.3</v>
      </c>
      <c r="AE197" s="44">
        <f t="shared" si="71"/>
        <v>0.3</v>
      </c>
      <c r="AF197" s="44">
        <f t="shared" si="71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69"/>
        <v>0.4</v>
      </c>
      <c r="C198" s="44">
        <v>0.4</v>
      </c>
      <c r="D198" s="44">
        <f t="shared" si="70"/>
        <v>0.4</v>
      </c>
      <c r="E198" s="44">
        <f t="shared" si="70"/>
        <v>0.4</v>
      </c>
      <c r="F198" s="44">
        <f t="shared" si="70"/>
        <v>0.4</v>
      </c>
      <c r="G198" s="44">
        <f t="shared" si="70"/>
        <v>0.4</v>
      </c>
      <c r="H198" s="44">
        <f t="shared" si="70"/>
        <v>0.4</v>
      </c>
      <c r="I198" s="44">
        <f t="shared" si="70"/>
        <v>0.4</v>
      </c>
      <c r="J198" s="44">
        <f t="shared" si="70"/>
        <v>0.4</v>
      </c>
      <c r="K198" s="44">
        <f t="shared" si="70"/>
        <v>0.4</v>
      </c>
      <c r="L198" s="44">
        <f t="shared" si="70"/>
        <v>0.4</v>
      </c>
      <c r="M198" s="44">
        <f t="shared" si="70"/>
        <v>0.4</v>
      </c>
      <c r="N198" s="44">
        <f t="shared" si="70"/>
        <v>0.4</v>
      </c>
      <c r="O198" s="44">
        <f t="shared" si="70"/>
        <v>0.4</v>
      </c>
      <c r="P198" s="44">
        <f t="shared" si="70"/>
        <v>0.4</v>
      </c>
      <c r="Q198" s="44">
        <f t="shared" si="70"/>
        <v>0.4</v>
      </c>
      <c r="R198" s="44">
        <f t="shared" si="70"/>
        <v>0.4</v>
      </c>
      <c r="S198" s="44">
        <f t="shared" si="70"/>
        <v>0.4</v>
      </c>
      <c r="T198" s="44">
        <f t="shared" si="71"/>
        <v>0.4</v>
      </c>
      <c r="U198" s="44">
        <f t="shared" si="71"/>
        <v>0.4</v>
      </c>
      <c r="V198" s="44">
        <f t="shared" si="71"/>
        <v>0.4</v>
      </c>
      <c r="W198" s="44">
        <f t="shared" si="71"/>
        <v>0.4</v>
      </c>
      <c r="X198" s="44">
        <f t="shared" si="71"/>
        <v>0.4</v>
      </c>
      <c r="Y198" s="44">
        <f t="shared" si="71"/>
        <v>0.4</v>
      </c>
      <c r="Z198" s="44">
        <f t="shared" si="71"/>
        <v>0.4</v>
      </c>
      <c r="AA198" s="44">
        <f t="shared" si="71"/>
        <v>0.4</v>
      </c>
      <c r="AB198" s="44">
        <f t="shared" si="71"/>
        <v>0.4</v>
      </c>
      <c r="AC198" s="44">
        <f t="shared" si="71"/>
        <v>0.4</v>
      </c>
      <c r="AD198" s="44">
        <f t="shared" si="71"/>
        <v>0.4</v>
      </c>
      <c r="AE198" s="44">
        <f t="shared" si="71"/>
        <v>0.4</v>
      </c>
      <c r="AF198" s="44">
        <f t="shared" si="71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69"/>
        <v>0.64</v>
      </c>
      <c r="C199" s="40">
        <v>0.64</v>
      </c>
      <c r="D199" s="40">
        <f t="shared" si="70"/>
        <v>0.64</v>
      </c>
      <c r="E199" s="40">
        <f t="shared" si="70"/>
        <v>0.64</v>
      </c>
      <c r="F199" s="40">
        <f t="shared" si="70"/>
        <v>0.64</v>
      </c>
      <c r="G199" s="40">
        <f t="shared" si="70"/>
        <v>0.64</v>
      </c>
      <c r="H199" s="40">
        <f t="shared" si="70"/>
        <v>0.64</v>
      </c>
      <c r="I199" s="40">
        <f t="shared" si="70"/>
        <v>0.64</v>
      </c>
      <c r="J199" s="40">
        <f t="shared" si="70"/>
        <v>0.64</v>
      </c>
      <c r="K199" s="40">
        <f t="shared" si="70"/>
        <v>0.64</v>
      </c>
      <c r="L199" s="40">
        <f t="shared" si="70"/>
        <v>0.64</v>
      </c>
      <c r="M199" s="40">
        <f t="shared" si="70"/>
        <v>0.64</v>
      </c>
      <c r="N199" s="40">
        <f t="shared" si="70"/>
        <v>0.64</v>
      </c>
      <c r="O199" s="40">
        <f t="shared" si="70"/>
        <v>0.64</v>
      </c>
      <c r="P199" s="40">
        <f t="shared" si="70"/>
        <v>0.64</v>
      </c>
      <c r="Q199" s="40">
        <f t="shared" si="70"/>
        <v>0.64</v>
      </c>
      <c r="R199" s="40">
        <f t="shared" si="70"/>
        <v>0.64</v>
      </c>
      <c r="S199" s="40">
        <f t="shared" si="70"/>
        <v>0.64</v>
      </c>
      <c r="T199" s="40">
        <f t="shared" si="71"/>
        <v>0.64</v>
      </c>
      <c r="U199" s="40">
        <f t="shared" si="71"/>
        <v>0.64</v>
      </c>
      <c r="V199" s="40">
        <f t="shared" si="71"/>
        <v>0.64</v>
      </c>
      <c r="W199" s="40">
        <f t="shared" si="71"/>
        <v>0.64</v>
      </c>
      <c r="X199" s="40">
        <f t="shared" si="71"/>
        <v>0.64</v>
      </c>
      <c r="Y199" s="40">
        <f t="shared" si="71"/>
        <v>0.64</v>
      </c>
      <c r="Z199" s="40">
        <f t="shared" si="71"/>
        <v>0.64</v>
      </c>
      <c r="AA199" s="40">
        <f t="shared" si="71"/>
        <v>0.64</v>
      </c>
      <c r="AB199" s="40">
        <f t="shared" si="71"/>
        <v>0.64</v>
      </c>
      <c r="AC199" s="40">
        <f t="shared" si="71"/>
        <v>0.64</v>
      </c>
      <c r="AD199" s="40">
        <f t="shared" si="71"/>
        <v>0.64</v>
      </c>
      <c r="AE199" s="40">
        <f t="shared" si="71"/>
        <v>0.64</v>
      </c>
      <c r="AF199" s="40">
        <f t="shared" si="71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2">SUM(D194:D199)</f>
        <v>3.54</v>
      </c>
      <c r="E200" s="37">
        <f t="shared" si="72"/>
        <v>3.54</v>
      </c>
      <c r="F200" s="37">
        <f t="shared" si="72"/>
        <v>3.54</v>
      </c>
      <c r="G200" s="37">
        <f t="shared" si="72"/>
        <v>3.54</v>
      </c>
      <c r="H200" s="37">
        <f t="shared" si="72"/>
        <v>3.54</v>
      </c>
      <c r="I200" s="37">
        <f t="shared" si="72"/>
        <v>3.54</v>
      </c>
      <c r="J200" s="37">
        <f t="shared" si="72"/>
        <v>3.54</v>
      </c>
      <c r="K200" s="37">
        <f t="shared" si="72"/>
        <v>3.54</v>
      </c>
      <c r="L200" s="37">
        <f t="shared" si="72"/>
        <v>3.54</v>
      </c>
      <c r="M200" s="37">
        <f>SUM(M194:M199)</f>
        <v>3.54</v>
      </c>
      <c r="N200" s="37">
        <f t="shared" ref="N200:S200" si="73">SUM(N194:N199)</f>
        <v>3.54</v>
      </c>
      <c r="O200" s="37">
        <f t="shared" si="73"/>
        <v>3.54</v>
      </c>
      <c r="P200" s="37">
        <f t="shared" si="73"/>
        <v>3.54</v>
      </c>
      <c r="Q200" s="37">
        <f t="shared" si="73"/>
        <v>3.54</v>
      </c>
      <c r="R200" s="37">
        <f t="shared" si="73"/>
        <v>3.54</v>
      </c>
      <c r="S200" s="37">
        <f t="shared" si="73"/>
        <v>3.54</v>
      </c>
      <c r="T200" s="37">
        <f>SUM(T194:T199)</f>
        <v>3.54</v>
      </c>
      <c r="U200" s="37">
        <f t="shared" ref="U200:AG200" si="74">SUM(U194:U199)</f>
        <v>3.54</v>
      </c>
      <c r="V200" s="37">
        <f t="shared" si="74"/>
        <v>3.54</v>
      </c>
      <c r="W200" s="37">
        <f t="shared" si="74"/>
        <v>3.54</v>
      </c>
      <c r="X200" s="37">
        <f t="shared" si="74"/>
        <v>3.54</v>
      </c>
      <c r="Y200" s="37">
        <f t="shared" si="74"/>
        <v>3.54</v>
      </c>
      <c r="Z200" s="37">
        <f t="shared" si="74"/>
        <v>3.54</v>
      </c>
      <c r="AA200" s="37">
        <f t="shared" si="74"/>
        <v>3.54</v>
      </c>
      <c r="AB200" s="37">
        <f t="shared" si="74"/>
        <v>3.54</v>
      </c>
      <c r="AC200" s="37">
        <f t="shared" si="74"/>
        <v>3.54</v>
      </c>
      <c r="AD200" s="37">
        <f t="shared" si="74"/>
        <v>3.54</v>
      </c>
      <c r="AE200" s="37">
        <f t="shared" si="74"/>
        <v>3.54</v>
      </c>
      <c r="AF200" s="37">
        <f t="shared" si="74"/>
        <v>3.54</v>
      </c>
      <c r="AG200" s="36">
        <f t="shared" si="74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1386.3400000000001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25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2078/12/25)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2078/12/25)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5">B75</f>
        <v>1271.04</v>
      </c>
      <c r="U214" s="9">
        <f t="shared" si="75"/>
        <v>1282.54</v>
      </c>
      <c r="V214" s="9">
        <f t="shared" si="75"/>
        <v>1248.24</v>
      </c>
      <c r="W214" s="9">
        <f t="shared" si="75"/>
        <v>1248.3399999999999</v>
      </c>
      <c r="X214" s="9">
        <f t="shared" si="75"/>
        <v>1215.3400000000001</v>
      </c>
      <c r="Y214" s="9">
        <f t="shared" si="75"/>
        <v>1224.74</v>
      </c>
      <c r="Z214" s="9">
        <f t="shared" si="75"/>
        <v>1258.04</v>
      </c>
      <c r="AA214" s="9">
        <f t="shared" si="75"/>
        <v>1269.54</v>
      </c>
      <c r="AB214" s="9">
        <f t="shared" si="75"/>
        <v>1318.0400000000002</v>
      </c>
      <c r="AC214" s="9">
        <f t="shared" si="75"/>
        <v>1356.3400000000001</v>
      </c>
      <c r="AD214" s="9">
        <f t="shared" si="75"/>
        <v>1330.64</v>
      </c>
      <c r="AE214" s="9">
        <f t="shared" si="75"/>
        <v>1386.3400000000001</v>
      </c>
      <c r="AF214" s="9">
        <f t="shared" si="75"/>
        <v>1355.5400000000002</v>
      </c>
      <c r="AG214" s="9">
        <f t="shared" si="75"/>
        <v>1397.24</v>
      </c>
      <c r="AH214" s="9">
        <f t="shared" si="75"/>
        <v>1374.64</v>
      </c>
      <c r="AI214" s="9">
        <f t="shared" si="75"/>
        <v>1440.84</v>
      </c>
      <c r="AJ214" s="9">
        <f t="shared" si="75"/>
        <v>1435.94</v>
      </c>
      <c r="AK214" s="9">
        <f t="shared" si="75"/>
        <v>1414.3400000000001</v>
      </c>
      <c r="AL214" s="9">
        <f t="shared" si="75"/>
        <v>1484.44</v>
      </c>
      <c r="AM214" s="9">
        <f t="shared" si="75"/>
        <v>1444.8400000000001</v>
      </c>
      <c r="AN214" s="9">
        <f t="shared" si="75"/>
        <v>1385.3400000000001</v>
      </c>
      <c r="AO214" s="9">
        <f t="shared" si="75"/>
        <v>1432.74</v>
      </c>
      <c r="AP214" s="9">
        <f t="shared" si="75"/>
        <v>1434.1399999999999</v>
      </c>
      <c r="AQ214" s="9">
        <f t="shared" si="75"/>
        <v>1589.8400000000001</v>
      </c>
      <c r="AR214" s="9">
        <f t="shared" si="75"/>
        <v>1636.0400000000002</v>
      </c>
      <c r="AS214" s="9">
        <f t="shared" si="75"/>
        <v>1642.1399999999999</v>
      </c>
      <c r="AT214" s="9">
        <f t="shared" si="75"/>
        <v>1524.1399999999999</v>
      </c>
      <c r="AU214" s="9">
        <f t="shared" si="75"/>
        <v>1468.74</v>
      </c>
      <c r="AV214" s="9">
        <f t="shared" si="75"/>
        <v>1467.94</v>
      </c>
      <c r="AW214" s="9">
        <f t="shared" si="75"/>
        <v>1418.8400000000001</v>
      </c>
      <c r="AX214" s="9">
        <f t="shared" si="75"/>
        <v>1308.02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6">C199</f>
        <v>0.64</v>
      </c>
      <c r="C235" s="4">
        <f t="shared" si="76"/>
        <v>0.64</v>
      </c>
      <c r="D235" s="4">
        <f t="shared" si="76"/>
        <v>0.64</v>
      </c>
      <c r="E235" s="4">
        <f t="shared" si="76"/>
        <v>0.64</v>
      </c>
      <c r="F235" s="4">
        <f t="shared" si="76"/>
        <v>0.64</v>
      </c>
      <c r="G235" s="4">
        <f t="shared" si="76"/>
        <v>0.64</v>
      </c>
      <c r="H235" s="4">
        <f t="shared" si="76"/>
        <v>0.64</v>
      </c>
      <c r="I235" s="4">
        <f t="shared" si="76"/>
        <v>0.64</v>
      </c>
      <c r="J235" s="4">
        <f t="shared" si="76"/>
        <v>0.64</v>
      </c>
      <c r="K235" s="4">
        <f t="shared" si="76"/>
        <v>0.64</v>
      </c>
      <c r="L235" s="4">
        <f t="shared" si="76"/>
        <v>0.64</v>
      </c>
      <c r="M235" s="4">
        <f t="shared" si="76"/>
        <v>0.64</v>
      </c>
      <c r="N235" s="4">
        <f t="shared" si="76"/>
        <v>0.64</v>
      </c>
      <c r="O235" s="4">
        <f t="shared" si="76"/>
        <v>0.64</v>
      </c>
      <c r="P235" s="4">
        <f t="shared" si="76"/>
        <v>0.64</v>
      </c>
      <c r="Q235" s="4">
        <f t="shared" si="76"/>
        <v>0.64</v>
      </c>
      <c r="R235" s="4">
        <f t="shared" si="76"/>
        <v>0.64</v>
      </c>
      <c r="S235" s="4">
        <f t="shared" si="76"/>
        <v>0.64</v>
      </c>
      <c r="T235" s="4">
        <f t="shared" si="76"/>
        <v>0.64</v>
      </c>
      <c r="U235" s="4">
        <f t="shared" si="76"/>
        <v>0.64</v>
      </c>
      <c r="V235" s="4">
        <f t="shared" si="76"/>
        <v>0.64</v>
      </c>
      <c r="W235" s="4">
        <f t="shared" si="76"/>
        <v>0.64</v>
      </c>
      <c r="X235" s="4">
        <f t="shared" si="76"/>
        <v>0.64</v>
      </c>
      <c r="Y235" s="4">
        <f t="shared" si="76"/>
        <v>0.64</v>
      </c>
      <c r="Z235" s="4">
        <f t="shared" si="76"/>
        <v>0.64</v>
      </c>
      <c r="AA235" s="4">
        <f t="shared" si="76"/>
        <v>0.64</v>
      </c>
      <c r="AB235" s="4">
        <f t="shared" si="76"/>
        <v>0.64</v>
      </c>
      <c r="AC235" s="4">
        <f t="shared" si="76"/>
        <v>0.64</v>
      </c>
      <c r="AD235" s="4">
        <f t="shared" si="76"/>
        <v>0.64</v>
      </c>
      <c r="AE235" s="4">
        <f t="shared" si="76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7">IF(C203&lt;100,"",C203-520)</f>
        <v/>
      </c>
      <c r="D236" s="3" t="str">
        <f t="shared" si="77"/>
        <v/>
      </c>
      <c r="E236" s="3" t="str">
        <f t="shared" si="77"/>
        <v/>
      </c>
      <c r="F236" s="3" t="str">
        <f t="shared" si="77"/>
        <v/>
      </c>
      <c r="G236" s="3" t="str">
        <f t="shared" si="77"/>
        <v/>
      </c>
      <c r="H236" s="3" t="str">
        <f t="shared" si="77"/>
        <v/>
      </c>
      <c r="I236" s="3" t="str">
        <f t="shared" si="77"/>
        <v/>
      </c>
      <c r="J236" s="3" t="str">
        <f t="shared" si="77"/>
        <v/>
      </c>
      <c r="K236" s="3" t="str">
        <f t="shared" si="77"/>
        <v/>
      </c>
      <c r="L236" s="3" t="str">
        <f t="shared" si="77"/>
        <v/>
      </c>
      <c r="M236" s="3" t="str">
        <f t="shared" si="77"/>
        <v/>
      </c>
      <c r="N236" s="3" t="str">
        <f t="shared" si="77"/>
        <v/>
      </c>
      <c r="O236" s="3" t="str">
        <f t="shared" si="77"/>
        <v/>
      </c>
      <c r="P236" s="3" t="str">
        <f t="shared" si="77"/>
        <v/>
      </c>
      <c r="Q236" s="3" t="str">
        <f t="shared" si="77"/>
        <v/>
      </c>
      <c r="R236" s="3" t="str">
        <f t="shared" si="77"/>
        <v/>
      </c>
      <c r="S236" s="3" t="str">
        <f t="shared" si="77"/>
        <v/>
      </c>
      <c r="T236" s="3" t="str">
        <f t="shared" si="77"/>
        <v/>
      </c>
      <c r="U236" s="3" t="str">
        <f t="shared" si="77"/>
        <v/>
      </c>
      <c r="V236" s="3" t="str">
        <f t="shared" si="77"/>
        <v/>
      </c>
      <c r="W236" s="3" t="str">
        <f t="shared" si="77"/>
        <v/>
      </c>
      <c r="X236" s="3" t="str">
        <f t="shared" si="77"/>
        <v/>
      </c>
      <c r="Y236" s="3" t="str">
        <f t="shared" si="77"/>
        <v/>
      </c>
      <c r="Z236" s="3" t="str">
        <f t="shared" si="77"/>
        <v/>
      </c>
      <c r="AA236" s="3" t="str">
        <f t="shared" si="77"/>
        <v/>
      </c>
      <c r="AB236" s="3" t="str">
        <f t="shared" si="77"/>
        <v/>
      </c>
      <c r="AC236" s="3" t="str">
        <f t="shared" si="77"/>
        <v/>
      </c>
      <c r="AD236" s="3" t="str">
        <f t="shared" si="77"/>
        <v/>
      </c>
      <c r="AE236" s="3" t="str">
        <f t="shared" si="77"/>
        <v/>
      </c>
      <c r="AF236" s="3" t="str">
        <f t="shared" si="77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8">IF(B204&lt;100,"",B204-620)</f>
        <v/>
      </c>
      <c r="C237" s="3" t="str">
        <f t="shared" si="78"/>
        <v/>
      </c>
      <c r="D237" s="3" t="str">
        <f t="shared" si="78"/>
        <v/>
      </c>
      <c r="E237" s="3" t="str">
        <f t="shared" si="78"/>
        <v/>
      </c>
      <c r="F237" s="3" t="str">
        <f t="shared" si="78"/>
        <v/>
      </c>
      <c r="G237" s="3" t="str">
        <f t="shared" si="78"/>
        <v/>
      </c>
      <c r="H237" s="3" t="str">
        <f t="shared" si="78"/>
        <v/>
      </c>
      <c r="I237" s="3" t="str">
        <f t="shared" si="78"/>
        <v/>
      </c>
      <c r="J237" s="3" t="str">
        <f t="shared" si="78"/>
        <v/>
      </c>
      <c r="K237" s="3" t="str">
        <f t="shared" si="78"/>
        <v/>
      </c>
      <c r="L237" s="3" t="str">
        <f t="shared" si="78"/>
        <v/>
      </c>
      <c r="M237" s="3" t="str">
        <f t="shared" si="78"/>
        <v/>
      </c>
      <c r="N237" s="3" t="str">
        <f t="shared" si="78"/>
        <v/>
      </c>
      <c r="O237" s="3" t="str">
        <f t="shared" si="78"/>
        <v/>
      </c>
      <c r="P237" s="3" t="str">
        <f t="shared" si="78"/>
        <v/>
      </c>
      <c r="Q237" s="3" t="str">
        <f t="shared" si="78"/>
        <v/>
      </c>
      <c r="R237" s="3" t="str">
        <f t="shared" si="78"/>
        <v/>
      </c>
      <c r="S237" s="3" t="str">
        <f t="shared" si="78"/>
        <v/>
      </c>
      <c r="T237" s="3" t="str">
        <f t="shared" si="78"/>
        <v/>
      </c>
      <c r="U237" s="3" t="str">
        <f t="shared" si="78"/>
        <v/>
      </c>
      <c r="V237" s="3" t="str">
        <f t="shared" si="78"/>
        <v/>
      </c>
      <c r="W237" s="3" t="str">
        <f t="shared" si="78"/>
        <v/>
      </c>
      <c r="X237" s="3" t="str">
        <f t="shared" si="78"/>
        <v/>
      </c>
      <c r="Y237" s="3" t="str">
        <f t="shared" si="78"/>
        <v/>
      </c>
      <c r="Z237" s="3" t="str">
        <f t="shared" si="78"/>
        <v/>
      </c>
      <c r="AA237" s="3" t="str">
        <f t="shared" si="78"/>
        <v/>
      </c>
      <c r="AB237" s="3" t="str">
        <f t="shared" si="78"/>
        <v/>
      </c>
      <c r="AC237" s="3" t="str">
        <f t="shared" si="78"/>
        <v/>
      </c>
      <c r="AD237" s="3" t="str">
        <f t="shared" si="78"/>
        <v/>
      </c>
      <c r="AE237" s="3" t="str">
        <f t="shared" si="78"/>
        <v/>
      </c>
      <c r="AF237" s="3" t="str">
        <f t="shared" si="78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79">IF(B205&lt;100,"",B205-330)</f>
        <v/>
      </c>
      <c r="C238" s="3" t="str">
        <f t="shared" si="79"/>
        <v/>
      </c>
      <c r="D238" s="3" t="str">
        <f t="shared" si="79"/>
        <v/>
      </c>
      <c r="E238" s="3" t="str">
        <f t="shared" si="79"/>
        <v/>
      </c>
      <c r="F238" s="3" t="str">
        <f t="shared" si="79"/>
        <v/>
      </c>
      <c r="G238" s="3" t="str">
        <f t="shared" si="79"/>
        <v/>
      </c>
      <c r="H238" s="3" t="str">
        <f t="shared" si="79"/>
        <v/>
      </c>
      <c r="I238" s="3" t="str">
        <f t="shared" si="79"/>
        <v/>
      </c>
      <c r="J238" s="3" t="str">
        <f t="shared" si="79"/>
        <v/>
      </c>
      <c r="K238" s="3" t="str">
        <f t="shared" si="79"/>
        <v/>
      </c>
      <c r="L238" s="3" t="str">
        <f t="shared" si="79"/>
        <v/>
      </c>
      <c r="M238" s="3" t="str">
        <f t="shared" si="79"/>
        <v/>
      </c>
      <c r="N238" s="3" t="str">
        <f t="shared" si="79"/>
        <v/>
      </c>
      <c r="O238" s="3" t="str">
        <f t="shared" si="79"/>
        <v/>
      </c>
      <c r="P238" s="3" t="str">
        <f t="shared" si="79"/>
        <v/>
      </c>
      <c r="Q238" s="3" t="str">
        <f t="shared" si="79"/>
        <v/>
      </c>
      <c r="R238" s="3" t="str">
        <f t="shared" si="79"/>
        <v/>
      </c>
      <c r="S238" s="3" t="str">
        <f t="shared" si="79"/>
        <v/>
      </c>
      <c r="T238" s="3" t="str">
        <f t="shared" si="79"/>
        <v/>
      </c>
      <c r="U238" s="3" t="str">
        <f t="shared" si="79"/>
        <v/>
      </c>
      <c r="V238" s="3" t="str">
        <f t="shared" si="79"/>
        <v/>
      </c>
      <c r="W238" s="3" t="str">
        <f t="shared" si="79"/>
        <v/>
      </c>
      <c r="X238" s="3" t="str">
        <f t="shared" si="79"/>
        <v/>
      </c>
      <c r="Y238" s="3" t="str">
        <f t="shared" si="79"/>
        <v/>
      </c>
      <c r="Z238" s="3" t="str">
        <f t="shared" si="79"/>
        <v/>
      </c>
      <c r="AA238" s="3" t="str">
        <f t="shared" si="79"/>
        <v/>
      </c>
      <c r="AB238" s="3" t="str">
        <f t="shared" si="79"/>
        <v/>
      </c>
      <c r="AC238" s="3" t="str">
        <f t="shared" si="79"/>
        <v/>
      </c>
      <c r="AD238" s="3" t="str">
        <f t="shared" si="79"/>
        <v/>
      </c>
      <c r="AE238" s="3" t="str">
        <f t="shared" si="79"/>
        <v/>
      </c>
      <c r="AF238" s="3" t="str">
        <f t="shared" si="79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0">IF(C206&lt;100,"",C206-1500)</f>
        <v/>
      </c>
      <c r="D239" s="3" t="str">
        <f t="shared" si="80"/>
        <v/>
      </c>
      <c r="E239" s="3" t="str">
        <f t="shared" si="80"/>
        <v/>
      </c>
      <c r="F239" s="3" t="str">
        <f t="shared" si="80"/>
        <v/>
      </c>
      <c r="G239" s="3" t="str">
        <f t="shared" si="80"/>
        <v/>
      </c>
      <c r="H239" s="3" t="str">
        <f t="shared" si="80"/>
        <v/>
      </c>
      <c r="I239" s="3" t="str">
        <f t="shared" si="80"/>
        <v/>
      </c>
      <c r="J239" s="3" t="str">
        <f t="shared" si="80"/>
        <v/>
      </c>
      <c r="K239" s="3" t="str">
        <f t="shared" si="80"/>
        <v/>
      </c>
      <c r="L239" s="3" t="str">
        <f t="shared" si="80"/>
        <v/>
      </c>
      <c r="M239" s="3" t="str">
        <f t="shared" si="80"/>
        <v/>
      </c>
      <c r="N239" s="3" t="str">
        <f t="shared" si="80"/>
        <v/>
      </c>
      <c r="O239" s="3" t="str">
        <f t="shared" si="80"/>
        <v/>
      </c>
      <c r="P239" s="3" t="str">
        <f t="shared" si="80"/>
        <v/>
      </c>
      <c r="Q239" s="3" t="str">
        <f t="shared" si="80"/>
        <v/>
      </c>
      <c r="R239" s="3" t="str">
        <f t="shared" si="80"/>
        <v/>
      </c>
      <c r="S239" s="3" t="str">
        <f t="shared" si="80"/>
        <v/>
      </c>
      <c r="T239" s="3" t="str">
        <f t="shared" si="80"/>
        <v/>
      </c>
      <c r="U239" s="3" t="str">
        <f t="shared" si="80"/>
        <v/>
      </c>
      <c r="V239" s="3" t="str">
        <f t="shared" si="80"/>
        <v/>
      </c>
      <c r="W239" s="3" t="str">
        <f t="shared" si="80"/>
        <v/>
      </c>
      <c r="X239" s="3" t="str">
        <f t="shared" si="80"/>
        <v/>
      </c>
      <c r="Y239" s="3" t="str">
        <f t="shared" si="80"/>
        <v/>
      </c>
      <c r="Z239" s="3" t="str">
        <f t="shared" si="80"/>
        <v/>
      </c>
      <c r="AA239" s="3" t="str">
        <f t="shared" si="80"/>
        <v/>
      </c>
      <c r="AB239" s="3" t="str">
        <f t="shared" si="80"/>
        <v/>
      </c>
      <c r="AC239" s="3" t="str">
        <f t="shared" si="80"/>
        <v/>
      </c>
      <c r="AD239" s="3" t="str">
        <f t="shared" si="80"/>
        <v/>
      </c>
      <c r="AE239" s="3" t="str">
        <f t="shared" si="80"/>
        <v/>
      </c>
      <c r="AF239" s="3" t="str">
        <f t="shared" si="80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C57:L59 P39:R39 P40:Q42 R40:T41 M58:W59 X85:AA91 AB81:AF81 C81:R81 C56:AF56 C82:AF83 D194:AF200 B194:B200 AB84:AF91 M53:AF55 B9:AF10 B192:AF192 AF57:AF67 AG73 AB94:AF100 U213:AF213 C63:K67 M39:O42 C60:R61 R39:R42 U40:Y42 M16:Y32 M36:Y37 N45:Y48 C68:AF80 Z40:AE43 M11:AE14 Z16:AF31 Z36:AF36 AF12:AF14">
    <cfRule type="expression" dxfId="1930" priority="310">
      <formula>B$9&gt;=20/24</formula>
    </cfRule>
    <cfRule type="expression" dxfId="1929" priority="311">
      <formula>AND(B$9&gt;=14/24,B$9&lt;20/24)</formula>
    </cfRule>
    <cfRule type="expression" dxfId="1928" priority="312">
      <formula>AND(B$9&gt;=8/24,B$9&lt;14/24)</formula>
    </cfRule>
    <cfRule type="expression" dxfId="1927" priority="313">
      <formula>B$9&lt;8/24</formula>
    </cfRule>
  </conditionalFormatting>
  <conditionalFormatting sqref="AL4:AL6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926" priority="305">
      <formula>M$9&gt;=20/24</formula>
    </cfRule>
    <cfRule type="expression" dxfId="1925" priority="306">
      <formula>AND(M$9&gt;=14/24,M$9&lt;20/24)</formula>
    </cfRule>
    <cfRule type="expression" dxfId="1924" priority="307">
      <formula>AND(M$9&gt;=8/24,M$9&lt;14/24)</formula>
    </cfRule>
    <cfRule type="expression" dxfId="1923" priority="308">
      <formula>M$9&lt;8/24</formula>
    </cfRule>
  </conditionalFormatting>
  <conditionalFormatting sqref="M43:R43">
    <cfRule type="expression" dxfId="1922" priority="301">
      <formula>M$9&gt;=20/24</formula>
    </cfRule>
    <cfRule type="expression" dxfId="1921" priority="302">
      <formula>AND(M$9&gt;=14/24,M$9&lt;20/24)</formula>
    </cfRule>
    <cfRule type="expression" dxfId="1920" priority="303">
      <formula>AND(M$9&gt;=8/24,M$9&lt;14/24)</formula>
    </cfRule>
    <cfRule type="expression" dxfId="1919" priority="304">
      <formula>M$9&lt;8/24</formula>
    </cfRule>
  </conditionalFormatting>
  <conditionalFormatting sqref="Z32:AF32">
    <cfRule type="expression" dxfId="1918" priority="297">
      <formula>Z$9&gt;=20/24</formula>
    </cfRule>
    <cfRule type="expression" dxfId="1917" priority="298">
      <formula>AND(Z$9&gt;=14/24,Z$9&lt;20/24)</formula>
    </cfRule>
    <cfRule type="expression" dxfId="1916" priority="299">
      <formula>AND(Z$9&gt;=8/24,Z$9&lt;14/24)</formula>
    </cfRule>
    <cfRule type="expression" dxfId="1915" priority="300">
      <formula>Z$9&lt;8/24</formula>
    </cfRule>
  </conditionalFormatting>
  <conditionalFormatting sqref="S39:AE39">
    <cfRule type="expression" dxfId="1914" priority="293">
      <formula>S$9&gt;=20/24</formula>
    </cfRule>
    <cfRule type="expression" dxfId="1913" priority="294">
      <formula>AND(S$9&gt;=14/24,S$9&lt;20/24)</formula>
    </cfRule>
    <cfRule type="expression" dxfId="1912" priority="295">
      <formula>AND(S$9&gt;=8/24,S$9&lt;14/24)</formula>
    </cfRule>
    <cfRule type="expression" dxfId="1911" priority="296">
      <formula>S$9&lt;8/24</formula>
    </cfRule>
  </conditionalFormatting>
  <conditionalFormatting sqref="S57:AE57">
    <cfRule type="expression" dxfId="1910" priority="289">
      <formula>S$9&gt;=20/24</formula>
    </cfRule>
    <cfRule type="expression" dxfId="1909" priority="290">
      <formula>AND(S$9&gt;=14/24,S$9&lt;20/24)</formula>
    </cfRule>
    <cfRule type="expression" dxfId="1908" priority="291">
      <formula>AND(S$9&gt;=8/24,S$9&lt;14/24)</formula>
    </cfRule>
    <cfRule type="expression" dxfId="1907" priority="292">
      <formula>S$9&lt;8/24</formula>
    </cfRule>
  </conditionalFormatting>
  <conditionalFormatting sqref="S81:AA81">
    <cfRule type="expression" dxfId="1906" priority="285">
      <formula>S$9&gt;=20/24</formula>
    </cfRule>
    <cfRule type="expression" dxfId="1905" priority="286">
      <formula>AND(S$9&gt;=14/24,S$9&lt;20/24)</formula>
    </cfRule>
    <cfRule type="expression" dxfId="1904" priority="287">
      <formula>AND(S$9&gt;=8/24,S$9&lt;14/24)</formula>
    </cfRule>
    <cfRule type="expression" dxfId="1903" priority="288">
      <formula>S$9&lt;8/24</formula>
    </cfRule>
  </conditionalFormatting>
  <conditionalFormatting sqref="U84:AA84">
    <cfRule type="expression" dxfId="1902" priority="281">
      <formula>U$9&gt;=20/24</formula>
    </cfRule>
    <cfRule type="expression" dxfId="1901" priority="282">
      <formula>AND(U$9&gt;=14/24,U$9&lt;20/24)</formula>
    </cfRule>
    <cfRule type="expression" dxfId="1900" priority="283">
      <formula>AND(U$9&gt;=8/24,U$9&lt;14/24)</formula>
    </cfRule>
    <cfRule type="expression" dxfId="1899" priority="284">
      <formula>U$9&lt;8/24</formula>
    </cfRule>
  </conditionalFormatting>
  <conditionalFormatting sqref="M35:Y35">
    <cfRule type="expression" dxfId="1898" priority="277">
      <formula>M$9&gt;=20/24</formula>
    </cfRule>
    <cfRule type="expression" dxfId="1897" priority="278">
      <formula>AND(M$9&gt;=14/24,M$9&lt;20/24)</formula>
    </cfRule>
    <cfRule type="expression" dxfId="1896" priority="279">
      <formula>AND(M$9&gt;=8/24,M$9&lt;14/24)</formula>
    </cfRule>
    <cfRule type="expression" dxfId="1895" priority="280">
      <formula>M$9&lt;8/24</formula>
    </cfRule>
  </conditionalFormatting>
  <conditionalFormatting sqref="M49:Y49">
    <cfRule type="expression" dxfId="1894" priority="273">
      <formula>M$9&gt;=20/24</formula>
    </cfRule>
    <cfRule type="expression" dxfId="1893" priority="274">
      <formula>AND(M$9&gt;=14/24,M$9&lt;20/24)</formula>
    </cfRule>
    <cfRule type="expression" dxfId="1892" priority="275">
      <formula>AND(M$9&gt;=8/24,M$9&lt;14/24)</formula>
    </cfRule>
    <cfRule type="expression" dxfId="1891" priority="276">
      <formula>M$9&lt;8/24</formula>
    </cfRule>
  </conditionalFormatting>
  <conditionalFormatting sqref="M50:Y50">
    <cfRule type="expression" dxfId="1890" priority="269">
      <formula>M$9&gt;=20/24</formula>
    </cfRule>
    <cfRule type="expression" dxfId="1889" priority="270">
      <formula>AND(M$9&gt;=14/24,M$9&lt;20/24)</formula>
    </cfRule>
    <cfRule type="expression" dxfId="1888" priority="271">
      <formula>AND(M$9&gt;=8/24,M$9&lt;14/24)</formula>
    </cfRule>
    <cfRule type="expression" dxfId="1887" priority="272">
      <formula>M$9&lt;8/24</formula>
    </cfRule>
  </conditionalFormatting>
  <conditionalFormatting sqref="M45:Y48">
    <cfRule type="expression" dxfId="1886" priority="265">
      <formula>M$9&gt;=20/24</formula>
    </cfRule>
    <cfRule type="expression" dxfId="1885" priority="266">
      <formula>AND(M$9&gt;=14/24,M$9&lt;20/24)</formula>
    </cfRule>
    <cfRule type="expression" dxfId="1884" priority="267">
      <formula>AND(M$9&gt;=8/24,M$9&lt;14/24)</formula>
    </cfRule>
    <cfRule type="expression" dxfId="1883" priority="268">
      <formula>M$9&lt;8/24</formula>
    </cfRule>
  </conditionalFormatting>
  <conditionalFormatting sqref="Z37:AF37">
    <cfRule type="expression" dxfId="1882" priority="261">
      <formula>Z$9&gt;=20/24</formula>
    </cfRule>
    <cfRule type="expression" dxfId="1881" priority="262">
      <formula>AND(Z$9&gt;=14/24,Z$9&lt;20/24)</formula>
    </cfRule>
    <cfRule type="expression" dxfId="1880" priority="263">
      <formula>AND(Z$9&gt;=8/24,Z$9&lt;14/24)</formula>
    </cfRule>
    <cfRule type="expression" dxfId="1879" priority="264">
      <formula>Z$9&lt;8/24</formula>
    </cfRule>
  </conditionalFormatting>
  <conditionalFormatting sqref="Z35:AF35">
    <cfRule type="expression" dxfId="1878" priority="257">
      <formula>Z$9&gt;=20/24</formula>
    </cfRule>
    <cfRule type="expression" dxfId="1877" priority="258">
      <formula>AND(Z$9&gt;=14/24,Z$9&lt;20/24)</formula>
    </cfRule>
    <cfRule type="expression" dxfId="1876" priority="259">
      <formula>AND(Z$9&gt;=8/24,Z$9&lt;14/24)</formula>
    </cfRule>
    <cfRule type="expression" dxfId="1875" priority="260">
      <formula>Z$9&lt;8/24</formula>
    </cfRule>
  </conditionalFormatting>
  <conditionalFormatting sqref="S42:T43 T43:Y43 S45:AE48 AF46:AF48">
    <cfRule type="expression" dxfId="1874" priority="253">
      <formula>S$9&gt;=20/24</formula>
    </cfRule>
    <cfRule type="expression" dxfId="1873" priority="254">
      <formula>AND(S$9&gt;=14/24,S$9&lt;20/24)</formula>
    </cfRule>
    <cfRule type="expression" dxfId="1872" priority="255">
      <formula>AND(S$9&gt;=8/24,S$9&lt;14/24)</formula>
    </cfRule>
    <cfRule type="expression" dxfId="1871" priority="256">
      <formula>S$9&lt;8/24</formula>
    </cfRule>
  </conditionalFormatting>
  <conditionalFormatting sqref="S49:AF49">
    <cfRule type="expression" dxfId="1870" priority="249">
      <formula>S$9&gt;=20/24</formula>
    </cfRule>
    <cfRule type="expression" dxfId="1869" priority="250">
      <formula>AND(S$9&gt;=14/24,S$9&lt;20/24)</formula>
    </cfRule>
    <cfRule type="expression" dxfId="1868" priority="251">
      <formula>AND(S$9&gt;=8/24,S$9&lt;14/24)</formula>
    </cfRule>
    <cfRule type="expression" dxfId="1867" priority="252">
      <formula>S$9&lt;8/24</formula>
    </cfRule>
  </conditionalFormatting>
  <conditionalFormatting sqref="S50:AF50">
    <cfRule type="expression" dxfId="1866" priority="245">
      <formula>S$9&gt;=20/24</formula>
    </cfRule>
    <cfRule type="expression" dxfId="1865" priority="246">
      <formula>AND(S$9&gt;=14/24,S$9&lt;20/24)</formula>
    </cfRule>
    <cfRule type="expression" dxfId="1864" priority="247">
      <formula>AND(S$9&gt;=8/24,S$9&lt;14/24)</formula>
    </cfRule>
    <cfRule type="expression" dxfId="1863" priority="248">
      <formula>S$9&lt;8/24</formula>
    </cfRule>
  </conditionalFormatting>
  <conditionalFormatting sqref="S60:T61 X60:AE61">
    <cfRule type="expression" dxfId="1862" priority="241">
      <formula>S$9&gt;=20/24</formula>
    </cfRule>
    <cfRule type="expression" dxfId="1861" priority="242">
      <formula>AND(S$9&gt;=14/24,S$9&lt;20/24)</formula>
    </cfRule>
    <cfRule type="expression" dxfId="1860" priority="243">
      <formula>AND(S$9&gt;=8/24,S$9&lt;14/24)</formula>
    </cfRule>
    <cfRule type="expression" dxfId="1859" priority="244">
      <formula>S$9&lt;8/24</formula>
    </cfRule>
  </conditionalFormatting>
  <conditionalFormatting sqref="C62:L62 L63:L67 M62:AE67">
    <cfRule type="expression" dxfId="1858" priority="237">
      <formula>C$9&gt;=20/24</formula>
    </cfRule>
    <cfRule type="expression" dxfId="1857" priority="238">
      <formula>AND(C$9&gt;=14/24,C$9&lt;20/24)</formula>
    </cfRule>
    <cfRule type="expression" dxfId="1856" priority="239">
      <formula>AND(C$9&gt;=8/24,C$9&lt;14/24)</formula>
    </cfRule>
    <cfRule type="expression" dxfId="1855" priority="240">
      <formula>C$9&lt;8/24</formula>
    </cfRule>
  </conditionalFormatting>
  <conditionalFormatting sqref="U94:AA97">
    <cfRule type="expression" dxfId="1854" priority="233">
      <formula>U$9&gt;=20/24</formula>
    </cfRule>
    <cfRule type="expression" dxfId="1853" priority="234">
      <formula>AND(U$9&gt;=14/24,U$9&lt;20/24)</formula>
    </cfRule>
    <cfRule type="expression" dxfId="1852" priority="235">
      <formula>AND(U$9&gt;=8/24,U$9&lt;14/24)</formula>
    </cfRule>
    <cfRule type="expression" dxfId="1851" priority="236">
      <formula>U$9&lt;8/24</formula>
    </cfRule>
  </conditionalFormatting>
  <conditionalFormatting sqref="AG51 G12 E11:G11 H11:L12 M11:S14 M16:Y32 T12:Y14 E37:AE37 T11:AF11 M34:AE36 AF34:AF37 Z12:AF32 C38:AF56">
    <cfRule type="expression" dxfId="1850" priority="232">
      <formula>C11&gt;$AG11</formula>
    </cfRule>
  </conditionalFormatting>
  <conditionalFormatting sqref="A101:A157 A84:A97 A11:A14 A16:A32 A45:A72 A80:A82 A74:A78 A35:A43 A170:A200">
    <cfRule type="expression" dxfId="1849" priority="231">
      <formula>$AH11=0</formula>
    </cfRule>
  </conditionalFormatting>
  <conditionalFormatting sqref="U98:AA98">
    <cfRule type="expression" dxfId="1848" priority="227">
      <formula>U$9&gt;=20/24</formula>
    </cfRule>
    <cfRule type="expression" dxfId="1847" priority="228">
      <formula>AND(U$9&gt;=14/24,U$9&lt;20/24)</formula>
    </cfRule>
    <cfRule type="expression" dxfId="1846" priority="229">
      <formula>AND(U$9&gt;=8/24,U$9&lt;14/24)</formula>
    </cfRule>
    <cfRule type="expression" dxfId="1845" priority="230">
      <formula>U$9&lt;8/24</formula>
    </cfRule>
  </conditionalFormatting>
  <conditionalFormatting sqref="A98">
    <cfRule type="expression" dxfId="1844" priority="226">
      <formula>$AH98=0</formula>
    </cfRule>
  </conditionalFormatting>
  <conditionalFormatting sqref="AL32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1843" priority="209">
      <formula>Z$9&gt;=20/24</formula>
    </cfRule>
    <cfRule type="expression" dxfId="1842" priority="210">
      <formula>AND(Z$9&gt;=14/24,Z$9&lt;20/24)</formula>
    </cfRule>
    <cfRule type="expression" dxfId="1841" priority="211">
      <formula>AND(Z$9&gt;=8/24,Z$9&lt;14/24)</formula>
    </cfRule>
    <cfRule type="expression" dxfId="1840" priority="212">
      <formula>Z$9&lt;8/24</formula>
    </cfRule>
  </conditionalFormatting>
  <conditionalFormatting sqref="M34:Y34">
    <cfRule type="expression" dxfId="1839" priority="205">
      <formula>M$9&gt;=20/24</formula>
    </cfRule>
    <cfRule type="expression" dxfId="1838" priority="206">
      <formula>AND(M$9&gt;=14/24,M$9&lt;20/24)</formula>
    </cfRule>
    <cfRule type="expression" dxfId="1837" priority="207">
      <formula>AND(M$9&gt;=8/24,M$9&lt;14/24)</formula>
    </cfRule>
    <cfRule type="expression" dxfId="1836" priority="208">
      <formula>M$9&lt;8/24</formula>
    </cfRule>
  </conditionalFormatting>
  <conditionalFormatting sqref="A34">
    <cfRule type="expression" dxfId="1835" priority="200">
      <formula>$AH34=0</formula>
    </cfRule>
  </conditionalFormatting>
  <conditionalFormatting sqref="A83">
    <cfRule type="expression" dxfId="1834" priority="199">
      <formula>$AH83=0</formula>
    </cfRule>
  </conditionalFormatting>
  <conditionalFormatting sqref="Z15:AF15">
    <cfRule type="expression" dxfId="1833" priority="195">
      <formula>Z$9&gt;=20/24</formula>
    </cfRule>
    <cfRule type="expression" dxfId="1832" priority="196">
      <formula>AND(Z$9&gt;=14/24,Z$9&lt;20/24)</formula>
    </cfRule>
    <cfRule type="expression" dxfId="1831" priority="197">
      <formula>AND(Z$9&gt;=8/24,Z$9&lt;14/24)</formula>
    </cfRule>
    <cfRule type="expression" dxfId="1830" priority="198">
      <formula>Z$9&lt;8/24</formula>
    </cfRule>
  </conditionalFormatting>
  <conditionalFormatting sqref="M15:Y15">
    <cfRule type="expression" dxfId="1829" priority="191">
      <formula>M$9&gt;=20/24</formula>
    </cfRule>
    <cfRule type="expression" dxfId="1828" priority="192">
      <formula>AND(M$9&gt;=14/24,M$9&lt;20/24)</formula>
    </cfRule>
    <cfRule type="expression" dxfId="1827" priority="193">
      <formula>AND(M$9&gt;=8/24,M$9&lt;14/24)</formula>
    </cfRule>
    <cfRule type="expression" dxfId="1826" priority="194">
      <formula>M$9&lt;8/24</formula>
    </cfRule>
  </conditionalFormatting>
  <conditionalFormatting sqref="M15:Y15">
    <cfRule type="expression" dxfId="1825" priority="190">
      <formula>M15&gt;$AG15</formula>
    </cfRule>
  </conditionalFormatting>
  <conditionalFormatting sqref="A15">
    <cfRule type="expression" dxfId="1824" priority="189">
      <formula>$AH15=0</formula>
    </cfRule>
  </conditionalFormatting>
  <conditionalFormatting sqref="A164:A169">
    <cfRule type="expression" dxfId="1823" priority="188">
      <formula>$AH164=0</formula>
    </cfRule>
  </conditionalFormatting>
  <conditionalFormatting sqref="A158:A163">
    <cfRule type="expression" dxfId="1822" priority="187">
      <formula>$AH158=0</formula>
    </cfRule>
  </conditionalFormatting>
  <conditionalFormatting sqref="Z44:AE44">
    <cfRule type="expression" dxfId="1821" priority="183">
      <formula>Z$9&gt;=20/24</formula>
    </cfRule>
    <cfRule type="expression" dxfId="1820" priority="184">
      <formula>AND(Z$9&gt;=14/24,Z$9&lt;20/24)</formula>
    </cfRule>
    <cfRule type="expression" dxfId="1819" priority="185">
      <formula>AND(Z$9&gt;=8/24,Z$9&lt;14/24)</formula>
    </cfRule>
    <cfRule type="expression" dxfId="1818" priority="186">
      <formula>Z$9&lt;8/24</formula>
    </cfRule>
  </conditionalFormatting>
  <conditionalFormatting sqref="M44:W44">
    <cfRule type="expression" dxfId="1817" priority="179">
      <formula>M$9&gt;=20/24</formula>
    </cfRule>
    <cfRule type="expression" dxfId="1816" priority="180">
      <formula>AND(M$9&gt;=14/24,M$9&lt;20/24)</formula>
    </cfRule>
    <cfRule type="expression" dxfId="1815" priority="181">
      <formula>AND(M$9&gt;=8/24,M$9&lt;14/24)</formula>
    </cfRule>
    <cfRule type="expression" dxfId="1814" priority="182">
      <formula>M$9&lt;8/24</formula>
    </cfRule>
  </conditionalFormatting>
  <conditionalFormatting sqref="S44:Y44">
    <cfRule type="expression" dxfId="1813" priority="175">
      <formula>S$9&gt;=20/24</formula>
    </cfRule>
    <cfRule type="expression" dxfId="1812" priority="176">
      <formula>AND(S$9&gt;=14/24,S$9&lt;20/24)</formula>
    </cfRule>
    <cfRule type="expression" dxfId="1811" priority="177">
      <formula>AND(S$9&gt;=8/24,S$9&lt;14/24)</formula>
    </cfRule>
    <cfRule type="expression" dxfId="1810" priority="178">
      <formula>S$9&lt;8/24</formula>
    </cfRule>
  </conditionalFormatting>
  <conditionalFormatting sqref="A44">
    <cfRule type="expression" dxfId="1809" priority="174">
      <formula>$AH44=0</formula>
    </cfRule>
  </conditionalFormatting>
  <conditionalFormatting sqref="A79">
    <cfRule type="expression" dxfId="1808" priority="173">
      <formula>$AH79=0</formula>
    </cfRule>
  </conditionalFormatting>
  <conditionalFormatting sqref="A73">
    <cfRule type="expression" dxfId="1807" priority="172">
      <formula>$AH73=0</formula>
    </cfRule>
  </conditionalFormatting>
  <conditionalFormatting sqref="AL34:AL35 AL7:AL31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1806" priority="168">
      <formula>U$9&gt;=20/24</formula>
    </cfRule>
    <cfRule type="expression" dxfId="1805" priority="169">
      <formula>AND(U$9&gt;=14/24,U$9&lt;20/24)</formula>
    </cfRule>
    <cfRule type="expression" dxfId="1804" priority="170">
      <formula>AND(U$9&gt;=8/24,U$9&lt;14/24)</formula>
    </cfRule>
    <cfRule type="expression" dxfId="1803" priority="171">
      <formula>U$9&lt;8/24</formula>
    </cfRule>
  </conditionalFormatting>
  <conditionalFormatting sqref="U85:W91">
    <cfRule type="expression" dxfId="1802" priority="164">
      <formula>U$9&gt;=20/24</formula>
    </cfRule>
    <cfRule type="expression" dxfId="1801" priority="165">
      <formula>AND(U$9&gt;=14/24,U$9&lt;20/24)</formula>
    </cfRule>
    <cfRule type="expression" dxfId="1800" priority="166">
      <formula>AND(U$9&gt;=8/24,U$9&lt;14/24)</formula>
    </cfRule>
    <cfRule type="expression" dxfId="1799" priority="167">
      <formula>U$9&lt;8/24</formula>
    </cfRule>
  </conditionalFormatting>
  <conditionalFormatting sqref="C84:R91 S85:T91">
    <cfRule type="expression" dxfId="1798" priority="160">
      <formula>C$9&gt;=20/24</formula>
    </cfRule>
    <cfRule type="expression" dxfId="1797" priority="161">
      <formula>AND(C$9&gt;=14/24,C$9&lt;20/24)</formula>
    </cfRule>
    <cfRule type="expression" dxfId="1796" priority="162">
      <formula>AND(C$9&gt;=8/24,C$9&lt;14/24)</formula>
    </cfRule>
    <cfRule type="expression" dxfId="1795" priority="163">
      <formula>C$9&lt;8/24</formula>
    </cfRule>
  </conditionalFormatting>
  <conditionalFormatting sqref="S84:T84">
    <cfRule type="expression" dxfId="1794" priority="156">
      <formula>S$9&gt;=20/24</formula>
    </cfRule>
    <cfRule type="expression" dxfId="1793" priority="157">
      <formula>AND(S$9&gt;=14/24,S$9&lt;20/24)</formula>
    </cfRule>
    <cfRule type="expression" dxfId="1792" priority="158">
      <formula>AND(S$9&gt;=8/24,S$9&lt;14/24)</formula>
    </cfRule>
    <cfRule type="expression" dxfId="1791" priority="159">
      <formula>S$9&lt;8/24</formula>
    </cfRule>
  </conditionalFormatting>
  <conditionalFormatting sqref="C95:M97 C94:F94">
    <cfRule type="expression" dxfId="1790" priority="152">
      <formula>C$9&gt;=20/24</formula>
    </cfRule>
    <cfRule type="expression" dxfId="1789" priority="153">
      <formula>AND(C$9&gt;=14/24,C$9&lt;20/24)</formula>
    </cfRule>
    <cfRule type="expression" dxfId="1788" priority="154">
      <formula>AND(C$9&gt;=8/24,C$9&lt;14/24)</formula>
    </cfRule>
    <cfRule type="expression" dxfId="1787" priority="155">
      <formula>C$9&lt;8/24</formula>
    </cfRule>
  </conditionalFormatting>
  <conditionalFormatting sqref="N95:R97 O94:R94">
    <cfRule type="expression" dxfId="1786" priority="148">
      <formula>N$9&gt;=20/24</formula>
    </cfRule>
    <cfRule type="expression" dxfId="1785" priority="149">
      <formula>AND(N$9&gt;=14/24,N$9&lt;20/24)</formula>
    </cfRule>
    <cfRule type="expression" dxfId="1784" priority="150">
      <formula>AND(N$9&gt;=8/24,N$9&lt;14/24)</formula>
    </cfRule>
    <cfRule type="expression" dxfId="1783" priority="151">
      <formula>N$9&lt;8/24</formula>
    </cfRule>
  </conditionalFormatting>
  <conditionalFormatting sqref="S94:T97">
    <cfRule type="expression" dxfId="1782" priority="144">
      <formula>S$9&gt;=20/24</formula>
    </cfRule>
    <cfRule type="expression" dxfId="1781" priority="145">
      <formula>AND(S$9&gt;=14/24,S$9&lt;20/24)</formula>
    </cfRule>
    <cfRule type="expression" dxfId="1780" priority="146">
      <formula>AND(S$9&gt;=8/24,S$9&lt;14/24)</formula>
    </cfRule>
    <cfRule type="expression" dxfId="1779" priority="147">
      <formula>S$9&lt;8/24</formula>
    </cfRule>
  </conditionalFormatting>
  <conditionalFormatting sqref="C98:M98">
    <cfRule type="expression" dxfId="1778" priority="140">
      <formula>C$9&gt;=20/24</formula>
    </cfRule>
    <cfRule type="expression" dxfId="1777" priority="141">
      <formula>AND(C$9&gt;=14/24,C$9&lt;20/24)</formula>
    </cfRule>
    <cfRule type="expression" dxfId="1776" priority="142">
      <formula>AND(C$9&gt;=8/24,C$9&lt;14/24)</formula>
    </cfRule>
    <cfRule type="expression" dxfId="1775" priority="143">
      <formula>C$9&lt;8/24</formula>
    </cfRule>
  </conditionalFormatting>
  <conditionalFormatting sqref="N98:R98">
    <cfRule type="expression" dxfId="1774" priority="136">
      <formula>N$9&gt;=20/24</formula>
    </cfRule>
    <cfRule type="expression" dxfId="1773" priority="137">
      <formula>AND(N$9&gt;=14/24,N$9&lt;20/24)</formula>
    </cfRule>
    <cfRule type="expression" dxfId="1772" priority="138">
      <formula>AND(N$9&gt;=8/24,N$9&lt;14/24)</formula>
    </cfRule>
    <cfRule type="expression" dxfId="1771" priority="139">
      <formula>N$9&lt;8/24</formula>
    </cfRule>
  </conditionalFormatting>
  <conditionalFormatting sqref="S98:T98">
    <cfRule type="expression" dxfId="1770" priority="132">
      <formula>S$9&gt;=20/24</formula>
    </cfRule>
    <cfRule type="expression" dxfId="1769" priority="133">
      <formula>AND(S$9&gt;=14/24,S$9&lt;20/24)</formula>
    </cfRule>
    <cfRule type="expression" dxfId="1768" priority="134">
      <formula>AND(S$9&gt;=8/24,S$9&lt;14/24)</formula>
    </cfRule>
    <cfRule type="expression" dxfId="1767" priority="135">
      <formula>S$9&lt;8/24</formula>
    </cfRule>
  </conditionalFormatting>
  <conditionalFormatting sqref="M94:N94">
    <cfRule type="expression" dxfId="1766" priority="128">
      <formula>M$9&gt;=20/24</formula>
    </cfRule>
    <cfRule type="expression" dxfId="1765" priority="129">
      <formula>AND(M$9&gt;=14/24,M$9&lt;20/24)</formula>
    </cfRule>
    <cfRule type="expression" dxfId="1764" priority="130">
      <formula>AND(M$9&gt;=8/24,M$9&lt;14/24)</formula>
    </cfRule>
    <cfRule type="expression" dxfId="1763" priority="131">
      <formula>M$9&lt;8/24</formula>
    </cfRule>
  </conditionalFormatting>
  <conditionalFormatting sqref="G94:L94">
    <cfRule type="expression" dxfId="1762" priority="124">
      <formula>G$9&gt;=20/24</formula>
    </cfRule>
    <cfRule type="expression" dxfId="1761" priority="125">
      <formula>AND(G$9&gt;=14/24,G$9&lt;20/24)</formula>
    </cfRule>
    <cfRule type="expression" dxfId="1760" priority="126">
      <formula>AND(G$9&gt;=8/24,G$9&lt;14/24)</formula>
    </cfRule>
    <cfRule type="expression" dxfId="1759" priority="127">
      <formula>G$9&lt;8/24</formula>
    </cfRule>
  </conditionalFormatting>
  <conditionalFormatting sqref="U94:W94">
    <cfRule type="expression" dxfId="1758" priority="120">
      <formula>U$9&gt;=20/24</formula>
    </cfRule>
    <cfRule type="expression" dxfId="1757" priority="121">
      <formula>AND(U$9&gt;=14/24,U$9&lt;20/24)</formula>
    </cfRule>
    <cfRule type="expression" dxfId="1756" priority="122">
      <formula>AND(U$9&gt;=8/24,U$9&lt;14/24)</formula>
    </cfRule>
    <cfRule type="expression" dxfId="1755" priority="123">
      <formula>U$9&lt;8/24</formula>
    </cfRule>
  </conditionalFormatting>
  <conditionalFormatting sqref="N94:T94">
    <cfRule type="expression" dxfId="1754" priority="116">
      <formula>N$9&gt;=20/24</formula>
    </cfRule>
    <cfRule type="expression" dxfId="1753" priority="117">
      <formula>AND(N$9&gt;=14/24,N$9&lt;20/24)</formula>
    </cfRule>
    <cfRule type="expression" dxfId="1752" priority="118">
      <formula>AND(N$9&gt;=8/24,N$9&lt;14/24)</formula>
    </cfRule>
    <cfRule type="expression" dxfId="1751" priority="119">
      <formula>N$9&lt;8/24</formula>
    </cfRule>
  </conditionalFormatting>
  <conditionalFormatting sqref="U99:AA100">
    <cfRule type="expression" dxfId="1750" priority="112">
      <formula>U$9&gt;=20/24</formula>
    </cfRule>
    <cfRule type="expression" dxfId="1749" priority="113">
      <formula>AND(U$9&gt;=14/24,U$9&lt;20/24)</formula>
    </cfRule>
    <cfRule type="expression" dxfId="1748" priority="114">
      <formula>AND(U$9&gt;=8/24,U$9&lt;14/24)</formula>
    </cfRule>
    <cfRule type="expression" dxfId="1747" priority="115">
      <formula>U$9&lt;8/24</formula>
    </cfRule>
  </conditionalFormatting>
  <conditionalFormatting sqref="C99:M100">
    <cfRule type="expression" dxfId="1746" priority="108">
      <formula>C$9&gt;=20/24</formula>
    </cfRule>
    <cfRule type="expression" dxfId="1745" priority="109">
      <formula>AND(C$9&gt;=14/24,C$9&lt;20/24)</formula>
    </cfRule>
    <cfRule type="expression" dxfId="1744" priority="110">
      <formula>AND(C$9&gt;=8/24,C$9&lt;14/24)</formula>
    </cfRule>
    <cfRule type="expression" dxfId="1743" priority="111">
      <formula>C$9&lt;8/24</formula>
    </cfRule>
  </conditionalFormatting>
  <conditionalFormatting sqref="N99:R100">
    <cfRule type="expression" dxfId="1742" priority="104">
      <formula>N$9&gt;=20/24</formula>
    </cfRule>
    <cfRule type="expression" dxfId="1741" priority="105">
      <formula>AND(N$9&gt;=14/24,N$9&lt;20/24)</formula>
    </cfRule>
    <cfRule type="expression" dxfId="1740" priority="106">
      <formula>AND(N$9&gt;=8/24,N$9&lt;14/24)</formula>
    </cfRule>
    <cfRule type="expression" dxfId="1739" priority="107">
      <formula>N$9&lt;8/24</formula>
    </cfRule>
  </conditionalFormatting>
  <conditionalFormatting sqref="S99:T100">
    <cfRule type="expression" dxfId="1738" priority="100">
      <formula>S$9&gt;=20/24</formula>
    </cfRule>
    <cfRule type="expression" dxfId="1737" priority="101">
      <formula>AND(S$9&gt;=14/24,S$9&lt;20/24)</formula>
    </cfRule>
    <cfRule type="expression" dxfId="1736" priority="102">
      <formula>AND(S$9&gt;=8/24,S$9&lt;14/24)</formula>
    </cfRule>
    <cfRule type="expression" dxfId="1735" priority="103">
      <formula>S$9&lt;8/24</formula>
    </cfRule>
  </conditionalFormatting>
  <conditionalFormatting sqref="AC58:AE59">
    <cfRule type="expression" dxfId="1734" priority="84">
      <formula>AC$9&gt;=20/24</formula>
    </cfRule>
    <cfRule type="expression" dxfId="1733" priority="85">
      <formula>AND(AC$9&gt;=14/24,AC$9&lt;20/24)</formula>
    </cfRule>
    <cfRule type="expression" dxfId="1732" priority="86">
      <formula>AND(AC$9&gt;=8/24,AC$9&lt;14/24)</formula>
    </cfRule>
    <cfRule type="expression" dxfId="1731" priority="87">
      <formula>AC$9&lt;8/24</formula>
    </cfRule>
  </conditionalFormatting>
  <conditionalFormatting sqref="AL3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730" priority="317">
      <formula>C$9&gt;=20/24</formula>
    </cfRule>
    <cfRule type="expression" dxfId="1729" priority="318">
      <formula>AND(C$9&gt;=14/24,C$9&lt;20/24)</formula>
    </cfRule>
    <cfRule type="expression" dxfId="1728" priority="319">
      <formula>AND(C$9&gt;=8/24,C$9&lt;14/24)</formula>
    </cfRule>
    <cfRule type="expression" dxfId="1727" priority="320">
      <formula>C$9&lt;8/24</formula>
    </cfRule>
  </conditionalFormatting>
  <conditionalFormatting sqref="A201">
    <cfRule type="expression" dxfId="1726" priority="321">
      <formula>$AH201=0</formula>
    </cfRule>
  </conditionalFormatting>
  <conditionalFormatting sqref="AG213">
    <cfRule type="expression" dxfId="1725" priority="322">
      <formula>B$9&gt;=20/24</formula>
    </cfRule>
    <cfRule type="expression" dxfId="1724" priority="323">
      <formula>AND(B$9&gt;=14/24,B$9&lt;20/24)</formula>
    </cfRule>
    <cfRule type="expression" dxfId="1723" priority="324">
      <formula>AND(B$9&gt;=8/24,B$9&lt;14/24)</formula>
    </cfRule>
    <cfRule type="expression" dxfId="1722" priority="325">
      <formula>B$9&lt;8/24</formula>
    </cfRule>
  </conditionalFormatting>
  <conditionalFormatting sqref="S8">
    <cfRule type="expression" dxfId="1721" priority="78">
      <formula>U$9&gt;=20/24</formula>
    </cfRule>
    <cfRule type="expression" dxfId="1720" priority="79">
      <formula>AND(U$9&gt;=14/24,U$9&lt;20/24)</formula>
    </cfRule>
    <cfRule type="expression" dxfId="1719" priority="80">
      <formula>AND(U$9&gt;=8/24,U$9&lt;14/24)</formula>
    </cfRule>
    <cfRule type="expression" dxfId="1718" priority="81">
      <formula>U$9&lt;8/24</formula>
    </cfRule>
  </conditionalFormatting>
  <conditionalFormatting sqref="AB8">
    <cfRule type="expression" dxfId="1717" priority="74">
      <formula>AD$9&gt;=20/24</formula>
    </cfRule>
    <cfRule type="expression" dxfId="1716" priority="75">
      <formula>AND(AD$9&gt;=14/24,AD$9&lt;20/24)</formula>
    </cfRule>
    <cfRule type="expression" dxfId="1715" priority="76">
      <formula>AND(AD$9&gt;=8/24,AD$9&lt;14/24)</formula>
    </cfRule>
    <cfRule type="expression" dxfId="1714" priority="77">
      <formula>AD$9&lt;8/24</formula>
    </cfRule>
  </conditionalFormatting>
  <conditionalFormatting sqref="AH213:AX213">
    <cfRule type="expression" dxfId="1713" priority="326">
      <formula>AG$9&gt;=20/24</formula>
    </cfRule>
    <cfRule type="expression" dxfId="1712" priority="327">
      <formula>AND(AG$9&gt;=14/24,AG$9&lt;20/24)</formula>
    </cfRule>
    <cfRule type="expression" dxfId="1711" priority="328">
      <formula>AND(AG$9&gt;=8/24,AG$9&lt;14/24)</formula>
    </cfRule>
    <cfRule type="expression" dxfId="1710" priority="329">
      <formula>AG$9&lt;8/24</formula>
    </cfRule>
  </conditionalFormatting>
  <conditionalFormatting sqref="T213">
    <cfRule type="expression" dxfId="1709" priority="330">
      <formula>AX$9&gt;=20/24</formula>
    </cfRule>
    <cfRule type="expression" dxfId="1708" priority="331">
      <formula>AND(AX$9&gt;=14/24,AX$9&lt;20/24)</formula>
    </cfRule>
    <cfRule type="expression" dxfId="1707" priority="332">
      <formula>AND(AX$9&gt;=8/24,AX$9&lt;14/24)</formula>
    </cfRule>
    <cfRule type="expression" dxfId="1706" priority="333">
      <formula>AX$9&lt;8/24</formula>
    </cfRule>
  </conditionalFormatting>
  <conditionalFormatting sqref="A99:A100">
    <cfRule type="expression" dxfId="1705" priority="73">
      <formula>$AH99=0</formula>
    </cfRule>
  </conditionalFormatting>
  <conditionalFormatting sqref="M33:Y33">
    <cfRule type="expression" dxfId="1704" priority="69">
      <formula>M$9&gt;=20/24</formula>
    </cfRule>
    <cfRule type="expression" dxfId="1703" priority="70">
      <formula>AND(M$9&gt;=14/24,M$9&lt;20/24)</formula>
    </cfRule>
    <cfRule type="expression" dxfId="1702" priority="71">
      <formula>AND(M$9&gt;=8/24,M$9&lt;14/24)</formula>
    </cfRule>
    <cfRule type="expression" dxfId="1701" priority="72">
      <formula>M$9&lt;8/24</formula>
    </cfRule>
  </conditionalFormatting>
  <conditionalFormatting sqref="Z33:AF33">
    <cfRule type="expression" dxfId="1700" priority="65">
      <formula>Z$9&gt;=20/24</formula>
    </cfRule>
    <cfRule type="expression" dxfId="1699" priority="66">
      <formula>AND(Z$9&gt;=14/24,Z$9&lt;20/24)</formula>
    </cfRule>
    <cfRule type="expression" dxfId="1698" priority="67">
      <formula>AND(Z$9&gt;=8/24,Z$9&lt;14/24)</formula>
    </cfRule>
    <cfRule type="expression" dxfId="1697" priority="68">
      <formula>Z$9&lt;8/24</formula>
    </cfRule>
  </conditionalFormatting>
  <conditionalFormatting sqref="M33:AF33">
    <cfRule type="expression" dxfId="1696" priority="60">
      <formula>M33&gt;$AG33</formula>
    </cfRule>
  </conditionalFormatting>
  <conditionalFormatting sqref="B53:B91 B40:B43">
    <cfRule type="expression" dxfId="1695" priority="56">
      <formula>B$9&gt;=20/24</formula>
    </cfRule>
    <cfRule type="expression" dxfId="1694" priority="57">
      <formula>AND(B$9&gt;=14/24,B$9&lt;20/24)</formula>
    </cfRule>
    <cfRule type="expression" dxfId="1693" priority="58">
      <formula>AND(B$9&gt;=8/24,B$9&lt;14/24)</formula>
    </cfRule>
    <cfRule type="expression" dxfId="1692" priority="59">
      <formula>B$9&lt;8/24</formula>
    </cfRule>
  </conditionalFormatting>
  <conditionalFormatting sqref="B39">
    <cfRule type="expression" dxfId="1691" priority="52">
      <formula>B$9&gt;=20/24</formula>
    </cfRule>
    <cfRule type="expression" dxfId="1690" priority="53">
      <formula>AND(B$9&gt;=14/24,B$9&lt;20/24)</formula>
    </cfRule>
    <cfRule type="expression" dxfId="1689" priority="54">
      <formula>AND(B$9&gt;=8/24,B$9&lt;14/24)</formula>
    </cfRule>
    <cfRule type="expression" dxfId="1688" priority="55">
      <formula>B$9&lt;8/24</formula>
    </cfRule>
  </conditionalFormatting>
  <conditionalFormatting sqref="B45:B48">
    <cfRule type="expression" dxfId="1687" priority="48">
      <formula>B$9&gt;=20/24</formula>
    </cfRule>
    <cfRule type="expression" dxfId="1686" priority="49">
      <formula>AND(B$9&gt;=14/24,B$9&lt;20/24)</formula>
    </cfRule>
    <cfRule type="expression" dxfId="1685" priority="50">
      <formula>AND(B$9&gt;=8/24,B$9&lt;14/24)</formula>
    </cfRule>
    <cfRule type="expression" dxfId="1684" priority="51">
      <formula>B$9&lt;8/24</formula>
    </cfRule>
  </conditionalFormatting>
  <conditionalFormatting sqref="B49">
    <cfRule type="expression" dxfId="1683" priority="44">
      <formula>B$9&gt;=20/24</formula>
    </cfRule>
    <cfRule type="expression" dxfId="1682" priority="45">
      <formula>AND(B$9&gt;=14/24,B$9&lt;20/24)</formula>
    </cfRule>
    <cfRule type="expression" dxfId="1681" priority="46">
      <formula>AND(B$9&gt;=8/24,B$9&lt;14/24)</formula>
    </cfRule>
    <cfRule type="expression" dxfId="1680" priority="47">
      <formula>B$9&lt;8/24</formula>
    </cfRule>
  </conditionalFormatting>
  <conditionalFormatting sqref="B50">
    <cfRule type="expression" dxfId="1679" priority="40">
      <formula>B$9&gt;=20/24</formula>
    </cfRule>
    <cfRule type="expression" dxfId="1678" priority="41">
      <formula>AND(B$9&gt;=14/24,B$9&lt;20/24)</formula>
    </cfRule>
    <cfRule type="expression" dxfId="1677" priority="42">
      <formula>AND(B$9&gt;=8/24,B$9&lt;14/24)</formula>
    </cfRule>
    <cfRule type="expression" dxfId="1676" priority="43">
      <formula>B$9&lt;8/24</formula>
    </cfRule>
  </conditionalFormatting>
  <conditionalFormatting sqref="B38:B56">
    <cfRule type="expression" dxfId="1675" priority="39">
      <formula>B38&gt;$AG38</formula>
    </cfRule>
  </conditionalFormatting>
  <conditionalFormatting sqref="B44">
    <cfRule type="expression" dxfId="1674" priority="35">
      <formula>B$9&gt;=20/24</formula>
    </cfRule>
    <cfRule type="expression" dxfId="1673" priority="36">
      <formula>AND(B$9&gt;=14/24,B$9&lt;20/24)</formula>
    </cfRule>
    <cfRule type="expression" dxfId="1672" priority="37">
      <formula>AND(B$9&gt;=8/24,B$9&lt;14/24)</formula>
    </cfRule>
    <cfRule type="expression" dxfId="1671" priority="38">
      <formula>B$9&lt;8/24</formula>
    </cfRule>
  </conditionalFormatting>
  <conditionalFormatting sqref="B11:D14 E12:F14 B28:L31 B16:L26 G13:L14 B36:L36">
    <cfRule type="expression" dxfId="1670" priority="31">
      <formula>B$9&gt;=20/24</formula>
    </cfRule>
    <cfRule type="expression" dxfId="1669" priority="32">
      <formula>AND(B$9&gt;=14/24,B$9&lt;20/24)</formula>
    </cfRule>
    <cfRule type="expression" dxfId="1668" priority="33">
      <formula>AND(B$9&gt;=8/24,B$9&lt;14/24)</formula>
    </cfRule>
    <cfRule type="expression" dxfId="1667" priority="34">
      <formula>B$9&lt;8/24</formula>
    </cfRule>
  </conditionalFormatting>
  <conditionalFormatting sqref="B32:L32">
    <cfRule type="expression" dxfId="1666" priority="27">
      <formula>B$9&gt;=20/24</formula>
    </cfRule>
    <cfRule type="expression" dxfId="1665" priority="28">
      <formula>AND(B$9&gt;=14/24,B$9&lt;20/24)</formula>
    </cfRule>
    <cfRule type="expression" dxfId="1664" priority="29">
      <formula>AND(B$9&gt;=8/24,B$9&lt;14/24)</formula>
    </cfRule>
    <cfRule type="expression" dxfId="1663" priority="30">
      <formula>B$9&lt;8/24</formula>
    </cfRule>
  </conditionalFormatting>
  <conditionalFormatting sqref="B37:D37">
    <cfRule type="expression" dxfId="1662" priority="23">
      <formula>B$9&gt;=20/24</formula>
    </cfRule>
    <cfRule type="expression" dxfId="1661" priority="24">
      <formula>AND(B$9&gt;=14/24,B$9&lt;20/24)</formula>
    </cfRule>
    <cfRule type="expression" dxfId="1660" priority="25">
      <formula>AND(B$9&gt;=8/24,B$9&lt;14/24)</formula>
    </cfRule>
    <cfRule type="expression" dxfId="1659" priority="26">
      <formula>B$9&lt;8/24</formula>
    </cfRule>
  </conditionalFormatting>
  <conditionalFormatting sqref="B35:L35">
    <cfRule type="expression" dxfId="1658" priority="19">
      <formula>B$9&gt;=20/24</formula>
    </cfRule>
    <cfRule type="expression" dxfId="1657" priority="20">
      <formula>AND(B$9&gt;=14/24,B$9&lt;20/24)</formula>
    </cfRule>
    <cfRule type="expression" dxfId="1656" priority="21">
      <formula>AND(B$9&gt;=8/24,B$9&lt;14/24)</formula>
    </cfRule>
    <cfRule type="expression" dxfId="1655" priority="22">
      <formula>B$9&lt;8/24</formula>
    </cfRule>
  </conditionalFormatting>
  <conditionalFormatting sqref="B11:D32 B34:D37 E12:F32 G13:L32 E34:L36">
    <cfRule type="expression" dxfId="1654" priority="18">
      <formula>B11&gt;$AG11</formula>
    </cfRule>
  </conditionalFormatting>
  <conditionalFormatting sqref="B34:L34">
    <cfRule type="expression" dxfId="1653" priority="14">
      <formula>B$9&gt;=20/24</formula>
    </cfRule>
    <cfRule type="expression" dxfId="1652" priority="15">
      <formula>AND(B$9&gt;=14/24,B$9&lt;20/24)</formula>
    </cfRule>
    <cfRule type="expression" dxfId="1651" priority="16">
      <formula>AND(B$9&gt;=8/24,B$9&lt;14/24)</formula>
    </cfRule>
    <cfRule type="expression" dxfId="1650" priority="17">
      <formula>B$9&lt;8/24</formula>
    </cfRule>
  </conditionalFormatting>
  <conditionalFormatting sqref="B15:L15">
    <cfRule type="expression" dxfId="1649" priority="10">
      <formula>B$9&gt;=20/24</formula>
    </cfRule>
    <cfRule type="expression" dxfId="1648" priority="11">
      <formula>AND(B$9&gt;=14/24,B$9&lt;20/24)</formula>
    </cfRule>
    <cfRule type="expression" dxfId="1647" priority="12">
      <formula>AND(B$9&gt;=8/24,B$9&lt;14/24)</formula>
    </cfRule>
    <cfRule type="expression" dxfId="1646" priority="13">
      <formula>B$9&lt;8/24</formula>
    </cfRule>
  </conditionalFormatting>
  <conditionalFormatting sqref="B33:L33">
    <cfRule type="expression" dxfId="1645" priority="6">
      <formula>B$9&gt;=20/24</formula>
    </cfRule>
    <cfRule type="expression" dxfId="1644" priority="7">
      <formula>AND(B$9&gt;=14/24,B$9&lt;20/24)</formula>
    </cfRule>
    <cfRule type="expression" dxfId="1643" priority="8">
      <formula>AND(B$9&gt;=8/24,B$9&lt;14/24)</formula>
    </cfRule>
    <cfRule type="expression" dxfId="1642" priority="9">
      <formula>B$9&lt;8/24</formula>
    </cfRule>
  </conditionalFormatting>
  <conditionalFormatting sqref="B33:L33">
    <cfRule type="expression" dxfId="1641" priority="5">
      <formula>B33&gt;$AG33</formula>
    </cfRule>
  </conditionalFormatting>
  <conditionalFormatting sqref="B94:B100">
    <cfRule type="expression" dxfId="1640" priority="1">
      <formula>B$9&gt;=20/24</formula>
    </cfRule>
    <cfRule type="expression" dxfId="1639" priority="2">
      <formula>AND(B$9&gt;=14/24,B$9&lt;20/24)</formula>
    </cfRule>
    <cfRule type="expression" dxfId="1638" priority="3">
      <formula>AND(B$9&gt;=8/24,B$9&lt;14/24)</formula>
    </cfRule>
    <cfRule type="expression" dxfId="1637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" id="{5A9103B4-CEEF-4C31-B9D1-E368C196753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CJ472"/>
  <sheetViews>
    <sheetView zoomScaleNormal="10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99" sqref="A99:XFD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8" width="6.42578125" bestFit="1" customWidth="1"/>
    <col min="9" max="9" width="8.28515625" bestFit="1" customWidth="1"/>
    <col min="10" max="10" width="6.28515625" bestFit="1" customWidth="1"/>
    <col min="11" max="11" width="7.140625" customWidth="1"/>
    <col min="12" max="12" width="6.42578125" bestFit="1" customWidth="1"/>
    <col min="13" max="13" width="6.7109375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2078/12/26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155.22999999999999</v>
      </c>
      <c r="C5" s="157">
        <f t="shared" si="0"/>
        <v>163.96</v>
      </c>
      <c r="D5" s="157">
        <f t="shared" si="0"/>
        <v>280.58000000000004</v>
      </c>
      <c r="E5" s="157">
        <f t="shared" si="0"/>
        <v>307.3</v>
      </c>
      <c r="F5" s="157">
        <f t="shared" si="0"/>
        <v>289</v>
      </c>
      <c r="G5" s="157">
        <f t="shared" si="0"/>
        <v>219.4</v>
      </c>
      <c r="H5" s="157">
        <f t="shared" si="0"/>
        <v>237.23</v>
      </c>
      <c r="I5" s="157">
        <f t="shared" si="0"/>
        <v>474.98</v>
      </c>
      <c r="J5" s="157">
        <f t="shared" si="0"/>
        <v>510.44</v>
      </c>
      <c r="K5" s="157">
        <f t="shared" si="0"/>
        <v>514.32999999999993</v>
      </c>
      <c r="L5" s="157">
        <f t="shared" si="0"/>
        <v>498.2</v>
      </c>
      <c r="M5" s="157">
        <f t="shared" si="0"/>
        <v>522.79999999999995</v>
      </c>
      <c r="N5" s="157">
        <f t="shared" si="0"/>
        <v>521.20000000000005</v>
      </c>
      <c r="O5" s="157">
        <f t="shared" si="0"/>
        <v>581</v>
      </c>
      <c r="P5" s="157">
        <f t="shared" si="0"/>
        <v>563.79999999999995</v>
      </c>
      <c r="Q5" s="157">
        <f t="shared" si="0"/>
        <v>585.29999999999995</v>
      </c>
      <c r="R5" s="157">
        <f t="shared" si="0"/>
        <v>384.29999999999995</v>
      </c>
      <c r="S5" s="157">
        <f t="shared" si="0"/>
        <v>320.10000000000002</v>
      </c>
      <c r="T5" s="157">
        <f t="shared" si="0"/>
        <v>334.1</v>
      </c>
      <c r="U5" s="157">
        <f t="shared" si="0"/>
        <v>270.60000000000002</v>
      </c>
      <c r="V5" s="157">
        <f t="shared" si="0"/>
        <v>270.70000000000005</v>
      </c>
      <c r="W5" s="157">
        <f t="shared" si="0"/>
        <v>285.10000000000002</v>
      </c>
      <c r="X5" s="157">
        <f t="shared" si="0"/>
        <v>231.32999999999998</v>
      </c>
      <c r="Y5" s="157">
        <f t="shared" si="0"/>
        <v>172.96</v>
      </c>
      <c r="Z5" s="157">
        <f t="shared" si="0"/>
        <v>168.5</v>
      </c>
      <c r="AA5" s="157">
        <f t="shared" si="0"/>
        <v>179</v>
      </c>
      <c r="AB5" s="157">
        <f t="shared" si="0"/>
        <v>192</v>
      </c>
      <c r="AC5" s="157">
        <f t="shared" si="0"/>
        <v>209</v>
      </c>
      <c r="AD5" s="157">
        <f t="shared" si="0"/>
        <v>194.5</v>
      </c>
      <c r="AE5" s="157">
        <f t="shared" si="0"/>
        <v>194</v>
      </c>
      <c r="AF5" s="157">
        <f>B68</f>
        <v>159.36000000000001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1322MW at 6:30hr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Load=1211</v>
      </c>
      <c r="B7" s="146">
        <f>B75</f>
        <v>1293.5</v>
      </c>
      <c r="C7" s="146">
        <f t="shared" ref="C7:AF7" si="1">C75</f>
        <v>1264.3699999999999</v>
      </c>
      <c r="D7" s="146">
        <f t="shared" si="1"/>
        <v>1254.5999999999999</v>
      </c>
      <c r="E7" s="146">
        <f t="shared" si="1"/>
        <v>1267.42</v>
      </c>
      <c r="F7" s="146">
        <f t="shared" si="1"/>
        <v>1235.8400000000001</v>
      </c>
      <c r="G7" s="146">
        <f t="shared" si="1"/>
        <v>1250.74</v>
      </c>
      <c r="H7" s="146">
        <f t="shared" si="1"/>
        <v>1271.8399999999999</v>
      </c>
      <c r="I7" s="146">
        <f t="shared" si="1"/>
        <v>1268.57</v>
      </c>
      <c r="J7" s="146">
        <f t="shared" si="1"/>
        <v>1321.52</v>
      </c>
      <c r="K7" s="146">
        <f t="shared" si="1"/>
        <v>1315.58</v>
      </c>
      <c r="L7" s="146">
        <f t="shared" si="1"/>
        <v>1312.17</v>
      </c>
      <c r="M7" s="146">
        <f t="shared" si="1"/>
        <v>1280.8400000000001</v>
      </c>
      <c r="N7" s="146">
        <f t="shared" si="1"/>
        <v>1258.8400000000001</v>
      </c>
      <c r="O7" s="146">
        <f t="shared" si="1"/>
        <v>1238.8400000000001</v>
      </c>
      <c r="P7" s="146">
        <f t="shared" si="1"/>
        <v>1258.74</v>
      </c>
      <c r="Q7" s="146">
        <f t="shared" si="1"/>
        <v>1242.54</v>
      </c>
      <c r="R7" s="146">
        <f t="shared" si="1"/>
        <v>1254.54</v>
      </c>
      <c r="S7" s="146">
        <f t="shared" si="1"/>
        <v>1230.7399999999998</v>
      </c>
      <c r="T7" s="146">
        <f t="shared" si="1"/>
        <v>1211.24</v>
      </c>
      <c r="U7" s="146">
        <f t="shared" si="1"/>
        <v>1232.94</v>
      </c>
      <c r="V7" s="146">
        <f t="shared" si="1"/>
        <v>1240.3400000000001</v>
      </c>
      <c r="W7" s="146">
        <f t="shared" si="1"/>
        <v>1239.94</v>
      </c>
      <c r="X7" s="146">
        <f t="shared" si="1"/>
        <v>1247.1399999999999</v>
      </c>
      <c r="Y7" s="146">
        <f t="shared" si="1"/>
        <v>1333.9699999999998</v>
      </c>
      <c r="Z7" s="146">
        <f t="shared" si="1"/>
        <v>1358.5</v>
      </c>
      <c r="AA7" s="146">
        <f t="shared" si="1"/>
        <v>1414.04</v>
      </c>
      <c r="AB7" s="146">
        <f t="shared" si="1"/>
        <v>1379.0400000000002</v>
      </c>
      <c r="AC7" s="146">
        <f t="shared" si="1"/>
        <v>1368.94</v>
      </c>
      <c r="AD7" s="146">
        <f t="shared" si="1"/>
        <v>1353.3400000000001</v>
      </c>
      <c r="AE7" s="146">
        <f t="shared" si="1"/>
        <v>1253.1400000000001</v>
      </c>
      <c r="AF7" s="146">
        <f t="shared" si="1"/>
        <v>1210.94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290</v>
      </c>
      <c r="C11" s="103">
        <v>280</v>
      </c>
      <c r="D11" s="103">
        <v>260</v>
      </c>
      <c r="E11" s="127">
        <v>210</v>
      </c>
      <c r="F11" s="127">
        <v>170</v>
      </c>
      <c r="G11" s="127">
        <v>200</v>
      </c>
      <c r="H11" s="127">
        <v>250</v>
      </c>
      <c r="I11" s="127">
        <v>230</v>
      </c>
      <c r="J11" s="127">
        <v>100</v>
      </c>
      <c r="K11" s="127">
        <v>60</v>
      </c>
      <c r="L11" s="127">
        <v>40</v>
      </c>
      <c r="M11" s="103">
        <v>35</v>
      </c>
      <c r="N11" s="103">
        <v>15</v>
      </c>
      <c r="O11" s="103">
        <v>50</v>
      </c>
      <c r="P11" s="103">
        <v>15</v>
      </c>
      <c r="Q11" s="103">
        <v>15</v>
      </c>
      <c r="R11" s="103">
        <v>15</v>
      </c>
      <c r="S11" s="103">
        <v>200</v>
      </c>
      <c r="T11" s="103">
        <v>200</v>
      </c>
      <c r="U11" s="103">
        <v>150</v>
      </c>
      <c r="V11" s="103">
        <v>200</v>
      </c>
      <c r="W11" s="103">
        <v>180</v>
      </c>
      <c r="X11" s="103">
        <v>150</v>
      </c>
      <c r="Y11" s="103">
        <v>240</v>
      </c>
      <c r="Z11" s="179">
        <v>330</v>
      </c>
      <c r="AA11" s="179">
        <v>350</v>
      </c>
      <c r="AB11" s="103">
        <v>360</v>
      </c>
      <c r="AC11" s="103">
        <v>330</v>
      </c>
      <c r="AD11" s="103">
        <v>300</v>
      </c>
      <c r="AE11" s="103">
        <v>260</v>
      </c>
      <c r="AF11" s="127">
        <v>240</v>
      </c>
      <c r="AG11" s="54">
        <v>456</v>
      </c>
      <c r="AH11" s="21">
        <f>MAX(B11:AF11)</f>
        <v>360</v>
      </c>
      <c r="AI11" s="20">
        <f>MIN(B11:AF11)</f>
        <v>15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27</v>
      </c>
      <c r="C12" s="103">
        <v>27</v>
      </c>
      <c r="D12" s="103">
        <v>27</v>
      </c>
      <c r="E12" s="103">
        <v>27</v>
      </c>
      <c r="F12" s="103">
        <v>27</v>
      </c>
      <c r="G12" s="103">
        <v>27</v>
      </c>
      <c r="H12" s="103">
        <v>27</v>
      </c>
      <c r="I12" s="103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20.5</v>
      </c>
      <c r="C13" s="103">
        <v>20.7</v>
      </c>
      <c r="D13" s="103">
        <v>21.8</v>
      </c>
      <c r="E13" s="103">
        <v>21.7</v>
      </c>
      <c r="F13" s="103">
        <v>21.7</v>
      </c>
      <c r="G13" s="103">
        <v>21.7</v>
      </c>
      <c r="H13" s="103">
        <v>21.7</v>
      </c>
      <c r="I13" s="103">
        <v>19.5</v>
      </c>
      <c r="J13" s="103">
        <v>17</v>
      </c>
      <c r="K13" s="103">
        <v>18.2</v>
      </c>
      <c r="L13" s="103">
        <v>19.3</v>
      </c>
      <c r="M13" s="103">
        <v>19.3</v>
      </c>
      <c r="N13" s="103">
        <v>19.3</v>
      </c>
      <c r="O13" s="103">
        <v>19.3</v>
      </c>
      <c r="P13" s="103">
        <v>19.3</v>
      </c>
      <c r="Q13" s="127">
        <v>19.600000000000001</v>
      </c>
      <c r="R13" s="127">
        <v>19.600000000000001</v>
      </c>
      <c r="S13" s="127">
        <v>19.600000000000001</v>
      </c>
      <c r="T13" s="127">
        <v>19.600000000000001</v>
      </c>
      <c r="U13" s="127">
        <v>19.600000000000001</v>
      </c>
      <c r="V13" s="127">
        <v>19.600000000000001</v>
      </c>
      <c r="W13" s="127">
        <v>19.600000000000001</v>
      </c>
      <c r="X13" s="127">
        <v>19.600000000000001</v>
      </c>
      <c r="Y13" s="127">
        <v>19.600000000000001</v>
      </c>
      <c r="Z13" s="103">
        <v>19.600000000000001</v>
      </c>
      <c r="AA13" s="103">
        <v>19.600000000000001</v>
      </c>
      <c r="AB13" s="103">
        <v>19.600000000000001</v>
      </c>
      <c r="AC13" s="103">
        <v>19.600000000000001</v>
      </c>
      <c r="AD13" s="103">
        <v>19.600000000000001</v>
      </c>
      <c r="AE13" s="103">
        <v>22.2</v>
      </c>
      <c r="AF13" s="103">
        <v>16.7</v>
      </c>
      <c r="AG13" s="134">
        <v>52.4</v>
      </c>
      <c r="AH13" s="21">
        <f t="shared" si="2"/>
        <v>22.2</v>
      </c>
      <c r="AI13" s="20">
        <f t="shared" si="3"/>
        <v>16.7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0</v>
      </c>
      <c r="C14" s="103">
        <v>0</v>
      </c>
      <c r="D14" s="103">
        <v>0</v>
      </c>
      <c r="E14" s="103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0</v>
      </c>
      <c r="AG14" s="134">
        <v>50</v>
      </c>
      <c r="AH14" s="21">
        <f t="shared" si="2"/>
        <v>0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22.8</v>
      </c>
      <c r="C15" s="103">
        <v>22.8</v>
      </c>
      <c r="D15" s="103">
        <v>22.9</v>
      </c>
      <c r="E15" s="103">
        <v>22.9</v>
      </c>
      <c r="F15" s="103">
        <v>22.9</v>
      </c>
      <c r="G15" s="103">
        <v>22.9</v>
      </c>
      <c r="H15" s="103">
        <v>22.9</v>
      </c>
      <c r="I15" s="103">
        <v>22.8</v>
      </c>
      <c r="J15" s="103">
        <v>22.8</v>
      </c>
      <c r="K15" s="103">
        <v>22.8</v>
      </c>
      <c r="L15" s="103">
        <v>22.8</v>
      </c>
      <c r="M15" s="103">
        <v>22.8</v>
      </c>
      <c r="N15" s="103">
        <v>22.8</v>
      </c>
      <c r="O15" s="103">
        <v>22.8</v>
      </c>
      <c r="P15" s="103">
        <v>22.8</v>
      </c>
      <c r="Q15" s="103">
        <v>22.8</v>
      </c>
      <c r="R15" s="103">
        <v>22.8</v>
      </c>
      <c r="S15" s="103">
        <v>22.8</v>
      </c>
      <c r="T15" s="103">
        <v>22.8</v>
      </c>
      <c r="U15" s="103">
        <v>22.8</v>
      </c>
      <c r="V15" s="103">
        <v>0</v>
      </c>
      <c r="W15" s="103">
        <v>0</v>
      </c>
      <c r="X15" s="103">
        <v>22.8</v>
      </c>
      <c r="Y15" s="103">
        <v>22.8</v>
      </c>
      <c r="Z15" s="103">
        <v>22.8</v>
      </c>
      <c r="AA15" s="103">
        <v>22.8</v>
      </c>
      <c r="AB15" s="103">
        <v>22.8</v>
      </c>
      <c r="AC15" s="103">
        <v>22.8</v>
      </c>
      <c r="AD15" s="103">
        <v>22.8</v>
      </c>
      <c r="AE15" s="103">
        <v>22.8</v>
      </c>
      <c r="AF15" s="103">
        <v>22.8</v>
      </c>
      <c r="AG15" s="108">
        <v>45</v>
      </c>
      <c r="AH15" s="21">
        <f t="shared" si="2"/>
        <v>22.9</v>
      </c>
      <c r="AI15" s="20">
        <f t="shared" si="3"/>
        <v>0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14</v>
      </c>
      <c r="C16" s="103">
        <v>14</v>
      </c>
      <c r="D16" s="103">
        <v>14</v>
      </c>
      <c r="E16" s="103">
        <v>14</v>
      </c>
      <c r="F16" s="103">
        <v>14</v>
      </c>
      <c r="G16" s="103">
        <v>14</v>
      </c>
      <c r="H16" s="103">
        <v>14</v>
      </c>
      <c r="I16" s="103">
        <v>14</v>
      </c>
      <c r="J16" s="103">
        <v>14</v>
      </c>
      <c r="K16" s="103">
        <v>14</v>
      </c>
      <c r="L16" s="103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12</v>
      </c>
      <c r="C17" s="103">
        <v>12</v>
      </c>
      <c r="D17" s="103">
        <v>12</v>
      </c>
      <c r="E17" s="103">
        <v>12</v>
      </c>
      <c r="F17" s="103">
        <v>12</v>
      </c>
      <c r="G17" s="103">
        <v>12</v>
      </c>
      <c r="H17" s="103">
        <v>12</v>
      </c>
      <c r="I17" s="103">
        <v>12</v>
      </c>
      <c r="J17" s="103">
        <v>12</v>
      </c>
      <c r="K17" s="103">
        <v>12</v>
      </c>
      <c r="L17" s="103">
        <v>12</v>
      </c>
      <c r="M17" s="103">
        <v>12</v>
      </c>
      <c r="N17" s="103">
        <v>12</v>
      </c>
      <c r="O17" s="103">
        <v>12</v>
      </c>
      <c r="P17" s="103">
        <v>12</v>
      </c>
      <c r="Q17" s="103">
        <v>12</v>
      </c>
      <c r="R17" s="103">
        <v>12</v>
      </c>
      <c r="S17" s="103">
        <v>12</v>
      </c>
      <c r="T17" s="103">
        <v>12</v>
      </c>
      <c r="U17" s="103">
        <v>12</v>
      </c>
      <c r="V17" s="103">
        <v>12</v>
      </c>
      <c r="W17" s="103">
        <v>12</v>
      </c>
      <c r="X17" s="103">
        <v>12</v>
      </c>
      <c r="Y17" s="103">
        <v>12</v>
      </c>
      <c r="Z17" s="103">
        <v>12</v>
      </c>
      <c r="AA17" s="103">
        <v>12</v>
      </c>
      <c r="AB17" s="103">
        <v>12</v>
      </c>
      <c r="AC17" s="103">
        <v>12</v>
      </c>
      <c r="AD17" s="103">
        <v>12</v>
      </c>
      <c r="AE17" s="103">
        <v>12</v>
      </c>
      <c r="AF17" s="103">
        <v>12</v>
      </c>
      <c r="AG17" s="134">
        <v>42</v>
      </c>
      <c r="AH17" s="21">
        <f t="shared" si="2"/>
        <v>12</v>
      </c>
      <c r="AI17" s="20">
        <f t="shared" si="3"/>
        <v>12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03">
        <v>8</v>
      </c>
      <c r="L18" s="103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0</v>
      </c>
      <c r="AD18" s="103">
        <v>0</v>
      </c>
      <c r="AE18" s="103">
        <v>0</v>
      </c>
      <c r="AF18" s="103">
        <v>0</v>
      </c>
      <c r="AG18" s="134">
        <v>36</v>
      </c>
      <c r="AH18" s="21">
        <f t="shared" si="2"/>
        <v>8</v>
      </c>
      <c r="AI18" s="20">
        <f t="shared" si="3"/>
        <v>0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13.2</v>
      </c>
      <c r="C19" s="103">
        <v>13.2</v>
      </c>
      <c r="D19" s="103">
        <v>13.2</v>
      </c>
      <c r="E19" s="103">
        <v>13.2</v>
      </c>
      <c r="F19" s="103">
        <v>13.2</v>
      </c>
      <c r="G19" s="103">
        <v>13.2</v>
      </c>
      <c r="H19" s="103">
        <v>13.2</v>
      </c>
      <c r="I19" s="103">
        <v>13.3</v>
      </c>
      <c r="J19" s="103">
        <v>13.3</v>
      </c>
      <c r="K19" s="103">
        <v>13.3</v>
      </c>
      <c r="L19" s="103">
        <v>13.3</v>
      </c>
      <c r="M19" s="103">
        <v>13.3</v>
      </c>
      <c r="N19" s="103">
        <v>13.3</v>
      </c>
      <c r="O19" s="103">
        <v>13.3</v>
      </c>
      <c r="P19" s="103">
        <v>13.3</v>
      </c>
      <c r="Q19" s="103">
        <v>13.3</v>
      </c>
      <c r="R19" s="103">
        <v>13.3</v>
      </c>
      <c r="S19" s="103">
        <v>13.3</v>
      </c>
      <c r="T19" s="103">
        <v>13.3</v>
      </c>
      <c r="U19" s="103">
        <v>13.3</v>
      </c>
      <c r="V19" s="103">
        <v>13.3</v>
      </c>
      <c r="W19" s="103">
        <v>13.3</v>
      </c>
      <c r="X19" s="103">
        <v>13.3</v>
      </c>
      <c r="Y19" s="103">
        <v>13.3</v>
      </c>
      <c r="Z19" s="103">
        <v>13.3</v>
      </c>
      <c r="AA19" s="103">
        <v>13.3</v>
      </c>
      <c r="AB19" s="103">
        <v>13.3</v>
      </c>
      <c r="AC19" s="103">
        <v>13.3</v>
      </c>
      <c r="AD19" s="103">
        <v>13.3</v>
      </c>
      <c r="AE19" s="103">
        <v>13.3</v>
      </c>
      <c r="AF19" s="103">
        <v>13.3</v>
      </c>
      <c r="AG19" s="134">
        <v>30</v>
      </c>
      <c r="AH19" s="21">
        <f t="shared" si="2"/>
        <v>13.3</v>
      </c>
      <c r="AI19" s="20">
        <f t="shared" si="3"/>
        <v>13.2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6.2</v>
      </c>
      <c r="C20" s="103">
        <v>6.2</v>
      </c>
      <c r="D20" s="103">
        <v>6.2</v>
      </c>
      <c r="E20" s="103">
        <v>6.2</v>
      </c>
      <c r="F20" s="103">
        <v>6.2</v>
      </c>
      <c r="G20" s="103">
        <v>6.2</v>
      </c>
      <c r="H20" s="103">
        <v>6.2</v>
      </c>
      <c r="I20" s="103">
        <v>6.2</v>
      </c>
      <c r="J20" s="103">
        <v>6.2</v>
      </c>
      <c r="K20" s="103">
        <v>6.2</v>
      </c>
      <c r="L20" s="103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03">
        <v>3.5</v>
      </c>
      <c r="L21" s="103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0</v>
      </c>
      <c r="C22" s="103">
        <v>0</v>
      </c>
      <c r="D22" s="103">
        <v>0</v>
      </c>
      <c r="E22" s="103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12.2</v>
      </c>
      <c r="X22" s="103">
        <v>12.2</v>
      </c>
      <c r="Y22" s="103">
        <v>12.2</v>
      </c>
      <c r="Z22" s="103">
        <v>11.9</v>
      </c>
      <c r="AA22" s="103">
        <v>11.9</v>
      </c>
      <c r="AB22" s="103">
        <v>22</v>
      </c>
      <c r="AC22" s="103">
        <v>22</v>
      </c>
      <c r="AD22" s="103">
        <v>22</v>
      </c>
      <c r="AE22" s="103">
        <v>22</v>
      </c>
      <c r="AF22" s="103">
        <v>22</v>
      </c>
      <c r="AG22" s="134">
        <v>25</v>
      </c>
      <c r="AH22" s="21">
        <f t="shared" si="2"/>
        <v>22</v>
      </c>
      <c r="AI22" s="20">
        <f t="shared" si="3"/>
        <v>0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4.9000000000000004</v>
      </c>
      <c r="C23" s="103">
        <v>4.9000000000000004</v>
      </c>
      <c r="D23" s="103">
        <v>4.9000000000000004</v>
      </c>
      <c r="E23" s="103">
        <v>4.9000000000000004</v>
      </c>
      <c r="F23" s="103">
        <v>4.9000000000000004</v>
      </c>
      <c r="G23" s="103">
        <v>4.9000000000000004</v>
      </c>
      <c r="H23" s="103">
        <v>4.9000000000000004</v>
      </c>
      <c r="I23" s="103">
        <v>4.9000000000000004</v>
      </c>
      <c r="J23" s="103">
        <v>4.9000000000000004</v>
      </c>
      <c r="K23" s="103">
        <v>4.9000000000000004</v>
      </c>
      <c r="L23" s="103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4.9000000000000004</v>
      </c>
      <c r="AA23" s="103">
        <v>4.9000000000000004</v>
      </c>
      <c r="AB23" s="103">
        <v>4.9000000000000004</v>
      </c>
      <c r="AC23" s="103">
        <v>4.9000000000000004</v>
      </c>
      <c r="AD23" s="103">
        <v>4.9000000000000004</v>
      </c>
      <c r="AE23" s="103">
        <v>4.9000000000000004</v>
      </c>
      <c r="AF23" s="103">
        <v>4.9000000000000004</v>
      </c>
      <c r="AG23" s="134">
        <v>25</v>
      </c>
      <c r="AH23" s="21">
        <f t="shared" si="2"/>
        <v>4.9000000000000004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8.3000000000000007</v>
      </c>
      <c r="C24" s="103">
        <v>8.4</v>
      </c>
      <c r="D24" s="103">
        <v>8.3000000000000007</v>
      </c>
      <c r="E24" s="103">
        <v>8.3000000000000007</v>
      </c>
      <c r="F24" s="103">
        <v>8.3000000000000007</v>
      </c>
      <c r="G24" s="103">
        <v>8.3000000000000007</v>
      </c>
      <c r="H24" s="103">
        <v>8.3000000000000007</v>
      </c>
      <c r="I24" s="103">
        <v>8.3000000000000007</v>
      </c>
      <c r="J24" s="103">
        <v>8.3000000000000007</v>
      </c>
      <c r="K24" s="103">
        <v>8.3000000000000007</v>
      </c>
      <c r="L24" s="103">
        <v>8.3000000000000007</v>
      </c>
      <c r="M24" s="103">
        <v>8.3000000000000007</v>
      </c>
      <c r="N24" s="103">
        <v>8.3000000000000007</v>
      </c>
      <c r="O24" s="103">
        <v>8.3000000000000007</v>
      </c>
      <c r="P24" s="103">
        <v>8.3000000000000007</v>
      </c>
      <c r="Q24" s="103">
        <v>8.3000000000000007</v>
      </c>
      <c r="R24" s="103">
        <v>8.3000000000000007</v>
      </c>
      <c r="S24" s="103">
        <v>8.3000000000000007</v>
      </c>
      <c r="T24" s="103">
        <v>8.3000000000000007</v>
      </c>
      <c r="U24" s="103">
        <v>8.3000000000000007</v>
      </c>
      <c r="V24" s="103">
        <v>8.3000000000000007</v>
      </c>
      <c r="W24" s="103">
        <v>8.3000000000000007</v>
      </c>
      <c r="X24" s="103">
        <v>8.3000000000000007</v>
      </c>
      <c r="Y24" s="103">
        <v>8.3000000000000007</v>
      </c>
      <c r="Z24" s="103">
        <v>4.5</v>
      </c>
      <c r="AA24" s="103">
        <v>4.5</v>
      </c>
      <c r="AB24" s="103">
        <v>4.5</v>
      </c>
      <c r="AC24" s="103">
        <v>4.5</v>
      </c>
      <c r="AD24" s="103">
        <v>10</v>
      </c>
      <c r="AE24" s="103">
        <v>10</v>
      </c>
      <c r="AF24" s="103">
        <v>10</v>
      </c>
      <c r="AG24" s="134">
        <v>25</v>
      </c>
      <c r="AH24" s="21">
        <f t="shared" si="2"/>
        <v>10</v>
      </c>
      <c r="AI24" s="20">
        <f t="shared" si="3"/>
        <v>4.5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5</v>
      </c>
      <c r="C25" s="103">
        <v>5</v>
      </c>
      <c r="D25" s="103">
        <v>5</v>
      </c>
      <c r="E25" s="103">
        <v>5</v>
      </c>
      <c r="F25" s="103">
        <v>5</v>
      </c>
      <c r="G25" s="103">
        <v>5</v>
      </c>
      <c r="H25" s="103">
        <v>5</v>
      </c>
      <c r="I25" s="103">
        <v>5</v>
      </c>
      <c r="J25" s="103">
        <v>5</v>
      </c>
      <c r="K25" s="103">
        <v>5</v>
      </c>
      <c r="L25" s="103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5</v>
      </c>
      <c r="AA25" s="103">
        <v>5</v>
      </c>
      <c r="AB25" s="103">
        <v>5</v>
      </c>
      <c r="AC25" s="103">
        <v>5</v>
      </c>
      <c r="AD25" s="103">
        <v>5</v>
      </c>
      <c r="AE25" s="103">
        <v>5</v>
      </c>
      <c r="AF25" s="103">
        <v>5</v>
      </c>
      <c r="AG25" s="134">
        <v>24.2</v>
      </c>
      <c r="AH25" s="21">
        <f t="shared" si="2"/>
        <v>5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11</v>
      </c>
      <c r="C26" s="103">
        <v>11</v>
      </c>
      <c r="D26" s="103">
        <v>11</v>
      </c>
      <c r="E26" s="103">
        <v>11</v>
      </c>
      <c r="F26" s="103">
        <v>11</v>
      </c>
      <c r="G26" s="103">
        <v>11</v>
      </c>
      <c r="H26" s="103">
        <v>11</v>
      </c>
      <c r="I26" s="103">
        <v>11</v>
      </c>
      <c r="J26" s="103">
        <v>11</v>
      </c>
      <c r="K26" s="103">
        <v>11</v>
      </c>
      <c r="L26" s="103">
        <v>11</v>
      </c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03">
        <v>2.5</v>
      </c>
      <c r="C27" s="103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2.5</v>
      </c>
      <c r="AA27" s="103">
        <v>2.5</v>
      </c>
      <c r="AB27" s="103">
        <v>2.5</v>
      </c>
      <c r="AC27" s="103">
        <v>2.5</v>
      </c>
      <c r="AD27" s="103">
        <v>2.5</v>
      </c>
      <c r="AE27" s="103">
        <v>2.5</v>
      </c>
      <c r="AF27" s="103">
        <v>2.5</v>
      </c>
      <c r="AG27" s="134">
        <v>23.5</v>
      </c>
      <c r="AH27" s="21">
        <f t="shared" si="2"/>
        <v>2.5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11</v>
      </c>
      <c r="C28" s="103">
        <v>11</v>
      </c>
      <c r="D28" s="103">
        <v>11</v>
      </c>
      <c r="E28" s="103">
        <v>11</v>
      </c>
      <c r="F28" s="103">
        <v>11</v>
      </c>
      <c r="G28" s="103">
        <v>11</v>
      </c>
      <c r="H28" s="103">
        <v>11</v>
      </c>
      <c r="I28" s="103">
        <v>11</v>
      </c>
      <c r="J28" s="103">
        <v>11</v>
      </c>
      <c r="K28" s="103">
        <v>11</v>
      </c>
      <c r="L28" s="103">
        <v>11</v>
      </c>
      <c r="M28" s="103">
        <v>11</v>
      </c>
      <c r="N28" s="103">
        <v>11</v>
      </c>
      <c r="O28" s="103">
        <v>11</v>
      </c>
      <c r="P28" s="103">
        <v>11</v>
      </c>
      <c r="Q28" s="103">
        <v>11</v>
      </c>
      <c r="R28" s="103">
        <v>11</v>
      </c>
      <c r="S28" s="103">
        <v>11</v>
      </c>
      <c r="T28" s="103">
        <v>11</v>
      </c>
      <c r="U28" s="103">
        <v>11</v>
      </c>
      <c r="V28" s="103">
        <v>11</v>
      </c>
      <c r="W28" s="103">
        <v>11</v>
      </c>
      <c r="X28" s="103">
        <v>11</v>
      </c>
      <c r="Y28" s="103">
        <v>11</v>
      </c>
      <c r="Z28" s="103">
        <v>11</v>
      </c>
      <c r="AA28" s="103">
        <v>11</v>
      </c>
      <c r="AB28" s="103">
        <v>11</v>
      </c>
      <c r="AC28" s="103">
        <v>11</v>
      </c>
      <c r="AD28" s="103">
        <v>11</v>
      </c>
      <c r="AE28" s="103">
        <v>11</v>
      </c>
      <c r="AF28" s="103">
        <v>11</v>
      </c>
      <c r="AG28" s="134">
        <v>22.2</v>
      </c>
      <c r="AH28" s="21">
        <f t="shared" si="2"/>
        <v>11</v>
      </c>
      <c r="AI28" s="20">
        <f t="shared" si="3"/>
        <v>11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03">
        <v>4.5999999999999996</v>
      </c>
      <c r="L29" s="103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03">
        <v>10</v>
      </c>
      <c r="L30" s="103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03">
        <v>6</v>
      </c>
      <c r="L31" s="10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03">
        <v>3.7</v>
      </c>
      <c r="L32" s="10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03">
        <v>2.5</v>
      </c>
      <c r="L33" s="10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03">
        <v>5</v>
      </c>
      <c r="L34" s="10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160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v>54.3</v>
      </c>
      <c r="C37" s="128">
        <v>55.2</v>
      </c>
      <c r="D37" s="128">
        <v>55.7</v>
      </c>
      <c r="E37" s="123">
        <v>54.2</v>
      </c>
      <c r="F37" s="123">
        <v>55.2</v>
      </c>
      <c r="G37" s="123">
        <v>55.3</v>
      </c>
      <c r="H37" s="123">
        <v>54.8</v>
      </c>
      <c r="I37" s="123">
        <v>54.7</v>
      </c>
      <c r="J37" s="123">
        <v>53.9</v>
      </c>
      <c r="K37" s="123">
        <v>52.9</v>
      </c>
      <c r="L37" s="123">
        <v>52.5</v>
      </c>
      <c r="M37" s="128">
        <f>31.5+19.9</f>
        <v>51.4</v>
      </c>
      <c r="N37" s="128">
        <f>31.4+20.4</f>
        <v>51.8</v>
      </c>
      <c r="O37" s="128">
        <f>30.9+20.6</f>
        <v>51.5</v>
      </c>
      <c r="P37" s="128">
        <f>31.6+21.9</f>
        <v>53.5</v>
      </c>
      <c r="Q37" s="128">
        <v>53.2</v>
      </c>
      <c r="R37" s="128">
        <f>32.9+21.4</f>
        <v>54.3</v>
      </c>
      <c r="S37" s="128">
        <v>50.4</v>
      </c>
      <c r="T37" s="128">
        <v>56</v>
      </c>
      <c r="U37" s="128">
        <v>53.9</v>
      </c>
      <c r="V37" s="128">
        <v>54</v>
      </c>
      <c r="W37" s="128">
        <v>52.3</v>
      </c>
      <c r="X37" s="128">
        <v>51.6</v>
      </c>
      <c r="Y37" s="128">
        <v>47.8</v>
      </c>
      <c r="Z37" s="128">
        <v>48.8</v>
      </c>
      <c r="AA37" s="128">
        <v>48.5</v>
      </c>
      <c r="AB37" s="128">
        <v>48.5</v>
      </c>
      <c r="AC37" s="128">
        <v>48.5</v>
      </c>
      <c r="AD37" s="128">
        <v>52.6</v>
      </c>
      <c r="AE37" s="128">
        <v>55</v>
      </c>
      <c r="AF37" s="128">
        <v>55</v>
      </c>
      <c r="AG37" s="106">
        <v>240</v>
      </c>
      <c r="AH37" s="21">
        <f t="shared" si="2"/>
        <v>56</v>
      </c>
      <c r="AI37" s="20">
        <f t="shared" si="3"/>
        <v>47.8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651.70000000000005</v>
      </c>
      <c r="C38" s="99">
        <f t="shared" ref="C38:AF38" si="5">SUM(C11:C36)</f>
        <v>642</v>
      </c>
      <c r="D38" s="99">
        <f t="shared" si="5"/>
        <v>623.09999999999991</v>
      </c>
      <c r="E38" s="99">
        <f t="shared" si="5"/>
        <v>573</v>
      </c>
      <c r="F38" s="99">
        <f>SUM(F11:F36)</f>
        <v>533</v>
      </c>
      <c r="G38" s="99">
        <f t="shared" si="5"/>
        <v>563</v>
      </c>
      <c r="H38" s="99">
        <f t="shared" si="5"/>
        <v>613</v>
      </c>
      <c r="I38" s="99">
        <f t="shared" si="5"/>
        <v>590.79999999999995</v>
      </c>
      <c r="J38" s="99">
        <f t="shared" si="5"/>
        <v>458.3</v>
      </c>
      <c r="K38" s="99">
        <f t="shared" si="5"/>
        <v>419.5</v>
      </c>
      <c r="L38" s="99">
        <f t="shared" si="5"/>
        <v>400.6</v>
      </c>
      <c r="M38" s="99">
        <f t="shared" si="5"/>
        <v>395.6</v>
      </c>
      <c r="N38" s="99">
        <f t="shared" si="5"/>
        <v>375.6</v>
      </c>
      <c r="O38" s="99">
        <f t="shared" si="5"/>
        <v>410.6</v>
      </c>
      <c r="P38" s="99">
        <f t="shared" si="5"/>
        <v>375.6</v>
      </c>
      <c r="Q38" s="99">
        <f t="shared" si="5"/>
        <v>375.9</v>
      </c>
      <c r="R38" s="99">
        <f t="shared" si="5"/>
        <v>375.9</v>
      </c>
      <c r="S38" s="99">
        <f t="shared" si="5"/>
        <v>560.9</v>
      </c>
      <c r="T38" s="99">
        <f t="shared" si="5"/>
        <v>560.9</v>
      </c>
      <c r="U38" s="99">
        <f t="shared" si="5"/>
        <v>510.9</v>
      </c>
      <c r="V38" s="99">
        <f t="shared" si="5"/>
        <v>538.1</v>
      </c>
      <c r="W38" s="99">
        <f t="shared" si="5"/>
        <v>530.29999999999995</v>
      </c>
      <c r="X38" s="99">
        <f t="shared" si="5"/>
        <v>523.09999999999991</v>
      </c>
      <c r="Y38" s="99">
        <f t="shared" si="5"/>
        <v>613.1</v>
      </c>
      <c r="Z38" s="99">
        <f t="shared" si="5"/>
        <v>699</v>
      </c>
      <c r="AA38" s="99">
        <f t="shared" si="5"/>
        <v>719.00000000000011</v>
      </c>
      <c r="AB38" s="99">
        <f t="shared" si="5"/>
        <v>739.10000000000014</v>
      </c>
      <c r="AC38" s="99">
        <f t="shared" si="5"/>
        <v>701.1</v>
      </c>
      <c r="AD38" s="99">
        <f t="shared" si="5"/>
        <v>676.6</v>
      </c>
      <c r="AE38" s="99">
        <f t="shared" si="5"/>
        <v>639.20000000000005</v>
      </c>
      <c r="AF38" s="99">
        <f t="shared" si="5"/>
        <v>613.70000000000005</v>
      </c>
      <c r="AG38" s="106">
        <f>SUM(AG11:AG37)</f>
        <v>1492.8299999999997</v>
      </c>
      <c r="AH38" s="21">
        <f t="shared" si="2"/>
        <v>739.10000000000014</v>
      </c>
      <c r="AI38" s="20">
        <f t="shared" si="3"/>
        <v>375.6</v>
      </c>
      <c r="AK38" s="42"/>
    </row>
    <row r="39" spans="1:88" x14ac:dyDescent="0.25">
      <c r="A39" s="109" t="s">
        <v>172</v>
      </c>
      <c r="B39" s="127">
        <v>131</v>
      </c>
      <c r="C39" s="123">
        <v>116.4</v>
      </c>
      <c r="D39" s="123">
        <v>116.4</v>
      </c>
      <c r="E39" s="123">
        <v>85</v>
      </c>
      <c r="F39" s="123">
        <v>80</v>
      </c>
      <c r="G39" s="123">
        <v>82</v>
      </c>
      <c r="H39" s="123">
        <v>82.2</v>
      </c>
      <c r="I39" s="123">
        <v>82</v>
      </c>
      <c r="J39" s="123">
        <v>67.400000000000006</v>
      </c>
      <c r="K39" s="123">
        <v>66.3</v>
      </c>
      <c r="L39" s="123">
        <v>66.099999999999994</v>
      </c>
      <c r="M39" s="103">
        <v>66.2</v>
      </c>
      <c r="N39" s="103">
        <v>66.2</v>
      </c>
      <c r="O39" s="103">
        <v>35.1</v>
      </c>
      <c r="P39" s="103">
        <v>33</v>
      </c>
      <c r="Q39" s="103">
        <v>33.1</v>
      </c>
      <c r="R39" s="103">
        <v>40.6</v>
      </c>
      <c r="S39" s="103">
        <v>32.799999999999997</v>
      </c>
      <c r="T39" s="103">
        <v>81.2</v>
      </c>
      <c r="U39" s="103">
        <v>133.30000000000001</v>
      </c>
      <c r="V39" s="103">
        <v>146</v>
      </c>
      <c r="W39" s="103">
        <v>146</v>
      </c>
      <c r="X39" s="103">
        <v>146</v>
      </c>
      <c r="Y39" s="103">
        <v>146</v>
      </c>
      <c r="Z39" s="103">
        <v>145.19999999999999</v>
      </c>
      <c r="AA39" s="103">
        <v>145.19999999999999</v>
      </c>
      <c r="AB39" s="103">
        <v>145</v>
      </c>
      <c r="AC39" s="103">
        <v>145</v>
      </c>
      <c r="AD39" s="103">
        <v>145</v>
      </c>
      <c r="AE39" s="103">
        <v>138.5</v>
      </c>
      <c r="AF39" s="127">
        <v>138</v>
      </c>
      <c r="AG39" s="108">
        <v>144</v>
      </c>
      <c r="AH39" s="21">
        <f t="shared" si="2"/>
        <v>146</v>
      </c>
      <c r="AI39" s="20">
        <f t="shared" si="3"/>
        <v>32.799999999999997</v>
      </c>
      <c r="AK39" s="42"/>
    </row>
    <row r="40" spans="1:88" x14ac:dyDescent="0.25">
      <c r="A40" s="107" t="s">
        <v>171</v>
      </c>
      <c r="B40" s="123">
        <v>62</v>
      </c>
      <c r="C40" s="123">
        <v>62.3</v>
      </c>
      <c r="D40" s="123">
        <v>62.1</v>
      </c>
      <c r="E40" s="123">
        <v>45</v>
      </c>
      <c r="F40" s="123">
        <v>45</v>
      </c>
      <c r="G40" s="123">
        <v>45.6</v>
      </c>
      <c r="H40" s="123">
        <v>70.400000000000006</v>
      </c>
      <c r="I40" s="123">
        <v>71.8</v>
      </c>
      <c r="J40" s="123">
        <v>44.2</v>
      </c>
      <c r="K40" s="123">
        <v>43.3</v>
      </c>
      <c r="L40" s="123">
        <v>43.9</v>
      </c>
      <c r="M40" s="73">
        <v>43.8</v>
      </c>
      <c r="N40" s="73">
        <v>44.4</v>
      </c>
      <c r="O40" s="73">
        <v>44.9</v>
      </c>
      <c r="P40" s="73">
        <v>55.3</v>
      </c>
      <c r="Q40" s="73">
        <v>55.3</v>
      </c>
      <c r="R40" s="73">
        <v>55</v>
      </c>
      <c r="S40" s="73">
        <v>55</v>
      </c>
      <c r="T40" s="73">
        <v>50.6</v>
      </c>
      <c r="U40" s="73">
        <v>51.2</v>
      </c>
      <c r="V40" s="73">
        <v>71.400000000000006</v>
      </c>
      <c r="W40" s="73">
        <v>71.400000000000006</v>
      </c>
      <c r="X40" s="73">
        <v>71.400000000000006</v>
      </c>
      <c r="Y40" s="73">
        <v>71.400000000000006</v>
      </c>
      <c r="Z40" s="73">
        <v>71.400000000000006</v>
      </c>
      <c r="AA40" s="73">
        <v>71.400000000000006</v>
      </c>
      <c r="AB40" s="73">
        <v>72</v>
      </c>
      <c r="AC40" s="73">
        <v>72</v>
      </c>
      <c r="AD40" s="73">
        <v>72</v>
      </c>
      <c r="AE40" s="73">
        <v>72</v>
      </c>
      <c r="AF40" s="123">
        <v>71.5</v>
      </c>
      <c r="AG40" s="106">
        <v>70</v>
      </c>
      <c r="AH40" s="21">
        <f t="shared" si="2"/>
        <v>72</v>
      </c>
      <c r="AI40" s="20">
        <f t="shared" si="3"/>
        <v>43.3</v>
      </c>
      <c r="AK40" s="42"/>
    </row>
    <row r="41" spans="1:88" x14ac:dyDescent="0.25">
      <c r="A41" s="107" t="s">
        <v>170</v>
      </c>
      <c r="B41" s="123">
        <v>68</v>
      </c>
      <c r="C41" s="123">
        <v>67.599999999999994</v>
      </c>
      <c r="D41" s="123">
        <v>67.2</v>
      </c>
      <c r="E41" s="123">
        <v>63.1</v>
      </c>
      <c r="F41" s="123">
        <v>49.8</v>
      </c>
      <c r="G41" s="123">
        <v>50</v>
      </c>
      <c r="H41" s="123">
        <v>65.7</v>
      </c>
      <c r="I41" s="123">
        <v>65.7</v>
      </c>
      <c r="J41" s="123">
        <v>50.2</v>
      </c>
      <c r="K41" s="123">
        <v>50.2</v>
      </c>
      <c r="L41" s="123">
        <v>50.3</v>
      </c>
      <c r="M41" s="73">
        <v>50.1</v>
      </c>
      <c r="N41" s="73">
        <v>50.2</v>
      </c>
      <c r="O41" s="73">
        <v>49.6</v>
      </c>
      <c r="P41" s="73">
        <v>49.8</v>
      </c>
      <c r="Q41" s="73">
        <v>49.6</v>
      </c>
      <c r="R41" s="73">
        <v>49.7</v>
      </c>
      <c r="S41" s="73">
        <v>49.7</v>
      </c>
      <c r="T41" s="73">
        <v>49.7</v>
      </c>
      <c r="U41" s="73">
        <v>49.7</v>
      </c>
      <c r="V41" s="73">
        <v>60.5</v>
      </c>
      <c r="W41" s="73">
        <v>67.5</v>
      </c>
      <c r="X41" s="73">
        <v>67.5</v>
      </c>
      <c r="Y41" s="73">
        <v>67.5</v>
      </c>
      <c r="Z41" s="73">
        <v>67.5</v>
      </c>
      <c r="AA41" s="73">
        <v>67.5</v>
      </c>
      <c r="AB41" s="73">
        <v>67</v>
      </c>
      <c r="AC41" s="73">
        <v>67</v>
      </c>
      <c r="AD41" s="73">
        <v>67</v>
      </c>
      <c r="AE41" s="73">
        <v>67</v>
      </c>
      <c r="AF41" s="123">
        <v>66.8</v>
      </c>
      <c r="AG41" s="106">
        <v>69</v>
      </c>
      <c r="AH41" s="21">
        <f t="shared" si="2"/>
        <v>68</v>
      </c>
      <c r="AI41" s="20">
        <f t="shared" si="3"/>
        <v>49.6</v>
      </c>
      <c r="AK41" s="42"/>
    </row>
    <row r="42" spans="1:88" x14ac:dyDescent="0.25">
      <c r="A42" s="107" t="s">
        <v>169</v>
      </c>
      <c r="B42" s="123">
        <v>60.4</v>
      </c>
      <c r="C42" s="123">
        <v>60.4</v>
      </c>
      <c r="D42" s="123">
        <v>60.4</v>
      </c>
      <c r="E42" s="123">
        <v>60.4</v>
      </c>
      <c r="F42" s="123">
        <v>60.4</v>
      </c>
      <c r="G42" s="123">
        <v>60.4</v>
      </c>
      <c r="H42" s="123">
        <v>60.4</v>
      </c>
      <c r="I42" s="123">
        <v>60.4</v>
      </c>
      <c r="J42" s="123">
        <v>60.4</v>
      </c>
      <c r="K42" s="123">
        <v>60.2</v>
      </c>
      <c r="L42" s="123">
        <v>60.4</v>
      </c>
      <c r="M42" s="73">
        <v>60</v>
      </c>
      <c r="N42" s="73">
        <v>60</v>
      </c>
      <c r="O42" s="73">
        <v>60</v>
      </c>
      <c r="P42" s="73">
        <v>60</v>
      </c>
      <c r="Q42" s="73">
        <v>60</v>
      </c>
      <c r="R42" s="73">
        <v>60.2</v>
      </c>
      <c r="S42" s="73">
        <v>60.2</v>
      </c>
      <c r="T42" s="73">
        <v>60</v>
      </c>
      <c r="U42" s="73">
        <v>60</v>
      </c>
      <c r="V42" s="73">
        <v>60</v>
      </c>
      <c r="W42" s="73">
        <v>60</v>
      </c>
      <c r="X42" s="73">
        <v>60</v>
      </c>
      <c r="Y42" s="73">
        <v>60</v>
      </c>
      <c r="Z42" s="73">
        <v>60</v>
      </c>
      <c r="AA42" s="73">
        <v>60</v>
      </c>
      <c r="AB42" s="73">
        <v>60</v>
      </c>
      <c r="AC42" s="73">
        <v>60</v>
      </c>
      <c r="AD42" s="73">
        <v>60</v>
      </c>
      <c r="AE42" s="73">
        <v>60</v>
      </c>
      <c r="AF42" s="73">
        <v>60</v>
      </c>
      <c r="AG42" s="106">
        <v>60</v>
      </c>
      <c r="AH42" s="21">
        <f t="shared" si="2"/>
        <v>60.4</v>
      </c>
      <c r="AI42" s="20">
        <f t="shared" si="3"/>
        <v>60</v>
      </c>
      <c r="AK42" s="42"/>
    </row>
    <row r="43" spans="1:88" x14ac:dyDescent="0.25">
      <c r="A43" s="107" t="s">
        <v>168</v>
      </c>
      <c r="B43" s="123">
        <v>10</v>
      </c>
      <c r="C43" s="123">
        <v>10</v>
      </c>
      <c r="D43" s="123">
        <v>10</v>
      </c>
      <c r="E43" s="123">
        <v>10</v>
      </c>
      <c r="F43" s="123">
        <v>10</v>
      </c>
      <c r="G43" s="123">
        <v>10</v>
      </c>
      <c r="H43" s="123">
        <v>10</v>
      </c>
      <c r="I43" s="123">
        <v>10</v>
      </c>
      <c r="J43" s="123">
        <v>15</v>
      </c>
      <c r="K43" s="123">
        <v>15</v>
      </c>
      <c r="L43" s="123">
        <v>25</v>
      </c>
      <c r="M43" s="103">
        <v>15</v>
      </c>
      <c r="N43" s="103">
        <v>15</v>
      </c>
      <c r="O43" s="103">
        <v>15</v>
      </c>
      <c r="P43" s="103">
        <v>10</v>
      </c>
      <c r="Q43" s="103">
        <v>10</v>
      </c>
      <c r="R43" s="103">
        <v>10</v>
      </c>
      <c r="S43" s="103">
        <v>10</v>
      </c>
      <c r="T43" s="103">
        <v>10</v>
      </c>
      <c r="U43" s="103">
        <v>10</v>
      </c>
      <c r="V43" s="103">
        <v>10</v>
      </c>
      <c r="W43" s="103">
        <v>10</v>
      </c>
      <c r="X43" s="103">
        <v>10</v>
      </c>
      <c r="Y43" s="103">
        <v>20</v>
      </c>
      <c r="Z43" s="73">
        <v>20</v>
      </c>
      <c r="AA43" s="7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15</v>
      </c>
      <c r="AG43" s="106">
        <v>30</v>
      </c>
      <c r="AH43" s="21">
        <f t="shared" si="2"/>
        <v>30</v>
      </c>
      <c r="AI43" s="20">
        <f t="shared" si="3"/>
        <v>10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9.5</v>
      </c>
      <c r="O44" s="103">
        <v>9.5</v>
      </c>
      <c r="P44" s="103">
        <v>9.5</v>
      </c>
      <c r="Q44" s="103">
        <v>9.5</v>
      </c>
      <c r="R44" s="103">
        <v>9.5</v>
      </c>
      <c r="S44" s="103">
        <v>9.5</v>
      </c>
      <c r="T44" s="103">
        <v>9.5</v>
      </c>
      <c r="U44" s="103">
        <v>9.5</v>
      </c>
      <c r="V44" s="103">
        <v>9.5</v>
      </c>
      <c r="W44" s="103">
        <v>9.5</v>
      </c>
      <c r="X44" s="103">
        <v>9.5</v>
      </c>
      <c r="Y44" s="103">
        <v>9.5</v>
      </c>
      <c r="Z44" s="103">
        <v>9.5</v>
      </c>
      <c r="AA44" s="103">
        <v>9.5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9.5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17.3</v>
      </c>
      <c r="C45" s="120">
        <v>17.3</v>
      </c>
      <c r="D45" s="120">
        <v>17.2</v>
      </c>
      <c r="E45" s="120">
        <v>17.2</v>
      </c>
      <c r="F45" s="120">
        <v>17.2</v>
      </c>
      <c r="G45" s="120">
        <v>17.2</v>
      </c>
      <c r="H45" s="120">
        <v>17.2</v>
      </c>
      <c r="I45" s="120">
        <v>17.2</v>
      </c>
      <c r="J45" s="120">
        <v>17.600000000000001</v>
      </c>
      <c r="K45" s="120">
        <v>17.600000000000001</v>
      </c>
      <c r="L45" s="120">
        <v>17.600000000000001</v>
      </c>
      <c r="M45" s="120">
        <v>17.600000000000001</v>
      </c>
      <c r="N45" s="120">
        <v>17.600000000000001</v>
      </c>
      <c r="O45" s="120">
        <v>17.600000000000001</v>
      </c>
      <c r="P45" s="120">
        <v>17.600000000000001</v>
      </c>
      <c r="Q45" s="120">
        <v>17.5</v>
      </c>
      <c r="R45" s="120">
        <v>17.5</v>
      </c>
      <c r="S45" s="120">
        <v>17.5</v>
      </c>
      <c r="T45" s="120">
        <v>17.5</v>
      </c>
      <c r="U45" s="120">
        <v>17.5</v>
      </c>
      <c r="V45" s="120">
        <v>17.5</v>
      </c>
      <c r="W45" s="120">
        <v>17.5</v>
      </c>
      <c r="X45" s="120">
        <v>17.5</v>
      </c>
      <c r="Y45" s="120">
        <v>17.5</v>
      </c>
      <c r="Z45" s="103">
        <v>17.5</v>
      </c>
      <c r="AA45" s="103">
        <v>17.5</v>
      </c>
      <c r="AB45" s="103">
        <v>17.5</v>
      </c>
      <c r="AC45" s="103">
        <v>17.5</v>
      </c>
      <c r="AD45" s="103">
        <v>17.5</v>
      </c>
      <c r="AE45" s="103">
        <v>17.5</v>
      </c>
      <c r="AF45" s="103">
        <v>17.5</v>
      </c>
      <c r="AG45" s="106">
        <v>24</v>
      </c>
      <c r="AH45" s="21">
        <f t="shared" si="2"/>
        <v>17.600000000000001</v>
      </c>
      <c r="AI45" s="20">
        <f t="shared" si="3"/>
        <v>17.2</v>
      </c>
      <c r="AK45" s="42"/>
    </row>
    <row r="46" spans="1:88" x14ac:dyDescent="0.25">
      <c r="A46" s="107" t="s">
        <v>165</v>
      </c>
      <c r="B46" s="10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23">
        <v>12</v>
      </c>
      <c r="T47" s="123">
        <v>12</v>
      </c>
      <c r="U47" s="123">
        <v>12</v>
      </c>
      <c r="V47" s="123">
        <v>12</v>
      </c>
      <c r="W47" s="123">
        <v>12</v>
      </c>
      <c r="X47" s="123">
        <v>12</v>
      </c>
      <c r="Y47" s="12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7.2</v>
      </c>
      <c r="C48" s="120">
        <v>7.2</v>
      </c>
      <c r="D48" s="120">
        <v>7.2</v>
      </c>
      <c r="E48" s="120">
        <v>7.2</v>
      </c>
      <c r="F48" s="120">
        <v>7.2</v>
      </c>
      <c r="G48" s="120">
        <v>7.2</v>
      </c>
      <c r="H48" s="120">
        <v>7.2</v>
      </c>
      <c r="I48" s="120">
        <v>7.2</v>
      </c>
      <c r="J48" s="120">
        <v>7.2</v>
      </c>
      <c r="K48" s="120">
        <v>7.2</v>
      </c>
      <c r="L48" s="120">
        <v>7.2</v>
      </c>
      <c r="M48" s="120">
        <v>7.2</v>
      </c>
      <c r="N48" s="120">
        <v>7.2</v>
      </c>
      <c r="O48" s="120">
        <v>7.2</v>
      </c>
      <c r="P48" s="120">
        <v>7.2</v>
      </c>
      <c r="Q48" s="120">
        <v>7.2</v>
      </c>
      <c r="R48" s="120">
        <v>7.2</v>
      </c>
      <c r="S48" s="120">
        <v>7.2</v>
      </c>
      <c r="T48" s="120">
        <v>7.2</v>
      </c>
      <c r="U48" s="120">
        <v>7.2</v>
      </c>
      <c r="V48" s="120">
        <v>7.2</v>
      </c>
      <c r="W48" s="120">
        <v>7.2</v>
      </c>
      <c r="X48" s="120">
        <v>7.2</v>
      </c>
      <c r="Y48" s="120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03">
        <v>8.6999999999999993</v>
      </c>
      <c r="C49" s="123">
        <v>8.6999999999999993</v>
      </c>
      <c r="D49" s="123">
        <v>8.6999999999999993</v>
      </c>
      <c r="E49" s="123">
        <v>8.6999999999999993</v>
      </c>
      <c r="F49" s="123">
        <v>8.6999999999999993</v>
      </c>
      <c r="G49" s="123">
        <v>8.6999999999999993</v>
      </c>
      <c r="H49" s="123">
        <v>8.6999999999999993</v>
      </c>
      <c r="I49" s="123">
        <v>8.6999999999999993</v>
      </c>
      <c r="J49" s="123">
        <v>8.6999999999999993</v>
      </c>
      <c r="K49" s="123">
        <v>8.6999999999999993</v>
      </c>
      <c r="L49" s="123">
        <v>8.6999999999999993</v>
      </c>
      <c r="M49" s="123">
        <v>8.6999999999999993</v>
      </c>
      <c r="N49" s="123">
        <v>8.6999999999999993</v>
      </c>
      <c r="O49" s="123">
        <v>8.6999999999999993</v>
      </c>
      <c r="P49" s="123">
        <v>8.6999999999999993</v>
      </c>
      <c r="Q49" s="123">
        <v>8.6999999999999993</v>
      </c>
      <c r="R49" s="123">
        <v>8.6999999999999993</v>
      </c>
      <c r="S49" s="123">
        <v>8.6999999999999993</v>
      </c>
      <c r="T49" s="123">
        <v>8.6999999999999993</v>
      </c>
      <c r="U49" s="123">
        <v>8.6999999999999993</v>
      </c>
      <c r="V49" s="123">
        <v>8.6999999999999993</v>
      </c>
      <c r="W49" s="123">
        <v>8.6999999999999993</v>
      </c>
      <c r="X49" s="123">
        <v>8.6999999999999993</v>
      </c>
      <c r="Y49" s="12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0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8.6999999999999993</v>
      </c>
      <c r="AK49" s="42"/>
    </row>
    <row r="50" spans="1:37" x14ac:dyDescent="0.25">
      <c r="A50" s="107" t="s">
        <v>161</v>
      </c>
      <c r="B50" s="103">
        <v>3</v>
      </c>
      <c r="C50" s="123">
        <v>3</v>
      </c>
      <c r="D50" s="123">
        <v>3</v>
      </c>
      <c r="E50" s="123">
        <v>3</v>
      </c>
      <c r="F50" s="123">
        <v>3</v>
      </c>
      <c r="G50" s="123">
        <v>3</v>
      </c>
      <c r="H50" s="123">
        <v>3</v>
      </c>
      <c r="I50" s="123">
        <v>3</v>
      </c>
      <c r="J50" s="123">
        <v>3</v>
      </c>
      <c r="K50" s="123">
        <v>3</v>
      </c>
      <c r="L50" s="123">
        <v>3</v>
      </c>
      <c r="M50" s="123">
        <v>3</v>
      </c>
      <c r="N50" s="123">
        <v>3</v>
      </c>
      <c r="O50" s="123">
        <v>3</v>
      </c>
      <c r="P50" s="123">
        <v>3</v>
      </c>
      <c r="Q50" s="123">
        <v>3</v>
      </c>
      <c r="R50" s="123">
        <v>3</v>
      </c>
      <c r="S50" s="123">
        <v>3</v>
      </c>
      <c r="T50" s="123">
        <v>3</v>
      </c>
      <c r="U50" s="123">
        <v>3</v>
      </c>
      <c r="V50" s="123">
        <v>3</v>
      </c>
      <c r="W50" s="123">
        <v>3</v>
      </c>
      <c r="X50" s="123">
        <v>3</v>
      </c>
      <c r="Y50" s="12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03">
        <v>3</v>
      </c>
      <c r="AG50" s="106">
        <v>6.2</v>
      </c>
      <c r="AH50" s="21">
        <f t="shared" si="2"/>
        <v>3</v>
      </c>
      <c r="AI50" s="20">
        <f t="shared" si="3"/>
        <v>3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v>3.54</v>
      </c>
      <c r="V51" s="124">
        <v>3.54</v>
      </c>
      <c r="W51" s="124">
        <v>3.54</v>
      </c>
      <c r="X51" s="124">
        <v>3.54</v>
      </c>
      <c r="Y51" s="124">
        <v>3.54</v>
      </c>
      <c r="Z51" s="124">
        <v>3.54</v>
      </c>
      <c r="AA51" s="124">
        <v>3.54</v>
      </c>
      <c r="AB51" s="124">
        <v>3.54</v>
      </c>
      <c r="AC51" s="124">
        <v>3.54</v>
      </c>
      <c r="AD51" s="124">
        <v>3.54</v>
      </c>
      <c r="AE51" s="124">
        <v>3.54</v>
      </c>
      <c r="AF51" s="124">
        <v>3.54</v>
      </c>
      <c r="AG51" s="124">
        <f t="shared" ref="AG51" si="7">AG200</f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383.14</v>
      </c>
      <c r="C52" s="99">
        <f t="shared" ref="C52:AF52" si="8">SUM(C39:C51)</f>
        <v>368.44</v>
      </c>
      <c r="D52" s="99">
        <f t="shared" si="8"/>
        <v>367.73999999999995</v>
      </c>
      <c r="E52" s="99">
        <f t="shared" si="8"/>
        <v>315.14</v>
      </c>
      <c r="F52" s="99">
        <f t="shared" si="8"/>
        <v>296.84000000000003</v>
      </c>
      <c r="G52" s="99">
        <f t="shared" si="8"/>
        <v>299.64</v>
      </c>
      <c r="H52" s="99">
        <f t="shared" si="8"/>
        <v>340.34</v>
      </c>
      <c r="I52" s="99">
        <f t="shared" si="8"/>
        <v>341.53999999999996</v>
      </c>
      <c r="J52" s="99">
        <f t="shared" si="8"/>
        <v>289.24</v>
      </c>
      <c r="K52" s="99">
        <f t="shared" si="8"/>
        <v>287.04000000000002</v>
      </c>
      <c r="L52" s="99">
        <f t="shared" si="8"/>
        <v>297.74</v>
      </c>
      <c r="M52" s="99">
        <f t="shared" si="8"/>
        <v>287.14</v>
      </c>
      <c r="N52" s="99">
        <f t="shared" si="8"/>
        <v>297.34000000000003</v>
      </c>
      <c r="O52" s="99">
        <f t="shared" si="8"/>
        <v>266.14</v>
      </c>
      <c r="P52" s="99">
        <f t="shared" si="8"/>
        <v>269.64</v>
      </c>
      <c r="Q52" s="99">
        <f t="shared" si="8"/>
        <v>269.44</v>
      </c>
      <c r="R52" s="99">
        <f t="shared" si="8"/>
        <v>276.94</v>
      </c>
      <c r="S52" s="99">
        <f t="shared" si="8"/>
        <v>269.14</v>
      </c>
      <c r="T52" s="99">
        <f t="shared" si="8"/>
        <v>312.94</v>
      </c>
      <c r="U52" s="99">
        <f t="shared" si="8"/>
        <v>365.64</v>
      </c>
      <c r="V52" s="99">
        <f t="shared" si="8"/>
        <v>409.34</v>
      </c>
      <c r="W52" s="99">
        <f t="shared" si="8"/>
        <v>416.34</v>
      </c>
      <c r="X52" s="99">
        <f t="shared" si="8"/>
        <v>416.34</v>
      </c>
      <c r="Y52" s="99">
        <f t="shared" si="8"/>
        <v>426.34</v>
      </c>
      <c r="Z52" s="99">
        <f t="shared" si="8"/>
        <v>425.54</v>
      </c>
      <c r="AA52" s="99">
        <f t="shared" si="8"/>
        <v>435.54</v>
      </c>
      <c r="AB52" s="99">
        <f t="shared" si="8"/>
        <v>425.94</v>
      </c>
      <c r="AC52" s="99">
        <f t="shared" si="8"/>
        <v>425.94</v>
      </c>
      <c r="AD52" s="99">
        <f t="shared" si="8"/>
        <v>425.94</v>
      </c>
      <c r="AE52" s="99">
        <f t="shared" si="8"/>
        <v>419.44</v>
      </c>
      <c r="AF52" s="99">
        <f t="shared" si="8"/>
        <v>403.24</v>
      </c>
      <c r="AG52" s="98">
        <f>SUM(AG39:AG51)</f>
        <v>489.91</v>
      </c>
      <c r="AH52" s="21">
        <f t="shared" si="2"/>
        <v>435.54</v>
      </c>
      <c r="AI52" s="20">
        <f t="shared" si="3"/>
        <v>266.14</v>
      </c>
      <c r="AK52" s="42"/>
    </row>
    <row r="53" spans="1:37" x14ac:dyDescent="0.25">
      <c r="A53" s="109" t="s">
        <v>159</v>
      </c>
      <c r="B53" s="103">
        <v>59.3</v>
      </c>
      <c r="C53" s="123">
        <v>59.3</v>
      </c>
      <c r="D53" s="123">
        <v>59.5</v>
      </c>
      <c r="E53" s="123">
        <v>59.4</v>
      </c>
      <c r="F53" s="123">
        <v>59.4</v>
      </c>
      <c r="G53" s="123">
        <v>59.1</v>
      </c>
      <c r="H53" s="123">
        <v>59.1</v>
      </c>
      <c r="I53" s="123">
        <v>59.5</v>
      </c>
      <c r="J53" s="123">
        <v>59.5</v>
      </c>
      <c r="K53" s="123">
        <v>59.1</v>
      </c>
      <c r="L53" s="123">
        <v>59.1</v>
      </c>
      <c r="M53" s="122">
        <v>59.2</v>
      </c>
      <c r="N53" s="122">
        <v>40</v>
      </c>
      <c r="O53" s="122">
        <v>25.5</v>
      </c>
      <c r="P53" s="122">
        <v>20.3</v>
      </c>
      <c r="Q53" s="103">
        <v>20.6</v>
      </c>
      <c r="R53" s="103">
        <v>10</v>
      </c>
      <c r="S53" s="103">
        <v>10</v>
      </c>
      <c r="T53" s="103">
        <v>12.1</v>
      </c>
      <c r="U53" s="103">
        <v>14.1</v>
      </c>
      <c r="V53" s="103">
        <v>14.1</v>
      </c>
      <c r="W53" s="103">
        <v>14.4</v>
      </c>
      <c r="X53" s="103">
        <v>14.4</v>
      </c>
      <c r="Y53" s="103">
        <v>38.200000000000003</v>
      </c>
      <c r="Z53" s="103">
        <v>40</v>
      </c>
      <c r="AA53" s="103">
        <v>60.3</v>
      </c>
      <c r="AB53" s="103">
        <v>14</v>
      </c>
      <c r="AC53" s="103">
        <v>29</v>
      </c>
      <c r="AD53" s="103">
        <v>25</v>
      </c>
      <c r="AE53" s="103">
        <v>0</v>
      </c>
      <c r="AF53" s="103">
        <v>0</v>
      </c>
      <c r="AG53" s="108">
        <v>60</v>
      </c>
      <c r="AH53" s="21">
        <f t="shared" si="2"/>
        <v>60.3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29.3</v>
      </c>
      <c r="C54" s="123">
        <v>28.9</v>
      </c>
      <c r="D54" s="123">
        <v>29.5</v>
      </c>
      <c r="E54" s="123">
        <v>28.8</v>
      </c>
      <c r="F54" s="123">
        <v>28.8</v>
      </c>
      <c r="G54" s="123">
        <v>29.3</v>
      </c>
      <c r="H54" s="123">
        <v>29.3</v>
      </c>
      <c r="I54" s="123">
        <v>28.9</v>
      </c>
      <c r="J54" s="123">
        <v>28.9</v>
      </c>
      <c r="K54" s="123">
        <v>28.9</v>
      </c>
      <c r="L54" s="123">
        <v>29.6</v>
      </c>
      <c r="M54" s="122">
        <v>29.8</v>
      </c>
      <c r="N54" s="122">
        <v>16.899999999999999</v>
      </c>
      <c r="O54" s="122">
        <v>11.3</v>
      </c>
      <c r="P54" s="122">
        <v>8.9</v>
      </c>
      <c r="Q54" s="73">
        <v>9.4</v>
      </c>
      <c r="R54" s="73">
        <v>4.7</v>
      </c>
      <c r="S54" s="73">
        <v>4.7</v>
      </c>
      <c r="T54" s="103">
        <v>3.8</v>
      </c>
      <c r="U54" s="103">
        <v>6</v>
      </c>
      <c r="V54" s="103">
        <v>6</v>
      </c>
      <c r="W54" s="73">
        <v>6</v>
      </c>
      <c r="X54" s="73">
        <v>6</v>
      </c>
      <c r="Y54" s="73">
        <v>18.3</v>
      </c>
      <c r="Z54" s="73">
        <v>15.4</v>
      </c>
      <c r="AA54" s="73">
        <v>22.5</v>
      </c>
      <c r="AB54" s="73">
        <v>15</v>
      </c>
      <c r="AC54" s="73">
        <v>15.3</v>
      </c>
      <c r="AD54" s="73">
        <v>12.3</v>
      </c>
      <c r="AE54" s="73">
        <v>0</v>
      </c>
      <c r="AF54" s="73">
        <v>0</v>
      </c>
      <c r="AG54" s="106">
        <v>32</v>
      </c>
      <c r="AH54" s="21">
        <f t="shared" si="2"/>
        <v>29.8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10.7</v>
      </c>
      <c r="C55" s="120">
        <v>10.5</v>
      </c>
      <c r="D55" s="120">
        <v>10.8</v>
      </c>
      <c r="E55" s="120">
        <v>10.5</v>
      </c>
      <c r="F55" s="120">
        <v>10.5</v>
      </c>
      <c r="G55" s="120">
        <v>10.7</v>
      </c>
      <c r="H55" s="120">
        <v>10.7</v>
      </c>
      <c r="I55" s="120">
        <v>10.6</v>
      </c>
      <c r="J55" s="120">
        <v>10.6</v>
      </c>
      <c r="K55" s="120">
        <v>10.6</v>
      </c>
      <c r="L55" s="120">
        <v>10.8</v>
      </c>
      <c r="M55" s="119">
        <v>10.9</v>
      </c>
      <c r="N55" s="119">
        <v>6.2</v>
      </c>
      <c r="O55" s="119">
        <v>4.0999999999999996</v>
      </c>
      <c r="P55" s="119">
        <v>3.3</v>
      </c>
      <c r="Q55" s="118">
        <v>3.4</v>
      </c>
      <c r="R55" s="118">
        <v>1.7</v>
      </c>
      <c r="S55" s="118">
        <v>1.7</v>
      </c>
      <c r="T55" s="103">
        <v>1.4</v>
      </c>
      <c r="U55" s="103">
        <v>2.2000000000000002</v>
      </c>
      <c r="V55" s="103">
        <v>2.2000000000000002</v>
      </c>
      <c r="W55" s="118">
        <v>2.2000000000000002</v>
      </c>
      <c r="X55" s="118">
        <v>2.2000000000000002</v>
      </c>
      <c r="Y55" s="118">
        <v>6.7</v>
      </c>
      <c r="Z55" s="118">
        <v>5.6</v>
      </c>
      <c r="AA55" s="118">
        <v>8.1999999999999993</v>
      </c>
      <c r="AB55" s="118">
        <v>6</v>
      </c>
      <c r="AC55" s="118">
        <v>5.6</v>
      </c>
      <c r="AD55" s="118">
        <v>4.5</v>
      </c>
      <c r="AE55" s="118">
        <v>0</v>
      </c>
      <c r="AF55" s="118">
        <v>0</v>
      </c>
      <c r="AG55" s="117">
        <v>14</v>
      </c>
      <c r="AH55" s="21">
        <f t="shared" si="2"/>
        <v>10.9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 t="shared" ref="B56" si="9">SUM(B53:B55)</f>
        <v>99.3</v>
      </c>
      <c r="C56" s="99">
        <f>SUM(C53:C55)</f>
        <v>98.699999999999989</v>
      </c>
      <c r="D56" s="99">
        <f t="shared" ref="D56:AF56" si="10">SUM(D53:D55)</f>
        <v>99.8</v>
      </c>
      <c r="E56" s="99">
        <f t="shared" si="10"/>
        <v>98.7</v>
      </c>
      <c r="F56" s="99">
        <f t="shared" si="10"/>
        <v>98.7</v>
      </c>
      <c r="G56" s="99">
        <f t="shared" si="10"/>
        <v>99.100000000000009</v>
      </c>
      <c r="H56" s="99">
        <f t="shared" si="10"/>
        <v>99.100000000000009</v>
      </c>
      <c r="I56" s="99">
        <f t="shared" si="10"/>
        <v>99</v>
      </c>
      <c r="J56" s="99">
        <f t="shared" si="10"/>
        <v>99</v>
      </c>
      <c r="K56" s="99">
        <f t="shared" si="10"/>
        <v>98.6</v>
      </c>
      <c r="L56" s="99">
        <f t="shared" si="10"/>
        <v>99.5</v>
      </c>
      <c r="M56" s="99">
        <f t="shared" si="10"/>
        <v>99.9</v>
      </c>
      <c r="N56" s="99">
        <f t="shared" si="10"/>
        <v>63.1</v>
      </c>
      <c r="O56" s="99">
        <f t="shared" si="10"/>
        <v>40.9</v>
      </c>
      <c r="P56" s="99">
        <f t="shared" si="10"/>
        <v>32.5</v>
      </c>
      <c r="Q56" s="99">
        <f t="shared" si="10"/>
        <v>33.4</v>
      </c>
      <c r="R56" s="99">
        <f t="shared" si="10"/>
        <v>16.399999999999999</v>
      </c>
      <c r="S56" s="99">
        <f t="shared" si="10"/>
        <v>16.399999999999999</v>
      </c>
      <c r="T56" s="99">
        <f t="shared" si="10"/>
        <v>17.299999999999997</v>
      </c>
      <c r="U56" s="99">
        <f t="shared" si="10"/>
        <v>22.3</v>
      </c>
      <c r="V56" s="99">
        <f t="shared" si="10"/>
        <v>22.3</v>
      </c>
      <c r="W56" s="99">
        <f t="shared" si="10"/>
        <v>22.599999999999998</v>
      </c>
      <c r="X56" s="99">
        <f t="shared" si="10"/>
        <v>22.599999999999998</v>
      </c>
      <c r="Y56" s="99">
        <f t="shared" si="10"/>
        <v>63.2</v>
      </c>
      <c r="Z56" s="99">
        <f t="shared" si="10"/>
        <v>61</v>
      </c>
      <c r="AA56" s="99">
        <f t="shared" si="10"/>
        <v>91</v>
      </c>
      <c r="AB56" s="99">
        <f t="shared" si="10"/>
        <v>35</v>
      </c>
      <c r="AC56" s="99">
        <f t="shared" si="10"/>
        <v>49.9</v>
      </c>
      <c r="AD56" s="99">
        <f t="shared" si="10"/>
        <v>41.8</v>
      </c>
      <c r="AE56" s="99">
        <f t="shared" si="10"/>
        <v>0</v>
      </c>
      <c r="AF56" s="99">
        <f t="shared" si="10"/>
        <v>0</v>
      </c>
      <c r="AG56" s="98">
        <f>SUM(AG53:AG55)</f>
        <v>106</v>
      </c>
      <c r="AH56" s="21">
        <f t="shared" si="2"/>
        <v>99.9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56.56</v>
      </c>
      <c r="C57" s="103">
        <v>52.73</v>
      </c>
      <c r="D57" s="103">
        <v>50.46</v>
      </c>
      <c r="E57" s="103">
        <v>67.28</v>
      </c>
      <c r="F57" s="103">
        <v>63.2</v>
      </c>
      <c r="G57" s="103">
        <v>62.3</v>
      </c>
      <c r="H57" s="103">
        <v>65.2</v>
      </c>
      <c r="I57" s="103">
        <v>63.03</v>
      </c>
      <c r="J57" s="103">
        <v>57.38</v>
      </c>
      <c r="K57" s="103">
        <v>57.54</v>
      </c>
      <c r="L57" s="103">
        <v>48.13</v>
      </c>
      <c r="M57" s="103">
        <v>49</v>
      </c>
      <c r="N57" s="103">
        <v>50</v>
      </c>
      <c r="O57" s="103">
        <v>55.4</v>
      </c>
      <c r="P57" s="103">
        <v>45</v>
      </c>
      <c r="Q57" s="103">
        <v>45</v>
      </c>
      <c r="R57" s="103">
        <v>51</v>
      </c>
      <c r="S57" s="103">
        <v>35.799999999999997</v>
      </c>
      <c r="T57" s="103">
        <v>34.6</v>
      </c>
      <c r="U57" s="103">
        <v>35.9</v>
      </c>
      <c r="V57" s="103">
        <v>39.6</v>
      </c>
      <c r="W57" s="103">
        <v>33.200000000000003</v>
      </c>
      <c r="X57" s="103">
        <v>33.6</v>
      </c>
      <c r="Y57" s="103">
        <v>25.33</v>
      </c>
      <c r="Z57" s="103">
        <v>18.260000000000002</v>
      </c>
      <c r="AA57" s="103">
        <v>30.5</v>
      </c>
      <c r="AB57" s="183">
        <v>31</v>
      </c>
      <c r="AC57" s="103">
        <v>35</v>
      </c>
      <c r="AD57" s="103">
        <v>34</v>
      </c>
      <c r="AE57" s="103">
        <v>37</v>
      </c>
      <c r="AF57" s="103">
        <v>33</v>
      </c>
      <c r="AG57" s="108"/>
      <c r="AH57" s="21">
        <f t="shared" si="2"/>
        <v>67.28</v>
      </c>
      <c r="AI57" s="20">
        <f t="shared" si="3"/>
        <v>18.260000000000002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125.1</v>
      </c>
      <c r="K58" s="73">
        <v>148</v>
      </c>
      <c r="L58" s="73">
        <v>172</v>
      </c>
      <c r="M58" s="103">
        <f>96.5+55</f>
        <v>151.5</v>
      </c>
      <c r="N58" s="103">
        <v>142</v>
      </c>
      <c r="O58" s="103">
        <v>125</v>
      </c>
      <c r="P58" s="103">
        <v>66.099999999999994</v>
      </c>
      <c r="Q58" s="103">
        <v>55</v>
      </c>
      <c r="R58" s="103">
        <v>50.2</v>
      </c>
      <c r="S58" s="103">
        <v>45.8</v>
      </c>
      <c r="T58" s="103">
        <v>0</v>
      </c>
      <c r="U58" s="103">
        <v>0</v>
      </c>
      <c r="V58" s="103">
        <v>0</v>
      </c>
      <c r="W58" s="103">
        <v>0</v>
      </c>
      <c r="X58" s="103">
        <v>0</v>
      </c>
      <c r="Y58" s="116">
        <v>0</v>
      </c>
      <c r="Z58" s="116">
        <v>0</v>
      </c>
      <c r="AA58" s="116">
        <v>0</v>
      </c>
      <c r="AB58" s="18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172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66.3</v>
      </c>
      <c r="C59" s="73">
        <v>61</v>
      </c>
      <c r="D59" s="73">
        <v>72</v>
      </c>
      <c r="E59" s="73">
        <v>171.8</v>
      </c>
      <c r="F59" s="73">
        <v>202.6</v>
      </c>
      <c r="G59" s="73">
        <v>185.2</v>
      </c>
      <c r="H59" s="103">
        <v>112.7</v>
      </c>
      <c r="I59" s="103">
        <v>107.5</v>
      </c>
      <c r="J59" s="103">
        <v>150</v>
      </c>
      <c r="K59" s="103">
        <v>168.9</v>
      </c>
      <c r="L59" s="103">
        <v>155.5</v>
      </c>
      <c r="M59" s="73">
        <v>155.5</v>
      </c>
      <c r="N59" s="73">
        <v>185</v>
      </c>
      <c r="O59" s="73">
        <v>195</v>
      </c>
      <c r="P59" s="73">
        <v>325</v>
      </c>
      <c r="Q59" s="73">
        <v>309.89999999999998</v>
      </c>
      <c r="R59" s="73">
        <v>330.4</v>
      </c>
      <c r="S59" s="73">
        <v>152.80000000000001</v>
      </c>
      <c r="T59" s="73">
        <v>155.4</v>
      </c>
      <c r="U59" s="73">
        <v>165.1</v>
      </c>
      <c r="V59" s="73">
        <v>95</v>
      </c>
      <c r="W59" s="73">
        <v>90.7</v>
      </c>
      <c r="X59" s="73">
        <v>117</v>
      </c>
      <c r="Y59" s="115">
        <v>171</v>
      </c>
      <c r="Z59" s="115">
        <v>119.7</v>
      </c>
      <c r="AA59" s="115">
        <v>103</v>
      </c>
      <c r="AB59" s="122">
        <v>113</v>
      </c>
      <c r="AC59" s="73">
        <v>122</v>
      </c>
      <c r="AD59" s="73">
        <v>140</v>
      </c>
      <c r="AE59" s="73">
        <v>122.5</v>
      </c>
      <c r="AF59" s="73">
        <v>126</v>
      </c>
      <c r="AG59" s="113"/>
      <c r="AH59" s="21">
        <f t="shared" si="2"/>
        <v>330.4</v>
      </c>
      <c r="AI59" s="20">
        <f t="shared" si="3"/>
        <v>61</v>
      </c>
      <c r="AK59" s="42"/>
    </row>
    <row r="60" spans="1:37" x14ac:dyDescent="0.25">
      <c r="A60" s="107" t="s">
        <v>139</v>
      </c>
      <c r="B60" s="77">
        <v>15</v>
      </c>
      <c r="C60" s="77">
        <v>20</v>
      </c>
      <c r="D60" s="77">
        <v>20</v>
      </c>
      <c r="E60" s="77">
        <v>20</v>
      </c>
      <c r="F60" s="77">
        <v>20</v>
      </c>
      <c r="G60" s="77">
        <v>20</v>
      </c>
      <c r="H60" s="77">
        <v>20</v>
      </c>
      <c r="I60" s="77">
        <v>20</v>
      </c>
      <c r="J60" s="77">
        <v>42</v>
      </c>
      <c r="K60" s="77">
        <v>48.2</v>
      </c>
      <c r="L60" s="77">
        <v>51.2</v>
      </c>
      <c r="M60" s="73">
        <v>51.2</v>
      </c>
      <c r="N60" s="73">
        <v>48</v>
      </c>
      <c r="O60" s="73">
        <v>48</v>
      </c>
      <c r="P60" s="73">
        <v>49</v>
      </c>
      <c r="Q60" s="73">
        <v>49</v>
      </c>
      <c r="R60" s="73">
        <v>52</v>
      </c>
      <c r="S60" s="73">
        <v>54.3</v>
      </c>
      <c r="T60" s="73">
        <v>44.5</v>
      </c>
      <c r="U60" s="73">
        <v>49.6</v>
      </c>
      <c r="V60" s="73">
        <v>49.6</v>
      </c>
      <c r="W60" s="73">
        <v>50.7</v>
      </c>
      <c r="X60" s="73">
        <v>50.7</v>
      </c>
      <c r="Y60" s="73">
        <v>10</v>
      </c>
      <c r="Z60" s="73">
        <v>10</v>
      </c>
      <c r="AA60" s="73">
        <v>10</v>
      </c>
      <c r="AB60" s="122">
        <v>10</v>
      </c>
      <c r="AC60" s="122">
        <v>10</v>
      </c>
      <c r="AD60" s="73">
        <v>10</v>
      </c>
      <c r="AE60" s="73">
        <v>10</v>
      </c>
      <c r="AF60" s="73">
        <v>10</v>
      </c>
      <c r="AG60" s="113"/>
      <c r="AH60" s="21">
        <f t="shared" si="2"/>
        <v>54.3</v>
      </c>
      <c r="AI60" s="20">
        <f t="shared" si="3"/>
        <v>10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>
        <v>25.2</v>
      </c>
      <c r="J61" s="103">
        <v>79</v>
      </c>
      <c r="K61" s="103">
        <v>66.3</v>
      </c>
      <c r="L61" s="103">
        <v>66</v>
      </c>
      <c r="M61" s="103">
        <v>66</v>
      </c>
      <c r="N61" s="103">
        <v>72.8</v>
      </c>
      <c r="O61" s="103">
        <v>72.8</v>
      </c>
      <c r="P61" s="103">
        <v>70.900000000000006</v>
      </c>
      <c r="Q61" s="103">
        <v>79.900000000000006</v>
      </c>
      <c r="R61" s="103">
        <v>76.7</v>
      </c>
      <c r="S61" s="103">
        <v>70.599999999999994</v>
      </c>
      <c r="T61" s="103">
        <v>60.6</v>
      </c>
      <c r="U61" s="103">
        <v>58.5</v>
      </c>
      <c r="V61" s="103">
        <v>61.4</v>
      </c>
      <c r="W61" s="103">
        <v>71.099999999999994</v>
      </c>
      <c r="X61" s="103">
        <v>58.8</v>
      </c>
      <c r="Y61" s="103">
        <v>0</v>
      </c>
      <c r="Z61" s="103">
        <v>0</v>
      </c>
      <c r="AA61" s="103">
        <v>0</v>
      </c>
      <c r="AB61" s="183">
        <v>0</v>
      </c>
      <c r="AC61" s="183">
        <v>0</v>
      </c>
      <c r="AD61" s="183">
        <v>0</v>
      </c>
      <c r="AE61" s="183">
        <v>0</v>
      </c>
      <c r="AF61" s="183">
        <v>0</v>
      </c>
      <c r="AG61" s="113"/>
      <c r="AH61" s="21">
        <f t="shared" si="2"/>
        <v>79.900000000000006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73">
        <v>8</v>
      </c>
      <c r="N62" s="73">
        <v>8</v>
      </c>
      <c r="O62" s="73">
        <v>8</v>
      </c>
      <c r="P62" s="73">
        <v>8</v>
      </c>
      <c r="Q62" s="73">
        <v>8</v>
      </c>
      <c r="R62" s="73">
        <v>8</v>
      </c>
      <c r="S62" s="73">
        <v>8</v>
      </c>
      <c r="T62" s="73">
        <v>8</v>
      </c>
      <c r="U62" s="73">
        <v>8</v>
      </c>
      <c r="V62" s="73">
        <v>8</v>
      </c>
      <c r="W62" s="73">
        <v>8</v>
      </c>
      <c r="X62" s="73">
        <v>8</v>
      </c>
      <c r="Y62" s="73">
        <v>8</v>
      </c>
      <c r="Z62" s="73">
        <v>8</v>
      </c>
      <c r="AA62" s="73">
        <v>8</v>
      </c>
      <c r="AB62" s="122">
        <v>8</v>
      </c>
      <c r="AC62" s="122">
        <v>8</v>
      </c>
      <c r="AD62" s="122">
        <v>8</v>
      </c>
      <c r="AE62" s="122">
        <v>8</v>
      </c>
      <c r="AF62" s="122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103">
        <v>0</v>
      </c>
      <c r="U63" s="103">
        <v>0</v>
      </c>
      <c r="V63" s="103">
        <v>0</v>
      </c>
      <c r="W63" s="103">
        <v>0</v>
      </c>
      <c r="X63" s="103">
        <v>0</v>
      </c>
      <c r="Y63" s="103">
        <v>0</v>
      </c>
      <c r="Z63" s="103">
        <v>0</v>
      </c>
      <c r="AA63" s="103">
        <v>0</v>
      </c>
      <c r="AB63" s="183">
        <v>0</v>
      </c>
      <c r="AC63" s="183">
        <v>0</v>
      </c>
      <c r="AD63" s="183">
        <v>0</v>
      </c>
      <c r="AE63" s="183">
        <v>0</v>
      </c>
      <c r="AF63" s="183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3.5</v>
      </c>
      <c r="C64" s="77">
        <v>3.5</v>
      </c>
      <c r="D64" s="77">
        <v>3.5</v>
      </c>
      <c r="E64" s="77">
        <v>3.5</v>
      </c>
      <c r="F64" s="77">
        <v>3.5</v>
      </c>
      <c r="G64" s="77">
        <v>3.5</v>
      </c>
      <c r="H64" s="77">
        <v>3.5</v>
      </c>
      <c r="I64" s="77">
        <v>3.5</v>
      </c>
      <c r="J64" s="77">
        <v>3.5</v>
      </c>
      <c r="K64" s="77">
        <v>3.5</v>
      </c>
      <c r="L64" s="77">
        <v>3.5</v>
      </c>
      <c r="M64" s="77">
        <v>7</v>
      </c>
      <c r="N64" s="77">
        <v>7</v>
      </c>
      <c r="O64" s="77">
        <v>7</v>
      </c>
      <c r="P64" s="77">
        <v>7</v>
      </c>
      <c r="Q64" s="77">
        <v>7</v>
      </c>
      <c r="R64" s="77">
        <v>7</v>
      </c>
      <c r="S64" s="77">
        <v>7</v>
      </c>
      <c r="T64" s="77">
        <v>7</v>
      </c>
      <c r="U64" s="77">
        <v>7</v>
      </c>
      <c r="V64" s="77">
        <v>7</v>
      </c>
      <c r="W64" s="77">
        <v>7</v>
      </c>
      <c r="X64" s="77">
        <v>7</v>
      </c>
      <c r="Y64" s="77">
        <v>7</v>
      </c>
      <c r="Z64" s="77">
        <v>7</v>
      </c>
      <c r="AA64" s="77">
        <v>7</v>
      </c>
      <c r="AB64" s="184">
        <v>7</v>
      </c>
      <c r="AC64" s="184">
        <v>7</v>
      </c>
      <c r="AD64" s="184">
        <v>7</v>
      </c>
      <c r="AE64" s="184">
        <v>7</v>
      </c>
      <c r="AF64" s="184">
        <v>7</v>
      </c>
      <c r="AG64" s="113"/>
      <c r="AH64" s="21">
        <f t="shared" si="2"/>
        <v>7</v>
      </c>
      <c r="AI64" s="20">
        <f t="shared" si="3"/>
        <v>3.5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3</v>
      </c>
      <c r="N65" s="77">
        <v>3</v>
      </c>
      <c r="O65" s="77">
        <v>3</v>
      </c>
      <c r="P65" s="77">
        <v>3</v>
      </c>
      <c r="Q65" s="77">
        <v>3</v>
      </c>
      <c r="R65" s="77">
        <v>3</v>
      </c>
      <c r="S65" s="77">
        <v>3</v>
      </c>
      <c r="T65" s="77">
        <v>3</v>
      </c>
      <c r="U65" s="77">
        <v>3</v>
      </c>
      <c r="V65" s="77">
        <v>3</v>
      </c>
      <c r="W65" s="77">
        <v>3</v>
      </c>
      <c r="X65" s="77">
        <v>3</v>
      </c>
      <c r="Y65" s="77">
        <v>3</v>
      </c>
      <c r="Z65" s="77">
        <v>3</v>
      </c>
      <c r="AA65" s="77">
        <v>3</v>
      </c>
      <c r="AB65" s="184">
        <v>3</v>
      </c>
      <c r="AC65" s="184">
        <v>3</v>
      </c>
      <c r="AD65" s="184">
        <v>3</v>
      </c>
      <c r="AE65" s="184">
        <v>3</v>
      </c>
      <c r="AF65" s="184">
        <v>3</v>
      </c>
      <c r="AG65" s="113"/>
      <c r="AH65" s="21">
        <f t="shared" si="2"/>
        <v>3</v>
      </c>
      <c r="AI65" s="20">
        <f t="shared" si="3"/>
        <v>3</v>
      </c>
      <c r="AK65" s="42"/>
    </row>
    <row r="66" spans="1:88" x14ac:dyDescent="0.25">
      <c r="A66" s="104" t="s">
        <v>149</v>
      </c>
      <c r="B66" s="70">
        <v>7</v>
      </c>
      <c r="C66" s="70">
        <v>7</v>
      </c>
      <c r="D66" s="70">
        <v>7</v>
      </c>
      <c r="E66" s="70">
        <v>7</v>
      </c>
      <c r="F66" s="70">
        <v>7</v>
      </c>
      <c r="G66" s="70">
        <v>7</v>
      </c>
      <c r="H66" s="70">
        <v>7</v>
      </c>
      <c r="I66" s="70">
        <v>7</v>
      </c>
      <c r="J66" s="70">
        <v>7</v>
      </c>
      <c r="K66" s="70">
        <v>7</v>
      </c>
      <c r="L66" s="70">
        <v>7</v>
      </c>
      <c r="M66" s="73">
        <v>7</v>
      </c>
      <c r="N66" s="73">
        <v>7</v>
      </c>
      <c r="O66" s="73">
        <v>7</v>
      </c>
      <c r="P66" s="73">
        <v>7</v>
      </c>
      <c r="Q66" s="73">
        <v>7</v>
      </c>
      <c r="R66" s="73">
        <v>7</v>
      </c>
      <c r="S66" s="73">
        <v>7</v>
      </c>
      <c r="T66" s="73">
        <v>7</v>
      </c>
      <c r="U66" s="73">
        <v>7</v>
      </c>
      <c r="V66" s="73">
        <v>7</v>
      </c>
      <c r="W66" s="73">
        <v>7</v>
      </c>
      <c r="X66" s="73">
        <v>7</v>
      </c>
      <c r="Y66" s="73">
        <v>7</v>
      </c>
      <c r="Z66" s="73">
        <v>7</v>
      </c>
      <c r="AA66" s="73">
        <v>7</v>
      </c>
      <c r="AB66" s="122">
        <v>7</v>
      </c>
      <c r="AC66" s="122">
        <v>7</v>
      </c>
      <c r="AD66" s="122">
        <v>7</v>
      </c>
      <c r="AE66" s="122">
        <v>7</v>
      </c>
      <c r="AF66" s="122">
        <v>7</v>
      </c>
      <c r="AG66" s="102"/>
      <c r="AH66" s="21">
        <f t="shared" si="2"/>
        <v>7</v>
      </c>
      <c r="AI66" s="20">
        <f t="shared" si="3"/>
        <v>7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1">SUM(B57:B67)</f>
        <v>159.36000000000001</v>
      </c>
      <c r="C68" s="99">
        <f>SUM(C57:C67)</f>
        <v>155.22999999999999</v>
      </c>
      <c r="D68" s="99">
        <f t="shared" ref="D68:AF68" si="12">SUM(D57:D67)</f>
        <v>163.96</v>
      </c>
      <c r="E68" s="99">
        <f t="shared" si="12"/>
        <v>280.58000000000004</v>
      </c>
      <c r="F68" s="99">
        <f t="shared" si="12"/>
        <v>307.3</v>
      </c>
      <c r="G68" s="99">
        <f t="shared" si="12"/>
        <v>289</v>
      </c>
      <c r="H68" s="99">
        <f t="shared" si="12"/>
        <v>219.4</v>
      </c>
      <c r="I68" s="99">
        <f t="shared" si="12"/>
        <v>237.23</v>
      </c>
      <c r="J68" s="99">
        <f t="shared" si="12"/>
        <v>474.98</v>
      </c>
      <c r="K68" s="99">
        <f t="shared" si="12"/>
        <v>510.44</v>
      </c>
      <c r="L68" s="99">
        <f t="shared" si="12"/>
        <v>514.32999999999993</v>
      </c>
      <c r="M68" s="99">
        <f t="shared" si="12"/>
        <v>498.2</v>
      </c>
      <c r="N68" s="99">
        <f t="shared" si="12"/>
        <v>522.79999999999995</v>
      </c>
      <c r="O68" s="99">
        <f t="shared" si="12"/>
        <v>521.20000000000005</v>
      </c>
      <c r="P68" s="99">
        <f t="shared" si="12"/>
        <v>581</v>
      </c>
      <c r="Q68" s="99">
        <f t="shared" si="12"/>
        <v>563.79999999999995</v>
      </c>
      <c r="R68" s="99">
        <f t="shared" si="12"/>
        <v>585.29999999999995</v>
      </c>
      <c r="S68" s="99">
        <f t="shared" si="12"/>
        <v>384.29999999999995</v>
      </c>
      <c r="T68" s="99">
        <f t="shared" si="12"/>
        <v>320.10000000000002</v>
      </c>
      <c r="U68" s="99">
        <f t="shared" si="12"/>
        <v>334.1</v>
      </c>
      <c r="V68" s="99">
        <f t="shared" si="12"/>
        <v>270.60000000000002</v>
      </c>
      <c r="W68" s="99">
        <f t="shared" si="12"/>
        <v>270.70000000000005</v>
      </c>
      <c r="X68" s="99">
        <f t="shared" si="12"/>
        <v>285.10000000000002</v>
      </c>
      <c r="Y68" s="99">
        <f t="shared" si="12"/>
        <v>231.32999999999998</v>
      </c>
      <c r="Z68" s="99">
        <f t="shared" si="12"/>
        <v>172.96</v>
      </c>
      <c r="AA68" s="99">
        <f t="shared" si="12"/>
        <v>168.5</v>
      </c>
      <c r="AB68" s="99">
        <f t="shared" si="12"/>
        <v>179</v>
      </c>
      <c r="AC68" s="99">
        <f t="shared" si="12"/>
        <v>192</v>
      </c>
      <c r="AD68" s="99">
        <f t="shared" si="12"/>
        <v>209</v>
      </c>
      <c r="AE68" s="99">
        <f t="shared" si="12"/>
        <v>194.5</v>
      </c>
      <c r="AF68" s="99">
        <f t="shared" si="12"/>
        <v>194</v>
      </c>
      <c r="AG68" s="98">
        <f>SUM(AG57:AG67)</f>
        <v>0</v>
      </c>
      <c r="AH68" s="21">
        <f t="shared" si="2"/>
        <v>585.29999999999995</v>
      </c>
      <c r="AI68" s="20">
        <f t="shared" si="3"/>
        <v>155.22999999999999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3">SUM(B69:B71)</f>
        <v>0</v>
      </c>
      <c r="C72" s="99">
        <f>SUM(C69:C71)</f>
        <v>0</v>
      </c>
      <c r="D72" s="99">
        <f t="shared" ref="D72:AF72" si="14">SUM(D69:D71)</f>
        <v>0</v>
      </c>
      <c r="E72" s="99">
        <f t="shared" si="14"/>
        <v>0</v>
      </c>
      <c r="F72" s="99">
        <f t="shared" si="14"/>
        <v>0</v>
      </c>
      <c r="G72" s="99">
        <f t="shared" si="14"/>
        <v>0</v>
      </c>
      <c r="H72" s="99">
        <f t="shared" si="14"/>
        <v>0</v>
      </c>
      <c r="I72" s="99">
        <f t="shared" si="14"/>
        <v>0</v>
      </c>
      <c r="J72" s="99">
        <f t="shared" si="14"/>
        <v>0</v>
      </c>
      <c r="K72" s="99">
        <f t="shared" si="14"/>
        <v>0</v>
      </c>
      <c r="L72" s="99">
        <f t="shared" si="14"/>
        <v>0</v>
      </c>
      <c r="M72" s="99">
        <f t="shared" si="14"/>
        <v>0</v>
      </c>
      <c r="N72" s="99">
        <f t="shared" si="14"/>
        <v>0</v>
      </c>
      <c r="O72" s="99">
        <f t="shared" si="14"/>
        <v>0</v>
      </c>
      <c r="P72" s="99">
        <f t="shared" si="14"/>
        <v>0</v>
      </c>
      <c r="Q72" s="99">
        <f t="shared" si="14"/>
        <v>0</v>
      </c>
      <c r="R72" s="99">
        <f t="shared" si="14"/>
        <v>0</v>
      </c>
      <c r="S72" s="99">
        <f t="shared" si="14"/>
        <v>0</v>
      </c>
      <c r="T72" s="99">
        <f t="shared" si="14"/>
        <v>0</v>
      </c>
      <c r="U72" s="99">
        <f t="shared" si="14"/>
        <v>0</v>
      </c>
      <c r="V72" s="99">
        <f t="shared" si="14"/>
        <v>0</v>
      </c>
      <c r="W72" s="99">
        <f t="shared" si="14"/>
        <v>0</v>
      </c>
      <c r="X72" s="99">
        <f t="shared" si="14"/>
        <v>0</v>
      </c>
      <c r="Y72" s="99">
        <f t="shared" si="14"/>
        <v>0</v>
      </c>
      <c r="Z72" s="99">
        <f t="shared" si="14"/>
        <v>0</v>
      </c>
      <c r="AA72" s="99">
        <f t="shared" si="14"/>
        <v>0</v>
      </c>
      <c r="AB72" s="99">
        <f t="shared" si="14"/>
        <v>0</v>
      </c>
      <c r="AC72" s="99">
        <f t="shared" si="14"/>
        <v>0</v>
      </c>
      <c r="AD72" s="99">
        <f t="shared" si="14"/>
        <v>0</v>
      </c>
      <c r="AE72" s="99">
        <f t="shared" si="14"/>
        <v>0</v>
      </c>
      <c r="AF72" s="99">
        <f t="shared" si="14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5">B68+B56+B52+B38+B72</f>
        <v>1293.5</v>
      </c>
      <c r="C73" s="110">
        <f>C68+C56+C52+C38+C72</f>
        <v>1264.3699999999999</v>
      </c>
      <c r="D73" s="110">
        <f t="shared" ref="D73:AG73" si="16">D68+D56+D52+D38+D72</f>
        <v>1254.5999999999999</v>
      </c>
      <c r="E73" s="110">
        <f t="shared" si="16"/>
        <v>1267.42</v>
      </c>
      <c r="F73" s="110">
        <f t="shared" si="16"/>
        <v>1235.8400000000001</v>
      </c>
      <c r="G73" s="110">
        <f t="shared" si="16"/>
        <v>1250.74</v>
      </c>
      <c r="H73" s="110">
        <f t="shared" si="16"/>
        <v>1271.8399999999999</v>
      </c>
      <c r="I73" s="110">
        <f t="shared" si="16"/>
        <v>1268.57</v>
      </c>
      <c r="J73" s="110">
        <f t="shared" si="16"/>
        <v>1321.52</v>
      </c>
      <c r="K73" s="110">
        <f t="shared" si="16"/>
        <v>1315.58</v>
      </c>
      <c r="L73" s="110">
        <f t="shared" si="16"/>
        <v>1312.17</v>
      </c>
      <c r="M73" s="110">
        <f t="shared" si="16"/>
        <v>1280.8400000000001</v>
      </c>
      <c r="N73" s="110">
        <f t="shared" si="16"/>
        <v>1258.8400000000001</v>
      </c>
      <c r="O73" s="110">
        <f t="shared" si="16"/>
        <v>1238.8400000000001</v>
      </c>
      <c r="P73" s="110">
        <f t="shared" si="16"/>
        <v>1258.74</v>
      </c>
      <c r="Q73" s="110">
        <f t="shared" si="16"/>
        <v>1242.54</v>
      </c>
      <c r="R73" s="110">
        <f t="shared" si="16"/>
        <v>1254.54</v>
      </c>
      <c r="S73" s="110">
        <f t="shared" si="16"/>
        <v>1230.7399999999998</v>
      </c>
      <c r="T73" s="110">
        <f t="shared" si="16"/>
        <v>1211.24</v>
      </c>
      <c r="U73" s="110">
        <f t="shared" si="16"/>
        <v>1232.94</v>
      </c>
      <c r="V73" s="110">
        <f t="shared" si="16"/>
        <v>1240.3400000000001</v>
      </c>
      <c r="W73" s="110">
        <f t="shared" si="16"/>
        <v>1239.94</v>
      </c>
      <c r="X73" s="110">
        <f t="shared" si="16"/>
        <v>1247.1399999999999</v>
      </c>
      <c r="Y73" s="110">
        <f t="shared" si="16"/>
        <v>1333.9699999999998</v>
      </c>
      <c r="Z73" s="110">
        <f t="shared" si="16"/>
        <v>1358.5</v>
      </c>
      <c r="AA73" s="110">
        <f t="shared" si="16"/>
        <v>1414.04</v>
      </c>
      <c r="AB73" s="110">
        <f t="shared" si="16"/>
        <v>1379.0400000000002</v>
      </c>
      <c r="AC73" s="110">
        <f t="shared" si="16"/>
        <v>1368.94</v>
      </c>
      <c r="AD73" s="110">
        <f t="shared" si="16"/>
        <v>1353.3400000000001</v>
      </c>
      <c r="AE73" s="110">
        <f t="shared" si="16"/>
        <v>1253.1400000000001</v>
      </c>
      <c r="AF73" s="110">
        <f t="shared" si="16"/>
        <v>1210.94</v>
      </c>
      <c r="AG73" s="110">
        <f t="shared" si="16"/>
        <v>2144.14</v>
      </c>
      <c r="AH73" s="21">
        <f t="shared" si="2"/>
        <v>1414.04</v>
      </c>
      <c r="AI73" s="20">
        <f t="shared" si="3"/>
        <v>1210.94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7">B72+B68+B56+B52+B38+B74</f>
        <v>1293.5</v>
      </c>
      <c r="C75" s="110">
        <f>C73+C74</f>
        <v>1264.3699999999999</v>
      </c>
      <c r="D75" s="110">
        <f t="shared" ref="D75:AF75" si="18">D72+D68+D56+D52+D38+D74</f>
        <v>1254.5999999999999</v>
      </c>
      <c r="E75" s="110">
        <f t="shared" si="18"/>
        <v>1267.42</v>
      </c>
      <c r="F75" s="110">
        <f t="shared" si="18"/>
        <v>1235.8400000000001</v>
      </c>
      <c r="G75" s="110">
        <f t="shared" si="18"/>
        <v>1250.74</v>
      </c>
      <c r="H75" s="110">
        <f t="shared" si="18"/>
        <v>1271.8399999999999</v>
      </c>
      <c r="I75" s="110">
        <f t="shared" si="18"/>
        <v>1268.57</v>
      </c>
      <c r="J75" s="110">
        <f t="shared" si="18"/>
        <v>1321.52</v>
      </c>
      <c r="K75" s="110">
        <f t="shared" si="18"/>
        <v>1315.58</v>
      </c>
      <c r="L75" s="110">
        <f t="shared" si="18"/>
        <v>1312.17</v>
      </c>
      <c r="M75" s="110">
        <f t="shared" si="18"/>
        <v>1280.8400000000001</v>
      </c>
      <c r="N75" s="110">
        <f t="shared" si="18"/>
        <v>1258.8400000000001</v>
      </c>
      <c r="O75" s="110">
        <f t="shared" si="18"/>
        <v>1238.8400000000001</v>
      </c>
      <c r="P75" s="110">
        <f t="shared" si="18"/>
        <v>1258.74</v>
      </c>
      <c r="Q75" s="110">
        <f t="shared" si="18"/>
        <v>1242.54</v>
      </c>
      <c r="R75" s="110">
        <f t="shared" si="18"/>
        <v>1254.54</v>
      </c>
      <c r="S75" s="110">
        <f t="shared" si="18"/>
        <v>1230.7399999999998</v>
      </c>
      <c r="T75" s="110">
        <f t="shared" si="18"/>
        <v>1211.24</v>
      </c>
      <c r="U75" s="110">
        <f t="shared" si="18"/>
        <v>1232.94</v>
      </c>
      <c r="V75" s="110">
        <f t="shared" si="18"/>
        <v>1240.3400000000001</v>
      </c>
      <c r="W75" s="110">
        <f t="shared" si="18"/>
        <v>1239.94</v>
      </c>
      <c r="X75" s="110">
        <f t="shared" si="18"/>
        <v>1247.1399999999999</v>
      </c>
      <c r="Y75" s="110">
        <f t="shared" si="18"/>
        <v>1333.9699999999998</v>
      </c>
      <c r="Z75" s="110">
        <f t="shared" si="18"/>
        <v>1358.5</v>
      </c>
      <c r="AA75" s="110">
        <f t="shared" si="18"/>
        <v>1414.04</v>
      </c>
      <c r="AB75" s="110">
        <f t="shared" si="18"/>
        <v>1379.0400000000002</v>
      </c>
      <c r="AC75" s="110">
        <f t="shared" si="18"/>
        <v>1368.94</v>
      </c>
      <c r="AD75" s="110">
        <f t="shared" si="18"/>
        <v>1353.3400000000001</v>
      </c>
      <c r="AE75" s="110">
        <f t="shared" si="18"/>
        <v>1253.1400000000001</v>
      </c>
      <c r="AF75" s="110">
        <f t="shared" si="18"/>
        <v>1210.94</v>
      </c>
      <c r="AG75" s="98">
        <f>AG72+AG68+AG56+AG52+AG38+AG74</f>
        <v>2144.14</v>
      </c>
      <c r="AH75" s="21">
        <f t="shared" si="2"/>
        <v>1414.04</v>
      </c>
      <c r="AI75" s="20">
        <f t="shared" si="3"/>
        <v>1210.94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19">IF(B60&lt;0,B60*-1,0)</f>
        <v>0</v>
      </c>
      <c r="C76" s="77">
        <f>IF(C60&lt;0,C60*-1,0)</f>
        <v>0</v>
      </c>
      <c r="D76" s="77">
        <f t="shared" ref="D76:AF76" si="20">IF(D60&lt;0,D60*-1,0)</f>
        <v>0</v>
      </c>
      <c r="E76" s="77">
        <f t="shared" si="20"/>
        <v>0</v>
      </c>
      <c r="F76" s="77">
        <f t="shared" si="20"/>
        <v>0</v>
      </c>
      <c r="G76" s="77">
        <f t="shared" si="20"/>
        <v>0</v>
      </c>
      <c r="H76" s="77">
        <f t="shared" si="20"/>
        <v>0</v>
      </c>
      <c r="I76" s="77">
        <f t="shared" si="20"/>
        <v>0</v>
      </c>
      <c r="J76" s="77">
        <f t="shared" si="20"/>
        <v>0</v>
      </c>
      <c r="K76" s="77">
        <f t="shared" si="20"/>
        <v>0</v>
      </c>
      <c r="L76" s="77">
        <f t="shared" si="20"/>
        <v>0</v>
      </c>
      <c r="M76" s="77">
        <f t="shared" si="20"/>
        <v>0</v>
      </c>
      <c r="N76" s="77">
        <f t="shared" si="20"/>
        <v>0</v>
      </c>
      <c r="O76" s="77">
        <f t="shared" si="20"/>
        <v>0</v>
      </c>
      <c r="P76" s="77">
        <f t="shared" si="20"/>
        <v>0</v>
      </c>
      <c r="Q76" s="77">
        <f t="shared" si="20"/>
        <v>0</v>
      </c>
      <c r="R76" s="77">
        <f t="shared" si="20"/>
        <v>0</v>
      </c>
      <c r="S76" s="77">
        <f t="shared" si="20"/>
        <v>0</v>
      </c>
      <c r="T76" s="77">
        <f t="shared" si="20"/>
        <v>0</v>
      </c>
      <c r="U76" s="77">
        <f t="shared" si="20"/>
        <v>0</v>
      </c>
      <c r="V76" s="77">
        <f t="shared" si="20"/>
        <v>0</v>
      </c>
      <c r="W76" s="77">
        <f t="shared" si="20"/>
        <v>0</v>
      </c>
      <c r="X76" s="77">
        <f t="shared" si="20"/>
        <v>0</v>
      </c>
      <c r="Y76" s="77">
        <f t="shared" si="20"/>
        <v>0</v>
      </c>
      <c r="Z76" s="77">
        <f t="shared" si="20"/>
        <v>0</v>
      </c>
      <c r="AA76" s="77">
        <f t="shared" si="20"/>
        <v>0</v>
      </c>
      <c r="AB76" s="77">
        <f t="shared" si="20"/>
        <v>0</v>
      </c>
      <c r="AC76" s="77">
        <f t="shared" si="20"/>
        <v>0</v>
      </c>
      <c r="AD76" s="77">
        <f t="shared" si="20"/>
        <v>0</v>
      </c>
      <c r="AE76" s="77">
        <f t="shared" si="20"/>
        <v>0</v>
      </c>
      <c r="AF76" s="77">
        <f t="shared" si="20"/>
        <v>0</v>
      </c>
      <c r="AG76" s="108"/>
      <c r="AH76" s="21">
        <f t="shared" ref="AH76:AH91" si="21">MAX(B76:AF76)</f>
        <v>0</v>
      </c>
      <c r="AI76" s="20">
        <f t="shared" ref="AI76:AI91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3">IF(B58&lt;0,B58*-1,0)</f>
        <v>0</v>
      </c>
      <c r="C77" s="77">
        <f>IF(C58&lt;0,C58*-1,0)</f>
        <v>0</v>
      </c>
      <c r="D77" s="77">
        <f t="shared" ref="D77:AF77" si="24">IF(D58&lt;0,D58*-1,0)</f>
        <v>0</v>
      </c>
      <c r="E77" s="77">
        <f t="shared" si="24"/>
        <v>0</v>
      </c>
      <c r="F77" s="77">
        <f t="shared" si="24"/>
        <v>0</v>
      </c>
      <c r="G77" s="77">
        <f t="shared" si="24"/>
        <v>0</v>
      </c>
      <c r="H77" s="77">
        <f t="shared" si="24"/>
        <v>0</v>
      </c>
      <c r="I77" s="77">
        <f t="shared" si="24"/>
        <v>0</v>
      </c>
      <c r="J77" s="77">
        <f t="shared" si="24"/>
        <v>0</v>
      </c>
      <c r="K77" s="77">
        <f t="shared" si="24"/>
        <v>0</v>
      </c>
      <c r="L77" s="77">
        <f t="shared" si="24"/>
        <v>0</v>
      </c>
      <c r="M77" s="77">
        <f t="shared" si="24"/>
        <v>0</v>
      </c>
      <c r="N77" s="77">
        <f t="shared" si="24"/>
        <v>0</v>
      </c>
      <c r="O77" s="77">
        <f t="shared" si="24"/>
        <v>0</v>
      </c>
      <c r="P77" s="77">
        <f t="shared" si="24"/>
        <v>0</v>
      </c>
      <c r="Q77" s="77">
        <f t="shared" si="24"/>
        <v>0</v>
      </c>
      <c r="R77" s="77">
        <f t="shared" si="24"/>
        <v>0</v>
      </c>
      <c r="S77" s="77">
        <f t="shared" si="24"/>
        <v>0</v>
      </c>
      <c r="T77" s="77">
        <f t="shared" si="24"/>
        <v>0</v>
      </c>
      <c r="U77" s="77">
        <f t="shared" si="24"/>
        <v>0</v>
      </c>
      <c r="V77" s="77">
        <f t="shared" si="24"/>
        <v>0</v>
      </c>
      <c r="W77" s="77">
        <f t="shared" si="24"/>
        <v>0</v>
      </c>
      <c r="X77" s="77">
        <f t="shared" si="24"/>
        <v>0</v>
      </c>
      <c r="Y77" s="77">
        <f t="shared" si="24"/>
        <v>0</v>
      </c>
      <c r="Z77" s="77">
        <f t="shared" si="24"/>
        <v>0</v>
      </c>
      <c r="AA77" s="77">
        <f t="shared" si="24"/>
        <v>0</v>
      </c>
      <c r="AB77" s="77">
        <f t="shared" si="24"/>
        <v>0</v>
      </c>
      <c r="AC77" s="77">
        <f t="shared" si="24"/>
        <v>0</v>
      </c>
      <c r="AD77" s="77">
        <f t="shared" si="24"/>
        <v>0</v>
      </c>
      <c r="AE77" s="77">
        <f t="shared" si="24"/>
        <v>0</v>
      </c>
      <c r="AF77" s="77">
        <f t="shared" si="24"/>
        <v>0</v>
      </c>
      <c r="AG77" s="106"/>
      <c r="AH77" s="21">
        <f t="shared" si="21"/>
        <v>0</v>
      </c>
      <c r="AI77" s="20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5">IF(B61&lt;0,B61*-1,0)</f>
        <v>0</v>
      </c>
      <c r="C78" s="77">
        <f>IF(C61&lt;0,C61*-1,0)</f>
        <v>0</v>
      </c>
      <c r="D78" s="77">
        <f t="shared" ref="D78:AF78" si="26">IF(D61&lt;0,D61*-1,0)</f>
        <v>0</v>
      </c>
      <c r="E78" s="77">
        <f t="shared" si="26"/>
        <v>0</v>
      </c>
      <c r="F78" s="77">
        <f t="shared" si="26"/>
        <v>0</v>
      </c>
      <c r="G78" s="77">
        <f t="shared" si="26"/>
        <v>0</v>
      </c>
      <c r="H78" s="77">
        <f t="shared" si="26"/>
        <v>0</v>
      </c>
      <c r="I78" s="77">
        <f t="shared" si="26"/>
        <v>0</v>
      </c>
      <c r="J78" s="77">
        <f t="shared" si="26"/>
        <v>0</v>
      </c>
      <c r="K78" s="77">
        <f t="shared" si="26"/>
        <v>0</v>
      </c>
      <c r="L78" s="77">
        <f t="shared" si="26"/>
        <v>0</v>
      </c>
      <c r="M78" s="77">
        <f t="shared" si="26"/>
        <v>0</v>
      </c>
      <c r="N78" s="77">
        <f t="shared" si="26"/>
        <v>0</v>
      </c>
      <c r="O78" s="77">
        <f t="shared" si="26"/>
        <v>0</v>
      </c>
      <c r="P78" s="77">
        <f t="shared" si="26"/>
        <v>0</v>
      </c>
      <c r="Q78" s="77">
        <f t="shared" si="26"/>
        <v>0</v>
      </c>
      <c r="R78" s="77">
        <f t="shared" si="26"/>
        <v>0</v>
      </c>
      <c r="S78" s="77">
        <f t="shared" si="26"/>
        <v>0</v>
      </c>
      <c r="T78" s="77">
        <f t="shared" si="26"/>
        <v>0</v>
      </c>
      <c r="U78" s="77">
        <f t="shared" si="26"/>
        <v>0</v>
      </c>
      <c r="V78" s="77">
        <f t="shared" si="26"/>
        <v>0</v>
      </c>
      <c r="W78" s="77">
        <f t="shared" si="26"/>
        <v>0</v>
      </c>
      <c r="X78" s="77">
        <f t="shared" si="26"/>
        <v>0</v>
      </c>
      <c r="Y78" s="77">
        <f t="shared" si="26"/>
        <v>0</v>
      </c>
      <c r="Z78" s="77">
        <f t="shared" si="26"/>
        <v>0</v>
      </c>
      <c r="AA78" s="77">
        <f t="shared" si="26"/>
        <v>0</v>
      </c>
      <c r="AB78" s="77">
        <f t="shared" si="26"/>
        <v>0</v>
      </c>
      <c r="AC78" s="77">
        <f t="shared" si="26"/>
        <v>0</v>
      </c>
      <c r="AD78" s="77">
        <f t="shared" si="26"/>
        <v>0</v>
      </c>
      <c r="AE78" s="77">
        <f t="shared" si="26"/>
        <v>0</v>
      </c>
      <c r="AF78" s="77">
        <f t="shared" si="26"/>
        <v>0</v>
      </c>
      <c r="AG78" s="105"/>
      <c r="AH78" s="21">
        <f t="shared" si="21"/>
        <v>0</v>
      </c>
      <c r="AI78" s="20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7">IF(B59&lt;0,B59*-1,0)</f>
        <v>0</v>
      </c>
      <c r="C79" s="77">
        <f>IF(C59&lt;0,C59*-1,0)</f>
        <v>0</v>
      </c>
      <c r="D79" s="77">
        <f t="shared" ref="D79:AF79" si="28">IF(D59&lt;0,D59*-1,0)</f>
        <v>0</v>
      </c>
      <c r="E79" s="77">
        <f t="shared" si="28"/>
        <v>0</v>
      </c>
      <c r="F79" s="77">
        <f t="shared" si="28"/>
        <v>0</v>
      </c>
      <c r="G79" s="77">
        <f t="shared" si="28"/>
        <v>0</v>
      </c>
      <c r="H79" s="77">
        <f t="shared" si="28"/>
        <v>0</v>
      </c>
      <c r="I79" s="77">
        <f t="shared" si="28"/>
        <v>0</v>
      </c>
      <c r="J79" s="77">
        <f t="shared" si="28"/>
        <v>0</v>
      </c>
      <c r="K79" s="77">
        <f t="shared" si="28"/>
        <v>0</v>
      </c>
      <c r="L79" s="77">
        <f t="shared" si="28"/>
        <v>0</v>
      </c>
      <c r="M79" s="77">
        <f t="shared" si="28"/>
        <v>0</v>
      </c>
      <c r="N79" s="77">
        <f t="shared" si="28"/>
        <v>0</v>
      </c>
      <c r="O79" s="77">
        <f t="shared" si="28"/>
        <v>0</v>
      </c>
      <c r="P79" s="77">
        <f t="shared" si="28"/>
        <v>0</v>
      </c>
      <c r="Q79" s="77">
        <f t="shared" si="28"/>
        <v>0</v>
      </c>
      <c r="R79" s="77">
        <f t="shared" si="28"/>
        <v>0</v>
      </c>
      <c r="S79" s="77">
        <f t="shared" si="28"/>
        <v>0</v>
      </c>
      <c r="T79" s="77">
        <f t="shared" si="28"/>
        <v>0</v>
      </c>
      <c r="U79" s="77">
        <f t="shared" si="28"/>
        <v>0</v>
      </c>
      <c r="V79" s="77">
        <f t="shared" si="28"/>
        <v>0</v>
      </c>
      <c r="W79" s="77">
        <f t="shared" si="28"/>
        <v>0</v>
      </c>
      <c r="X79" s="77">
        <f t="shared" si="28"/>
        <v>0</v>
      </c>
      <c r="Y79" s="77">
        <f t="shared" si="28"/>
        <v>0</v>
      </c>
      <c r="Z79" s="77">
        <f t="shared" si="28"/>
        <v>0</v>
      </c>
      <c r="AA79" s="77">
        <f t="shared" si="28"/>
        <v>0</v>
      </c>
      <c r="AB79" s="77">
        <f t="shared" si="28"/>
        <v>0</v>
      </c>
      <c r="AC79" s="77">
        <f t="shared" si="28"/>
        <v>0</v>
      </c>
      <c r="AD79" s="77">
        <f t="shared" si="28"/>
        <v>0</v>
      </c>
      <c r="AE79" s="77">
        <f t="shared" si="28"/>
        <v>0</v>
      </c>
      <c r="AF79" s="77">
        <f t="shared" si="28"/>
        <v>0</v>
      </c>
      <c r="AG79" s="105"/>
      <c r="AH79" s="21">
        <f t="shared" si="21"/>
        <v>0</v>
      </c>
      <c r="AI79" s="20">
        <f t="shared" si="2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29">IF(B57&lt;0,B57*-1,0)</f>
        <v>0</v>
      </c>
      <c r="C80" s="77">
        <f>IF(C57&lt;0,C57*-1,0)</f>
        <v>0</v>
      </c>
      <c r="D80" s="77">
        <f t="shared" ref="D80:AF80" si="30">IF(D57&lt;0,D57*-1,0)</f>
        <v>0</v>
      </c>
      <c r="E80" s="77">
        <f t="shared" si="30"/>
        <v>0</v>
      </c>
      <c r="F80" s="77">
        <f t="shared" si="30"/>
        <v>0</v>
      </c>
      <c r="G80" s="77">
        <f t="shared" si="30"/>
        <v>0</v>
      </c>
      <c r="H80" s="77">
        <f t="shared" si="30"/>
        <v>0</v>
      </c>
      <c r="I80" s="77">
        <f t="shared" si="30"/>
        <v>0</v>
      </c>
      <c r="J80" s="77">
        <f t="shared" si="30"/>
        <v>0</v>
      </c>
      <c r="K80" s="77">
        <f t="shared" si="30"/>
        <v>0</v>
      </c>
      <c r="L80" s="77">
        <f t="shared" si="30"/>
        <v>0</v>
      </c>
      <c r="M80" s="77">
        <f t="shared" si="30"/>
        <v>0</v>
      </c>
      <c r="N80" s="77">
        <f t="shared" si="30"/>
        <v>0</v>
      </c>
      <c r="O80" s="77">
        <f t="shared" si="30"/>
        <v>0</v>
      </c>
      <c r="P80" s="77">
        <f t="shared" si="30"/>
        <v>0</v>
      </c>
      <c r="Q80" s="77">
        <f t="shared" si="30"/>
        <v>0</v>
      </c>
      <c r="R80" s="77">
        <f t="shared" si="30"/>
        <v>0</v>
      </c>
      <c r="S80" s="77">
        <f t="shared" si="30"/>
        <v>0</v>
      </c>
      <c r="T80" s="77">
        <f t="shared" si="30"/>
        <v>0</v>
      </c>
      <c r="U80" s="77">
        <f t="shared" si="30"/>
        <v>0</v>
      </c>
      <c r="V80" s="77">
        <f t="shared" si="30"/>
        <v>0</v>
      </c>
      <c r="W80" s="77">
        <f t="shared" si="30"/>
        <v>0</v>
      </c>
      <c r="X80" s="77">
        <f t="shared" si="30"/>
        <v>0</v>
      </c>
      <c r="Y80" s="77">
        <f t="shared" si="30"/>
        <v>0</v>
      </c>
      <c r="Z80" s="77">
        <f t="shared" si="30"/>
        <v>0</v>
      </c>
      <c r="AA80" s="77">
        <f t="shared" si="30"/>
        <v>0</v>
      </c>
      <c r="AB80" s="77">
        <f t="shared" si="30"/>
        <v>0</v>
      </c>
      <c r="AC80" s="77">
        <f t="shared" si="30"/>
        <v>0</v>
      </c>
      <c r="AD80" s="77">
        <f t="shared" si="30"/>
        <v>0</v>
      </c>
      <c r="AE80" s="77">
        <f t="shared" si="30"/>
        <v>0</v>
      </c>
      <c r="AF80" s="77">
        <f t="shared" si="30"/>
        <v>0</v>
      </c>
      <c r="AG80" s="105"/>
      <c r="AH80" s="21">
        <f t="shared" si="21"/>
        <v>0</v>
      </c>
      <c r="AI80" s="20">
        <f t="shared" si="2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1"/>
        <v>0</v>
      </c>
      <c r="AI81" s="20">
        <f t="shared" si="2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1">SUM(B76:B81)</f>
        <v>0</v>
      </c>
      <c r="C82" s="99">
        <f t="shared" ref="C82:AG82" si="32">SUM(C76:C81)</f>
        <v>0</v>
      </c>
      <c r="D82" s="99">
        <f t="shared" si="32"/>
        <v>0</v>
      </c>
      <c r="E82" s="99">
        <f t="shared" si="32"/>
        <v>0</v>
      </c>
      <c r="F82" s="99">
        <f t="shared" si="32"/>
        <v>0</v>
      </c>
      <c r="G82" s="99">
        <f t="shared" si="32"/>
        <v>0</v>
      </c>
      <c r="H82" s="99">
        <f t="shared" si="32"/>
        <v>0</v>
      </c>
      <c r="I82" s="99">
        <f t="shared" si="32"/>
        <v>0</v>
      </c>
      <c r="J82" s="99">
        <f t="shared" si="32"/>
        <v>0</v>
      </c>
      <c r="K82" s="99">
        <f t="shared" si="32"/>
        <v>0</v>
      </c>
      <c r="L82" s="99">
        <f t="shared" si="32"/>
        <v>0</v>
      </c>
      <c r="M82" s="99">
        <f t="shared" si="32"/>
        <v>0</v>
      </c>
      <c r="N82" s="99">
        <f t="shared" si="32"/>
        <v>0</v>
      </c>
      <c r="O82" s="99">
        <f t="shared" si="32"/>
        <v>0</v>
      </c>
      <c r="P82" s="99">
        <f t="shared" si="32"/>
        <v>0</v>
      </c>
      <c r="Q82" s="99">
        <f t="shared" si="32"/>
        <v>0</v>
      </c>
      <c r="R82" s="99">
        <f t="shared" si="32"/>
        <v>0</v>
      </c>
      <c r="S82" s="99">
        <f t="shared" si="32"/>
        <v>0</v>
      </c>
      <c r="T82" s="99">
        <f t="shared" si="32"/>
        <v>0</v>
      </c>
      <c r="U82" s="99">
        <f t="shared" si="32"/>
        <v>0</v>
      </c>
      <c r="V82" s="99">
        <f t="shared" si="32"/>
        <v>0</v>
      </c>
      <c r="W82" s="99">
        <f t="shared" si="32"/>
        <v>0</v>
      </c>
      <c r="X82" s="99">
        <f t="shared" si="32"/>
        <v>0</v>
      </c>
      <c r="Y82" s="99">
        <f t="shared" si="32"/>
        <v>0</v>
      </c>
      <c r="Z82" s="99">
        <f t="shared" si="32"/>
        <v>0</v>
      </c>
      <c r="AA82" s="99">
        <f t="shared" si="32"/>
        <v>0</v>
      </c>
      <c r="AB82" s="99">
        <f t="shared" si="32"/>
        <v>0</v>
      </c>
      <c r="AC82" s="99">
        <f t="shared" si="32"/>
        <v>0</v>
      </c>
      <c r="AD82" s="99">
        <f t="shared" si="32"/>
        <v>0</v>
      </c>
      <c r="AE82" s="99">
        <f t="shared" si="32"/>
        <v>0</v>
      </c>
      <c r="AF82" s="99">
        <f t="shared" si="32"/>
        <v>0</v>
      </c>
      <c r="AG82" s="98">
        <f t="shared" si="32"/>
        <v>0</v>
      </c>
      <c r="AH82" s="21">
        <f t="shared" si="21"/>
        <v>0</v>
      </c>
      <c r="AI82" s="20">
        <f t="shared" si="22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3">SUM(B70:B82)</f>
        <v>2587</v>
      </c>
      <c r="C83" s="99">
        <f t="shared" ref="C83:AG83" si="34">SUM(C70:C82)</f>
        <v>2528.7399999999998</v>
      </c>
      <c r="D83" s="99">
        <f t="shared" si="34"/>
        <v>2509.1999999999998</v>
      </c>
      <c r="E83" s="99">
        <f t="shared" si="34"/>
        <v>2534.84</v>
      </c>
      <c r="F83" s="99">
        <f t="shared" si="34"/>
        <v>2471.6800000000003</v>
      </c>
      <c r="G83" s="99">
        <f t="shared" si="34"/>
        <v>2501.48</v>
      </c>
      <c r="H83" s="99">
        <f t="shared" si="34"/>
        <v>2543.6799999999998</v>
      </c>
      <c r="I83" s="99">
        <f t="shared" si="34"/>
        <v>2537.14</v>
      </c>
      <c r="J83" s="99">
        <f t="shared" si="34"/>
        <v>2643.04</v>
      </c>
      <c r="K83" s="99">
        <f t="shared" si="34"/>
        <v>2631.16</v>
      </c>
      <c r="L83" s="99">
        <f>SUM(L70:L82)</f>
        <v>2624.34</v>
      </c>
      <c r="M83" s="99">
        <f>SUM(M70:M82)</f>
        <v>2561.6800000000003</v>
      </c>
      <c r="N83" s="99">
        <f t="shared" si="34"/>
        <v>2517.6800000000003</v>
      </c>
      <c r="O83" s="99">
        <f t="shared" si="34"/>
        <v>2477.6800000000003</v>
      </c>
      <c r="P83" s="99">
        <f t="shared" si="34"/>
        <v>2517.48</v>
      </c>
      <c r="Q83" s="99">
        <f t="shared" si="34"/>
        <v>2485.08</v>
      </c>
      <c r="R83" s="99">
        <f t="shared" si="34"/>
        <v>2509.08</v>
      </c>
      <c r="S83" s="99">
        <f t="shared" si="34"/>
        <v>2461.4799999999996</v>
      </c>
      <c r="T83" s="99">
        <f t="shared" si="34"/>
        <v>2422.48</v>
      </c>
      <c r="U83" s="99">
        <f t="shared" si="34"/>
        <v>2465.88</v>
      </c>
      <c r="V83" s="99">
        <f t="shared" si="34"/>
        <v>2480.6800000000003</v>
      </c>
      <c r="W83" s="99">
        <f t="shared" si="34"/>
        <v>2479.88</v>
      </c>
      <c r="X83" s="99">
        <f t="shared" si="34"/>
        <v>2494.2799999999997</v>
      </c>
      <c r="Y83" s="99">
        <f t="shared" si="34"/>
        <v>2667.9399999999996</v>
      </c>
      <c r="Z83" s="99">
        <f t="shared" si="34"/>
        <v>2717</v>
      </c>
      <c r="AA83" s="99">
        <f t="shared" si="34"/>
        <v>2828.08</v>
      </c>
      <c r="AB83" s="99">
        <f t="shared" si="34"/>
        <v>2758.0800000000004</v>
      </c>
      <c r="AC83" s="99">
        <f t="shared" si="34"/>
        <v>2737.88</v>
      </c>
      <c r="AD83" s="99">
        <f t="shared" si="34"/>
        <v>2706.6800000000003</v>
      </c>
      <c r="AE83" s="99">
        <f t="shared" si="34"/>
        <v>2506.2800000000002</v>
      </c>
      <c r="AF83" s="99">
        <f t="shared" si="34"/>
        <v>2421.88</v>
      </c>
      <c r="AG83" s="98">
        <f t="shared" si="34"/>
        <v>4360.08</v>
      </c>
      <c r="AH83" s="21">
        <f t="shared" si="21"/>
        <v>2828.08</v>
      </c>
      <c r="AI83" s="20">
        <f t="shared" si="22"/>
        <v>2421.88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49.86</v>
      </c>
      <c r="C84" s="96">
        <v>49.853000000000002</v>
      </c>
      <c r="D84" s="96">
        <v>49.78</v>
      </c>
      <c r="E84" s="96">
        <v>49.997</v>
      </c>
      <c r="F84" s="96">
        <v>49.962000000000003</v>
      </c>
      <c r="G84" s="96">
        <v>49.996000000000002</v>
      </c>
      <c r="H84" s="96">
        <v>49.710999999999999</v>
      </c>
      <c r="I84" s="96">
        <v>49.637999999999998</v>
      </c>
      <c r="J84" s="96">
        <v>50.012</v>
      </c>
      <c r="K84" s="96">
        <v>49.972999999999999</v>
      </c>
      <c r="L84" s="96">
        <v>50.061999999999998</v>
      </c>
      <c r="M84" s="96">
        <v>50.063000000000002</v>
      </c>
      <c r="N84" s="96">
        <v>50.036000000000001</v>
      </c>
      <c r="O84" s="96">
        <v>50.015999999999998</v>
      </c>
      <c r="P84" s="96">
        <v>50.003</v>
      </c>
      <c r="Q84" s="96">
        <v>50</v>
      </c>
      <c r="R84" s="96">
        <v>50.037999999999997</v>
      </c>
      <c r="S84" s="96">
        <v>49.965000000000003</v>
      </c>
      <c r="T84" s="96">
        <v>50.039000000000001</v>
      </c>
      <c r="U84" s="96">
        <v>49.875</v>
      </c>
      <c r="V84" s="96">
        <v>50.03</v>
      </c>
      <c r="W84" s="96">
        <v>49.841999999999999</v>
      </c>
      <c r="X84" s="96">
        <v>49.811999999999998</v>
      </c>
      <c r="Y84" s="96">
        <v>49.987000000000002</v>
      </c>
      <c r="Z84" s="96">
        <v>49.685000000000002</v>
      </c>
      <c r="AA84" s="96">
        <v>49.542000000000002</v>
      </c>
      <c r="AB84" s="96">
        <v>49.930999999999997</v>
      </c>
      <c r="AC84" s="96">
        <v>49.9</v>
      </c>
      <c r="AD84" s="96">
        <v>49.89</v>
      </c>
      <c r="AE84" s="96">
        <v>49.718000000000004</v>
      </c>
      <c r="AF84" s="96">
        <v>49.811999999999998</v>
      </c>
      <c r="AG84" s="95"/>
      <c r="AH84" s="21">
        <f t="shared" si="21"/>
        <v>50.063000000000002</v>
      </c>
      <c r="AI84" s="20">
        <f t="shared" si="22"/>
        <v>49.542000000000002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125.8</v>
      </c>
      <c r="C85" s="73">
        <v>126.3</v>
      </c>
      <c r="D85" s="73">
        <v>126.7</v>
      </c>
      <c r="E85" s="73">
        <v>126.6</v>
      </c>
      <c r="F85" s="73">
        <v>126.7</v>
      </c>
      <c r="G85" s="73">
        <v>126.5</v>
      </c>
      <c r="H85" s="73">
        <v>125.8</v>
      </c>
      <c r="I85" s="73">
        <v>126.7</v>
      </c>
      <c r="J85" s="73">
        <v>128.30000000000001</v>
      </c>
      <c r="K85" s="73">
        <v>127.3</v>
      </c>
      <c r="L85" s="73">
        <v>127.6</v>
      </c>
      <c r="M85" s="73">
        <v>128.1</v>
      </c>
      <c r="N85" s="73">
        <v>128.1</v>
      </c>
      <c r="O85" s="73">
        <v>125.9</v>
      </c>
      <c r="P85" s="73">
        <v>124.5</v>
      </c>
      <c r="Q85" s="73">
        <v>125.6</v>
      </c>
      <c r="R85" s="73">
        <v>125.2</v>
      </c>
      <c r="S85" s="73">
        <v>124.9</v>
      </c>
      <c r="T85" s="73">
        <v>125.9</v>
      </c>
      <c r="U85" s="94">
        <v>126.8</v>
      </c>
      <c r="V85" s="94">
        <v>128.19999999999999</v>
      </c>
      <c r="W85" s="94">
        <v>127.4</v>
      </c>
      <c r="X85" s="94">
        <v>127.2</v>
      </c>
      <c r="Y85" s="94">
        <v>126.6</v>
      </c>
      <c r="Z85" s="94">
        <v>125.2</v>
      </c>
      <c r="AA85" s="94">
        <v>125.3</v>
      </c>
      <c r="AB85" s="73">
        <v>125</v>
      </c>
      <c r="AC85" s="73">
        <v>125</v>
      </c>
      <c r="AD85" s="73">
        <v>125</v>
      </c>
      <c r="AE85" s="73">
        <v>124</v>
      </c>
      <c r="AF85" s="73">
        <v>125</v>
      </c>
      <c r="AG85" s="89"/>
      <c r="AH85" s="21">
        <f t="shared" si="21"/>
        <v>128.30000000000001</v>
      </c>
      <c r="AI85" s="20">
        <f t="shared" si="22"/>
        <v>124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130.5</v>
      </c>
      <c r="C86" s="73">
        <v>130.9</v>
      </c>
      <c r="D86" s="73">
        <v>131.19999999999999</v>
      </c>
      <c r="E86" s="73">
        <v>131.30000000000001</v>
      </c>
      <c r="F86" s="73">
        <v>131.19999999999999</v>
      </c>
      <c r="G86" s="73">
        <v>130.6</v>
      </c>
      <c r="H86" s="73">
        <v>130</v>
      </c>
      <c r="I86" s="73">
        <v>130.1</v>
      </c>
      <c r="J86" s="73">
        <v>130.5</v>
      </c>
      <c r="K86" s="73">
        <v>129.4</v>
      </c>
      <c r="L86" s="73">
        <v>129.69999999999999</v>
      </c>
      <c r="M86" s="73">
        <v>130.4</v>
      </c>
      <c r="N86" s="73">
        <v>130.4</v>
      </c>
      <c r="O86" s="73">
        <v>128</v>
      </c>
      <c r="P86" s="73">
        <v>127.5</v>
      </c>
      <c r="Q86" s="73">
        <v>128.80000000000001</v>
      </c>
      <c r="R86" s="73">
        <v>128.5</v>
      </c>
      <c r="S86" s="73">
        <v>127.9</v>
      </c>
      <c r="T86" s="73">
        <v>128.80000000000001</v>
      </c>
      <c r="U86" s="94">
        <v>130.1</v>
      </c>
      <c r="V86" s="94">
        <v>130.30000000000001</v>
      </c>
      <c r="W86" s="94">
        <v>129.69999999999999</v>
      </c>
      <c r="X86" s="94">
        <v>129.6</v>
      </c>
      <c r="Y86" s="94">
        <v>129.4</v>
      </c>
      <c r="Z86" s="94">
        <v>128.30000000000001</v>
      </c>
      <c r="AA86" s="94">
        <v>128.80000000000001</v>
      </c>
      <c r="AB86" s="73">
        <v>129</v>
      </c>
      <c r="AC86" s="73">
        <v>129</v>
      </c>
      <c r="AD86" s="73">
        <v>129</v>
      </c>
      <c r="AE86" s="73">
        <v>128</v>
      </c>
      <c r="AF86" s="73">
        <v>129.19999999999999</v>
      </c>
      <c r="AG86" s="89"/>
      <c r="AH86" s="21">
        <f t="shared" si="21"/>
        <v>131.30000000000001</v>
      </c>
      <c r="AI86" s="20">
        <f t="shared" si="22"/>
        <v>127.5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128.4</v>
      </c>
      <c r="C87" s="73">
        <v>127.9</v>
      </c>
      <c r="D87" s="73">
        <v>129</v>
      </c>
      <c r="E87" s="73">
        <v>131.19999999999999</v>
      </c>
      <c r="F87" s="73">
        <v>129</v>
      </c>
      <c r="G87" s="73">
        <v>131.5</v>
      </c>
      <c r="H87" s="73">
        <v>129.69999999999999</v>
      </c>
      <c r="I87" s="73">
        <v>130.6</v>
      </c>
      <c r="J87" s="73">
        <v>130.9</v>
      </c>
      <c r="K87" s="73">
        <v>126.9</v>
      </c>
      <c r="L87" s="73">
        <v>129.19999999999999</v>
      </c>
      <c r="M87" s="73">
        <v>129.69999999999999</v>
      </c>
      <c r="N87" s="73">
        <v>129.69999999999999</v>
      </c>
      <c r="O87" s="73">
        <v>130.1</v>
      </c>
      <c r="P87" s="73">
        <v>130.69999999999999</v>
      </c>
      <c r="Q87" s="73">
        <v>130.1</v>
      </c>
      <c r="R87" s="73">
        <v>130.5</v>
      </c>
      <c r="S87" s="73">
        <v>128.80000000000001</v>
      </c>
      <c r="T87" s="73">
        <v>130.4</v>
      </c>
      <c r="U87" s="73">
        <v>130</v>
      </c>
      <c r="V87" s="73">
        <v>131.9</v>
      </c>
      <c r="W87" s="73">
        <v>131.5</v>
      </c>
      <c r="X87" s="94">
        <v>129.5</v>
      </c>
      <c r="Y87" s="94">
        <v>125.3</v>
      </c>
      <c r="Z87" s="94">
        <v>128</v>
      </c>
      <c r="AA87" s="94">
        <v>129.1</v>
      </c>
      <c r="AB87" s="73">
        <v>129</v>
      </c>
      <c r="AC87" s="73">
        <v>129</v>
      </c>
      <c r="AD87" s="73">
        <v>129</v>
      </c>
      <c r="AE87" s="73">
        <v>130</v>
      </c>
      <c r="AF87" s="73">
        <v>130</v>
      </c>
      <c r="AG87" s="89"/>
      <c r="AH87" s="21">
        <f t="shared" si="21"/>
        <v>131.9</v>
      </c>
      <c r="AI87" s="20">
        <f t="shared" si="22"/>
        <v>125.3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133.4</v>
      </c>
      <c r="C88" s="73">
        <v>131</v>
      </c>
      <c r="D88" s="73">
        <v>132.30000000000001</v>
      </c>
      <c r="E88" s="73">
        <v>133.5</v>
      </c>
      <c r="F88" s="73">
        <v>132.30000000000001</v>
      </c>
      <c r="G88" s="73">
        <v>133.30000000000001</v>
      </c>
      <c r="H88" s="73">
        <v>131.69999999999999</v>
      </c>
      <c r="I88" s="73">
        <v>131.9</v>
      </c>
      <c r="J88" s="73">
        <v>131.9</v>
      </c>
      <c r="K88" s="73">
        <v>127.4</v>
      </c>
      <c r="L88" s="73">
        <v>131.1</v>
      </c>
      <c r="M88" s="73">
        <v>132.5</v>
      </c>
      <c r="N88" s="73">
        <v>132.5</v>
      </c>
      <c r="O88" s="73">
        <v>133.4</v>
      </c>
      <c r="P88" s="73">
        <v>131.80000000000001</v>
      </c>
      <c r="Q88" s="73">
        <v>132.80000000000001</v>
      </c>
      <c r="R88" s="73">
        <v>132.9</v>
      </c>
      <c r="S88" s="73">
        <v>134.1</v>
      </c>
      <c r="T88" s="73">
        <v>133.30000000000001</v>
      </c>
      <c r="U88" s="73">
        <v>133.30000000000001</v>
      </c>
      <c r="V88" s="73">
        <v>134.80000000000001</v>
      </c>
      <c r="W88" s="73">
        <v>134.6</v>
      </c>
      <c r="X88" s="94">
        <v>132.69999999999999</v>
      </c>
      <c r="Y88" s="94">
        <v>129.1</v>
      </c>
      <c r="Z88" s="94">
        <v>131</v>
      </c>
      <c r="AA88" s="94">
        <v>132.5</v>
      </c>
      <c r="AB88" s="73">
        <v>133</v>
      </c>
      <c r="AC88" s="73">
        <v>133</v>
      </c>
      <c r="AD88" s="73">
        <v>133</v>
      </c>
      <c r="AE88" s="73">
        <v>133</v>
      </c>
      <c r="AF88" s="73">
        <v>134</v>
      </c>
      <c r="AG88" s="89"/>
      <c r="AH88" s="21">
        <f t="shared" si="21"/>
        <v>134.80000000000001</v>
      </c>
      <c r="AI88" s="20">
        <f t="shared" si="22"/>
        <v>127.4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132.4</v>
      </c>
      <c r="C89" s="66">
        <v>133.6</v>
      </c>
      <c r="D89" s="66">
        <v>132.9</v>
      </c>
      <c r="E89" s="66">
        <v>130.30000000000001</v>
      </c>
      <c r="F89" s="66">
        <v>132.9</v>
      </c>
      <c r="G89" s="66">
        <v>131.1</v>
      </c>
      <c r="H89" s="66">
        <v>131.30000000000001</v>
      </c>
      <c r="I89" s="66">
        <v>133.1</v>
      </c>
      <c r="J89" s="66">
        <v>131.69999999999999</v>
      </c>
      <c r="K89" s="66">
        <v>131.69999999999999</v>
      </c>
      <c r="L89" s="66">
        <v>134.80000000000001</v>
      </c>
      <c r="M89" s="66">
        <v>131.19999999999999</v>
      </c>
      <c r="N89" s="66">
        <v>131.19999999999999</v>
      </c>
      <c r="O89" s="66">
        <v>129.9</v>
      </c>
      <c r="P89" s="66">
        <v>126.1</v>
      </c>
      <c r="Q89" s="66">
        <v>126.1</v>
      </c>
      <c r="R89" s="66">
        <v>129.9</v>
      </c>
      <c r="S89" s="66">
        <v>127.3</v>
      </c>
      <c r="T89" s="66">
        <v>133.5</v>
      </c>
      <c r="U89" s="66">
        <v>135.19999999999999</v>
      </c>
      <c r="V89" s="66">
        <v>136</v>
      </c>
      <c r="W89" s="66">
        <v>135.80000000000001</v>
      </c>
      <c r="X89" s="94">
        <v>132.9</v>
      </c>
      <c r="Y89" s="94">
        <v>132.30000000000001</v>
      </c>
      <c r="Z89" s="94">
        <v>131.19999999999999</v>
      </c>
      <c r="AA89" s="94">
        <v>135.19999999999999</v>
      </c>
      <c r="AB89" s="66">
        <v>135</v>
      </c>
      <c r="AC89" s="66">
        <v>135</v>
      </c>
      <c r="AD89" s="66">
        <v>135</v>
      </c>
      <c r="AE89" s="66">
        <v>130</v>
      </c>
      <c r="AF89" s="66">
        <v>134.4</v>
      </c>
      <c r="AG89" s="91"/>
      <c r="AH89" s="21">
        <f t="shared" si="21"/>
        <v>136</v>
      </c>
      <c r="AI89" s="20">
        <f t="shared" si="22"/>
        <v>126.1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136</v>
      </c>
      <c r="C90" s="73">
        <v>137.5</v>
      </c>
      <c r="D90" s="73">
        <v>136.80000000000001</v>
      </c>
      <c r="E90" s="73">
        <v>130.4</v>
      </c>
      <c r="F90" s="73">
        <v>136.80000000000001</v>
      </c>
      <c r="G90" s="73">
        <v>131</v>
      </c>
      <c r="H90" s="73">
        <v>130.4</v>
      </c>
      <c r="I90" s="73">
        <v>129.69999999999999</v>
      </c>
      <c r="J90" s="73">
        <v>129.1</v>
      </c>
      <c r="K90" s="73">
        <v>132.80000000000001</v>
      </c>
      <c r="L90" s="73">
        <v>132.9</v>
      </c>
      <c r="M90" s="73">
        <v>132</v>
      </c>
      <c r="N90" s="73">
        <v>132</v>
      </c>
      <c r="O90" s="73">
        <v>131.19999999999999</v>
      </c>
      <c r="P90" s="73">
        <v>127.9</v>
      </c>
      <c r="Q90" s="73">
        <v>136</v>
      </c>
      <c r="R90" s="73">
        <v>131.6</v>
      </c>
      <c r="S90" s="73">
        <v>125.3</v>
      </c>
      <c r="T90" s="73">
        <v>130.5</v>
      </c>
      <c r="U90" s="73">
        <v>129.69999999999999</v>
      </c>
      <c r="V90" s="73">
        <v>130.6</v>
      </c>
      <c r="W90" s="73">
        <v>129.5</v>
      </c>
      <c r="X90" s="94">
        <v>124.3</v>
      </c>
      <c r="Y90" s="94">
        <v>128.30000000000001</v>
      </c>
      <c r="Z90" s="94">
        <v>125.8</v>
      </c>
      <c r="AA90" s="94">
        <v>132</v>
      </c>
      <c r="AB90" s="73">
        <v>132</v>
      </c>
      <c r="AC90" s="73">
        <v>132</v>
      </c>
      <c r="AD90" s="73">
        <v>132</v>
      </c>
      <c r="AE90" s="73">
        <v>124</v>
      </c>
      <c r="AF90" s="73">
        <v>131</v>
      </c>
      <c r="AG90" s="89"/>
      <c r="AH90" s="21">
        <f t="shared" si="21"/>
        <v>137.5</v>
      </c>
      <c r="AI90" s="20">
        <f t="shared" si="22"/>
        <v>124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65.8</v>
      </c>
      <c r="C91" s="87">
        <v>66</v>
      </c>
      <c r="D91" s="87">
        <v>66.099999999999994</v>
      </c>
      <c r="E91" s="87">
        <v>66.099999999999994</v>
      </c>
      <c r="F91" s="87">
        <v>66.099999999999994</v>
      </c>
      <c r="G91" s="87">
        <v>65.8</v>
      </c>
      <c r="H91" s="87">
        <v>65.599999999999994</v>
      </c>
      <c r="I91" s="87">
        <v>65.599999999999994</v>
      </c>
      <c r="J91" s="87">
        <v>66.099999999999994</v>
      </c>
      <c r="K91" s="87">
        <v>65.5</v>
      </c>
      <c r="L91" s="87">
        <v>65.599999999999994</v>
      </c>
      <c r="M91" s="87">
        <v>65.900000000000006</v>
      </c>
      <c r="N91" s="87">
        <v>65.900000000000006</v>
      </c>
      <c r="O91" s="87">
        <v>65</v>
      </c>
      <c r="P91" s="87">
        <v>64.5</v>
      </c>
      <c r="Q91" s="87">
        <v>65.2</v>
      </c>
      <c r="R91" s="87">
        <v>64.900000000000006</v>
      </c>
      <c r="S91" s="87">
        <v>64.599999999999994</v>
      </c>
      <c r="T91" s="87">
        <v>65.099999999999994</v>
      </c>
      <c r="U91" s="87">
        <v>65.599999999999994</v>
      </c>
      <c r="V91" s="87">
        <v>66.099999999999994</v>
      </c>
      <c r="W91" s="87">
        <v>65.599999999999994</v>
      </c>
      <c r="X91" s="87">
        <v>65.599999999999994</v>
      </c>
      <c r="Y91" s="87">
        <v>65.400000000000006</v>
      </c>
      <c r="Z91" s="87">
        <v>65.099999999999994</v>
      </c>
      <c r="AA91" s="87">
        <v>65.099999999999994</v>
      </c>
      <c r="AB91" s="87">
        <v>66</v>
      </c>
      <c r="AC91" s="87">
        <v>66</v>
      </c>
      <c r="AD91" s="87">
        <v>65.599999999999994</v>
      </c>
      <c r="AE91" s="87">
        <v>65</v>
      </c>
      <c r="AF91" s="87">
        <v>65.8</v>
      </c>
      <c r="AG91" s="86"/>
      <c r="AH91" s="21">
        <f t="shared" si="21"/>
        <v>66.099999999999994</v>
      </c>
      <c r="AI91" s="20">
        <f t="shared" si="22"/>
        <v>64.5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35">SUM(B15,B18,B21:B22,B42,B44:B45,B47,B49,B94:B97,B103,B109,B115,B124,B126,B138,B145,B148:B149,B156,B158,B160,B164:B166,B168:B170,B175,B181:B182,B184:B186,B194,B199)</f>
        <v>190.33999999999997</v>
      </c>
      <c r="C93" s="82">
        <f t="shared" si="35"/>
        <v>172.03999999999996</v>
      </c>
      <c r="D93" s="82">
        <f t="shared" si="35"/>
        <v>175.53999999999996</v>
      </c>
      <c r="E93" s="82">
        <f>SUM(E15,E18,E21:E22,E42,E44:E45,E47,E49,E94:E97,E103,E109,E115,E124,E126,E138,E145,E148:E149,E156,E158,E160,E164:E166,E168:E170,E175,E181:E182,E184:E186,E194,E199)</f>
        <v>176.03999999999996</v>
      </c>
      <c r="F93" s="82">
        <f>SUM(F15,F18,F21:F22,F42,F44:F45,F47,F49,F94:F97,F103,F109,F115,F124,F126,F138,F145,F148:F149,F156,F158,F160,F164:F166,F168:F170,F175,F181:F182,F184:F186,F194,F199)</f>
        <v>176.03999999999996</v>
      </c>
      <c r="G93" s="80">
        <f t="shared" si="35"/>
        <v>182.93999999999994</v>
      </c>
      <c r="H93" s="80">
        <f t="shared" si="35"/>
        <v>218.33999999999997</v>
      </c>
      <c r="I93" s="80">
        <f t="shared" si="35"/>
        <v>243.03999999999996</v>
      </c>
      <c r="J93" s="80">
        <f t="shared" si="35"/>
        <v>270.44</v>
      </c>
      <c r="K93" s="80">
        <f t="shared" si="35"/>
        <v>292.64</v>
      </c>
      <c r="L93" s="80">
        <f t="shared" si="35"/>
        <v>301.14</v>
      </c>
      <c r="M93" s="80">
        <f t="shared" si="35"/>
        <v>302.84000000000003</v>
      </c>
      <c r="N93" s="80">
        <f t="shared" si="35"/>
        <v>316.14</v>
      </c>
      <c r="O93" s="80">
        <f t="shared" si="35"/>
        <v>312.54000000000002</v>
      </c>
      <c r="P93" s="80">
        <f t="shared" si="35"/>
        <v>288.34000000000003</v>
      </c>
      <c r="Q93" s="80">
        <f t="shared" si="35"/>
        <v>270.14</v>
      </c>
      <c r="R93" s="80">
        <f t="shared" si="35"/>
        <v>261.44</v>
      </c>
      <c r="S93" s="80">
        <f t="shared" si="35"/>
        <v>269.44</v>
      </c>
      <c r="T93" s="80">
        <f t="shared" si="35"/>
        <v>270.74</v>
      </c>
      <c r="U93" s="80">
        <f t="shared" si="35"/>
        <v>261.54000000000002</v>
      </c>
      <c r="V93" s="80">
        <f t="shared" si="35"/>
        <v>286.94</v>
      </c>
      <c r="W93" s="80">
        <f t="shared" si="35"/>
        <v>302.44000000000005</v>
      </c>
      <c r="X93" s="80">
        <f t="shared" si="35"/>
        <v>321.14000000000004</v>
      </c>
      <c r="Y93" s="80">
        <f t="shared" si="35"/>
        <v>338.94</v>
      </c>
      <c r="Z93" s="80">
        <f t="shared" si="35"/>
        <v>343.24</v>
      </c>
      <c r="AA93" s="80">
        <f t="shared" si="35"/>
        <v>336.44000000000005</v>
      </c>
      <c r="AB93" s="80">
        <f t="shared" si="35"/>
        <v>300.84000000000003</v>
      </c>
      <c r="AC93" s="80">
        <f t="shared" si="35"/>
        <v>282.34000000000003</v>
      </c>
      <c r="AD93" s="80">
        <f t="shared" si="35"/>
        <v>260.34000000000003</v>
      </c>
      <c r="AE93" s="80">
        <f t="shared" si="35"/>
        <v>220.33999999999997</v>
      </c>
      <c r="AF93" s="80">
        <f t="shared" si="35"/>
        <v>170.73999999999998</v>
      </c>
      <c r="AG93" s="79"/>
      <c r="AH93" s="21">
        <f>MAX(C93:AF93)</f>
        <v>343.24</v>
      </c>
      <c r="AI93" s="20">
        <f>MIN(C93:AF93)</f>
        <v>170.73999999999998</v>
      </c>
    </row>
    <row r="94" spans="1:88" x14ac:dyDescent="0.25">
      <c r="A94" s="48" t="s">
        <v>122</v>
      </c>
      <c r="B94" s="75">
        <v>-1</v>
      </c>
      <c r="C94" s="77">
        <v>-5.4</v>
      </c>
      <c r="D94" s="77">
        <v>-4.8</v>
      </c>
      <c r="E94" s="77">
        <v>-16.8</v>
      </c>
      <c r="F94" s="77">
        <v>-16.8</v>
      </c>
      <c r="G94" s="76">
        <v>-22.5</v>
      </c>
      <c r="H94" s="76">
        <v>-3.1</v>
      </c>
      <c r="I94" s="76">
        <v>0.9</v>
      </c>
      <c r="J94" s="76">
        <v>-6.7</v>
      </c>
      <c r="K94" s="76">
        <v>-6</v>
      </c>
      <c r="L94" s="76">
        <v>3.5</v>
      </c>
      <c r="M94" s="75">
        <v>-1.4</v>
      </c>
      <c r="N94" s="76">
        <v>4.5999999999999996</v>
      </c>
      <c r="O94" s="76">
        <v>-8.9</v>
      </c>
      <c r="P94" s="76">
        <v>-14</v>
      </c>
      <c r="Q94" s="76">
        <v>-10.6</v>
      </c>
      <c r="R94" s="76">
        <v>-8.4</v>
      </c>
      <c r="S94" s="76">
        <v>-13.3</v>
      </c>
      <c r="T94" s="76">
        <v>4</v>
      </c>
      <c r="U94" s="75">
        <v>17</v>
      </c>
      <c r="V94" s="75">
        <v>50.5</v>
      </c>
      <c r="W94" s="75">
        <v>56.2</v>
      </c>
      <c r="X94" s="76">
        <v>56.6</v>
      </c>
      <c r="Y94" s="76">
        <v>34.4</v>
      </c>
      <c r="Z94" s="76">
        <v>28.4</v>
      </c>
      <c r="AA94" s="76">
        <v>20</v>
      </c>
      <c r="AB94" s="75">
        <v>14</v>
      </c>
      <c r="AC94" s="75">
        <v>13</v>
      </c>
      <c r="AD94" s="75">
        <v>12</v>
      </c>
      <c r="AE94" s="75">
        <v>8</v>
      </c>
      <c r="AF94" s="75">
        <v>11.4</v>
      </c>
      <c r="AG94" s="3">
        <v>75</v>
      </c>
      <c r="AH94" s="21">
        <f t="shared" ref="AH94:AH100" si="36">IF(ABS(MAX(C94:AF94))&gt;ABS(MIN(C94:AF94)),MAX(C94:AF94),MIN(C94:AF94))</f>
        <v>56.6</v>
      </c>
      <c r="AI94" s="64">
        <f t="shared" ref="AI94:AI100" si="37">INDEX($C$9:$AF$9,1,MATCH(AH94,C94:AF94,0))</f>
        <v>0.75</v>
      </c>
    </row>
    <row r="95" spans="1:88" x14ac:dyDescent="0.25">
      <c r="A95" s="45" t="s">
        <v>121</v>
      </c>
      <c r="B95" s="73">
        <v>-57</v>
      </c>
      <c r="C95" s="67">
        <v>-69.2</v>
      </c>
      <c r="D95" s="67">
        <v>-60.1</v>
      </c>
      <c r="E95" s="67">
        <v>-56.8</v>
      </c>
      <c r="F95" s="67">
        <v>-56.8</v>
      </c>
      <c r="G95" s="67">
        <v>-41.4</v>
      </c>
      <c r="H95" s="67">
        <v>-41.5</v>
      </c>
      <c r="I95" s="67">
        <v>-23.3</v>
      </c>
      <c r="J95" s="67">
        <v>8.1</v>
      </c>
      <c r="K95" s="67">
        <v>18.899999999999999</v>
      </c>
      <c r="L95" s="67">
        <v>20.8</v>
      </c>
      <c r="M95" s="67">
        <v>22</v>
      </c>
      <c r="N95" s="67">
        <v>22</v>
      </c>
      <c r="O95" s="67">
        <v>24</v>
      </c>
      <c r="P95" s="67">
        <v>9.6999999999999993</v>
      </c>
      <c r="Q95" s="67">
        <v>2.9</v>
      </c>
      <c r="R95" s="67">
        <v>-1.6</v>
      </c>
      <c r="S95" s="67">
        <v>-3.5</v>
      </c>
      <c r="T95" s="67">
        <v>-6</v>
      </c>
      <c r="U95" s="67">
        <v>-10.5</v>
      </c>
      <c r="V95" s="67">
        <v>1</v>
      </c>
      <c r="W95" s="67">
        <v>0.7</v>
      </c>
      <c r="X95" s="67">
        <v>-12.2</v>
      </c>
      <c r="Y95" s="67">
        <v>3</v>
      </c>
      <c r="Z95" s="67">
        <v>14</v>
      </c>
      <c r="AA95" s="67">
        <v>10.3</v>
      </c>
      <c r="AB95" s="73">
        <v>2</v>
      </c>
      <c r="AC95" s="73">
        <v>-10</v>
      </c>
      <c r="AD95" s="73">
        <v>-34</v>
      </c>
      <c r="AE95" s="73">
        <v>-60</v>
      </c>
      <c r="AF95" s="73">
        <v>-80</v>
      </c>
      <c r="AG95" s="3">
        <v>240</v>
      </c>
      <c r="AH95" s="21">
        <f t="shared" si="36"/>
        <v>-80</v>
      </c>
      <c r="AI95" s="64">
        <f t="shared" si="37"/>
        <v>0.95833333333333304</v>
      </c>
    </row>
    <row r="96" spans="1:88" x14ac:dyDescent="0.25">
      <c r="A96" s="45" t="s">
        <v>120</v>
      </c>
      <c r="B96" s="73">
        <v>16.7</v>
      </c>
      <c r="C96" s="67">
        <v>18.600000000000001</v>
      </c>
      <c r="D96" s="67">
        <v>17.600000000000001</v>
      </c>
      <c r="E96" s="67">
        <v>13.4</v>
      </c>
      <c r="F96" s="67">
        <v>13.4</v>
      </c>
      <c r="G96" s="67" t="s">
        <v>233</v>
      </c>
      <c r="H96" s="67">
        <v>22.6</v>
      </c>
      <c r="I96" s="67">
        <v>24.8</v>
      </c>
      <c r="J96" s="67">
        <v>31.8</v>
      </c>
      <c r="K96" s="67">
        <v>30.7</v>
      </c>
      <c r="L96" s="67">
        <v>31.6</v>
      </c>
      <c r="M96" s="67">
        <v>32.700000000000003</v>
      </c>
      <c r="N96" s="67">
        <v>26</v>
      </c>
      <c r="O96" s="67">
        <v>24.1</v>
      </c>
      <c r="P96" s="67">
        <v>15.8</v>
      </c>
      <c r="Q96" s="67">
        <v>13.2</v>
      </c>
      <c r="R96" s="67">
        <v>2.6</v>
      </c>
      <c r="S96" s="67">
        <v>8.3000000000000007</v>
      </c>
      <c r="T96" s="67">
        <v>8.1</v>
      </c>
      <c r="U96" s="67">
        <v>5</v>
      </c>
      <c r="V96" s="67">
        <v>15</v>
      </c>
      <c r="W96" s="67">
        <v>12.9</v>
      </c>
      <c r="X96" s="67">
        <v>12</v>
      </c>
      <c r="Y96" s="67">
        <v>27.7</v>
      </c>
      <c r="Z96" s="67">
        <v>29.2</v>
      </c>
      <c r="AA96" s="67">
        <v>36</v>
      </c>
      <c r="AB96" s="73">
        <v>13.6</v>
      </c>
      <c r="AC96" s="73">
        <v>12</v>
      </c>
      <c r="AD96" s="73">
        <v>11</v>
      </c>
      <c r="AE96" s="73">
        <v>7</v>
      </c>
      <c r="AF96" s="73">
        <v>-8</v>
      </c>
      <c r="AG96" s="3">
        <v>60</v>
      </c>
      <c r="AH96" s="21">
        <f t="shared" si="36"/>
        <v>36</v>
      </c>
      <c r="AI96" s="64">
        <f t="shared" si="37"/>
        <v>0.8125</v>
      </c>
    </row>
    <row r="97" spans="1:37" x14ac:dyDescent="0.25">
      <c r="A97" s="41" t="s">
        <v>119</v>
      </c>
      <c r="B97" s="69">
        <v>64.099999999999994</v>
      </c>
      <c r="C97" s="70">
        <v>60.5</v>
      </c>
      <c r="D97" s="70">
        <v>55.3</v>
      </c>
      <c r="E97" s="70">
        <v>68.7</v>
      </c>
      <c r="F97" s="70">
        <v>68.7</v>
      </c>
      <c r="G97" s="70">
        <v>79.3</v>
      </c>
      <c r="H97" s="70">
        <v>72.8</v>
      </c>
      <c r="I97" s="70">
        <v>73.2</v>
      </c>
      <c r="J97" s="70">
        <v>69.400000000000006</v>
      </c>
      <c r="K97" s="70">
        <v>81.400000000000006</v>
      </c>
      <c r="L97" s="70">
        <v>77.400000000000006</v>
      </c>
      <c r="M97" s="70">
        <v>82.1</v>
      </c>
      <c r="N97" s="70">
        <v>86.6</v>
      </c>
      <c r="O97" s="70">
        <v>96.4</v>
      </c>
      <c r="P97" s="70">
        <v>99.9</v>
      </c>
      <c r="Q97" s="70">
        <v>87.8</v>
      </c>
      <c r="R97" s="70">
        <v>91.8</v>
      </c>
      <c r="S97" s="70">
        <v>100.9</v>
      </c>
      <c r="T97" s="70">
        <v>87.8</v>
      </c>
      <c r="U97" s="70">
        <v>73.2</v>
      </c>
      <c r="V97" s="70">
        <v>66.400000000000006</v>
      </c>
      <c r="W97" s="70">
        <v>66.400000000000006</v>
      </c>
      <c r="X97" s="70">
        <v>75.7</v>
      </c>
      <c r="Y97" s="70">
        <v>84.8</v>
      </c>
      <c r="Z97" s="70">
        <v>82.9</v>
      </c>
      <c r="AA97" s="70">
        <v>81.400000000000006</v>
      </c>
      <c r="AB97" s="69">
        <v>81.900000000000006</v>
      </c>
      <c r="AC97" s="69">
        <v>86</v>
      </c>
      <c r="AD97" s="69">
        <v>90</v>
      </c>
      <c r="AE97" s="69">
        <v>84</v>
      </c>
      <c r="AF97" s="69">
        <v>66</v>
      </c>
      <c r="AG97" s="72">
        <v>120</v>
      </c>
      <c r="AH97" s="21">
        <f t="shared" si="36"/>
        <v>100.9</v>
      </c>
      <c r="AI97" s="64">
        <f t="shared" si="37"/>
        <v>0.58333333333333304</v>
      </c>
    </row>
    <row r="98" spans="1:37" x14ac:dyDescent="0.25">
      <c r="A98" s="41" t="s">
        <v>118</v>
      </c>
      <c r="B98" s="69">
        <v>62.3</v>
      </c>
      <c r="C98" s="70">
        <v>61.5</v>
      </c>
      <c r="D98" s="70">
        <v>55.4</v>
      </c>
      <c r="E98" s="70">
        <v>75.8</v>
      </c>
      <c r="F98" s="70">
        <v>75.8</v>
      </c>
      <c r="G98" s="70">
        <v>81.7</v>
      </c>
      <c r="H98" s="70">
        <v>70.8</v>
      </c>
      <c r="I98" s="70">
        <v>65.5</v>
      </c>
      <c r="J98" s="70">
        <v>59.9</v>
      </c>
      <c r="K98" s="70">
        <v>75.8</v>
      </c>
      <c r="L98" s="70">
        <v>69.599999999999994</v>
      </c>
      <c r="M98" s="70">
        <v>73.599999999999994</v>
      </c>
      <c r="N98" s="70">
        <v>78.5</v>
      </c>
      <c r="O98" s="70">
        <v>88.1</v>
      </c>
      <c r="P98" s="70">
        <v>95.6</v>
      </c>
      <c r="Q98" s="70">
        <v>83.6</v>
      </c>
      <c r="R98" s="70">
        <v>84.6</v>
      </c>
      <c r="S98" s="70">
        <v>88.8</v>
      </c>
      <c r="T98" s="70">
        <v>74</v>
      </c>
      <c r="U98" s="70">
        <v>62</v>
      </c>
      <c r="V98" s="70">
        <v>42.2</v>
      </c>
      <c r="W98" s="70">
        <v>38.799999999999997</v>
      </c>
      <c r="X98" s="70">
        <v>32</v>
      </c>
      <c r="Y98" s="70">
        <v>75</v>
      </c>
      <c r="Z98" s="70">
        <v>87.2</v>
      </c>
      <c r="AA98" s="70">
        <v>86.2</v>
      </c>
      <c r="AB98" s="69">
        <v>106</v>
      </c>
      <c r="AC98" s="69">
        <v>90</v>
      </c>
      <c r="AD98" s="69">
        <v>81</v>
      </c>
      <c r="AE98" s="69">
        <v>83</v>
      </c>
      <c r="AF98" s="69">
        <v>75</v>
      </c>
      <c r="AG98" s="72"/>
      <c r="AH98" s="21">
        <f t="shared" si="36"/>
        <v>106</v>
      </c>
      <c r="AI98" s="64">
        <f t="shared" si="37"/>
        <v>0.83333333333333337</v>
      </c>
    </row>
    <row r="99" spans="1:37" x14ac:dyDescent="0.25">
      <c r="A99" s="41" t="s">
        <v>117</v>
      </c>
      <c r="B99" s="69">
        <v>84</v>
      </c>
      <c r="C99" s="70">
        <v>81.7</v>
      </c>
      <c r="D99" s="70">
        <v>82.9</v>
      </c>
      <c r="E99" s="70">
        <v>84.7</v>
      </c>
      <c r="F99" s="70">
        <v>84.7</v>
      </c>
      <c r="G99" s="70">
        <v>85.4</v>
      </c>
      <c r="H99" s="70">
        <v>83.5</v>
      </c>
      <c r="I99" s="70">
        <v>81.599999999999994</v>
      </c>
      <c r="J99" s="70">
        <v>73</v>
      </c>
      <c r="K99" s="70">
        <v>66.5</v>
      </c>
      <c r="L99" s="70">
        <v>56.9</v>
      </c>
      <c r="M99" s="70">
        <v>60.9</v>
      </c>
      <c r="N99" s="70">
        <v>58.9</v>
      </c>
      <c r="O99" s="70">
        <v>71.400000000000006</v>
      </c>
      <c r="P99" s="70">
        <v>84.5</v>
      </c>
      <c r="Q99" s="70">
        <v>71.099999999999994</v>
      </c>
      <c r="R99" s="70">
        <v>68.7</v>
      </c>
      <c r="S99" s="70">
        <v>70.7</v>
      </c>
      <c r="T99" s="70">
        <v>47.5</v>
      </c>
      <c r="U99" s="70">
        <v>30.6</v>
      </c>
      <c r="V99" s="70">
        <v>22.3</v>
      </c>
      <c r="W99" s="70">
        <v>16</v>
      </c>
      <c r="X99" s="70">
        <v>7</v>
      </c>
      <c r="Y99" s="70">
        <v>38.799999999999997</v>
      </c>
      <c r="Z99" s="70">
        <v>47.7</v>
      </c>
      <c r="AA99" s="70">
        <v>56.7</v>
      </c>
      <c r="AB99" s="69">
        <v>64</v>
      </c>
      <c r="AC99" s="69">
        <v>64</v>
      </c>
      <c r="AD99" s="69">
        <v>65</v>
      </c>
      <c r="AE99" s="69">
        <v>75</v>
      </c>
      <c r="AF99" s="69">
        <v>72</v>
      </c>
      <c r="AG99" s="65"/>
      <c r="AH99" s="21">
        <f t="shared" si="36"/>
        <v>85.4</v>
      </c>
      <c r="AI99" s="64">
        <f t="shared" si="37"/>
        <v>0.20833333333333301</v>
      </c>
    </row>
    <row r="100" spans="1:37" ht="15.75" thickBot="1" x14ac:dyDescent="0.3">
      <c r="A100" s="68" t="s">
        <v>116</v>
      </c>
      <c r="B100" s="66">
        <v>86.1</v>
      </c>
      <c r="C100" s="67">
        <v>83.6</v>
      </c>
      <c r="D100" s="67">
        <v>82.9</v>
      </c>
      <c r="E100" s="67">
        <v>80.599999999999994</v>
      </c>
      <c r="F100" s="67">
        <v>80.599999999999994</v>
      </c>
      <c r="G100" s="67">
        <v>77.2</v>
      </c>
      <c r="H100" s="67">
        <v>80.3</v>
      </c>
      <c r="I100" s="67">
        <v>73.5</v>
      </c>
      <c r="J100" s="67">
        <v>22.8</v>
      </c>
      <c r="K100" s="67">
        <v>0</v>
      </c>
      <c r="L100" s="67">
        <v>0</v>
      </c>
      <c r="M100" s="67">
        <v>0</v>
      </c>
      <c r="N100" s="67">
        <v>0</v>
      </c>
      <c r="O100" s="67">
        <v>0</v>
      </c>
      <c r="P100" s="67">
        <v>45</v>
      </c>
      <c r="Q100" s="67">
        <v>46.7</v>
      </c>
      <c r="R100" s="67">
        <v>46.8</v>
      </c>
      <c r="S100" s="67">
        <v>48.1</v>
      </c>
      <c r="T100" s="67">
        <v>32</v>
      </c>
      <c r="U100" s="67">
        <v>73.3</v>
      </c>
      <c r="V100" s="67">
        <v>66</v>
      </c>
      <c r="W100" s="67">
        <v>70</v>
      </c>
      <c r="X100" s="67">
        <v>73</v>
      </c>
      <c r="Y100" s="67">
        <v>91.5</v>
      </c>
      <c r="Z100" s="67">
        <v>99.1</v>
      </c>
      <c r="AA100" s="67">
        <v>96.5</v>
      </c>
      <c r="AB100" s="66">
        <v>92.5</v>
      </c>
      <c r="AC100" s="66">
        <v>90</v>
      </c>
      <c r="AD100" s="66">
        <v>85</v>
      </c>
      <c r="AE100" s="66">
        <v>74</v>
      </c>
      <c r="AF100" s="66">
        <v>73.5</v>
      </c>
      <c r="AG100" s="65"/>
      <c r="AH100" s="21">
        <f t="shared" si="36"/>
        <v>99.1</v>
      </c>
      <c r="AI100" s="64">
        <f t="shared" si="37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38">AF102</f>
        <v>9.9</v>
      </c>
      <c r="C102" s="54">
        <v>9.9</v>
      </c>
      <c r="D102" s="58">
        <f t="shared" ref="D102:S107" si="39">C102</f>
        <v>9.9</v>
      </c>
      <c r="E102" s="58">
        <f t="shared" si="39"/>
        <v>9.9</v>
      </c>
      <c r="F102" s="58">
        <f t="shared" si="39"/>
        <v>9.9</v>
      </c>
      <c r="G102" s="58">
        <f t="shared" si="39"/>
        <v>9.9</v>
      </c>
      <c r="H102" s="58">
        <f t="shared" si="39"/>
        <v>9.9</v>
      </c>
      <c r="I102" s="58">
        <f t="shared" si="39"/>
        <v>9.9</v>
      </c>
      <c r="J102" s="58">
        <f t="shared" si="39"/>
        <v>9.9</v>
      </c>
      <c r="K102" s="58">
        <f t="shared" si="39"/>
        <v>9.9</v>
      </c>
      <c r="L102" s="58">
        <f t="shared" si="39"/>
        <v>9.9</v>
      </c>
      <c r="M102" s="58">
        <f t="shared" si="39"/>
        <v>9.9</v>
      </c>
      <c r="N102" s="58">
        <f t="shared" si="39"/>
        <v>9.9</v>
      </c>
      <c r="O102" s="58">
        <f t="shared" si="39"/>
        <v>9.9</v>
      </c>
      <c r="P102" s="58">
        <f t="shared" si="39"/>
        <v>9.9</v>
      </c>
      <c r="Q102" s="58">
        <f t="shared" si="39"/>
        <v>9.9</v>
      </c>
      <c r="R102" s="58">
        <f t="shared" si="39"/>
        <v>9.9</v>
      </c>
      <c r="S102" s="58">
        <f t="shared" si="39"/>
        <v>9.9</v>
      </c>
      <c r="T102" s="58">
        <f t="shared" ref="T102:AF107" si="40">S102</f>
        <v>9.9</v>
      </c>
      <c r="U102" s="58">
        <f t="shared" si="40"/>
        <v>9.9</v>
      </c>
      <c r="V102" s="58">
        <f t="shared" si="40"/>
        <v>9.9</v>
      </c>
      <c r="W102" s="58">
        <f t="shared" si="40"/>
        <v>9.9</v>
      </c>
      <c r="X102" s="58">
        <f t="shared" si="40"/>
        <v>9.9</v>
      </c>
      <c r="Y102" s="58">
        <f t="shared" si="40"/>
        <v>9.9</v>
      </c>
      <c r="Z102" s="58">
        <f t="shared" si="40"/>
        <v>9.9</v>
      </c>
      <c r="AA102" s="58">
        <f t="shared" si="40"/>
        <v>9.9</v>
      </c>
      <c r="AB102" s="58">
        <f t="shared" si="40"/>
        <v>9.9</v>
      </c>
      <c r="AC102" s="58">
        <f t="shared" si="40"/>
        <v>9.9</v>
      </c>
      <c r="AD102" s="58">
        <f t="shared" si="40"/>
        <v>9.9</v>
      </c>
      <c r="AE102" s="58">
        <f t="shared" si="40"/>
        <v>9.9</v>
      </c>
      <c r="AF102" s="58">
        <f t="shared" si="40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38"/>
        <v>9.6</v>
      </c>
      <c r="C103" s="55">
        <v>9.6</v>
      </c>
      <c r="D103" s="44">
        <f t="shared" si="39"/>
        <v>9.6</v>
      </c>
      <c r="E103" s="44">
        <f t="shared" si="39"/>
        <v>9.6</v>
      </c>
      <c r="F103" s="44">
        <f t="shared" si="39"/>
        <v>9.6</v>
      </c>
      <c r="G103" s="44">
        <f t="shared" si="39"/>
        <v>9.6</v>
      </c>
      <c r="H103" s="44">
        <f t="shared" si="39"/>
        <v>9.6</v>
      </c>
      <c r="I103" s="44">
        <f t="shared" si="39"/>
        <v>9.6</v>
      </c>
      <c r="J103" s="44">
        <f t="shared" si="39"/>
        <v>9.6</v>
      </c>
      <c r="K103" s="44">
        <f t="shared" si="39"/>
        <v>9.6</v>
      </c>
      <c r="L103" s="44">
        <f t="shared" si="39"/>
        <v>9.6</v>
      </c>
      <c r="M103" s="44">
        <f t="shared" si="39"/>
        <v>9.6</v>
      </c>
      <c r="N103" s="44">
        <f t="shared" si="39"/>
        <v>9.6</v>
      </c>
      <c r="O103" s="44">
        <f t="shared" si="39"/>
        <v>9.6</v>
      </c>
      <c r="P103" s="44">
        <f t="shared" si="39"/>
        <v>9.6</v>
      </c>
      <c r="Q103" s="44">
        <f t="shared" si="39"/>
        <v>9.6</v>
      </c>
      <c r="R103" s="44">
        <f t="shared" si="39"/>
        <v>9.6</v>
      </c>
      <c r="S103" s="44">
        <f t="shared" si="39"/>
        <v>9.6</v>
      </c>
      <c r="T103" s="44">
        <f t="shared" si="40"/>
        <v>9.6</v>
      </c>
      <c r="U103" s="44">
        <f t="shared" si="40"/>
        <v>9.6</v>
      </c>
      <c r="V103" s="44">
        <f t="shared" si="40"/>
        <v>9.6</v>
      </c>
      <c r="W103" s="44">
        <f t="shared" si="40"/>
        <v>9.6</v>
      </c>
      <c r="X103" s="44">
        <f t="shared" si="40"/>
        <v>9.6</v>
      </c>
      <c r="Y103" s="44">
        <f t="shared" si="40"/>
        <v>9.6</v>
      </c>
      <c r="Z103" s="44">
        <f t="shared" si="40"/>
        <v>9.6</v>
      </c>
      <c r="AA103" s="44">
        <f t="shared" si="40"/>
        <v>9.6</v>
      </c>
      <c r="AB103" s="44">
        <f t="shared" si="40"/>
        <v>9.6</v>
      </c>
      <c r="AC103" s="44">
        <f t="shared" si="40"/>
        <v>9.6</v>
      </c>
      <c r="AD103" s="44">
        <f t="shared" si="40"/>
        <v>9.6</v>
      </c>
      <c r="AE103" s="44">
        <f t="shared" si="40"/>
        <v>9.6</v>
      </c>
      <c r="AF103" s="44">
        <f t="shared" si="40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38"/>
        <v>9.98</v>
      </c>
      <c r="C104" s="55">
        <v>9.98</v>
      </c>
      <c r="D104" s="44">
        <f t="shared" si="39"/>
        <v>9.98</v>
      </c>
      <c r="E104" s="44">
        <f t="shared" si="39"/>
        <v>9.98</v>
      </c>
      <c r="F104" s="44">
        <f t="shared" si="39"/>
        <v>9.98</v>
      </c>
      <c r="G104" s="44">
        <f t="shared" si="39"/>
        <v>9.98</v>
      </c>
      <c r="H104" s="44">
        <f t="shared" si="39"/>
        <v>9.98</v>
      </c>
      <c r="I104" s="44">
        <f t="shared" si="39"/>
        <v>9.98</v>
      </c>
      <c r="J104" s="44">
        <f t="shared" si="39"/>
        <v>9.98</v>
      </c>
      <c r="K104" s="44">
        <f t="shared" si="39"/>
        <v>9.98</v>
      </c>
      <c r="L104" s="44">
        <f t="shared" si="39"/>
        <v>9.98</v>
      </c>
      <c r="M104" s="44">
        <f t="shared" si="39"/>
        <v>9.98</v>
      </c>
      <c r="N104" s="44">
        <f t="shared" si="39"/>
        <v>9.98</v>
      </c>
      <c r="O104" s="44">
        <f t="shared" si="39"/>
        <v>9.98</v>
      </c>
      <c r="P104" s="44">
        <f t="shared" si="39"/>
        <v>9.98</v>
      </c>
      <c r="Q104" s="44">
        <f t="shared" si="39"/>
        <v>9.98</v>
      </c>
      <c r="R104" s="44">
        <f t="shared" si="39"/>
        <v>9.98</v>
      </c>
      <c r="S104" s="44">
        <f t="shared" si="39"/>
        <v>9.98</v>
      </c>
      <c r="T104" s="44">
        <f t="shared" si="40"/>
        <v>9.98</v>
      </c>
      <c r="U104" s="44">
        <f t="shared" si="40"/>
        <v>9.98</v>
      </c>
      <c r="V104" s="44">
        <f t="shared" si="40"/>
        <v>9.98</v>
      </c>
      <c r="W104" s="44">
        <f t="shared" si="40"/>
        <v>9.98</v>
      </c>
      <c r="X104" s="44">
        <f t="shared" si="40"/>
        <v>9.98</v>
      </c>
      <c r="Y104" s="44">
        <f t="shared" si="40"/>
        <v>9.98</v>
      </c>
      <c r="Z104" s="44">
        <f t="shared" si="40"/>
        <v>9.98</v>
      </c>
      <c r="AA104" s="44">
        <f t="shared" si="40"/>
        <v>9.98</v>
      </c>
      <c r="AB104" s="44">
        <f t="shared" si="40"/>
        <v>9.98</v>
      </c>
      <c r="AC104" s="44">
        <f t="shared" si="40"/>
        <v>9.98</v>
      </c>
      <c r="AD104" s="44">
        <f t="shared" si="40"/>
        <v>9.98</v>
      </c>
      <c r="AE104" s="44">
        <f t="shared" si="40"/>
        <v>9.98</v>
      </c>
      <c r="AF104" s="44">
        <f t="shared" si="40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38"/>
        <v>9.1</v>
      </c>
      <c r="C105" s="55">
        <v>9.1</v>
      </c>
      <c r="D105" s="44">
        <f t="shared" si="39"/>
        <v>9.1</v>
      </c>
      <c r="E105" s="44">
        <f t="shared" si="39"/>
        <v>9.1</v>
      </c>
      <c r="F105" s="44">
        <f t="shared" si="39"/>
        <v>9.1</v>
      </c>
      <c r="G105" s="44">
        <f t="shared" si="39"/>
        <v>9.1</v>
      </c>
      <c r="H105" s="44">
        <f t="shared" si="39"/>
        <v>9.1</v>
      </c>
      <c r="I105" s="44">
        <f t="shared" si="39"/>
        <v>9.1</v>
      </c>
      <c r="J105" s="44">
        <f t="shared" si="39"/>
        <v>9.1</v>
      </c>
      <c r="K105" s="44">
        <f t="shared" si="39"/>
        <v>9.1</v>
      </c>
      <c r="L105" s="44">
        <f t="shared" si="39"/>
        <v>9.1</v>
      </c>
      <c r="M105" s="44">
        <f t="shared" si="39"/>
        <v>9.1</v>
      </c>
      <c r="N105" s="44">
        <f t="shared" si="39"/>
        <v>9.1</v>
      </c>
      <c r="O105" s="44">
        <f t="shared" si="39"/>
        <v>9.1</v>
      </c>
      <c r="P105" s="44">
        <f t="shared" si="39"/>
        <v>9.1</v>
      </c>
      <c r="Q105" s="44">
        <f t="shared" si="39"/>
        <v>9.1</v>
      </c>
      <c r="R105" s="44">
        <f t="shared" si="39"/>
        <v>9.1</v>
      </c>
      <c r="S105" s="44">
        <f t="shared" si="39"/>
        <v>9.1</v>
      </c>
      <c r="T105" s="44">
        <f t="shared" si="40"/>
        <v>9.1</v>
      </c>
      <c r="U105" s="44">
        <f t="shared" si="40"/>
        <v>9.1</v>
      </c>
      <c r="V105" s="44">
        <f t="shared" si="40"/>
        <v>9.1</v>
      </c>
      <c r="W105" s="44">
        <f t="shared" si="40"/>
        <v>9.1</v>
      </c>
      <c r="X105" s="44">
        <f t="shared" si="40"/>
        <v>9.1</v>
      </c>
      <c r="Y105" s="44">
        <f t="shared" si="40"/>
        <v>9.1</v>
      </c>
      <c r="Z105" s="44">
        <f t="shared" si="40"/>
        <v>9.1</v>
      </c>
      <c r="AA105" s="44">
        <f t="shared" si="40"/>
        <v>9.1</v>
      </c>
      <c r="AB105" s="44">
        <f t="shared" si="40"/>
        <v>9.1</v>
      </c>
      <c r="AC105" s="44">
        <f t="shared" si="40"/>
        <v>9.1</v>
      </c>
      <c r="AD105" s="44">
        <f t="shared" si="40"/>
        <v>9.1</v>
      </c>
      <c r="AE105" s="44">
        <f t="shared" si="40"/>
        <v>9.1</v>
      </c>
      <c r="AF105" s="44">
        <f t="shared" si="40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38"/>
        <v>9.18</v>
      </c>
      <c r="C106" s="55">
        <v>9.18</v>
      </c>
      <c r="D106" s="44">
        <f t="shared" si="39"/>
        <v>9.18</v>
      </c>
      <c r="E106" s="44">
        <f t="shared" si="39"/>
        <v>9.18</v>
      </c>
      <c r="F106" s="44">
        <f t="shared" si="39"/>
        <v>9.18</v>
      </c>
      <c r="G106" s="44">
        <f t="shared" si="39"/>
        <v>9.18</v>
      </c>
      <c r="H106" s="44">
        <f t="shared" si="39"/>
        <v>9.18</v>
      </c>
      <c r="I106" s="44">
        <f t="shared" si="39"/>
        <v>9.18</v>
      </c>
      <c r="J106" s="44">
        <f t="shared" si="39"/>
        <v>9.18</v>
      </c>
      <c r="K106" s="44">
        <f t="shared" si="39"/>
        <v>9.18</v>
      </c>
      <c r="L106" s="44">
        <f t="shared" si="39"/>
        <v>9.18</v>
      </c>
      <c r="M106" s="44">
        <f t="shared" si="39"/>
        <v>9.18</v>
      </c>
      <c r="N106" s="44">
        <f t="shared" si="39"/>
        <v>9.18</v>
      </c>
      <c r="O106" s="44">
        <f t="shared" si="39"/>
        <v>9.18</v>
      </c>
      <c r="P106" s="44">
        <f t="shared" si="39"/>
        <v>9.18</v>
      </c>
      <c r="Q106" s="44">
        <f t="shared" si="39"/>
        <v>9.18</v>
      </c>
      <c r="R106" s="44">
        <f t="shared" si="39"/>
        <v>9.18</v>
      </c>
      <c r="S106" s="44">
        <f t="shared" si="39"/>
        <v>9.18</v>
      </c>
      <c r="T106" s="44">
        <f t="shared" si="40"/>
        <v>9.18</v>
      </c>
      <c r="U106" s="44">
        <f t="shared" si="40"/>
        <v>9.18</v>
      </c>
      <c r="V106" s="44">
        <f t="shared" si="40"/>
        <v>9.18</v>
      </c>
      <c r="W106" s="44">
        <f t="shared" si="40"/>
        <v>9.18</v>
      </c>
      <c r="X106" s="44">
        <f t="shared" si="40"/>
        <v>9.18</v>
      </c>
      <c r="Y106" s="44">
        <f t="shared" si="40"/>
        <v>9.18</v>
      </c>
      <c r="Z106" s="44">
        <f t="shared" si="40"/>
        <v>9.18</v>
      </c>
      <c r="AA106" s="44">
        <f t="shared" si="40"/>
        <v>9.18</v>
      </c>
      <c r="AB106" s="44">
        <f t="shared" si="40"/>
        <v>9.18</v>
      </c>
      <c r="AC106" s="44">
        <f t="shared" si="40"/>
        <v>9.18</v>
      </c>
      <c r="AD106" s="44">
        <f t="shared" si="40"/>
        <v>9.18</v>
      </c>
      <c r="AE106" s="44">
        <f t="shared" si="40"/>
        <v>9.18</v>
      </c>
      <c r="AF106" s="44">
        <f t="shared" si="40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38"/>
        <v>7</v>
      </c>
      <c r="C107" s="55">
        <v>7</v>
      </c>
      <c r="D107" s="44">
        <f t="shared" si="39"/>
        <v>7</v>
      </c>
      <c r="E107" s="44">
        <f t="shared" si="39"/>
        <v>7</v>
      </c>
      <c r="F107" s="44">
        <f t="shared" si="39"/>
        <v>7</v>
      </c>
      <c r="G107" s="44">
        <f t="shared" si="39"/>
        <v>7</v>
      </c>
      <c r="H107" s="44">
        <f t="shared" si="39"/>
        <v>7</v>
      </c>
      <c r="I107" s="44">
        <f t="shared" si="39"/>
        <v>7</v>
      </c>
      <c r="J107" s="44">
        <f t="shared" si="39"/>
        <v>7</v>
      </c>
      <c r="K107" s="44">
        <f t="shared" si="39"/>
        <v>7</v>
      </c>
      <c r="L107" s="44">
        <f t="shared" si="39"/>
        <v>7</v>
      </c>
      <c r="M107" s="44">
        <f t="shared" si="39"/>
        <v>7</v>
      </c>
      <c r="N107" s="44">
        <f t="shared" si="39"/>
        <v>7</v>
      </c>
      <c r="O107" s="44">
        <f t="shared" si="39"/>
        <v>7</v>
      </c>
      <c r="P107" s="44">
        <f t="shared" si="39"/>
        <v>7</v>
      </c>
      <c r="Q107" s="44">
        <f t="shared" si="39"/>
        <v>7</v>
      </c>
      <c r="R107" s="44">
        <f t="shared" si="39"/>
        <v>7</v>
      </c>
      <c r="S107" s="44">
        <f t="shared" si="39"/>
        <v>7</v>
      </c>
      <c r="T107" s="44">
        <f t="shared" si="40"/>
        <v>7</v>
      </c>
      <c r="U107" s="44">
        <f t="shared" si="40"/>
        <v>7</v>
      </c>
      <c r="V107" s="44">
        <f t="shared" si="40"/>
        <v>7</v>
      </c>
      <c r="W107" s="44">
        <f t="shared" si="40"/>
        <v>7</v>
      </c>
      <c r="X107" s="44">
        <f t="shared" si="40"/>
        <v>7</v>
      </c>
      <c r="Y107" s="44">
        <f t="shared" si="40"/>
        <v>7</v>
      </c>
      <c r="Z107" s="44">
        <f t="shared" si="40"/>
        <v>7</v>
      </c>
      <c r="AA107" s="44">
        <f t="shared" si="40"/>
        <v>7</v>
      </c>
      <c r="AB107" s="44">
        <f t="shared" si="40"/>
        <v>7</v>
      </c>
      <c r="AC107" s="44">
        <f t="shared" si="40"/>
        <v>7</v>
      </c>
      <c r="AD107" s="44">
        <f t="shared" si="40"/>
        <v>7</v>
      </c>
      <c r="AE107" s="44">
        <f t="shared" si="40"/>
        <v>7</v>
      </c>
      <c r="AF107" s="44">
        <f t="shared" si="40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1">C109</f>
        <v>2.25</v>
      </c>
      <c r="E109" s="44">
        <f t="shared" si="41"/>
        <v>2.25</v>
      </c>
      <c r="F109" s="44">
        <f t="shared" si="41"/>
        <v>2.25</v>
      </c>
      <c r="G109" s="44">
        <f t="shared" si="41"/>
        <v>2.25</v>
      </c>
      <c r="H109" s="44">
        <f t="shared" si="41"/>
        <v>2.25</v>
      </c>
      <c r="I109" s="44">
        <f t="shared" si="41"/>
        <v>2.25</v>
      </c>
      <c r="J109" s="44">
        <f t="shared" si="41"/>
        <v>2.25</v>
      </c>
      <c r="K109" s="44">
        <f t="shared" si="41"/>
        <v>2.25</v>
      </c>
      <c r="L109" s="44">
        <f t="shared" si="41"/>
        <v>2.25</v>
      </c>
      <c r="M109" s="44">
        <f t="shared" si="41"/>
        <v>2.25</v>
      </c>
      <c r="N109" s="44">
        <f t="shared" si="41"/>
        <v>2.25</v>
      </c>
      <c r="O109" s="44">
        <f t="shared" si="41"/>
        <v>2.25</v>
      </c>
      <c r="P109" s="44">
        <f t="shared" si="41"/>
        <v>2.25</v>
      </c>
      <c r="Q109" s="44">
        <f t="shared" si="41"/>
        <v>2.25</v>
      </c>
      <c r="R109" s="44">
        <f t="shared" si="41"/>
        <v>2.25</v>
      </c>
      <c r="S109" s="44">
        <f t="shared" si="41"/>
        <v>2.25</v>
      </c>
      <c r="T109" s="44">
        <f t="shared" ref="T109:AF110" si="42">S109</f>
        <v>2.25</v>
      </c>
      <c r="U109" s="44">
        <f t="shared" si="42"/>
        <v>2.25</v>
      </c>
      <c r="V109" s="44">
        <f t="shared" si="42"/>
        <v>2.25</v>
      </c>
      <c r="W109" s="44">
        <f t="shared" si="42"/>
        <v>2.25</v>
      </c>
      <c r="X109" s="44">
        <f t="shared" si="42"/>
        <v>2.25</v>
      </c>
      <c r="Y109" s="44">
        <f t="shared" si="42"/>
        <v>2.25</v>
      </c>
      <c r="Z109" s="44">
        <f t="shared" si="42"/>
        <v>2.25</v>
      </c>
      <c r="AA109" s="44">
        <f t="shared" si="42"/>
        <v>2.25</v>
      </c>
      <c r="AB109" s="44">
        <f t="shared" si="42"/>
        <v>2.25</v>
      </c>
      <c r="AC109" s="44">
        <f t="shared" si="42"/>
        <v>2.25</v>
      </c>
      <c r="AD109" s="44">
        <f t="shared" si="42"/>
        <v>2.25</v>
      </c>
      <c r="AE109" s="44">
        <f t="shared" si="42"/>
        <v>2.25</v>
      </c>
      <c r="AF109" s="44">
        <f t="shared" si="42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1"/>
        <v>1.64</v>
      </c>
      <c r="E110" s="44">
        <f t="shared" si="41"/>
        <v>1.64</v>
      </c>
      <c r="F110" s="44">
        <f t="shared" si="41"/>
        <v>1.64</v>
      </c>
      <c r="G110" s="44">
        <f t="shared" si="41"/>
        <v>1.64</v>
      </c>
      <c r="H110" s="44">
        <f t="shared" si="41"/>
        <v>1.64</v>
      </c>
      <c r="I110" s="44">
        <f t="shared" si="41"/>
        <v>1.64</v>
      </c>
      <c r="J110" s="44">
        <f t="shared" si="41"/>
        <v>1.64</v>
      </c>
      <c r="K110" s="44">
        <f t="shared" si="41"/>
        <v>1.64</v>
      </c>
      <c r="L110" s="44">
        <f t="shared" si="41"/>
        <v>1.64</v>
      </c>
      <c r="M110" s="44">
        <f t="shared" si="41"/>
        <v>1.64</v>
      </c>
      <c r="N110" s="44">
        <f t="shared" si="41"/>
        <v>1.64</v>
      </c>
      <c r="O110" s="44">
        <f t="shared" si="41"/>
        <v>1.64</v>
      </c>
      <c r="P110" s="44">
        <f t="shared" si="41"/>
        <v>1.64</v>
      </c>
      <c r="Q110" s="44">
        <f t="shared" si="41"/>
        <v>1.64</v>
      </c>
      <c r="R110" s="44">
        <f t="shared" si="41"/>
        <v>1.64</v>
      </c>
      <c r="S110" s="44">
        <f t="shared" si="41"/>
        <v>1.64</v>
      </c>
      <c r="T110" s="44">
        <f t="shared" si="42"/>
        <v>1.64</v>
      </c>
      <c r="U110" s="44">
        <f t="shared" si="42"/>
        <v>1.64</v>
      </c>
      <c r="V110" s="44">
        <f t="shared" si="42"/>
        <v>1.64</v>
      </c>
      <c r="W110" s="44">
        <f t="shared" si="42"/>
        <v>1.64</v>
      </c>
      <c r="X110" s="44">
        <f t="shared" si="42"/>
        <v>1.64</v>
      </c>
      <c r="Y110" s="44">
        <f t="shared" si="42"/>
        <v>1.64</v>
      </c>
      <c r="Z110" s="44">
        <f t="shared" si="42"/>
        <v>1.64</v>
      </c>
      <c r="AA110" s="44">
        <f t="shared" si="42"/>
        <v>1.64</v>
      </c>
      <c r="AB110" s="44">
        <f t="shared" si="42"/>
        <v>1.64</v>
      </c>
      <c r="AC110" s="44">
        <f t="shared" si="42"/>
        <v>1.64</v>
      </c>
      <c r="AD110" s="44">
        <f t="shared" si="42"/>
        <v>1.64</v>
      </c>
      <c r="AE110" s="44">
        <f t="shared" si="42"/>
        <v>1.64</v>
      </c>
      <c r="AF110" s="44">
        <f t="shared" si="42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43">AF112</f>
        <v>1.62</v>
      </c>
      <c r="C112" s="55">
        <v>1.62</v>
      </c>
      <c r="D112" s="44">
        <f t="shared" ref="D112:S119" si="44">C112</f>
        <v>1.62</v>
      </c>
      <c r="E112" s="44">
        <f t="shared" si="44"/>
        <v>1.62</v>
      </c>
      <c r="F112" s="44">
        <f t="shared" si="44"/>
        <v>1.62</v>
      </c>
      <c r="G112" s="44">
        <f t="shared" si="44"/>
        <v>1.62</v>
      </c>
      <c r="H112" s="44">
        <f t="shared" si="44"/>
        <v>1.62</v>
      </c>
      <c r="I112" s="44">
        <f t="shared" si="44"/>
        <v>1.62</v>
      </c>
      <c r="J112" s="44">
        <f t="shared" si="44"/>
        <v>1.62</v>
      </c>
      <c r="K112" s="44">
        <f t="shared" si="44"/>
        <v>1.62</v>
      </c>
      <c r="L112" s="44">
        <f t="shared" si="44"/>
        <v>1.62</v>
      </c>
      <c r="M112" s="44">
        <f t="shared" si="44"/>
        <v>1.62</v>
      </c>
      <c r="N112" s="44">
        <f t="shared" si="44"/>
        <v>1.62</v>
      </c>
      <c r="O112" s="44">
        <f t="shared" si="44"/>
        <v>1.62</v>
      </c>
      <c r="P112" s="44">
        <f t="shared" si="44"/>
        <v>1.62</v>
      </c>
      <c r="Q112" s="44">
        <f t="shared" si="44"/>
        <v>1.62</v>
      </c>
      <c r="R112" s="44">
        <f t="shared" si="44"/>
        <v>1.62</v>
      </c>
      <c r="S112" s="44">
        <f t="shared" si="44"/>
        <v>1.62</v>
      </c>
      <c r="T112" s="44">
        <f t="shared" ref="T112:AF127" si="45">S112</f>
        <v>1.62</v>
      </c>
      <c r="U112" s="44">
        <f t="shared" si="45"/>
        <v>1.62</v>
      </c>
      <c r="V112" s="44">
        <f t="shared" si="45"/>
        <v>1.62</v>
      </c>
      <c r="W112" s="44">
        <f t="shared" si="45"/>
        <v>1.62</v>
      </c>
      <c r="X112" s="44">
        <f t="shared" si="45"/>
        <v>1.62</v>
      </c>
      <c r="Y112" s="44">
        <f t="shared" si="45"/>
        <v>1.62</v>
      </c>
      <c r="Z112" s="44">
        <f t="shared" si="45"/>
        <v>1.62</v>
      </c>
      <c r="AA112" s="44">
        <f t="shared" si="45"/>
        <v>1.62</v>
      </c>
      <c r="AB112" s="44">
        <f t="shared" si="45"/>
        <v>1.62</v>
      </c>
      <c r="AC112" s="44">
        <f t="shared" si="45"/>
        <v>1.62</v>
      </c>
      <c r="AD112" s="44">
        <f t="shared" si="45"/>
        <v>1.62</v>
      </c>
      <c r="AE112" s="44">
        <f t="shared" si="45"/>
        <v>1.62</v>
      </c>
      <c r="AF112" s="44">
        <f t="shared" si="45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3"/>
        <v>8.36</v>
      </c>
      <c r="C113" s="55">
        <v>8.36</v>
      </c>
      <c r="D113" s="44">
        <f t="shared" si="44"/>
        <v>8.36</v>
      </c>
      <c r="E113" s="44">
        <f t="shared" si="44"/>
        <v>8.36</v>
      </c>
      <c r="F113" s="44">
        <f t="shared" si="44"/>
        <v>8.36</v>
      </c>
      <c r="G113" s="44">
        <f t="shared" si="44"/>
        <v>8.36</v>
      </c>
      <c r="H113" s="44">
        <f t="shared" si="44"/>
        <v>8.36</v>
      </c>
      <c r="I113" s="44">
        <f t="shared" si="44"/>
        <v>8.36</v>
      </c>
      <c r="J113" s="44">
        <f t="shared" si="44"/>
        <v>8.36</v>
      </c>
      <c r="K113" s="44">
        <f t="shared" si="44"/>
        <v>8.36</v>
      </c>
      <c r="L113" s="44">
        <f t="shared" si="44"/>
        <v>8.36</v>
      </c>
      <c r="M113" s="44">
        <f t="shared" si="44"/>
        <v>8.36</v>
      </c>
      <c r="N113" s="44">
        <f t="shared" si="44"/>
        <v>8.36</v>
      </c>
      <c r="O113" s="44">
        <f t="shared" si="44"/>
        <v>8.36</v>
      </c>
      <c r="P113" s="44">
        <f t="shared" si="44"/>
        <v>8.36</v>
      </c>
      <c r="Q113" s="44">
        <f t="shared" si="44"/>
        <v>8.36</v>
      </c>
      <c r="R113" s="44">
        <f t="shared" si="44"/>
        <v>8.36</v>
      </c>
      <c r="S113" s="44">
        <f t="shared" si="44"/>
        <v>8.36</v>
      </c>
      <c r="T113" s="44">
        <f t="shared" si="45"/>
        <v>8.36</v>
      </c>
      <c r="U113" s="44">
        <f t="shared" si="45"/>
        <v>8.36</v>
      </c>
      <c r="V113" s="44">
        <f t="shared" si="45"/>
        <v>8.36</v>
      </c>
      <c r="W113" s="44">
        <f t="shared" si="45"/>
        <v>8.36</v>
      </c>
      <c r="X113" s="44">
        <f t="shared" si="45"/>
        <v>8.36</v>
      </c>
      <c r="Y113" s="44">
        <f t="shared" si="45"/>
        <v>8.36</v>
      </c>
      <c r="Z113" s="44">
        <f t="shared" si="45"/>
        <v>8.36</v>
      </c>
      <c r="AA113" s="44">
        <f t="shared" si="45"/>
        <v>8.36</v>
      </c>
      <c r="AB113" s="44">
        <f t="shared" si="45"/>
        <v>8.36</v>
      </c>
      <c r="AC113" s="44">
        <f t="shared" si="45"/>
        <v>8.36</v>
      </c>
      <c r="AD113" s="44">
        <f t="shared" si="45"/>
        <v>8.36</v>
      </c>
      <c r="AE113" s="44">
        <f t="shared" si="45"/>
        <v>8.36</v>
      </c>
      <c r="AF113" s="44">
        <f t="shared" si="45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3"/>
        <v>5.4</v>
      </c>
      <c r="C114" s="55">
        <v>8</v>
      </c>
      <c r="D114" s="44">
        <f t="shared" si="44"/>
        <v>8</v>
      </c>
      <c r="E114" s="44">
        <f t="shared" si="44"/>
        <v>8</v>
      </c>
      <c r="F114" s="44">
        <f t="shared" si="44"/>
        <v>8</v>
      </c>
      <c r="G114" s="44">
        <f t="shared" si="44"/>
        <v>8</v>
      </c>
      <c r="H114" s="44">
        <f t="shared" si="44"/>
        <v>8</v>
      </c>
      <c r="I114" s="44">
        <f t="shared" si="44"/>
        <v>8</v>
      </c>
      <c r="J114" s="44">
        <v>5.4</v>
      </c>
      <c r="K114" s="44">
        <f t="shared" si="44"/>
        <v>5.4</v>
      </c>
      <c r="L114" s="44">
        <f t="shared" si="44"/>
        <v>5.4</v>
      </c>
      <c r="M114" s="44">
        <f t="shared" si="44"/>
        <v>5.4</v>
      </c>
      <c r="N114" s="44">
        <f t="shared" si="44"/>
        <v>5.4</v>
      </c>
      <c r="O114" s="44">
        <f t="shared" si="44"/>
        <v>5.4</v>
      </c>
      <c r="P114" s="44">
        <f t="shared" si="44"/>
        <v>5.4</v>
      </c>
      <c r="Q114" s="44">
        <f t="shared" si="44"/>
        <v>5.4</v>
      </c>
      <c r="R114" s="44">
        <f t="shared" si="44"/>
        <v>5.4</v>
      </c>
      <c r="S114" s="44">
        <f t="shared" si="44"/>
        <v>5.4</v>
      </c>
      <c r="T114" s="44">
        <f t="shared" si="45"/>
        <v>5.4</v>
      </c>
      <c r="U114" s="44">
        <f t="shared" si="45"/>
        <v>5.4</v>
      </c>
      <c r="V114" s="44">
        <f t="shared" si="45"/>
        <v>5.4</v>
      </c>
      <c r="W114" s="44">
        <f t="shared" si="45"/>
        <v>5.4</v>
      </c>
      <c r="X114" s="44">
        <f t="shared" si="45"/>
        <v>5.4</v>
      </c>
      <c r="Y114" s="44">
        <f t="shared" si="45"/>
        <v>5.4</v>
      </c>
      <c r="Z114" s="44">
        <f t="shared" si="45"/>
        <v>5.4</v>
      </c>
      <c r="AA114" s="44">
        <f t="shared" si="45"/>
        <v>5.4</v>
      </c>
      <c r="AB114" s="44">
        <f t="shared" si="45"/>
        <v>5.4</v>
      </c>
      <c r="AC114" s="44">
        <f t="shared" si="45"/>
        <v>5.4</v>
      </c>
      <c r="AD114" s="44">
        <f t="shared" si="45"/>
        <v>5.4</v>
      </c>
      <c r="AE114" s="44">
        <f t="shared" si="45"/>
        <v>5.4</v>
      </c>
      <c r="AF114" s="44">
        <f t="shared" si="45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3"/>
        <v>6.57</v>
      </c>
      <c r="C115" s="55">
        <v>6.57</v>
      </c>
      <c r="D115" s="44">
        <f t="shared" si="44"/>
        <v>6.57</v>
      </c>
      <c r="E115" s="44">
        <f t="shared" si="44"/>
        <v>6.57</v>
      </c>
      <c r="F115" s="44">
        <f t="shared" si="44"/>
        <v>6.57</v>
      </c>
      <c r="G115" s="44">
        <f t="shared" si="44"/>
        <v>6.57</v>
      </c>
      <c r="H115" s="44">
        <f t="shared" si="44"/>
        <v>6.57</v>
      </c>
      <c r="I115" s="44">
        <f t="shared" si="44"/>
        <v>6.57</v>
      </c>
      <c r="J115" s="44">
        <f t="shared" si="44"/>
        <v>6.57</v>
      </c>
      <c r="K115" s="44">
        <f t="shared" si="44"/>
        <v>6.57</v>
      </c>
      <c r="L115" s="44">
        <f t="shared" si="44"/>
        <v>6.57</v>
      </c>
      <c r="M115" s="44">
        <f t="shared" si="44"/>
        <v>6.57</v>
      </c>
      <c r="N115" s="44">
        <f t="shared" si="44"/>
        <v>6.57</v>
      </c>
      <c r="O115" s="44">
        <f t="shared" si="44"/>
        <v>6.57</v>
      </c>
      <c r="P115" s="44">
        <f t="shared" si="44"/>
        <v>6.57</v>
      </c>
      <c r="Q115" s="44">
        <f t="shared" si="44"/>
        <v>6.57</v>
      </c>
      <c r="R115" s="44">
        <f t="shared" si="44"/>
        <v>6.57</v>
      </c>
      <c r="S115" s="44">
        <f t="shared" si="44"/>
        <v>6.57</v>
      </c>
      <c r="T115" s="44">
        <f t="shared" si="45"/>
        <v>6.57</v>
      </c>
      <c r="U115" s="44">
        <f t="shared" si="45"/>
        <v>6.57</v>
      </c>
      <c r="V115" s="44">
        <f t="shared" si="45"/>
        <v>6.57</v>
      </c>
      <c r="W115" s="44">
        <f t="shared" si="45"/>
        <v>6.57</v>
      </c>
      <c r="X115" s="44">
        <f t="shared" si="45"/>
        <v>6.57</v>
      </c>
      <c r="Y115" s="44">
        <f t="shared" si="45"/>
        <v>6.57</v>
      </c>
      <c r="Z115" s="44">
        <f t="shared" si="45"/>
        <v>6.57</v>
      </c>
      <c r="AA115" s="44">
        <f t="shared" si="45"/>
        <v>6.57</v>
      </c>
      <c r="AB115" s="44">
        <f t="shared" si="45"/>
        <v>6.57</v>
      </c>
      <c r="AC115" s="44">
        <f t="shared" si="45"/>
        <v>6.57</v>
      </c>
      <c r="AD115" s="44">
        <f t="shared" si="45"/>
        <v>6.57</v>
      </c>
      <c r="AE115" s="44">
        <f t="shared" si="45"/>
        <v>6.57</v>
      </c>
      <c r="AF115" s="44">
        <f t="shared" si="45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3"/>
        <v>3.43</v>
      </c>
      <c r="C116" s="55">
        <v>3.43</v>
      </c>
      <c r="D116" s="44">
        <f t="shared" si="44"/>
        <v>3.43</v>
      </c>
      <c r="E116" s="44">
        <f t="shared" si="44"/>
        <v>3.43</v>
      </c>
      <c r="F116" s="44">
        <f t="shared" si="44"/>
        <v>3.43</v>
      </c>
      <c r="G116" s="44">
        <f t="shared" si="44"/>
        <v>3.43</v>
      </c>
      <c r="H116" s="44">
        <f t="shared" si="44"/>
        <v>3.43</v>
      </c>
      <c r="I116" s="44">
        <f t="shared" si="44"/>
        <v>3.43</v>
      </c>
      <c r="J116" s="44">
        <f t="shared" si="44"/>
        <v>3.43</v>
      </c>
      <c r="K116" s="44">
        <f t="shared" si="44"/>
        <v>3.43</v>
      </c>
      <c r="L116" s="44">
        <f t="shared" si="44"/>
        <v>3.43</v>
      </c>
      <c r="M116" s="44">
        <f t="shared" si="44"/>
        <v>3.43</v>
      </c>
      <c r="N116" s="44">
        <f t="shared" si="44"/>
        <v>3.43</v>
      </c>
      <c r="O116" s="44">
        <f t="shared" si="44"/>
        <v>3.43</v>
      </c>
      <c r="P116" s="44">
        <f t="shared" si="44"/>
        <v>3.43</v>
      </c>
      <c r="Q116" s="44">
        <f t="shared" si="44"/>
        <v>3.43</v>
      </c>
      <c r="R116" s="44">
        <f t="shared" si="44"/>
        <v>3.43</v>
      </c>
      <c r="S116" s="44">
        <f t="shared" si="44"/>
        <v>3.43</v>
      </c>
      <c r="T116" s="44">
        <f t="shared" si="45"/>
        <v>3.43</v>
      </c>
      <c r="U116" s="44">
        <f t="shared" si="45"/>
        <v>3.43</v>
      </c>
      <c r="V116" s="44">
        <f t="shared" si="45"/>
        <v>3.43</v>
      </c>
      <c r="W116" s="44">
        <f t="shared" si="45"/>
        <v>3.43</v>
      </c>
      <c r="X116" s="44">
        <f t="shared" si="45"/>
        <v>3.43</v>
      </c>
      <c r="Y116" s="44">
        <f t="shared" si="45"/>
        <v>3.43</v>
      </c>
      <c r="Z116" s="44">
        <f t="shared" si="45"/>
        <v>3.43</v>
      </c>
      <c r="AA116" s="44">
        <f t="shared" si="45"/>
        <v>3.43</v>
      </c>
      <c r="AB116" s="44">
        <f t="shared" si="45"/>
        <v>3.43</v>
      </c>
      <c r="AC116" s="44">
        <f t="shared" si="45"/>
        <v>3.43</v>
      </c>
      <c r="AD116" s="44">
        <f t="shared" si="45"/>
        <v>3.43</v>
      </c>
      <c r="AE116" s="44">
        <f t="shared" si="45"/>
        <v>3.43</v>
      </c>
      <c r="AF116" s="44">
        <f t="shared" si="45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3"/>
        <v>2.96</v>
      </c>
      <c r="C117" s="55">
        <v>2.96</v>
      </c>
      <c r="D117" s="44">
        <f t="shared" si="44"/>
        <v>2.96</v>
      </c>
      <c r="E117" s="44">
        <f t="shared" si="44"/>
        <v>2.96</v>
      </c>
      <c r="F117" s="44">
        <f t="shared" si="44"/>
        <v>2.96</v>
      </c>
      <c r="G117" s="44">
        <f t="shared" si="44"/>
        <v>2.96</v>
      </c>
      <c r="H117" s="44">
        <f t="shared" si="44"/>
        <v>2.96</v>
      </c>
      <c r="I117" s="44">
        <f t="shared" si="44"/>
        <v>2.96</v>
      </c>
      <c r="J117" s="44">
        <f t="shared" si="44"/>
        <v>2.96</v>
      </c>
      <c r="K117" s="44">
        <f t="shared" si="44"/>
        <v>2.96</v>
      </c>
      <c r="L117" s="44">
        <f t="shared" si="44"/>
        <v>2.96</v>
      </c>
      <c r="M117" s="44">
        <f t="shared" si="44"/>
        <v>2.96</v>
      </c>
      <c r="N117" s="44">
        <f t="shared" si="44"/>
        <v>2.96</v>
      </c>
      <c r="O117" s="44">
        <f t="shared" si="44"/>
        <v>2.96</v>
      </c>
      <c r="P117" s="44">
        <f t="shared" si="44"/>
        <v>2.96</v>
      </c>
      <c r="Q117" s="44">
        <f t="shared" si="44"/>
        <v>2.96</v>
      </c>
      <c r="R117" s="44">
        <f t="shared" si="44"/>
        <v>2.96</v>
      </c>
      <c r="S117" s="44">
        <f t="shared" si="44"/>
        <v>2.96</v>
      </c>
      <c r="T117" s="44">
        <f t="shared" si="45"/>
        <v>2.96</v>
      </c>
      <c r="U117" s="44">
        <f t="shared" si="45"/>
        <v>2.96</v>
      </c>
      <c r="V117" s="44">
        <f t="shared" si="45"/>
        <v>2.96</v>
      </c>
      <c r="W117" s="44">
        <f t="shared" si="45"/>
        <v>2.96</v>
      </c>
      <c r="X117" s="44">
        <f t="shared" si="45"/>
        <v>2.96</v>
      </c>
      <c r="Y117" s="44">
        <f t="shared" si="45"/>
        <v>2.96</v>
      </c>
      <c r="Z117" s="44">
        <f t="shared" si="45"/>
        <v>2.96</v>
      </c>
      <c r="AA117" s="44">
        <f t="shared" si="45"/>
        <v>2.96</v>
      </c>
      <c r="AB117" s="44">
        <f t="shared" si="45"/>
        <v>2.96</v>
      </c>
      <c r="AC117" s="44">
        <f t="shared" si="45"/>
        <v>2.96</v>
      </c>
      <c r="AD117" s="44">
        <f t="shared" si="45"/>
        <v>2.96</v>
      </c>
      <c r="AE117" s="44">
        <f t="shared" si="45"/>
        <v>2.96</v>
      </c>
      <c r="AF117" s="44">
        <f t="shared" si="45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3"/>
        <v>8</v>
      </c>
      <c r="C118" s="55">
        <v>8</v>
      </c>
      <c r="D118" s="44">
        <f t="shared" si="44"/>
        <v>8</v>
      </c>
      <c r="E118" s="44">
        <f t="shared" si="44"/>
        <v>8</v>
      </c>
      <c r="F118" s="44">
        <f t="shared" si="44"/>
        <v>8</v>
      </c>
      <c r="G118" s="44">
        <f t="shared" si="44"/>
        <v>8</v>
      </c>
      <c r="H118" s="44">
        <f t="shared" si="44"/>
        <v>8</v>
      </c>
      <c r="I118" s="44">
        <f t="shared" si="44"/>
        <v>8</v>
      </c>
      <c r="J118" s="44">
        <f t="shared" si="44"/>
        <v>8</v>
      </c>
      <c r="K118" s="44">
        <f t="shared" si="44"/>
        <v>8</v>
      </c>
      <c r="L118" s="44">
        <f t="shared" si="44"/>
        <v>8</v>
      </c>
      <c r="M118" s="44">
        <f t="shared" si="44"/>
        <v>8</v>
      </c>
      <c r="N118" s="44">
        <f t="shared" si="44"/>
        <v>8</v>
      </c>
      <c r="O118" s="44">
        <f t="shared" si="44"/>
        <v>8</v>
      </c>
      <c r="P118" s="44">
        <f t="shared" si="44"/>
        <v>8</v>
      </c>
      <c r="Q118" s="44">
        <f t="shared" si="44"/>
        <v>8</v>
      </c>
      <c r="R118" s="44">
        <f t="shared" si="44"/>
        <v>8</v>
      </c>
      <c r="S118" s="44">
        <f t="shared" si="44"/>
        <v>8</v>
      </c>
      <c r="T118" s="44">
        <f t="shared" si="45"/>
        <v>8</v>
      </c>
      <c r="U118" s="44">
        <f t="shared" si="45"/>
        <v>8</v>
      </c>
      <c r="V118" s="44">
        <f t="shared" si="45"/>
        <v>8</v>
      </c>
      <c r="W118" s="44">
        <f t="shared" si="45"/>
        <v>8</v>
      </c>
      <c r="X118" s="44">
        <f t="shared" si="45"/>
        <v>8</v>
      </c>
      <c r="Y118" s="44">
        <f t="shared" si="45"/>
        <v>8</v>
      </c>
      <c r="Z118" s="44">
        <f t="shared" si="45"/>
        <v>8</v>
      </c>
      <c r="AA118" s="44">
        <f t="shared" si="45"/>
        <v>8</v>
      </c>
      <c r="AB118" s="44">
        <f t="shared" si="45"/>
        <v>8</v>
      </c>
      <c r="AC118" s="44">
        <f t="shared" si="45"/>
        <v>8</v>
      </c>
      <c r="AD118" s="44">
        <f t="shared" si="45"/>
        <v>8</v>
      </c>
      <c r="AE118" s="44">
        <f t="shared" si="45"/>
        <v>8</v>
      </c>
      <c r="AF118" s="44">
        <f t="shared" si="45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3"/>
        <v>7</v>
      </c>
      <c r="C119" s="55">
        <v>7</v>
      </c>
      <c r="D119" s="44">
        <f>C119</f>
        <v>7</v>
      </c>
      <c r="E119" s="44">
        <f t="shared" si="44"/>
        <v>7</v>
      </c>
      <c r="F119" s="44">
        <f t="shared" si="44"/>
        <v>7</v>
      </c>
      <c r="G119" s="44">
        <f t="shared" si="44"/>
        <v>7</v>
      </c>
      <c r="H119" s="44">
        <f t="shared" si="44"/>
        <v>7</v>
      </c>
      <c r="I119" s="44">
        <f t="shared" si="44"/>
        <v>7</v>
      </c>
      <c r="J119" s="44">
        <f t="shared" si="44"/>
        <v>7</v>
      </c>
      <c r="K119" s="44">
        <f t="shared" si="44"/>
        <v>7</v>
      </c>
      <c r="L119" s="44">
        <f t="shared" si="44"/>
        <v>7</v>
      </c>
      <c r="M119" s="44">
        <f t="shared" si="44"/>
        <v>7</v>
      </c>
      <c r="N119" s="44">
        <f t="shared" si="44"/>
        <v>7</v>
      </c>
      <c r="O119" s="44">
        <f t="shared" si="44"/>
        <v>7</v>
      </c>
      <c r="P119" s="44">
        <f t="shared" si="44"/>
        <v>7</v>
      </c>
      <c r="Q119" s="44">
        <f t="shared" si="44"/>
        <v>7</v>
      </c>
      <c r="R119" s="44">
        <f t="shared" si="44"/>
        <v>7</v>
      </c>
      <c r="S119" s="44">
        <f t="shared" si="44"/>
        <v>7</v>
      </c>
      <c r="T119" s="44">
        <f t="shared" si="45"/>
        <v>7</v>
      </c>
      <c r="U119" s="44">
        <f t="shared" si="45"/>
        <v>7</v>
      </c>
      <c r="V119" s="44">
        <f t="shared" si="45"/>
        <v>7</v>
      </c>
      <c r="W119" s="44">
        <f t="shared" si="45"/>
        <v>7</v>
      </c>
      <c r="X119" s="44">
        <f t="shared" si="45"/>
        <v>7</v>
      </c>
      <c r="Y119" s="44">
        <f t="shared" si="45"/>
        <v>7</v>
      </c>
      <c r="Z119" s="44">
        <f t="shared" si="45"/>
        <v>7</v>
      </c>
      <c r="AA119" s="44">
        <f t="shared" si="45"/>
        <v>7</v>
      </c>
      <c r="AB119" s="44">
        <f t="shared" si="45"/>
        <v>7</v>
      </c>
      <c r="AC119" s="44">
        <f t="shared" si="45"/>
        <v>7</v>
      </c>
      <c r="AD119" s="44">
        <f t="shared" si="45"/>
        <v>7</v>
      </c>
      <c r="AE119" s="44">
        <f t="shared" si="45"/>
        <v>7</v>
      </c>
      <c r="AF119" s="44">
        <f t="shared" si="45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3"/>
        <v>3.47</v>
      </c>
      <c r="C120" s="55">
        <v>3.47</v>
      </c>
      <c r="D120" s="44">
        <f t="shared" ref="D120:S129" si="46">C120</f>
        <v>3.47</v>
      </c>
      <c r="E120" s="44">
        <f t="shared" si="46"/>
        <v>3.47</v>
      </c>
      <c r="F120" s="44">
        <f t="shared" si="46"/>
        <v>3.47</v>
      </c>
      <c r="G120" s="44">
        <f t="shared" si="46"/>
        <v>3.47</v>
      </c>
      <c r="H120" s="44">
        <f t="shared" si="46"/>
        <v>3.47</v>
      </c>
      <c r="I120" s="44">
        <f t="shared" si="46"/>
        <v>3.47</v>
      </c>
      <c r="J120" s="44">
        <f t="shared" si="46"/>
        <v>3.47</v>
      </c>
      <c r="K120" s="44">
        <f t="shared" si="46"/>
        <v>3.47</v>
      </c>
      <c r="L120" s="44">
        <f t="shared" si="46"/>
        <v>3.47</v>
      </c>
      <c r="M120" s="44">
        <f t="shared" si="46"/>
        <v>3.47</v>
      </c>
      <c r="N120" s="44">
        <f t="shared" si="46"/>
        <v>3.47</v>
      </c>
      <c r="O120" s="44">
        <f t="shared" si="46"/>
        <v>3.47</v>
      </c>
      <c r="P120" s="44">
        <f t="shared" si="46"/>
        <v>3.47</v>
      </c>
      <c r="Q120" s="44">
        <f t="shared" si="46"/>
        <v>3.47</v>
      </c>
      <c r="R120" s="44">
        <f t="shared" si="46"/>
        <v>3.47</v>
      </c>
      <c r="S120" s="44">
        <f t="shared" si="46"/>
        <v>3.47</v>
      </c>
      <c r="T120" s="44">
        <f t="shared" si="45"/>
        <v>3.47</v>
      </c>
      <c r="U120" s="44">
        <f t="shared" si="45"/>
        <v>3.47</v>
      </c>
      <c r="V120" s="44">
        <f t="shared" si="45"/>
        <v>3.47</v>
      </c>
      <c r="W120" s="44">
        <f t="shared" si="45"/>
        <v>3.47</v>
      </c>
      <c r="X120" s="44">
        <f t="shared" si="45"/>
        <v>3.47</v>
      </c>
      <c r="Y120" s="44">
        <f t="shared" si="45"/>
        <v>3.47</v>
      </c>
      <c r="Z120" s="44">
        <f t="shared" si="45"/>
        <v>3.47</v>
      </c>
      <c r="AA120" s="44">
        <f t="shared" si="45"/>
        <v>3.47</v>
      </c>
      <c r="AB120" s="44">
        <f t="shared" si="45"/>
        <v>3.47</v>
      </c>
      <c r="AC120" s="44">
        <f t="shared" si="45"/>
        <v>3.47</v>
      </c>
      <c r="AD120" s="44">
        <f t="shared" si="45"/>
        <v>3.47</v>
      </c>
      <c r="AE120" s="44">
        <f t="shared" si="45"/>
        <v>3.47</v>
      </c>
      <c r="AF120" s="44">
        <f t="shared" si="45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3"/>
        <v>2.1</v>
      </c>
      <c r="C121" s="55">
        <v>2.1</v>
      </c>
      <c r="D121" s="44">
        <f t="shared" si="46"/>
        <v>2.1</v>
      </c>
      <c r="E121" s="44">
        <f t="shared" si="46"/>
        <v>2.1</v>
      </c>
      <c r="F121" s="44">
        <f t="shared" si="46"/>
        <v>2.1</v>
      </c>
      <c r="G121" s="44">
        <f t="shared" si="46"/>
        <v>2.1</v>
      </c>
      <c r="H121" s="44">
        <f t="shared" si="46"/>
        <v>2.1</v>
      </c>
      <c r="I121" s="44">
        <f t="shared" si="46"/>
        <v>2.1</v>
      </c>
      <c r="J121" s="44">
        <f t="shared" si="46"/>
        <v>2.1</v>
      </c>
      <c r="K121" s="44">
        <f t="shared" si="46"/>
        <v>2.1</v>
      </c>
      <c r="L121" s="44">
        <f t="shared" si="46"/>
        <v>2.1</v>
      </c>
      <c r="M121" s="44">
        <f t="shared" si="46"/>
        <v>2.1</v>
      </c>
      <c r="N121" s="44">
        <f t="shared" si="46"/>
        <v>2.1</v>
      </c>
      <c r="O121" s="44">
        <f t="shared" si="46"/>
        <v>2.1</v>
      </c>
      <c r="P121" s="44">
        <f t="shared" si="46"/>
        <v>2.1</v>
      </c>
      <c r="Q121" s="44">
        <f t="shared" si="46"/>
        <v>2.1</v>
      </c>
      <c r="R121" s="44">
        <f t="shared" si="46"/>
        <v>2.1</v>
      </c>
      <c r="S121" s="44">
        <f t="shared" si="46"/>
        <v>2.1</v>
      </c>
      <c r="T121" s="44">
        <f t="shared" si="45"/>
        <v>2.1</v>
      </c>
      <c r="U121" s="44">
        <f t="shared" si="45"/>
        <v>2.1</v>
      </c>
      <c r="V121" s="44">
        <f t="shared" si="45"/>
        <v>2.1</v>
      </c>
      <c r="W121" s="44">
        <f t="shared" si="45"/>
        <v>2.1</v>
      </c>
      <c r="X121" s="44">
        <f t="shared" si="45"/>
        <v>2.1</v>
      </c>
      <c r="Y121" s="44">
        <f t="shared" si="45"/>
        <v>2.1</v>
      </c>
      <c r="Z121" s="44">
        <f t="shared" si="45"/>
        <v>2.1</v>
      </c>
      <c r="AA121" s="44">
        <f t="shared" si="45"/>
        <v>2.1</v>
      </c>
      <c r="AB121" s="44">
        <f t="shared" si="45"/>
        <v>2.1</v>
      </c>
      <c r="AC121" s="44">
        <f t="shared" si="45"/>
        <v>2.1</v>
      </c>
      <c r="AD121" s="44">
        <f t="shared" si="45"/>
        <v>2.1</v>
      </c>
      <c r="AE121" s="44">
        <f t="shared" si="45"/>
        <v>2.1</v>
      </c>
      <c r="AF121" s="44">
        <f t="shared" si="45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3"/>
        <v>9.3000000000000007</v>
      </c>
      <c r="C122" s="55">
        <v>9.3000000000000007</v>
      </c>
      <c r="D122" s="44">
        <f t="shared" si="46"/>
        <v>9.3000000000000007</v>
      </c>
      <c r="E122" s="44">
        <f t="shared" si="46"/>
        <v>9.3000000000000007</v>
      </c>
      <c r="F122" s="44">
        <f t="shared" si="46"/>
        <v>9.3000000000000007</v>
      </c>
      <c r="G122" s="44">
        <f t="shared" si="46"/>
        <v>9.3000000000000007</v>
      </c>
      <c r="H122" s="44">
        <f t="shared" si="46"/>
        <v>9.3000000000000007</v>
      </c>
      <c r="I122" s="44">
        <f t="shared" si="46"/>
        <v>9.3000000000000007</v>
      </c>
      <c r="J122" s="44">
        <f t="shared" si="46"/>
        <v>9.3000000000000007</v>
      </c>
      <c r="K122" s="44">
        <f t="shared" si="46"/>
        <v>9.3000000000000007</v>
      </c>
      <c r="L122" s="44">
        <f t="shared" si="46"/>
        <v>9.3000000000000007</v>
      </c>
      <c r="M122" s="44">
        <f t="shared" si="46"/>
        <v>9.3000000000000007</v>
      </c>
      <c r="N122" s="44">
        <f t="shared" si="46"/>
        <v>9.3000000000000007</v>
      </c>
      <c r="O122" s="44">
        <f t="shared" si="46"/>
        <v>9.3000000000000007</v>
      </c>
      <c r="P122" s="44">
        <f t="shared" si="46"/>
        <v>9.3000000000000007</v>
      </c>
      <c r="Q122" s="44">
        <f t="shared" si="46"/>
        <v>9.3000000000000007</v>
      </c>
      <c r="R122" s="44">
        <f t="shared" si="46"/>
        <v>9.3000000000000007</v>
      </c>
      <c r="S122" s="44">
        <f t="shared" si="46"/>
        <v>9.3000000000000007</v>
      </c>
      <c r="T122" s="44">
        <f t="shared" si="45"/>
        <v>9.3000000000000007</v>
      </c>
      <c r="U122" s="44">
        <f t="shared" si="45"/>
        <v>9.3000000000000007</v>
      </c>
      <c r="V122" s="44">
        <f t="shared" si="45"/>
        <v>9.3000000000000007</v>
      </c>
      <c r="W122" s="44">
        <f t="shared" si="45"/>
        <v>9.3000000000000007</v>
      </c>
      <c r="X122" s="44">
        <f t="shared" si="45"/>
        <v>9.3000000000000007</v>
      </c>
      <c r="Y122" s="44">
        <f t="shared" si="45"/>
        <v>9.3000000000000007</v>
      </c>
      <c r="Z122" s="44">
        <f t="shared" si="45"/>
        <v>9.3000000000000007</v>
      </c>
      <c r="AA122" s="44">
        <f t="shared" si="45"/>
        <v>9.3000000000000007</v>
      </c>
      <c r="AB122" s="44">
        <f t="shared" si="45"/>
        <v>9.3000000000000007</v>
      </c>
      <c r="AC122" s="44">
        <f t="shared" si="45"/>
        <v>9.3000000000000007</v>
      </c>
      <c r="AD122" s="44">
        <f t="shared" si="45"/>
        <v>9.3000000000000007</v>
      </c>
      <c r="AE122" s="44">
        <f t="shared" si="45"/>
        <v>9.3000000000000007</v>
      </c>
      <c r="AF122" s="44">
        <f t="shared" si="45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3"/>
        <v>0</v>
      </c>
      <c r="C123" s="55">
        <v>0</v>
      </c>
      <c r="D123" s="44">
        <f t="shared" si="46"/>
        <v>0</v>
      </c>
      <c r="E123" s="44">
        <f t="shared" si="46"/>
        <v>0</v>
      </c>
      <c r="F123" s="44">
        <f t="shared" si="46"/>
        <v>0</v>
      </c>
      <c r="G123" s="44">
        <f t="shared" si="46"/>
        <v>0</v>
      </c>
      <c r="H123" s="44">
        <f t="shared" si="46"/>
        <v>0</v>
      </c>
      <c r="I123" s="44">
        <f t="shared" si="46"/>
        <v>0</v>
      </c>
      <c r="J123" s="44">
        <f t="shared" si="46"/>
        <v>0</v>
      </c>
      <c r="K123" s="44">
        <f t="shared" si="46"/>
        <v>0</v>
      </c>
      <c r="L123" s="44">
        <f t="shared" si="46"/>
        <v>0</v>
      </c>
      <c r="M123" s="44">
        <f t="shared" si="46"/>
        <v>0</v>
      </c>
      <c r="N123" s="44">
        <f t="shared" si="46"/>
        <v>0</v>
      </c>
      <c r="O123" s="44">
        <f t="shared" si="46"/>
        <v>0</v>
      </c>
      <c r="P123" s="44">
        <f t="shared" si="46"/>
        <v>0</v>
      </c>
      <c r="Q123" s="44">
        <f t="shared" si="46"/>
        <v>0</v>
      </c>
      <c r="R123" s="44">
        <f t="shared" si="46"/>
        <v>0</v>
      </c>
      <c r="S123" s="44">
        <f t="shared" si="46"/>
        <v>0</v>
      </c>
      <c r="T123" s="44">
        <f t="shared" si="45"/>
        <v>0</v>
      </c>
      <c r="U123" s="44">
        <f t="shared" si="45"/>
        <v>0</v>
      </c>
      <c r="V123" s="44">
        <f t="shared" si="45"/>
        <v>0</v>
      </c>
      <c r="W123" s="44">
        <f t="shared" si="45"/>
        <v>0</v>
      </c>
      <c r="X123" s="44">
        <f t="shared" si="45"/>
        <v>0</v>
      </c>
      <c r="Y123" s="44">
        <f t="shared" si="45"/>
        <v>0</v>
      </c>
      <c r="Z123" s="44">
        <f t="shared" si="45"/>
        <v>0</v>
      </c>
      <c r="AA123" s="44">
        <f t="shared" si="45"/>
        <v>0</v>
      </c>
      <c r="AB123" s="44">
        <f t="shared" si="45"/>
        <v>0</v>
      </c>
      <c r="AC123" s="44">
        <f t="shared" si="45"/>
        <v>0</v>
      </c>
      <c r="AD123" s="44">
        <f t="shared" si="45"/>
        <v>0</v>
      </c>
      <c r="AE123" s="44">
        <f t="shared" si="45"/>
        <v>0</v>
      </c>
      <c r="AF123" s="44">
        <f t="shared" si="45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3"/>
        <v>0</v>
      </c>
      <c r="C124" s="55">
        <v>0</v>
      </c>
      <c r="D124" s="44">
        <f t="shared" si="46"/>
        <v>0</v>
      </c>
      <c r="E124" s="44">
        <f t="shared" si="46"/>
        <v>0</v>
      </c>
      <c r="F124" s="44">
        <f t="shared" si="46"/>
        <v>0</v>
      </c>
      <c r="G124" s="44">
        <f t="shared" si="46"/>
        <v>0</v>
      </c>
      <c r="H124" s="44">
        <f t="shared" si="46"/>
        <v>0</v>
      </c>
      <c r="I124" s="44">
        <f t="shared" si="46"/>
        <v>0</v>
      </c>
      <c r="J124" s="44">
        <f t="shared" si="46"/>
        <v>0</v>
      </c>
      <c r="K124" s="44">
        <f t="shared" si="46"/>
        <v>0</v>
      </c>
      <c r="L124" s="44">
        <f t="shared" si="46"/>
        <v>0</v>
      </c>
      <c r="M124" s="44">
        <f t="shared" si="46"/>
        <v>0</v>
      </c>
      <c r="N124" s="44">
        <f t="shared" si="46"/>
        <v>0</v>
      </c>
      <c r="O124" s="44">
        <f t="shared" si="46"/>
        <v>0</v>
      </c>
      <c r="P124" s="44">
        <f t="shared" si="46"/>
        <v>0</v>
      </c>
      <c r="Q124" s="44">
        <f t="shared" si="46"/>
        <v>0</v>
      </c>
      <c r="R124" s="44">
        <f t="shared" si="46"/>
        <v>0</v>
      </c>
      <c r="S124" s="44">
        <f t="shared" si="46"/>
        <v>0</v>
      </c>
      <c r="T124" s="44">
        <f t="shared" si="45"/>
        <v>0</v>
      </c>
      <c r="U124" s="44">
        <f t="shared" si="45"/>
        <v>0</v>
      </c>
      <c r="V124" s="44">
        <f t="shared" si="45"/>
        <v>0</v>
      </c>
      <c r="W124" s="44">
        <f t="shared" si="45"/>
        <v>0</v>
      </c>
      <c r="X124" s="44">
        <f t="shared" si="45"/>
        <v>0</v>
      </c>
      <c r="Y124" s="44">
        <f t="shared" si="45"/>
        <v>0</v>
      </c>
      <c r="Z124" s="44">
        <f t="shared" si="45"/>
        <v>0</v>
      </c>
      <c r="AA124" s="44">
        <f t="shared" si="45"/>
        <v>0</v>
      </c>
      <c r="AB124" s="44">
        <f t="shared" si="45"/>
        <v>0</v>
      </c>
      <c r="AC124" s="44">
        <f t="shared" si="45"/>
        <v>0</v>
      </c>
      <c r="AD124" s="44">
        <f t="shared" si="45"/>
        <v>0</v>
      </c>
      <c r="AE124" s="44">
        <f t="shared" si="45"/>
        <v>0</v>
      </c>
      <c r="AF124" s="44">
        <f t="shared" si="45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3"/>
        <v>5</v>
      </c>
      <c r="C125" s="55">
        <v>5</v>
      </c>
      <c r="D125" s="44">
        <f t="shared" si="46"/>
        <v>5</v>
      </c>
      <c r="E125" s="44">
        <f t="shared" si="46"/>
        <v>5</v>
      </c>
      <c r="F125" s="44">
        <f t="shared" si="46"/>
        <v>5</v>
      </c>
      <c r="G125" s="44">
        <f t="shared" si="46"/>
        <v>5</v>
      </c>
      <c r="H125" s="44">
        <f t="shared" si="46"/>
        <v>5</v>
      </c>
      <c r="I125" s="44">
        <f t="shared" si="46"/>
        <v>5</v>
      </c>
      <c r="J125" s="44">
        <f t="shared" si="46"/>
        <v>5</v>
      </c>
      <c r="K125" s="44">
        <f t="shared" si="46"/>
        <v>5</v>
      </c>
      <c r="L125" s="44">
        <f t="shared" si="46"/>
        <v>5</v>
      </c>
      <c r="M125" s="44">
        <f t="shared" si="46"/>
        <v>5</v>
      </c>
      <c r="N125" s="44">
        <f t="shared" si="46"/>
        <v>5</v>
      </c>
      <c r="O125" s="44">
        <f t="shared" si="46"/>
        <v>5</v>
      </c>
      <c r="P125" s="44">
        <f t="shared" si="46"/>
        <v>5</v>
      </c>
      <c r="Q125" s="44">
        <f t="shared" si="46"/>
        <v>5</v>
      </c>
      <c r="R125" s="44">
        <f t="shared" si="46"/>
        <v>5</v>
      </c>
      <c r="S125" s="44">
        <f t="shared" si="46"/>
        <v>5</v>
      </c>
      <c r="T125" s="44">
        <f t="shared" si="45"/>
        <v>5</v>
      </c>
      <c r="U125" s="44">
        <f t="shared" si="45"/>
        <v>5</v>
      </c>
      <c r="V125" s="44">
        <f t="shared" si="45"/>
        <v>5</v>
      </c>
      <c r="W125" s="44">
        <f t="shared" si="45"/>
        <v>5</v>
      </c>
      <c r="X125" s="44">
        <f t="shared" si="45"/>
        <v>5</v>
      </c>
      <c r="Y125" s="44">
        <f t="shared" si="45"/>
        <v>5</v>
      </c>
      <c r="Z125" s="44">
        <f t="shared" si="45"/>
        <v>5</v>
      </c>
      <c r="AA125" s="44">
        <f t="shared" si="45"/>
        <v>5</v>
      </c>
      <c r="AB125" s="44">
        <f t="shared" si="45"/>
        <v>5</v>
      </c>
      <c r="AC125" s="44">
        <f t="shared" si="45"/>
        <v>5</v>
      </c>
      <c r="AD125" s="44">
        <f t="shared" si="45"/>
        <v>5</v>
      </c>
      <c r="AE125" s="44">
        <f t="shared" si="45"/>
        <v>5</v>
      </c>
      <c r="AF125" s="44">
        <f t="shared" si="45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3"/>
        <v>1</v>
      </c>
      <c r="C126" s="55">
        <v>1</v>
      </c>
      <c r="D126" s="44">
        <f t="shared" si="46"/>
        <v>1</v>
      </c>
      <c r="E126" s="44">
        <f t="shared" si="46"/>
        <v>1</v>
      </c>
      <c r="F126" s="44">
        <f t="shared" si="46"/>
        <v>1</v>
      </c>
      <c r="G126" s="44">
        <f t="shared" si="46"/>
        <v>1</v>
      </c>
      <c r="H126" s="44">
        <f t="shared" si="46"/>
        <v>1</v>
      </c>
      <c r="I126" s="44">
        <f t="shared" si="46"/>
        <v>1</v>
      </c>
      <c r="J126" s="44">
        <f t="shared" si="46"/>
        <v>1</v>
      </c>
      <c r="K126" s="44">
        <f t="shared" si="46"/>
        <v>1</v>
      </c>
      <c r="L126" s="44">
        <f t="shared" si="46"/>
        <v>1</v>
      </c>
      <c r="M126" s="44">
        <f t="shared" si="46"/>
        <v>1</v>
      </c>
      <c r="N126" s="44">
        <f t="shared" si="46"/>
        <v>1</v>
      </c>
      <c r="O126" s="44">
        <f t="shared" si="46"/>
        <v>1</v>
      </c>
      <c r="P126" s="44">
        <f t="shared" si="46"/>
        <v>1</v>
      </c>
      <c r="Q126" s="44">
        <f t="shared" si="46"/>
        <v>1</v>
      </c>
      <c r="R126" s="44">
        <f t="shared" si="46"/>
        <v>1</v>
      </c>
      <c r="S126" s="44">
        <f t="shared" si="46"/>
        <v>1</v>
      </c>
      <c r="T126" s="44">
        <f t="shared" si="45"/>
        <v>1</v>
      </c>
      <c r="U126" s="44">
        <f t="shared" si="45"/>
        <v>1</v>
      </c>
      <c r="V126" s="44">
        <f t="shared" si="45"/>
        <v>1</v>
      </c>
      <c r="W126" s="44">
        <f t="shared" si="45"/>
        <v>1</v>
      </c>
      <c r="X126" s="44">
        <f t="shared" si="45"/>
        <v>1</v>
      </c>
      <c r="Y126" s="44">
        <f t="shared" si="45"/>
        <v>1</v>
      </c>
      <c r="Z126" s="44">
        <f t="shared" si="45"/>
        <v>1</v>
      </c>
      <c r="AA126" s="44">
        <f t="shared" si="45"/>
        <v>1</v>
      </c>
      <c r="AB126" s="44">
        <f t="shared" si="45"/>
        <v>1</v>
      </c>
      <c r="AC126" s="44">
        <f t="shared" si="45"/>
        <v>1</v>
      </c>
      <c r="AD126" s="44">
        <f t="shared" si="45"/>
        <v>1</v>
      </c>
      <c r="AE126" s="44">
        <f t="shared" si="45"/>
        <v>1</v>
      </c>
      <c r="AF126" s="44">
        <f t="shared" si="45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3"/>
        <v>1.58</v>
      </c>
      <c r="C127" s="55">
        <v>1.58</v>
      </c>
      <c r="D127" s="44">
        <f t="shared" si="46"/>
        <v>1.58</v>
      </c>
      <c r="E127" s="44">
        <f t="shared" si="46"/>
        <v>1.58</v>
      </c>
      <c r="F127" s="44">
        <f t="shared" si="46"/>
        <v>1.58</v>
      </c>
      <c r="G127" s="44">
        <f t="shared" si="46"/>
        <v>1.58</v>
      </c>
      <c r="H127" s="44">
        <f t="shared" si="46"/>
        <v>1.58</v>
      </c>
      <c r="I127" s="44">
        <f t="shared" si="46"/>
        <v>1.58</v>
      </c>
      <c r="J127" s="44">
        <f t="shared" si="46"/>
        <v>1.58</v>
      </c>
      <c r="K127" s="44">
        <f t="shared" si="46"/>
        <v>1.58</v>
      </c>
      <c r="L127" s="44">
        <f t="shared" si="46"/>
        <v>1.58</v>
      </c>
      <c r="M127" s="44">
        <f t="shared" si="46"/>
        <v>1.58</v>
      </c>
      <c r="N127" s="44">
        <f t="shared" si="46"/>
        <v>1.58</v>
      </c>
      <c r="O127" s="44">
        <f t="shared" si="46"/>
        <v>1.58</v>
      </c>
      <c r="P127" s="44">
        <f t="shared" si="46"/>
        <v>1.58</v>
      </c>
      <c r="Q127" s="44">
        <f t="shared" si="46"/>
        <v>1.58</v>
      </c>
      <c r="R127" s="44">
        <f t="shared" si="46"/>
        <v>1.58</v>
      </c>
      <c r="S127" s="44">
        <f t="shared" si="46"/>
        <v>1.58</v>
      </c>
      <c r="T127" s="44">
        <f t="shared" si="45"/>
        <v>1.58</v>
      </c>
      <c r="U127" s="44">
        <f t="shared" si="45"/>
        <v>1.58</v>
      </c>
      <c r="V127" s="44">
        <f t="shared" si="45"/>
        <v>1.58</v>
      </c>
      <c r="W127" s="44">
        <f t="shared" si="45"/>
        <v>1.58</v>
      </c>
      <c r="X127" s="44">
        <f t="shared" si="45"/>
        <v>1.58</v>
      </c>
      <c r="Y127" s="44">
        <f t="shared" si="45"/>
        <v>1.58</v>
      </c>
      <c r="Z127" s="44">
        <f t="shared" si="45"/>
        <v>1.58</v>
      </c>
      <c r="AA127" s="44">
        <f t="shared" si="45"/>
        <v>1.58</v>
      </c>
      <c r="AB127" s="44">
        <f t="shared" si="45"/>
        <v>1.58</v>
      </c>
      <c r="AC127" s="44">
        <f t="shared" si="45"/>
        <v>1.58</v>
      </c>
      <c r="AD127" s="44">
        <f t="shared" si="45"/>
        <v>1.58</v>
      </c>
      <c r="AE127" s="44">
        <f t="shared" si="45"/>
        <v>1.58</v>
      </c>
      <c r="AF127" s="44">
        <f t="shared" si="45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3"/>
        <v>1.46</v>
      </c>
      <c r="C128" s="55">
        <v>1.46</v>
      </c>
      <c r="D128" s="44">
        <f t="shared" si="46"/>
        <v>1.46</v>
      </c>
      <c r="E128" s="44">
        <f t="shared" si="46"/>
        <v>1.46</v>
      </c>
      <c r="F128" s="44">
        <f t="shared" si="46"/>
        <v>1.46</v>
      </c>
      <c r="G128" s="44">
        <f t="shared" si="46"/>
        <v>1.46</v>
      </c>
      <c r="H128" s="44">
        <f t="shared" si="46"/>
        <v>1.46</v>
      </c>
      <c r="I128" s="44">
        <f t="shared" si="46"/>
        <v>1.46</v>
      </c>
      <c r="J128" s="44">
        <f t="shared" si="46"/>
        <v>1.46</v>
      </c>
      <c r="K128" s="44">
        <f t="shared" si="46"/>
        <v>1.46</v>
      </c>
      <c r="L128" s="44">
        <f t="shared" si="46"/>
        <v>1.46</v>
      </c>
      <c r="M128" s="44">
        <f t="shared" si="46"/>
        <v>1.46</v>
      </c>
      <c r="N128" s="44">
        <f t="shared" si="46"/>
        <v>1.46</v>
      </c>
      <c r="O128" s="44">
        <f t="shared" si="46"/>
        <v>1.46</v>
      </c>
      <c r="P128" s="44">
        <f t="shared" si="46"/>
        <v>1.46</v>
      </c>
      <c r="Q128" s="44">
        <f t="shared" si="46"/>
        <v>1.46</v>
      </c>
      <c r="R128" s="44">
        <f t="shared" si="46"/>
        <v>1.46</v>
      </c>
      <c r="S128" s="44">
        <f t="shared" si="46"/>
        <v>1.46</v>
      </c>
      <c r="T128" s="44">
        <f t="shared" ref="T128:AF129" si="47">S128</f>
        <v>1.46</v>
      </c>
      <c r="U128" s="44">
        <f t="shared" si="47"/>
        <v>1.46</v>
      </c>
      <c r="V128" s="44">
        <f t="shared" si="47"/>
        <v>1.46</v>
      </c>
      <c r="W128" s="44">
        <f t="shared" si="47"/>
        <v>1.46</v>
      </c>
      <c r="X128" s="44">
        <f t="shared" si="47"/>
        <v>1.46</v>
      </c>
      <c r="Y128" s="44">
        <f t="shared" si="47"/>
        <v>1.46</v>
      </c>
      <c r="Z128" s="44">
        <f t="shared" si="47"/>
        <v>1.46</v>
      </c>
      <c r="AA128" s="44">
        <f t="shared" si="47"/>
        <v>1.46</v>
      </c>
      <c r="AB128" s="44">
        <f t="shared" si="47"/>
        <v>1.46</v>
      </c>
      <c r="AC128" s="44">
        <f t="shared" si="47"/>
        <v>1.46</v>
      </c>
      <c r="AD128" s="44">
        <f t="shared" si="47"/>
        <v>1.46</v>
      </c>
      <c r="AE128" s="44">
        <f t="shared" si="47"/>
        <v>1.46</v>
      </c>
      <c r="AF128" s="44">
        <f t="shared" si="47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3"/>
        <v>1.48</v>
      </c>
      <c r="C129" s="55">
        <v>1.48</v>
      </c>
      <c r="D129" s="44">
        <f t="shared" si="46"/>
        <v>1.48</v>
      </c>
      <c r="E129" s="44">
        <f t="shared" si="46"/>
        <v>1.48</v>
      </c>
      <c r="F129" s="44">
        <f t="shared" si="46"/>
        <v>1.48</v>
      </c>
      <c r="G129" s="44">
        <f t="shared" si="46"/>
        <v>1.48</v>
      </c>
      <c r="H129" s="44">
        <f t="shared" si="46"/>
        <v>1.48</v>
      </c>
      <c r="I129" s="44">
        <f t="shared" si="46"/>
        <v>1.48</v>
      </c>
      <c r="J129" s="44">
        <f t="shared" si="46"/>
        <v>1.48</v>
      </c>
      <c r="K129" s="44">
        <f t="shared" si="46"/>
        <v>1.48</v>
      </c>
      <c r="L129" s="44">
        <f t="shared" si="46"/>
        <v>1.48</v>
      </c>
      <c r="M129" s="44">
        <f t="shared" si="46"/>
        <v>1.48</v>
      </c>
      <c r="N129" s="44">
        <f t="shared" si="46"/>
        <v>1.48</v>
      </c>
      <c r="O129" s="44">
        <f t="shared" si="46"/>
        <v>1.48</v>
      </c>
      <c r="P129" s="44">
        <f t="shared" si="46"/>
        <v>1.48</v>
      </c>
      <c r="Q129" s="44">
        <f t="shared" si="46"/>
        <v>1.48</v>
      </c>
      <c r="R129" s="44">
        <f t="shared" si="46"/>
        <v>1.48</v>
      </c>
      <c r="S129" s="44">
        <f t="shared" si="46"/>
        <v>1.48</v>
      </c>
      <c r="T129" s="44">
        <f t="shared" si="47"/>
        <v>1.48</v>
      </c>
      <c r="U129" s="44">
        <f t="shared" si="47"/>
        <v>1.48</v>
      </c>
      <c r="V129" s="44">
        <f t="shared" si="47"/>
        <v>1.48</v>
      </c>
      <c r="W129" s="44">
        <f t="shared" si="47"/>
        <v>1.48</v>
      </c>
      <c r="X129" s="44">
        <f t="shared" si="47"/>
        <v>1.48</v>
      </c>
      <c r="Y129" s="44">
        <f t="shared" si="47"/>
        <v>1.48</v>
      </c>
      <c r="Z129" s="44">
        <f t="shared" si="47"/>
        <v>1.48</v>
      </c>
      <c r="AA129" s="44">
        <f t="shared" si="47"/>
        <v>1.48</v>
      </c>
      <c r="AB129" s="44">
        <f t="shared" si="47"/>
        <v>1.48</v>
      </c>
      <c r="AC129" s="44">
        <f t="shared" si="47"/>
        <v>1.48</v>
      </c>
      <c r="AD129" s="44">
        <f t="shared" si="47"/>
        <v>1.48</v>
      </c>
      <c r="AE129" s="44">
        <f t="shared" si="47"/>
        <v>1.48</v>
      </c>
      <c r="AF129" s="44">
        <f t="shared" si="47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48">AF131</f>
        <v>2.2000000000000002</v>
      </c>
      <c r="C131" s="55">
        <v>2.2000000000000002</v>
      </c>
      <c r="D131" s="44">
        <f t="shared" ref="D131:S138" si="49">C131</f>
        <v>2.2000000000000002</v>
      </c>
      <c r="E131" s="44">
        <f t="shared" si="49"/>
        <v>2.2000000000000002</v>
      </c>
      <c r="F131" s="44">
        <f t="shared" si="49"/>
        <v>2.2000000000000002</v>
      </c>
      <c r="G131" s="44">
        <f t="shared" si="49"/>
        <v>2.2000000000000002</v>
      </c>
      <c r="H131" s="44">
        <f t="shared" si="49"/>
        <v>2.2000000000000002</v>
      </c>
      <c r="I131" s="44">
        <f t="shared" si="49"/>
        <v>2.2000000000000002</v>
      </c>
      <c r="J131" s="44">
        <f t="shared" si="49"/>
        <v>2.2000000000000002</v>
      </c>
      <c r="K131" s="44">
        <f t="shared" si="49"/>
        <v>2.2000000000000002</v>
      </c>
      <c r="L131" s="44">
        <f t="shared" si="49"/>
        <v>2.2000000000000002</v>
      </c>
      <c r="M131" s="44">
        <f t="shared" si="49"/>
        <v>2.2000000000000002</v>
      </c>
      <c r="N131" s="44">
        <f t="shared" si="49"/>
        <v>2.2000000000000002</v>
      </c>
      <c r="O131" s="44">
        <f t="shared" si="49"/>
        <v>2.2000000000000002</v>
      </c>
      <c r="P131" s="44">
        <f t="shared" si="49"/>
        <v>2.2000000000000002</v>
      </c>
      <c r="Q131" s="44">
        <f t="shared" si="49"/>
        <v>2.2000000000000002</v>
      </c>
      <c r="R131" s="44">
        <f t="shared" si="49"/>
        <v>2.2000000000000002</v>
      </c>
      <c r="S131" s="44">
        <f t="shared" si="49"/>
        <v>2.2000000000000002</v>
      </c>
      <c r="T131" s="44">
        <f t="shared" ref="T131:AF138" si="50">S131</f>
        <v>2.2000000000000002</v>
      </c>
      <c r="U131" s="44">
        <f t="shared" si="50"/>
        <v>2.2000000000000002</v>
      </c>
      <c r="V131" s="44">
        <f t="shared" si="50"/>
        <v>2.2000000000000002</v>
      </c>
      <c r="W131" s="44">
        <f t="shared" si="50"/>
        <v>2.2000000000000002</v>
      </c>
      <c r="X131" s="44">
        <f t="shared" si="50"/>
        <v>2.2000000000000002</v>
      </c>
      <c r="Y131" s="44">
        <f t="shared" si="50"/>
        <v>2.2000000000000002</v>
      </c>
      <c r="Z131" s="44">
        <f t="shared" si="50"/>
        <v>2.2000000000000002</v>
      </c>
      <c r="AA131" s="44">
        <f t="shared" si="50"/>
        <v>2.2000000000000002</v>
      </c>
      <c r="AB131" s="44">
        <f t="shared" si="50"/>
        <v>2.2000000000000002</v>
      </c>
      <c r="AC131" s="44">
        <f t="shared" si="50"/>
        <v>2.2000000000000002</v>
      </c>
      <c r="AD131" s="44">
        <f t="shared" si="50"/>
        <v>2.2000000000000002</v>
      </c>
      <c r="AE131" s="44">
        <f t="shared" si="50"/>
        <v>2.2000000000000002</v>
      </c>
      <c r="AF131" s="44">
        <f t="shared" si="50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48"/>
        <v>2</v>
      </c>
      <c r="C132" s="55">
        <v>2</v>
      </c>
      <c r="D132" s="44">
        <f t="shared" si="49"/>
        <v>2</v>
      </c>
      <c r="E132" s="44">
        <f t="shared" si="49"/>
        <v>2</v>
      </c>
      <c r="F132" s="44">
        <f t="shared" si="49"/>
        <v>2</v>
      </c>
      <c r="G132" s="44">
        <f t="shared" si="49"/>
        <v>2</v>
      </c>
      <c r="H132" s="44">
        <f t="shared" si="49"/>
        <v>2</v>
      </c>
      <c r="I132" s="44">
        <f t="shared" si="49"/>
        <v>2</v>
      </c>
      <c r="J132" s="44">
        <f t="shared" si="49"/>
        <v>2</v>
      </c>
      <c r="K132" s="44">
        <f t="shared" si="49"/>
        <v>2</v>
      </c>
      <c r="L132" s="44">
        <f t="shared" si="49"/>
        <v>2</v>
      </c>
      <c r="M132" s="44">
        <f t="shared" si="49"/>
        <v>2</v>
      </c>
      <c r="N132" s="44">
        <f t="shared" si="49"/>
        <v>2</v>
      </c>
      <c r="O132" s="44">
        <f t="shared" si="49"/>
        <v>2</v>
      </c>
      <c r="P132" s="44">
        <f t="shared" si="49"/>
        <v>2</v>
      </c>
      <c r="Q132" s="44">
        <f t="shared" si="49"/>
        <v>2</v>
      </c>
      <c r="R132" s="44">
        <f t="shared" si="49"/>
        <v>2</v>
      </c>
      <c r="S132" s="44">
        <f t="shared" si="49"/>
        <v>2</v>
      </c>
      <c r="T132" s="44">
        <f t="shared" si="50"/>
        <v>2</v>
      </c>
      <c r="U132" s="44">
        <f t="shared" si="50"/>
        <v>2</v>
      </c>
      <c r="V132" s="44">
        <f t="shared" si="50"/>
        <v>2</v>
      </c>
      <c r="W132" s="44">
        <f t="shared" si="50"/>
        <v>2</v>
      </c>
      <c r="X132" s="44">
        <f t="shared" si="50"/>
        <v>2</v>
      </c>
      <c r="Y132" s="44">
        <f t="shared" si="50"/>
        <v>2</v>
      </c>
      <c r="Z132" s="44">
        <f t="shared" si="50"/>
        <v>2</v>
      </c>
      <c r="AA132" s="44">
        <f t="shared" si="50"/>
        <v>2</v>
      </c>
      <c r="AB132" s="44">
        <f t="shared" si="50"/>
        <v>2</v>
      </c>
      <c r="AC132" s="44">
        <f t="shared" si="50"/>
        <v>2</v>
      </c>
      <c r="AD132" s="44">
        <f t="shared" si="50"/>
        <v>2</v>
      </c>
      <c r="AE132" s="44">
        <f t="shared" si="50"/>
        <v>2</v>
      </c>
      <c r="AF132" s="44">
        <f t="shared" si="50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48"/>
        <v>1.25</v>
      </c>
      <c r="C133" s="55">
        <v>1.25</v>
      </c>
      <c r="D133" s="44">
        <f t="shared" si="49"/>
        <v>1.25</v>
      </c>
      <c r="E133" s="44">
        <f t="shared" si="49"/>
        <v>1.25</v>
      </c>
      <c r="F133" s="44">
        <f t="shared" si="49"/>
        <v>1.25</v>
      </c>
      <c r="G133" s="44">
        <f t="shared" si="49"/>
        <v>1.25</v>
      </c>
      <c r="H133" s="44">
        <f t="shared" si="49"/>
        <v>1.25</v>
      </c>
      <c r="I133" s="44">
        <f t="shared" si="49"/>
        <v>1.25</v>
      </c>
      <c r="J133" s="44">
        <f t="shared" si="49"/>
        <v>1.25</v>
      </c>
      <c r="K133" s="44">
        <f t="shared" si="49"/>
        <v>1.25</v>
      </c>
      <c r="L133" s="44">
        <f t="shared" si="49"/>
        <v>1.25</v>
      </c>
      <c r="M133" s="44">
        <f t="shared" si="49"/>
        <v>1.25</v>
      </c>
      <c r="N133" s="44">
        <f t="shared" si="49"/>
        <v>1.25</v>
      </c>
      <c r="O133" s="44">
        <f t="shared" si="49"/>
        <v>1.25</v>
      </c>
      <c r="P133" s="44">
        <f t="shared" si="49"/>
        <v>1.25</v>
      </c>
      <c r="Q133" s="44">
        <f t="shared" si="49"/>
        <v>1.25</v>
      </c>
      <c r="R133" s="44">
        <f t="shared" si="49"/>
        <v>1.25</v>
      </c>
      <c r="S133" s="44">
        <f t="shared" si="49"/>
        <v>1.25</v>
      </c>
      <c r="T133" s="44">
        <f t="shared" si="50"/>
        <v>1.25</v>
      </c>
      <c r="U133" s="44">
        <f t="shared" si="50"/>
        <v>1.25</v>
      </c>
      <c r="V133" s="44">
        <f t="shared" si="50"/>
        <v>1.25</v>
      </c>
      <c r="W133" s="44">
        <f t="shared" si="50"/>
        <v>1.25</v>
      </c>
      <c r="X133" s="44">
        <f t="shared" si="50"/>
        <v>1.25</v>
      </c>
      <c r="Y133" s="44">
        <f t="shared" si="50"/>
        <v>1.25</v>
      </c>
      <c r="Z133" s="44">
        <f t="shared" si="50"/>
        <v>1.25</v>
      </c>
      <c r="AA133" s="44">
        <f t="shared" si="50"/>
        <v>1.25</v>
      </c>
      <c r="AB133" s="44">
        <f t="shared" si="50"/>
        <v>1.25</v>
      </c>
      <c r="AC133" s="44">
        <f t="shared" si="50"/>
        <v>1.25</v>
      </c>
      <c r="AD133" s="44">
        <f t="shared" si="50"/>
        <v>1.25</v>
      </c>
      <c r="AE133" s="44">
        <f t="shared" si="50"/>
        <v>1.25</v>
      </c>
      <c r="AF133" s="44">
        <f t="shared" si="50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48"/>
        <v>1.1499999999999999</v>
      </c>
      <c r="C134" s="55">
        <v>1.1499999999999999</v>
      </c>
      <c r="D134" s="44">
        <f t="shared" si="49"/>
        <v>1.1499999999999999</v>
      </c>
      <c r="E134" s="44">
        <f t="shared" si="49"/>
        <v>1.1499999999999999</v>
      </c>
      <c r="F134" s="44">
        <f t="shared" si="49"/>
        <v>1.1499999999999999</v>
      </c>
      <c r="G134" s="44">
        <f t="shared" si="49"/>
        <v>1.1499999999999999</v>
      </c>
      <c r="H134" s="44">
        <f t="shared" si="49"/>
        <v>1.1499999999999999</v>
      </c>
      <c r="I134" s="44">
        <f t="shared" si="49"/>
        <v>1.1499999999999999</v>
      </c>
      <c r="J134" s="44">
        <f t="shared" si="49"/>
        <v>1.1499999999999999</v>
      </c>
      <c r="K134" s="44">
        <f t="shared" si="49"/>
        <v>1.1499999999999999</v>
      </c>
      <c r="L134" s="44">
        <f t="shared" si="49"/>
        <v>1.1499999999999999</v>
      </c>
      <c r="M134" s="44">
        <f t="shared" si="49"/>
        <v>1.1499999999999999</v>
      </c>
      <c r="N134" s="44">
        <f t="shared" si="49"/>
        <v>1.1499999999999999</v>
      </c>
      <c r="O134" s="44">
        <f t="shared" si="49"/>
        <v>1.1499999999999999</v>
      </c>
      <c r="P134" s="44">
        <f t="shared" si="49"/>
        <v>1.1499999999999999</v>
      </c>
      <c r="Q134" s="44">
        <f t="shared" si="49"/>
        <v>1.1499999999999999</v>
      </c>
      <c r="R134" s="44">
        <f t="shared" si="49"/>
        <v>1.1499999999999999</v>
      </c>
      <c r="S134" s="44">
        <f t="shared" si="49"/>
        <v>1.1499999999999999</v>
      </c>
      <c r="T134" s="44">
        <f t="shared" si="50"/>
        <v>1.1499999999999999</v>
      </c>
      <c r="U134" s="44">
        <f t="shared" si="50"/>
        <v>1.1499999999999999</v>
      </c>
      <c r="V134" s="44">
        <f t="shared" si="50"/>
        <v>1.1499999999999999</v>
      </c>
      <c r="W134" s="44">
        <f t="shared" si="50"/>
        <v>1.1499999999999999</v>
      </c>
      <c r="X134" s="44">
        <f t="shared" si="50"/>
        <v>1.1499999999999999</v>
      </c>
      <c r="Y134" s="44">
        <f t="shared" si="50"/>
        <v>1.1499999999999999</v>
      </c>
      <c r="Z134" s="44">
        <f t="shared" si="50"/>
        <v>1.1499999999999999</v>
      </c>
      <c r="AA134" s="44">
        <f t="shared" si="50"/>
        <v>1.1499999999999999</v>
      </c>
      <c r="AB134" s="44">
        <f t="shared" si="50"/>
        <v>1.1499999999999999</v>
      </c>
      <c r="AC134" s="44">
        <f t="shared" si="50"/>
        <v>1.1499999999999999</v>
      </c>
      <c r="AD134" s="44">
        <f t="shared" si="50"/>
        <v>1.1499999999999999</v>
      </c>
      <c r="AE134" s="44">
        <f t="shared" si="50"/>
        <v>1.1499999999999999</v>
      </c>
      <c r="AF134" s="44">
        <f t="shared" si="50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48"/>
        <v>2.133</v>
      </c>
      <c r="C135" s="55">
        <v>2.133</v>
      </c>
      <c r="D135" s="44">
        <f t="shared" si="49"/>
        <v>2.133</v>
      </c>
      <c r="E135" s="44">
        <f t="shared" si="49"/>
        <v>2.133</v>
      </c>
      <c r="F135" s="44">
        <f t="shared" si="49"/>
        <v>2.133</v>
      </c>
      <c r="G135" s="44">
        <f t="shared" si="49"/>
        <v>2.133</v>
      </c>
      <c r="H135" s="44">
        <f t="shared" si="49"/>
        <v>2.133</v>
      </c>
      <c r="I135" s="44">
        <f t="shared" si="49"/>
        <v>2.133</v>
      </c>
      <c r="J135" s="44">
        <f t="shared" si="49"/>
        <v>2.133</v>
      </c>
      <c r="K135" s="44">
        <f t="shared" si="49"/>
        <v>2.133</v>
      </c>
      <c r="L135" s="44">
        <f t="shared" si="49"/>
        <v>2.133</v>
      </c>
      <c r="M135" s="44">
        <f t="shared" si="49"/>
        <v>2.133</v>
      </c>
      <c r="N135" s="44">
        <f t="shared" si="49"/>
        <v>2.133</v>
      </c>
      <c r="O135" s="44">
        <f t="shared" si="49"/>
        <v>2.133</v>
      </c>
      <c r="P135" s="44">
        <f t="shared" si="49"/>
        <v>2.133</v>
      </c>
      <c r="Q135" s="44">
        <f t="shared" si="49"/>
        <v>2.133</v>
      </c>
      <c r="R135" s="44">
        <f t="shared" si="49"/>
        <v>2.133</v>
      </c>
      <c r="S135" s="44">
        <f t="shared" si="49"/>
        <v>2.133</v>
      </c>
      <c r="T135" s="44">
        <f t="shared" si="50"/>
        <v>2.133</v>
      </c>
      <c r="U135" s="44">
        <f t="shared" si="50"/>
        <v>2.133</v>
      </c>
      <c r="V135" s="44">
        <f t="shared" si="50"/>
        <v>2.133</v>
      </c>
      <c r="W135" s="44">
        <f t="shared" si="50"/>
        <v>2.133</v>
      </c>
      <c r="X135" s="44">
        <f t="shared" si="50"/>
        <v>2.133</v>
      </c>
      <c r="Y135" s="44">
        <f t="shared" si="50"/>
        <v>2.133</v>
      </c>
      <c r="Z135" s="44">
        <f t="shared" si="50"/>
        <v>2.133</v>
      </c>
      <c r="AA135" s="44">
        <f t="shared" si="50"/>
        <v>2.133</v>
      </c>
      <c r="AB135" s="44">
        <f t="shared" si="50"/>
        <v>2.133</v>
      </c>
      <c r="AC135" s="44">
        <f t="shared" si="50"/>
        <v>2.133</v>
      </c>
      <c r="AD135" s="44">
        <f t="shared" si="50"/>
        <v>2.133</v>
      </c>
      <c r="AE135" s="44">
        <f t="shared" si="50"/>
        <v>2.133</v>
      </c>
      <c r="AF135" s="44">
        <f t="shared" si="50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48"/>
        <v>2.09</v>
      </c>
      <c r="C136" s="55">
        <v>2.09</v>
      </c>
      <c r="D136" s="44">
        <f t="shared" si="49"/>
        <v>2.09</v>
      </c>
      <c r="E136" s="44">
        <f t="shared" si="49"/>
        <v>2.09</v>
      </c>
      <c r="F136" s="44">
        <f t="shared" si="49"/>
        <v>2.09</v>
      </c>
      <c r="G136" s="44">
        <f t="shared" si="49"/>
        <v>2.09</v>
      </c>
      <c r="H136" s="44">
        <f t="shared" si="49"/>
        <v>2.09</v>
      </c>
      <c r="I136" s="44">
        <f t="shared" si="49"/>
        <v>2.09</v>
      </c>
      <c r="J136" s="44">
        <f t="shared" si="49"/>
        <v>2.09</v>
      </c>
      <c r="K136" s="44">
        <f t="shared" si="49"/>
        <v>2.09</v>
      </c>
      <c r="L136" s="44">
        <f t="shared" si="49"/>
        <v>2.09</v>
      </c>
      <c r="M136" s="44">
        <f t="shared" si="49"/>
        <v>2.09</v>
      </c>
      <c r="N136" s="44">
        <f t="shared" si="49"/>
        <v>2.09</v>
      </c>
      <c r="O136" s="44">
        <f t="shared" si="49"/>
        <v>2.09</v>
      </c>
      <c r="P136" s="44">
        <f t="shared" si="49"/>
        <v>2.09</v>
      </c>
      <c r="Q136" s="44">
        <f t="shared" si="49"/>
        <v>2.09</v>
      </c>
      <c r="R136" s="44">
        <f t="shared" si="49"/>
        <v>2.09</v>
      </c>
      <c r="S136" s="44">
        <f t="shared" si="49"/>
        <v>2.09</v>
      </c>
      <c r="T136" s="44">
        <f t="shared" si="50"/>
        <v>2.09</v>
      </c>
      <c r="U136" s="44">
        <f t="shared" si="50"/>
        <v>2.09</v>
      </c>
      <c r="V136" s="44">
        <f t="shared" si="50"/>
        <v>2.09</v>
      </c>
      <c r="W136" s="44">
        <f t="shared" si="50"/>
        <v>2.09</v>
      </c>
      <c r="X136" s="44">
        <f t="shared" si="50"/>
        <v>2.09</v>
      </c>
      <c r="Y136" s="44">
        <f t="shared" si="50"/>
        <v>2.09</v>
      </c>
      <c r="Z136" s="44">
        <f t="shared" si="50"/>
        <v>2.09</v>
      </c>
      <c r="AA136" s="44">
        <f t="shared" si="50"/>
        <v>2.09</v>
      </c>
      <c r="AB136" s="44">
        <f t="shared" si="50"/>
        <v>2.09</v>
      </c>
      <c r="AC136" s="44">
        <f t="shared" si="50"/>
        <v>2.09</v>
      </c>
      <c r="AD136" s="44">
        <f t="shared" si="50"/>
        <v>2.09</v>
      </c>
      <c r="AE136" s="44">
        <f t="shared" si="50"/>
        <v>2.09</v>
      </c>
      <c r="AF136" s="44">
        <f t="shared" si="50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48"/>
        <v>1.1399999999999999</v>
      </c>
      <c r="C137" s="55">
        <v>1.1399999999999999</v>
      </c>
      <c r="D137" s="44">
        <f t="shared" si="49"/>
        <v>1.1399999999999999</v>
      </c>
      <c r="E137" s="44">
        <f t="shared" si="49"/>
        <v>1.1399999999999999</v>
      </c>
      <c r="F137" s="44">
        <f t="shared" si="49"/>
        <v>1.1399999999999999</v>
      </c>
      <c r="G137" s="44">
        <f t="shared" si="49"/>
        <v>1.1399999999999999</v>
      </c>
      <c r="H137" s="44">
        <f t="shared" si="49"/>
        <v>1.1399999999999999</v>
      </c>
      <c r="I137" s="44">
        <f t="shared" si="49"/>
        <v>1.1399999999999999</v>
      </c>
      <c r="J137" s="44">
        <f t="shared" si="49"/>
        <v>1.1399999999999999</v>
      </c>
      <c r="K137" s="44">
        <f t="shared" si="49"/>
        <v>1.1399999999999999</v>
      </c>
      <c r="L137" s="44">
        <f t="shared" si="49"/>
        <v>1.1399999999999999</v>
      </c>
      <c r="M137" s="44">
        <f t="shared" si="49"/>
        <v>1.1399999999999999</v>
      </c>
      <c r="N137" s="44">
        <f t="shared" si="49"/>
        <v>1.1399999999999999</v>
      </c>
      <c r="O137" s="44">
        <f t="shared" si="49"/>
        <v>1.1399999999999999</v>
      </c>
      <c r="P137" s="44">
        <f t="shared" si="49"/>
        <v>1.1399999999999999</v>
      </c>
      <c r="Q137" s="44">
        <f t="shared" si="49"/>
        <v>1.1399999999999999</v>
      </c>
      <c r="R137" s="44">
        <f t="shared" si="49"/>
        <v>1.1399999999999999</v>
      </c>
      <c r="S137" s="44">
        <f t="shared" si="49"/>
        <v>1.1399999999999999</v>
      </c>
      <c r="T137" s="44">
        <f t="shared" si="50"/>
        <v>1.1399999999999999</v>
      </c>
      <c r="U137" s="44">
        <f t="shared" si="50"/>
        <v>1.1399999999999999</v>
      </c>
      <c r="V137" s="44">
        <f t="shared" si="50"/>
        <v>1.1399999999999999</v>
      </c>
      <c r="W137" s="44">
        <f t="shared" si="50"/>
        <v>1.1399999999999999</v>
      </c>
      <c r="X137" s="44">
        <f t="shared" si="50"/>
        <v>1.1399999999999999</v>
      </c>
      <c r="Y137" s="44">
        <f t="shared" si="50"/>
        <v>1.1399999999999999</v>
      </c>
      <c r="Z137" s="44">
        <f t="shared" si="50"/>
        <v>1.1399999999999999</v>
      </c>
      <c r="AA137" s="44">
        <f t="shared" si="50"/>
        <v>1.1399999999999999</v>
      </c>
      <c r="AB137" s="44">
        <f t="shared" si="50"/>
        <v>1.1399999999999999</v>
      </c>
      <c r="AC137" s="44">
        <f t="shared" si="50"/>
        <v>1.1399999999999999</v>
      </c>
      <c r="AD137" s="44">
        <f t="shared" si="50"/>
        <v>1.1399999999999999</v>
      </c>
      <c r="AE137" s="44">
        <f t="shared" si="50"/>
        <v>1.1399999999999999</v>
      </c>
      <c r="AF137" s="44">
        <f t="shared" si="50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48"/>
        <v>0.82</v>
      </c>
      <c r="C138" s="55">
        <v>0.82</v>
      </c>
      <c r="D138" s="44">
        <f t="shared" si="49"/>
        <v>0.82</v>
      </c>
      <c r="E138" s="44">
        <f t="shared" si="49"/>
        <v>0.82</v>
      </c>
      <c r="F138" s="44">
        <f t="shared" si="49"/>
        <v>0.82</v>
      </c>
      <c r="G138" s="44">
        <f t="shared" si="49"/>
        <v>0.82</v>
      </c>
      <c r="H138" s="44">
        <f t="shared" si="49"/>
        <v>0.82</v>
      </c>
      <c r="I138" s="44">
        <f t="shared" si="49"/>
        <v>0.82</v>
      </c>
      <c r="J138" s="44">
        <f t="shared" si="49"/>
        <v>0.82</v>
      </c>
      <c r="K138" s="44">
        <f t="shared" si="49"/>
        <v>0.82</v>
      </c>
      <c r="L138" s="44">
        <f t="shared" si="49"/>
        <v>0.82</v>
      </c>
      <c r="M138" s="44">
        <f t="shared" si="49"/>
        <v>0.82</v>
      </c>
      <c r="N138" s="44">
        <f t="shared" si="49"/>
        <v>0.82</v>
      </c>
      <c r="O138" s="44">
        <f t="shared" si="49"/>
        <v>0.82</v>
      </c>
      <c r="P138" s="44">
        <f t="shared" si="49"/>
        <v>0.82</v>
      </c>
      <c r="Q138" s="44">
        <f t="shared" si="49"/>
        <v>0.82</v>
      </c>
      <c r="R138" s="44">
        <f t="shared" si="49"/>
        <v>0.82</v>
      </c>
      <c r="S138" s="44">
        <f t="shared" si="49"/>
        <v>0.82</v>
      </c>
      <c r="T138" s="44">
        <f t="shared" si="50"/>
        <v>0.82</v>
      </c>
      <c r="U138" s="44">
        <f t="shared" si="50"/>
        <v>0.82</v>
      </c>
      <c r="V138" s="44">
        <f t="shared" si="50"/>
        <v>0.82</v>
      </c>
      <c r="W138" s="44">
        <f t="shared" si="50"/>
        <v>0.82</v>
      </c>
      <c r="X138" s="44">
        <f t="shared" si="50"/>
        <v>0.82</v>
      </c>
      <c r="Y138" s="44">
        <f t="shared" si="50"/>
        <v>0.82</v>
      </c>
      <c r="Z138" s="44">
        <f t="shared" si="50"/>
        <v>0.82</v>
      </c>
      <c r="AA138" s="44">
        <f t="shared" si="50"/>
        <v>0.82</v>
      </c>
      <c r="AB138" s="44">
        <f t="shared" si="50"/>
        <v>0.82</v>
      </c>
      <c r="AC138" s="44">
        <f t="shared" si="50"/>
        <v>0.82</v>
      </c>
      <c r="AD138" s="44">
        <f t="shared" si="50"/>
        <v>0.82</v>
      </c>
      <c r="AE138" s="44">
        <f t="shared" si="50"/>
        <v>0.82</v>
      </c>
      <c r="AF138" s="44">
        <f t="shared" si="50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1">AF140</f>
        <v>2</v>
      </c>
      <c r="C140" s="55">
        <v>2</v>
      </c>
      <c r="D140" s="44">
        <f t="shared" ref="D140:S146" si="52">C140</f>
        <v>2</v>
      </c>
      <c r="E140" s="44">
        <f t="shared" si="52"/>
        <v>2</v>
      </c>
      <c r="F140" s="44">
        <f t="shared" si="52"/>
        <v>2</v>
      </c>
      <c r="G140" s="44">
        <f t="shared" si="52"/>
        <v>2</v>
      </c>
      <c r="H140" s="44">
        <f t="shared" si="52"/>
        <v>2</v>
      </c>
      <c r="I140" s="44">
        <f t="shared" si="52"/>
        <v>2</v>
      </c>
      <c r="J140" s="44">
        <f t="shared" si="52"/>
        <v>2</v>
      </c>
      <c r="K140" s="44">
        <f t="shared" si="52"/>
        <v>2</v>
      </c>
      <c r="L140" s="44">
        <f t="shared" si="52"/>
        <v>2</v>
      </c>
      <c r="M140" s="44">
        <f t="shared" si="52"/>
        <v>2</v>
      </c>
      <c r="N140" s="44">
        <f t="shared" si="52"/>
        <v>2</v>
      </c>
      <c r="O140" s="44">
        <f t="shared" si="52"/>
        <v>2</v>
      </c>
      <c r="P140" s="44">
        <f t="shared" si="52"/>
        <v>2</v>
      </c>
      <c r="Q140" s="44">
        <f t="shared" si="52"/>
        <v>2</v>
      </c>
      <c r="R140" s="44">
        <f t="shared" si="52"/>
        <v>2</v>
      </c>
      <c r="S140" s="44">
        <f t="shared" si="52"/>
        <v>2</v>
      </c>
      <c r="T140" s="44">
        <f t="shared" ref="T140:AF146" si="53">S140</f>
        <v>2</v>
      </c>
      <c r="U140" s="44">
        <f t="shared" si="53"/>
        <v>2</v>
      </c>
      <c r="V140" s="44">
        <f t="shared" si="53"/>
        <v>2</v>
      </c>
      <c r="W140" s="44">
        <f t="shared" si="53"/>
        <v>2</v>
      </c>
      <c r="X140" s="44">
        <f t="shared" si="53"/>
        <v>2</v>
      </c>
      <c r="Y140" s="44">
        <f t="shared" si="53"/>
        <v>2</v>
      </c>
      <c r="Z140" s="44">
        <f t="shared" si="53"/>
        <v>2</v>
      </c>
      <c r="AA140" s="44">
        <f t="shared" si="53"/>
        <v>2</v>
      </c>
      <c r="AB140" s="44">
        <f t="shared" si="53"/>
        <v>2</v>
      </c>
      <c r="AC140" s="44">
        <f t="shared" si="53"/>
        <v>2</v>
      </c>
      <c r="AD140" s="44">
        <f t="shared" si="53"/>
        <v>2</v>
      </c>
      <c r="AE140" s="44">
        <f t="shared" si="53"/>
        <v>2</v>
      </c>
      <c r="AF140" s="44">
        <f t="shared" si="53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1"/>
        <v>5.61</v>
      </c>
      <c r="C141" s="55">
        <v>5.61</v>
      </c>
      <c r="D141" s="44">
        <f t="shared" si="52"/>
        <v>5.61</v>
      </c>
      <c r="E141" s="44">
        <f t="shared" si="52"/>
        <v>5.61</v>
      </c>
      <c r="F141" s="44">
        <f t="shared" si="52"/>
        <v>5.61</v>
      </c>
      <c r="G141" s="44">
        <f t="shared" si="52"/>
        <v>5.61</v>
      </c>
      <c r="H141" s="44">
        <f t="shared" si="52"/>
        <v>5.61</v>
      </c>
      <c r="I141" s="44">
        <f t="shared" si="52"/>
        <v>5.61</v>
      </c>
      <c r="J141" s="44">
        <f t="shared" si="52"/>
        <v>5.61</v>
      </c>
      <c r="K141" s="44">
        <f t="shared" si="52"/>
        <v>5.61</v>
      </c>
      <c r="L141" s="44">
        <f t="shared" si="52"/>
        <v>5.61</v>
      </c>
      <c r="M141" s="44">
        <f t="shared" si="52"/>
        <v>5.61</v>
      </c>
      <c r="N141" s="44">
        <f t="shared" si="52"/>
        <v>5.61</v>
      </c>
      <c r="O141" s="44">
        <f t="shared" si="52"/>
        <v>5.61</v>
      </c>
      <c r="P141" s="44">
        <f t="shared" si="52"/>
        <v>5.61</v>
      </c>
      <c r="Q141" s="44">
        <f t="shared" si="52"/>
        <v>5.61</v>
      </c>
      <c r="R141" s="44">
        <f t="shared" si="52"/>
        <v>5.61</v>
      </c>
      <c r="S141" s="44">
        <f t="shared" si="52"/>
        <v>5.61</v>
      </c>
      <c r="T141" s="44">
        <f t="shared" si="53"/>
        <v>5.61</v>
      </c>
      <c r="U141" s="44">
        <f t="shared" si="53"/>
        <v>5.61</v>
      </c>
      <c r="V141" s="44">
        <f t="shared" si="53"/>
        <v>5.61</v>
      </c>
      <c r="W141" s="44">
        <f t="shared" si="53"/>
        <v>5.61</v>
      </c>
      <c r="X141" s="44">
        <f t="shared" si="53"/>
        <v>5.61</v>
      </c>
      <c r="Y141" s="44">
        <f t="shared" si="53"/>
        <v>5.61</v>
      </c>
      <c r="Z141" s="44">
        <f t="shared" si="53"/>
        <v>5.61</v>
      </c>
      <c r="AA141" s="44">
        <f t="shared" si="53"/>
        <v>5.61</v>
      </c>
      <c r="AB141" s="44">
        <f t="shared" si="53"/>
        <v>5.61</v>
      </c>
      <c r="AC141" s="44">
        <f t="shared" si="53"/>
        <v>5.61</v>
      </c>
      <c r="AD141" s="44">
        <f t="shared" si="53"/>
        <v>5.61</v>
      </c>
      <c r="AE141" s="44">
        <f t="shared" si="53"/>
        <v>5.61</v>
      </c>
      <c r="AF141" s="44">
        <f t="shared" si="53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1"/>
        <v>1.25</v>
      </c>
      <c r="C142" s="55">
        <v>1.25</v>
      </c>
      <c r="D142" s="44">
        <f t="shared" si="52"/>
        <v>1.25</v>
      </c>
      <c r="E142" s="44">
        <f t="shared" si="52"/>
        <v>1.25</v>
      </c>
      <c r="F142" s="44">
        <f t="shared" si="52"/>
        <v>1.25</v>
      </c>
      <c r="G142" s="44">
        <f t="shared" si="52"/>
        <v>1.25</v>
      </c>
      <c r="H142" s="44">
        <f t="shared" si="52"/>
        <v>1.25</v>
      </c>
      <c r="I142" s="44">
        <f t="shared" si="52"/>
        <v>1.25</v>
      </c>
      <c r="J142" s="44">
        <f t="shared" si="52"/>
        <v>1.25</v>
      </c>
      <c r="K142" s="44">
        <f t="shared" si="52"/>
        <v>1.25</v>
      </c>
      <c r="L142" s="44">
        <f t="shared" si="52"/>
        <v>1.25</v>
      </c>
      <c r="M142" s="44">
        <f t="shared" si="52"/>
        <v>1.25</v>
      </c>
      <c r="N142" s="44">
        <f t="shared" si="52"/>
        <v>1.25</v>
      </c>
      <c r="O142" s="44">
        <f t="shared" si="52"/>
        <v>1.25</v>
      </c>
      <c r="P142" s="44">
        <f t="shared" si="52"/>
        <v>1.25</v>
      </c>
      <c r="Q142" s="44">
        <f t="shared" si="52"/>
        <v>1.25</v>
      </c>
      <c r="R142" s="44">
        <f t="shared" si="52"/>
        <v>1.25</v>
      </c>
      <c r="S142" s="44">
        <f t="shared" si="52"/>
        <v>1.25</v>
      </c>
      <c r="T142" s="44">
        <f t="shared" si="53"/>
        <v>1.25</v>
      </c>
      <c r="U142" s="44">
        <f t="shared" si="53"/>
        <v>1.25</v>
      </c>
      <c r="V142" s="44">
        <f t="shared" si="53"/>
        <v>1.25</v>
      </c>
      <c r="W142" s="44">
        <f t="shared" si="53"/>
        <v>1.25</v>
      </c>
      <c r="X142" s="44">
        <f t="shared" si="53"/>
        <v>1.25</v>
      </c>
      <c r="Y142" s="44">
        <f t="shared" si="53"/>
        <v>1.25</v>
      </c>
      <c r="Z142" s="44">
        <f t="shared" si="53"/>
        <v>1.25</v>
      </c>
      <c r="AA142" s="44">
        <f t="shared" si="53"/>
        <v>1.25</v>
      </c>
      <c r="AB142" s="44">
        <f t="shared" si="53"/>
        <v>1.25</v>
      </c>
      <c r="AC142" s="44">
        <f t="shared" si="53"/>
        <v>1.25</v>
      </c>
      <c r="AD142" s="44">
        <f t="shared" si="53"/>
        <v>1.25</v>
      </c>
      <c r="AE142" s="44">
        <f t="shared" si="53"/>
        <v>1.25</v>
      </c>
      <c r="AF142" s="44">
        <f t="shared" si="53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1"/>
        <v>1.25</v>
      </c>
      <c r="C143" s="55">
        <v>1.25</v>
      </c>
      <c r="D143" s="44">
        <f t="shared" si="52"/>
        <v>1.25</v>
      </c>
      <c r="E143" s="44">
        <f t="shared" si="52"/>
        <v>1.25</v>
      </c>
      <c r="F143" s="44">
        <f t="shared" si="52"/>
        <v>1.25</v>
      </c>
      <c r="G143" s="44">
        <f t="shared" si="52"/>
        <v>1.25</v>
      </c>
      <c r="H143" s="44">
        <f t="shared" si="52"/>
        <v>1.25</v>
      </c>
      <c r="I143" s="44">
        <f t="shared" si="52"/>
        <v>1.25</v>
      </c>
      <c r="J143" s="44">
        <f t="shared" si="52"/>
        <v>1.25</v>
      </c>
      <c r="K143" s="44">
        <f t="shared" si="52"/>
        <v>1.25</v>
      </c>
      <c r="L143" s="44">
        <f t="shared" si="52"/>
        <v>1.25</v>
      </c>
      <c r="M143" s="44">
        <f t="shared" si="52"/>
        <v>1.25</v>
      </c>
      <c r="N143" s="44">
        <f t="shared" si="52"/>
        <v>1.25</v>
      </c>
      <c r="O143" s="44">
        <f t="shared" si="52"/>
        <v>1.25</v>
      </c>
      <c r="P143" s="44">
        <f t="shared" si="52"/>
        <v>1.25</v>
      </c>
      <c r="Q143" s="44">
        <f t="shared" si="52"/>
        <v>1.25</v>
      </c>
      <c r="R143" s="44">
        <f t="shared" si="52"/>
        <v>1.25</v>
      </c>
      <c r="S143" s="44">
        <f t="shared" si="52"/>
        <v>1.25</v>
      </c>
      <c r="T143" s="44">
        <f t="shared" si="53"/>
        <v>1.25</v>
      </c>
      <c r="U143" s="44">
        <f t="shared" si="53"/>
        <v>1.25</v>
      </c>
      <c r="V143" s="44">
        <f t="shared" si="53"/>
        <v>1.25</v>
      </c>
      <c r="W143" s="44">
        <f t="shared" si="53"/>
        <v>1.25</v>
      </c>
      <c r="X143" s="44">
        <f t="shared" si="53"/>
        <v>1.25</v>
      </c>
      <c r="Y143" s="44">
        <f t="shared" si="53"/>
        <v>1.25</v>
      </c>
      <c r="Z143" s="44">
        <f t="shared" si="53"/>
        <v>1.25</v>
      </c>
      <c r="AA143" s="44">
        <f t="shared" si="53"/>
        <v>1.25</v>
      </c>
      <c r="AB143" s="44">
        <f t="shared" si="53"/>
        <v>1.25</v>
      </c>
      <c r="AC143" s="44">
        <f t="shared" si="53"/>
        <v>1.25</v>
      </c>
      <c r="AD143" s="44">
        <f t="shared" si="53"/>
        <v>1.25</v>
      </c>
      <c r="AE143" s="44">
        <f t="shared" si="53"/>
        <v>1.25</v>
      </c>
      <c r="AF143" s="44">
        <f t="shared" si="53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1"/>
        <v>1.46</v>
      </c>
      <c r="C144" s="55">
        <v>1.46</v>
      </c>
      <c r="D144" s="44">
        <f t="shared" si="52"/>
        <v>1.46</v>
      </c>
      <c r="E144" s="44">
        <f t="shared" si="52"/>
        <v>1.46</v>
      </c>
      <c r="F144" s="44">
        <f t="shared" si="52"/>
        <v>1.46</v>
      </c>
      <c r="G144" s="44">
        <f t="shared" si="52"/>
        <v>1.46</v>
      </c>
      <c r="H144" s="44">
        <f t="shared" si="52"/>
        <v>1.46</v>
      </c>
      <c r="I144" s="44">
        <f t="shared" si="52"/>
        <v>1.46</v>
      </c>
      <c r="J144" s="44">
        <f t="shared" si="52"/>
        <v>1.46</v>
      </c>
      <c r="K144" s="44">
        <f t="shared" si="52"/>
        <v>1.46</v>
      </c>
      <c r="L144" s="44">
        <f t="shared" si="52"/>
        <v>1.46</v>
      </c>
      <c r="M144" s="44">
        <f t="shared" si="52"/>
        <v>1.46</v>
      </c>
      <c r="N144" s="44">
        <f t="shared" si="52"/>
        <v>1.46</v>
      </c>
      <c r="O144" s="44">
        <f t="shared" si="52"/>
        <v>1.46</v>
      </c>
      <c r="P144" s="44">
        <f t="shared" si="52"/>
        <v>1.46</v>
      </c>
      <c r="Q144" s="44">
        <f t="shared" si="52"/>
        <v>1.46</v>
      </c>
      <c r="R144" s="44">
        <f t="shared" si="52"/>
        <v>1.46</v>
      </c>
      <c r="S144" s="44">
        <f t="shared" si="52"/>
        <v>1.46</v>
      </c>
      <c r="T144" s="44">
        <f t="shared" si="53"/>
        <v>1.46</v>
      </c>
      <c r="U144" s="44">
        <f t="shared" si="53"/>
        <v>1.46</v>
      </c>
      <c r="V144" s="44">
        <f t="shared" si="53"/>
        <v>1.46</v>
      </c>
      <c r="W144" s="44">
        <f t="shared" si="53"/>
        <v>1.46</v>
      </c>
      <c r="X144" s="44">
        <f t="shared" si="53"/>
        <v>1.46</v>
      </c>
      <c r="Y144" s="44">
        <f t="shared" si="53"/>
        <v>1.46</v>
      </c>
      <c r="Z144" s="44">
        <f t="shared" si="53"/>
        <v>1.46</v>
      </c>
      <c r="AA144" s="44">
        <f t="shared" si="53"/>
        <v>1.46</v>
      </c>
      <c r="AB144" s="44">
        <f t="shared" si="53"/>
        <v>1.46</v>
      </c>
      <c r="AC144" s="44">
        <f t="shared" si="53"/>
        <v>1.46</v>
      </c>
      <c r="AD144" s="44">
        <f t="shared" si="53"/>
        <v>1.46</v>
      </c>
      <c r="AE144" s="44">
        <f t="shared" si="53"/>
        <v>1.46</v>
      </c>
      <c r="AF144" s="44">
        <f t="shared" si="53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1"/>
        <v>3</v>
      </c>
      <c r="C145" s="55">
        <v>3</v>
      </c>
      <c r="D145" s="44">
        <f t="shared" si="52"/>
        <v>3</v>
      </c>
      <c r="E145" s="44">
        <f t="shared" si="52"/>
        <v>3</v>
      </c>
      <c r="F145" s="44">
        <f t="shared" si="52"/>
        <v>3</v>
      </c>
      <c r="G145" s="44">
        <f t="shared" si="52"/>
        <v>3</v>
      </c>
      <c r="H145" s="44">
        <f t="shared" si="52"/>
        <v>3</v>
      </c>
      <c r="I145" s="44">
        <f t="shared" si="52"/>
        <v>3</v>
      </c>
      <c r="J145" s="44">
        <f t="shared" si="52"/>
        <v>3</v>
      </c>
      <c r="K145" s="44">
        <f t="shared" si="52"/>
        <v>3</v>
      </c>
      <c r="L145" s="44">
        <f t="shared" si="52"/>
        <v>3</v>
      </c>
      <c r="M145" s="44">
        <f t="shared" si="52"/>
        <v>3</v>
      </c>
      <c r="N145" s="44">
        <f t="shared" si="52"/>
        <v>3</v>
      </c>
      <c r="O145" s="44">
        <f t="shared" si="52"/>
        <v>3</v>
      </c>
      <c r="P145" s="44">
        <f t="shared" si="52"/>
        <v>3</v>
      </c>
      <c r="Q145" s="44">
        <f t="shared" si="52"/>
        <v>3</v>
      </c>
      <c r="R145" s="44">
        <f t="shared" si="52"/>
        <v>3</v>
      </c>
      <c r="S145" s="44">
        <f t="shared" si="52"/>
        <v>3</v>
      </c>
      <c r="T145" s="44">
        <f t="shared" si="53"/>
        <v>3</v>
      </c>
      <c r="U145" s="44">
        <f t="shared" si="53"/>
        <v>3</v>
      </c>
      <c r="V145" s="44">
        <f t="shared" si="53"/>
        <v>3</v>
      </c>
      <c r="W145" s="44">
        <f t="shared" si="53"/>
        <v>3</v>
      </c>
      <c r="X145" s="44">
        <f t="shared" si="53"/>
        <v>3</v>
      </c>
      <c r="Y145" s="44">
        <f t="shared" si="53"/>
        <v>3</v>
      </c>
      <c r="Z145" s="44">
        <f t="shared" si="53"/>
        <v>3</v>
      </c>
      <c r="AA145" s="44">
        <f t="shared" si="53"/>
        <v>3</v>
      </c>
      <c r="AB145" s="44">
        <f t="shared" si="53"/>
        <v>3</v>
      </c>
      <c r="AC145" s="44">
        <f t="shared" si="53"/>
        <v>3</v>
      </c>
      <c r="AD145" s="44">
        <f t="shared" si="53"/>
        <v>3</v>
      </c>
      <c r="AE145" s="44">
        <f t="shared" si="53"/>
        <v>3</v>
      </c>
      <c r="AF145" s="44">
        <f t="shared" si="53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1"/>
        <v>3.3</v>
      </c>
      <c r="C146" s="55">
        <v>3.3</v>
      </c>
      <c r="D146" s="44">
        <f t="shared" si="52"/>
        <v>3.3</v>
      </c>
      <c r="E146" s="44">
        <f t="shared" si="52"/>
        <v>3.3</v>
      </c>
      <c r="F146" s="44">
        <f t="shared" si="52"/>
        <v>3.3</v>
      </c>
      <c r="G146" s="44">
        <f t="shared" si="52"/>
        <v>3.3</v>
      </c>
      <c r="H146" s="44">
        <f t="shared" si="52"/>
        <v>3.3</v>
      </c>
      <c r="I146" s="44">
        <f t="shared" si="52"/>
        <v>3.3</v>
      </c>
      <c r="J146" s="44">
        <f t="shared" si="52"/>
        <v>3.3</v>
      </c>
      <c r="K146" s="44">
        <f t="shared" si="52"/>
        <v>3.3</v>
      </c>
      <c r="L146" s="44">
        <f t="shared" si="52"/>
        <v>3.3</v>
      </c>
      <c r="M146" s="44">
        <f t="shared" si="52"/>
        <v>3.3</v>
      </c>
      <c r="N146" s="44">
        <f t="shared" si="52"/>
        <v>3.3</v>
      </c>
      <c r="O146" s="44">
        <f t="shared" si="52"/>
        <v>3.3</v>
      </c>
      <c r="P146" s="44">
        <f t="shared" si="52"/>
        <v>3.3</v>
      </c>
      <c r="Q146" s="44">
        <f t="shared" si="52"/>
        <v>3.3</v>
      </c>
      <c r="R146" s="44">
        <f t="shared" si="52"/>
        <v>3.3</v>
      </c>
      <c r="S146" s="44">
        <f t="shared" si="52"/>
        <v>3.3</v>
      </c>
      <c r="T146" s="44">
        <f t="shared" si="53"/>
        <v>3.3</v>
      </c>
      <c r="U146" s="44">
        <f t="shared" si="53"/>
        <v>3.3</v>
      </c>
      <c r="V146" s="44">
        <f t="shared" si="53"/>
        <v>3.3</v>
      </c>
      <c r="W146" s="44">
        <f t="shared" si="53"/>
        <v>3.3</v>
      </c>
      <c r="X146" s="44">
        <f t="shared" si="53"/>
        <v>3.3</v>
      </c>
      <c r="Y146" s="44">
        <f t="shared" si="53"/>
        <v>3.3</v>
      </c>
      <c r="Z146" s="44">
        <f t="shared" si="53"/>
        <v>3.3</v>
      </c>
      <c r="AA146" s="44">
        <f t="shared" si="53"/>
        <v>3.3</v>
      </c>
      <c r="AB146" s="44">
        <f t="shared" si="53"/>
        <v>3.3</v>
      </c>
      <c r="AC146" s="44">
        <f t="shared" si="53"/>
        <v>3.3</v>
      </c>
      <c r="AD146" s="44">
        <f t="shared" si="53"/>
        <v>3.3</v>
      </c>
      <c r="AE146" s="44">
        <f t="shared" si="53"/>
        <v>3.3</v>
      </c>
      <c r="AF146" s="44">
        <f t="shared" si="53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4">C148</f>
        <v>1.76</v>
      </c>
      <c r="E148" s="44">
        <f t="shared" si="54"/>
        <v>1.76</v>
      </c>
      <c r="F148" s="44">
        <f t="shared" si="54"/>
        <v>1.76</v>
      </c>
      <c r="G148" s="44">
        <f t="shared" si="54"/>
        <v>1.76</v>
      </c>
      <c r="H148" s="44">
        <f t="shared" si="54"/>
        <v>1.76</v>
      </c>
      <c r="I148" s="44">
        <f t="shared" si="54"/>
        <v>1.76</v>
      </c>
      <c r="J148" s="44">
        <f t="shared" si="54"/>
        <v>1.76</v>
      </c>
      <c r="K148" s="44">
        <f t="shared" si="54"/>
        <v>1.76</v>
      </c>
      <c r="L148" s="44">
        <f t="shared" si="54"/>
        <v>1.76</v>
      </c>
      <c r="M148" s="44">
        <f t="shared" si="54"/>
        <v>1.76</v>
      </c>
      <c r="N148" s="44">
        <f t="shared" si="54"/>
        <v>1.76</v>
      </c>
      <c r="O148" s="44">
        <f t="shared" si="54"/>
        <v>1.76</v>
      </c>
      <c r="P148" s="44">
        <f t="shared" si="54"/>
        <v>1.76</v>
      </c>
      <c r="Q148" s="44">
        <f t="shared" si="54"/>
        <v>1.76</v>
      </c>
      <c r="R148" s="44">
        <f t="shared" si="54"/>
        <v>1.76</v>
      </c>
      <c r="S148" s="44">
        <f t="shared" si="54"/>
        <v>1.76</v>
      </c>
      <c r="T148" s="44">
        <f t="shared" ref="T148:AF149" si="55">S148</f>
        <v>1.76</v>
      </c>
      <c r="U148" s="44">
        <f t="shared" si="55"/>
        <v>1.76</v>
      </c>
      <c r="V148" s="44">
        <f t="shared" si="55"/>
        <v>1.76</v>
      </c>
      <c r="W148" s="44">
        <f t="shared" si="55"/>
        <v>1.76</v>
      </c>
      <c r="X148" s="44">
        <f t="shared" si="55"/>
        <v>1.76</v>
      </c>
      <c r="Y148" s="44">
        <f t="shared" si="55"/>
        <v>1.76</v>
      </c>
      <c r="Z148" s="44">
        <f t="shared" si="55"/>
        <v>1.76</v>
      </c>
      <c r="AA148" s="44">
        <f t="shared" si="55"/>
        <v>1.76</v>
      </c>
      <c r="AB148" s="44">
        <f t="shared" si="55"/>
        <v>1.76</v>
      </c>
      <c r="AC148" s="44">
        <f t="shared" si="55"/>
        <v>1.76</v>
      </c>
      <c r="AD148" s="44">
        <f t="shared" si="55"/>
        <v>1.76</v>
      </c>
      <c r="AE148" s="44">
        <f t="shared" si="55"/>
        <v>1.76</v>
      </c>
      <c r="AF148" s="44">
        <f t="shared" si="55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4"/>
        <v>0</v>
      </c>
      <c r="E149" s="44">
        <f t="shared" si="54"/>
        <v>0</v>
      </c>
      <c r="F149" s="44">
        <f t="shared" si="54"/>
        <v>0</v>
      </c>
      <c r="G149" s="44">
        <f t="shared" si="54"/>
        <v>0</v>
      </c>
      <c r="H149" s="44">
        <f t="shared" si="54"/>
        <v>0</v>
      </c>
      <c r="I149" s="44">
        <f t="shared" si="54"/>
        <v>0</v>
      </c>
      <c r="J149" s="44">
        <f t="shared" si="54"/>
        <v>0</v>
      </c>
      <c r="K149" s="44">
        <f t="shared" si="54"/>
        <v>0</v>
      </c>
      <c r="L149" s="44">
        <f t="shared" si="54"/>
        <v>0</v>
      </c>
      <c r="M149" s="44">
        <f t="shared" si="54"/>
        <v>0</v>
      </c>
      <c r="N149" s="44">
        <f t="shared" si="54"/>
        <v>0</v>
      </c>
      <c r="O149" s="44">
        <f t="shared" si="54"/>
        <v>0</v>
      </c>
      <c r="P149" s="44">
        <f t="shared" si="54"/>
        <v>0</v>
      </c>
      <c r="Q149" s="44">
        <f t="shared" si="54"/>
        <v>0</v>
      </c>
      <c r="R149" s="44">
        <f t="shared" si="54"/>
        <v>0</v>
      </c>
      <c r="S149" s="44">
        <f t="shared" si="54"/>
        <v>0</v>
      </c>
      <c r="T149" s="44">
        <f t="shared" si="55"/>
        <v>0</v>
      </c>
      <c r="U149" s="44">
        <f t="shared" si="55"/>
        <v>0</v>
      </c>
      <c r="V149" s="44">
        <f t="shared" si="55"/>
        <v>0</v>
      </c>
      <c r="W149" s="44">
        <f t="shared" si="55"/>
        <v>0</v>
      </c>
      <c r="X149" s="44">
        <f t="shared" si="55"/>
        <v>0</v>
      </c>
      <c r="Y149" s="44">
        <f t="shared" si="55"/>
        <v>0</v>
      </c>
      <c r="Z149" s="44">
        <f t="shared" si="55"/>
        <v>0</v>
      </c>
      <c r="AA149" s="44">
        <f t="shared" si="55"/>
        <v>0</v>
      </c>
      <c r="AB149" s="44">
        <f t="shared" si="55"/>
        <v>0</v>
      </c>
      <c r="AC149" s="44">
        <f t="shared" si="55"/>
        <v>0</v>
      </c>
      <c r="AD149" s="44">
        <f t="shared" si="55"/>
        <v>0</v>
      </c>
      <c r="AE149" s="44">
        <f t="shared" si="55"/>
        <v>0</v>
      </c>
      <c r="AF149" s="44">
        <f t="shared" si="55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6">C151</f>
        <v>0.1</v>
      </c>
      <c r="E151" s="44">
        <f t="shared" si="56"/>
        <v>0.1</v>
      </c>
      <c r="F151" s="44">
        <f t="shared" si="56"/>
        <v>0.1</v>
      </c>
      <c r="G151" s="44">
        <f t="shared" si="56"/>
        <v>0.1</v>
      </c>
      <c r="H151" s="44">
        <f t="shared" si="56"/>
        <v>0.1</v>
      </c>
      <c r="I151" s="44">
        <f t="shared" si="56"/>
        <v>0.1</v>
      </c>
      <c r="J151" s="44">
        <f t="shared" si="56"/>
        <v>0.1</v>
      </c>
      <c r="K151" s="44">
        <f t="shared" si="56"/>
        <v>0.1</v>
      </c>
      <c r="L151" s="44">
        <f t="shared" si="56"/>
        <v>0.1</v>
      </c>
      <c r="M151" s="44">
        <f t="shared" si="56"/>
        <v>0.1</v>
      </c>
      <c r="N151" s="44">
        <f t="shared" si="56"/>
        <v>0.1</v>
      </c>
      <c r="O151" s="44">
        <f t="shared" si="56"/>
        <v>0.1</v>
      </c>
      <c r="P151" s="44">
        <f t="shared" si="56"/>
        <v>0.1</v>
      </c>
      <c r="Q151" s="44">
        <f t="shared" si="56"/>
        <v>0.1</v>
      </c>
      <c r="R151" s="44">
        <f t="shared" si="56"/>
        <v>0.1</v>
      </c>
      <c r="S151" s="44">
        <f t="shared" si="56"/>
        <v>0.1</v>
      </c>
      <c r="T151" s="44">
        <f t="shared" ref="T151:AF154" si="57">S151</f>
        <v>0.1</v>
      </c>
      <c r="U151" s="44">
        <f t="shared" si="57"/>
        <v>0.1</v>
      </c>
      <c r="V151" s="44">
        <f t="shared" si="57"/>
        <v>0.1</v>
      </c>
      <c r="W151" s="44">
        <f t="shared" si="57"/>
        <v>0.1</v>
      </c>
      <c r="X151" s="44">
        <f t="shared" si="57"/>
        <v>0.1</v>
      </c>
      <c r="Y151" s="44">
        <f t="shared" si="57"/>
        <v>0.1</v>
      </c>
      <c r="Z151" s="44">
        <f t="shared" si="57"/>
        <v>0.1</v>
      </c>
      <c r="AA151" s="44">
        <f t="shared" si="57"/>
        <v>0.1</v>
      </c>
      <c r="AB151" s="44">
        <f t="shared" si="57"/>
        <v>0.1</v>
      </c>
      <c r="AC151" s="44">
        <f t="shared" si="57"/>
        <v>0.1</v>
      </c>
      <c r="AD151" s="44">
        <f t="shared" si="57"/>
        <v>0.1</v>
      </c>
      <c r="AE151" s="44">
        <f t="shared" si="57"/>
        <v>0.1</v>
      </c>
      <c r="AF151" s="44">
        <f t="shared" si="57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6"/>
        <v>2.0499999999999998</v>
      </c>
      <c r="E152" s="44">
        <f t="shared" si="56"/>
        <v>2.0499999999999998</v>
      </c>
      <c r="F152" s="44">
        <f t="shared" si="56"/>
        <v>2.0499999999999998</v>
      </c>
      <c r="G152" s="44">
        <f t="shared" si="56"/>
        <v>2.0499999999999998</v>
      </c>
      <c r="H152" s="44">
        <f t="shared" si="56"/>
        <v>2.0499999999999998</v>
      </c>
      <c r="I152" s="44">
        <f t="shared" si="56"/>
        <v>2.0499999999999998</v>
      </c>
      <c r="J152" s="44">
        <f t="shared" si="56"/>
        <v>2.0499999999999998</v>
      </c>
      <c r="K152" s="44">
        <f t="shared" si="56"/>
        <v>2.0499999999999998</v>
      </c>
      <c r="L152" s="44">
        <f t="shared" si="56"/>
        <v>2.0499999999999998</v>
      </c>
      <c r="M152" s="44">
        <f t="shared" si="56"/>
        <v>2.0499999999999998</v>
      </c>
      <c r="N152" s="44">
        <f t="shared" si="56"/>
        <v>2.0499999999999998</v>
      </c>
      <c r="O152" s="44">
        <f t="shared" si="56"/>
        <v>2.0499999999999998</v>
      </c>
      <c r="P152" s="44">
        <f t="shared" si="56"/>
        <v>2.0499999999999998</v>
      </c>
      <c r="Q152" s="44">
        <f t="shared" si="56"/>
        <v>2.0499999999999998</v>
      </c>
      <c r="R152" s="44">
        <f t="shared" si="56"/>
        <v>2.0499999999999998</v>
      </c>
      <c r="S152" s="44">
        <f t="shared" si="56"/>
        <v>2.0499999999999998</v>
      </c>
      <c r="T152" s="44">
        <f t="shared" si="57"/>
        <v>2.0499999999999998</v>
      </c>
      <c r="U152" s="44">
        <f t="shared" si="57"/>
        <v>2.0499999999999998</v>
      </c>
      <c r="V152" s="44">
        <f t="shared" si="57"/>
        <v>2.0499999999999998</v>
      </c>
      <c r="W152" s="44">
        <f t="shared" si="57"/>
        <v>2.0499999999999998</v>
      </c>
      <c r="X152" s="44">
        <f t="shared" si="57"/>
        <v>2.0499999999999998</v>
      </c>
      <c r="Y152" s="44">
        <f t="shared" si="57"/>
        <v>2.0499999999999998</v>
      </c>
      <c r="Z152" s="44">
        <f t="shared" si="57"/>
        <v>2.0499999999999998</v>
      </c>
      <c r="AA152" s="44">
        <f t="shared" si="57"/>
        <v>2.0499999999999998</v>
      </c>
      <c r="AB152" s="44">
        <f t="shared" si="57"/>
        <v>2.0499999999999998</v>
      </c>
      <c r="AC152" s="44">
        <f t="shared" si="57"/>
        <v>2.0499999999999998</v>
      </c>
      <c r="AD152" s="44">
        <f t="shared" si="57"/>
        <v>2.0499999999999998</v>
      </c>
      <c r="AE152" s="44">
        <f t="shared" si="57"/>
        <v>2.0499999999999998</v>
      </c>
      <c r="AF152" s="44">
        <f t="shared" si="57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6"/>
        <v>2.7</v>
      </c>
      <c r="E153" s="44">
        <f t="shared" si="56"/>
        <v>2.7</v>
      </c>
      <c r="F153" s="44">
        <f t="shared" si="56"/>
        <v>2.7</v>
      </c>
      <c r="G153" s="44">
        <f t="shared" si="56"/>
        <v>2.7</v>
      </c>
      <c r="H153" s="44">
        <f t="shared" si="56"/>
        <v>2.7</v>
      </c>
      <c r="I153" s="44">
        <f t="shared" si="56"/>
        <v>2.7</v>
      </c>
      <c r="J153" s="44">
        <f t="shared" si="56"/>
        <v>2.7</v>
      </c>
      <c r="K153" s="44">
        <f t="shared" si="56"/>
        <v>2.7</v>
      </c>
      <c r="L153" s="44">
        <f t="shared" si="56"/>
        <v>2.7</v>
      </c>
      <c r="M153" s="44">
        <f t="shared" si="56"/>
        <v>2.7</v>
      </c>
      <c r="N153" s="44">
        <f t="shared" si="56"/>
        <v>2.7</v>
      </c>
      <c r="O153" s="44">
        <f t="shared" si="56"/>
        <v>2.7</v>
      </c>
      <c r="P153" s="44">
        <f t="shared" si="56"/>
        <v>2.7</v>
      </c>
      <c r="Q153" s="44">
        <f t="shared" si="56"/>
        <v>2.7</v>
      </c>
      <c r="R153" s="44">
        <f t="shared" si="56"/>
        <v>2.7</v>
      </c>
      <c r="S153" s="44">
        <f t="shared" si="56"/>
        <v>2.7</v>
      </c>
      <c r="T153" s="44">
        <f t="shared" si="57"/>
        <v>2.7</v>
      </c>
      <c r="U153" s="44">
        <f t="shared" si="57"/>
        <v>2.7</v>
      </c>
      <c r="V153" s="44">
        <f t="shared" si="57"/>
        <v>2.7</v>
      </c>
      <c r="W153" s="44">
        <f t="shared" si="57"/>
        <v>2.7</v>
      </c>
      <c r="X153" s="44">
        <f t="shared" si="57"/>
        <v>2.7</v>
      </c>
      <c r="Y153" s="44">
        <f t="shared" si="57"/>
        <v>2.7</v>
      </c>
      <c r="Z153" s="44">
        <f t="shared" si="57"/>
        <v>2.7</v>
      </c>
      <c r="AA153" s="44">
        <f t="shared" si="57"/>
        <v>2.7</v>
      </c>
      <c r="AB153" s="44">
        <f t="shared" si="57"/>
        <v>2.7</v>
      </c>
      <c r="AC153" s="44">
        <f t="shared" si="57"/>
        <v>2.7</v>
      </c>
      <c r="AD153" s="44">
        <f t="shared" si="57"/>
        <v>2.7</v>
      </c>
      <c r="AE153" s="44">
        <f t="shared" si="57"/>
        <v>2.7</v>
      </c>
      <c r="AF153" s="44">
        <f t="shared" si="57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6"/>
        <v>2.15</v>
      </c>
      <c r="E154" s="44">
        <f t="shared" si="56"/>
        <v>2.15</v>
      </c>
      <c r="F154" s="44">
        <f t="shared" si="56"/>
        <v>2.15</v>
      </c>
      <c r="G154" s="44">
        <f t="shared" si="56"/>
        <v>2.15</v>
      </c>
      <c r="H154" s="44">
        <f t="shared" si="56"/>
        <v>2.15</v>
      </c>
      <c r="I154" s="44">
        <f t="shared" si="56"/>
        <v>2.15</v>
      </c>
      <c r="J154" s="44">
        <f t="shared" si="56"/>
        <v>2.15</v>
      </c>
      <c r="K154" s="44">
        <f t="shared" si="56"/>
        <v>2.15</v>
      </c>
      <c r="L154" s="44">
        <f t="shared" si="56"/>
        <v>2.15</v>
      </c>
      <c r="M154" s="44">
        <f t="shared" si="56"/>
        <v>2.15</v>
      </c>
      <c r="N154" s="44">
        <f t="shared" si="56"/>
        <v>2.15</v>
      </c>
      <c r="O154" s="44">
        <f t="shared" si="56"/>
        <v>2.15</v>
      </c>
      <c r="P154" s="44">
        <f t="shared" si="56"/>
        <v>2.15</v>
      </c>
      <c r="Q154" s="44">
        <f t="shared" si="56"/>
        <v>2.15</v>
      </c>
      <c r="R154" s="44">
        <f t="shared" si="56"/>
        <v>2.15</v>
      </c>
      <c r="S154" s="44">
        <f t="shared" si="56"/>
        <v>2.15</v>
      </c>
      <c r="T154" s="44">
        <f t="shared" si="57"/>
        <v>2.15</v>
      </c>
      <c r="U154" s="44">
        <f t="shared" si="57"/>
        <v>2.15</v>
      </c>
      <c r="V154" s="44">
        <f t="shared" si="57"/>
        <v>2.15</v>
      </c>
      <c r="W154" s="44">
        <f t="shared" si="57"/>
        <v>2.15</v>
      </c>
      <c r="X154" s="44">
        <f t="shared" si="57"/>
        <v>2.15</v>
      </c>
      <c r="Y154" s="44">
        <f t="shared" si="57"/>
        <v>2.15</v>
      </c>
      <c r="Z154" s="44">
        <f t="shared" si="57"/>
        <v>2.15</v>
      </c>
      <c r="AA154" s="44">
        <f t="shared" si="57"/>
        <v>2.15</v>
      </c>
      <c r="AB154" s="44">
        <f t="shared" si="57"/>
        <v>2.15</v>
      </c>
      <c r="AC154" s="44">
        <f t="shared" si="57"/>
        <v>2.15</v>
      </c>
      <c r="AD154" s="44">
        <f t="shared" si="57"/>
        <v>2.15</v>
      </c>
      <c r="AE154" s="44">
        <f t="shared" si="57"/>
        <v>2.15</v>
      </c>
      <c r="AF154" s="44">
        <f t="shared" si="57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58">AF156</f>
        <v>0.9</v>
      </c>
      <c r="C156" s="55">
        <v>0.9</v>
      </c>
      <c r="D156" s="44">
        <f t="shared" ref="D156:S168" si="59">C156</f>
        <v>0.9</v>
      </c>
      <c r="E156" s="44">
        <f t="shared" si="59"/>
        <v>0.9</v>
      </c>
      <c r="F156" s="44">
        <f t="shared" si="59"/>
        <v>0.9</v>
      </c>
      <c r="G156" s="44">
        <f t="shared" si="59"/>
        <v>0.9</v>
      </c>
      <c r="H156" s="44">
        <f t="shared" si="59"/>
        <v>0.9</v>
      </c>
      <c r="I156" s="44">
        <f t="shared" si="59"/>
        <v>0.9</v>
      </c>
      <c r="J156" s="44">
        <f t="shared" si="59"/>
        <v>0.9</v>
      </c>
      <c r="K156" s="44">
        <f t="shared" si="59"/>
        <v>0.9</v>
      </c>
      <c r="L156" s="44">
        <f t="shared" si="59"/>
        <v>0.9</v>
      </c>
      <c r="M156" s="44">
        <f t="shared" si="59"/>
        <v>0.9</v>
      </c>
      <c r="N156" s="44">
        <f t="shared" si="59"/>
        <v>0.9</v>
      </c>
      <c r="O156" s="44">
        <f t="shared" si="59"/>
        <v>0.9</v>
      </c>
      <c r="P156" s="44">
        <f t="shared" si="59"/>
        <v>0.9</v>
      </c>
      <c r="Q156" s="44">
        <f t="shared" si="59"/>
        <v>0.9</v>
      </c>
      <c r="R156" s="44">
        <f t="shared" si="59"/>
        <v>0.9</v>
      </c>
      <c r="S156" s="44">
        <f t="shared" si="59"/>
        <v>0.9</v>
      </c>
      <c r="T156" s="44">
        <f t="shared" ref="S156:AF168" si="60">S156</f>
        <v>0.9</v>
      </c>
      <c r="U156" s="44">
        <f t="shared" si="60"/>
        <v>0.9</v>
      </c>
      <c r="V156" s="44">
        <f t="shared" si="60"/>
        <v>0.9</v>
      </c>
      <c r="W156" s="44">
        <f t="shared" si="60"/>
        <v>0.9</v>
      </c>
      <c r="X156" s="44">
        <f t="shared" si="60"/>
        <v>0.9</v>
      </c>
      <c r="Y156" s="44">
        <f t="shared" si="60"/>
        <v>0.9</v>
      </c>
      <c r="Z156" s="44">
        <f t="shared" si="60"/>
        <v>0.9</v>
      </c>
      <c r="AA156" s="44">
        <f t="shared" si="60"/>
        <v>0.9</v>
      </c>
      <c r="AB156" s="44">
        <f t="shared" si="60"/>
        <v>0.9</v>
      </c>
      <c r="AC156" s="44">
        <f t="shared" si="60"/>
        <v>0.9</v>
      </c>
      <c r="AD156" s="44">
        <f t="shared" si="60"/>
        <v>0.9</v>
      </c>
      <c r="AE156" s="44">
        <f t="shared" si="60"/>
        <v>0.9</v>
      </c>
      <c r="AF156" s="44">
        <f t="shared" si="60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58"/>
        <v>1.08</v>
      </c>
      <c r="C157" s="55">
        <v>1.08</v>
      </c>
      <c r="D157" s="44">
        <f t="shared" si="59"/>
        <v>1.08</v>
      </c>
      <c r="E157" s="44">
        <f t="shared" si="59"/>
        <v>1.08</v>
      </c>
      <c r="F157" s="44">
        <f t="shared" si="59"/>
        <v>1.08</v>
      </c>
      <c r="G157" s="44">
        <f t="shared" si="59"/>
        <v>1.08</v>
      </c>
      <c r="H157" s="44">
        <f t="shared" si="59"/>
        <v>1.08</v>
      </c>
      <c r="I157" s="44">
        <f t="shared" si="59"/>
        <v>1.08</v>
      </c>
      <c r="J157" s="44">
        <f t="shared" si="59"/>
        <v>1.08</v>
      </c>
      <c r="K157" s="44">
        <f t="shared" si="59"/>
        <v>1.08</v>
      </c>
      <c r="L157" s="44">
        <f t="shared" si="59"/>
        <v>1.08</v>
      </c>
      <c r="M157" s="44">
        <f t="shared" si="59"/>
        <v>1.08</v>
      </c>
      <c r="N157" s="44">
        <f t="shared" si="59"/>
        <v>1.08</v>
      </c>
      <c r="O157" s="44">
        <f t="shared" si="59"/>
        <v>1.08</v>
      </c>
      <c r="P157" s="44">
        <f t="shared" si="59"/>
        <v>1.08</v>
      </c>
      <c r="Q157" s="44">
        <f t="shared" si="59"/>
        <v>1.08</v>
      </c>
      <c r="R157" s="44">
        <f t="shared" si="59"/>
        <v>1.08</v>
      </c>
      <c r="S157" s="44">
        <f t="shared" si="59"/>
        <v>1.08</v>
      </c>
      <c r="T157" s="44">
        <f t="shared" si="60"/>
        <v>1.08</v>
      </c>
      <c r="U157" s="44">
        <f t="shared" si="60"/>
        <v>1.08</v>
      </c>
      <c r="V157" s="44">
        <f t="shared" si="60"/>
        <v>1.08</v>
      </c>
      <c r="W157" s="44">
        <f t="shared" si="60"/>
        <v>1.08</v>
      </c>
      <c r="X157" s="44">
        <f t="shared" si="60"/>
        <v>1.08</v>
      </c>
      <c r="Y157" s="44">
        <f t="shared" si="60"/>
        <v>1.08</v>
      </c>
      <c r="Z157" s="44">
        <f t="shared" si="60"/>
        <v>1.08</v>
      </c>
      <c r="AA157" s="44">
        <f t="shared" si="60"/>
        <v>1.08</v>
      </c>
      <c r="AB157" s="44">
        <f t="shared" si="60"/>
        <v>1.08</v>
      </c>
      <c r="AC157" s="44">
        <f t="shared" si="60"/>
        <v>1.08</v>
      </c>
      <c r="AD157" s="44">
        <f t="shared" si="60"/>
        <v>1.08</v>
      </c>
      <c r="AE157" s="44">
        <f t="shared" si="60"/>
        <v>1.08</v>
      </c>
      <c r="AF157" s="44">
        <f t="shared" si="60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58"/>
        <v>2.37</v>
      </c>
      <c r="C158" s="55">
        <v>2.37</v>
      </c>
      <c r="D158" s="44">
        <f t="shared" si="59"/>
        <v>2.37</v>
      </c>
      <c r="E158" s="44">
        <f t="shared" si="59"/>
        <v>2.37</v>
      </c>
      <c r="F158" s="44">
        <f t="shared" si="59"/>
        <v>2.37</v>
      </c>
      <c r="G158" s="44">
        <f t="shared" si="59"/>
        <v>2.37</v>
      </c>
      <c r="H158" s="44">
        <f t="shared" si="59"/>
        <v>2.37</v>
      </c>
      <c r="I158" s="44">
        <f t="shared" si="59"/>
        <v>2.37</v>
      </c>
      <c r="J158" s="44">
        <f t="shared" si="59"/>
        <v>2.37</v>
      </c>
      <c r="K158" s="44">
        <f t="shared" si="59"/>
        <v>2.37</v>
      </c>
      <c r="L158" s="44">
        <f t="shared" si="59"/>
        <v>2.37</v>
      </c>
      <c r="M158" s="44">
        <f t="shared" si="59"/>
        <v>2.37</v>
      </c>
      <c r="N158" s="44">
        <f t="shared" si="59"/>
        <v>2.37</v>
      </c>
      <c r="O158" s="44">
        <f t="shared" si="59"/>
        <v>2.37</v>
      </c>
      <c r="P158" s="44">
        <f t="shared" si="59"/>
        <v>2.37</v>
      </c>
      <c r="Q158" s="44">
        <f t="shared" si="59"/>
        <v>2.37</v>
      </c>
      <c r="R158" s="44">
        <f t="shared" si="59"/>
        <v>2.37</v>
      </c>
      <c r="S158" s="44">
        <f t="shared" si="59"/>
        <v>2.37</v>
      </c>
      <c r="T158" s="44">
        <f t="shared" si="60"/>
        <v>2.37</v>
      </c>
      <c r="U158" s="44">
        <f t="shared" si="60"/>
        <v>2.37</v>
      </c>
      <c r="V158" s="44">
        <f t="shared" si="60"/>
        <v>2.37</v>
      </c>
      <c r="W158" s="44">
        <f t="shared" si="60"/>
        <v>2.37</v>
      </c>
      <c r="X158" s="44">
        <f t="shared" si="60"/>
        <v>2.37</v>
      </c>
      <c r="Y158" s="44">
        <f t="shared" si="60"/>
        <v>2.37</v>
      </c>
      <c r="Z158" s="44">
        <f t="shared" si="60"/>
        <v>2.37</v>
      </c>
      <c r="AA158" s="44">
        <f t="shared" si="60"/>
        <v>2.37</v>
      </c>
      <c r="AB158" s="44">
        <f t="shared" si="60"/>
        <v>2.37</v>
      </c>
      <c r="AC158" s="44">
        <f t="shared" si="60"/>
        <v>2.37</v>
      </c>
      <c r="AD158" s="44">
        <f t="shared" si="60"/>
        <v>2.37</v>
      </c>
      <c r="AE158" s="44">
        <f t="shared" si="60"/>
        <v>2.37</v>
      </c>
      <c r="AF158" s="44">
        <f t="shared" si="60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58"/>
        <v>1.81</v>
      </c>
      <c r="C159" s="55">
        <v>1.81</v>
      </c>
      <c r="D159" s="44">
        <f t="shared" si="59"/>
        <v>1.81</v>
      </c>
      <c r="E159" s="44">
        <f t="shared" si="59"/>
        <v>1.81</v>
      </c>
      <c r="F159" s="44">
        <f t="shared" si="59"/>
        <v>1.81</v>
      </c>
      <c r="G159" s="44">
        <f t="shared" si="59"/>
        <v>1.81</v>
      </c>
      <c r="H159" s="44">
        <f t="shared" si="59"/>
        <v>1.81</v>
      </c>
      <c r="I159" s="44">
        <f t="shared" si="59"/>
        <v>1.81</v>
      </c>
      <c r="J159" s="44">
        <f t="shared" si="59"/>
        <v>1.81</v>
      </c>
      <c r="K159" s="44">
        <f t="shared" si="59"/>
        <v>1.81</v>
      </c>
      <c r="L159" s="44">
        <f t="shared" si="59"/>
        <v>1.81</v>
      </c>
      <c r="M159" s="44">
        <f t="shared" si="59"/>
        <v>1.81</v>
      </c>
      <c r="N159" s="44">
        <f t="shared" si="59"/>
        <v>1.81</v>
      </c>
      <c r="O159" s="44">
        <f t="shared" si="59"/>
        <v>1.81</v>
      </c>
      <c r="P159" s="44">
        <f t="shared" si="59"/>
        <v>1.81</v>
      </c>
      <c r="Q159" s="44">
        <f t="shared" si="59"/>
        <v>1.81</v>
      </c>
      <c r="R159" s="44">
        <f t="shared" si="59"/>
        <v>1.81</v>
      </c>
      <c r="S159" s="44">
        <f t="shared" si="59"/>
        <v>1.81</v>
      </c>
      <c r="T159" s="44">
        <f t="shared" si="60"/>
        <v>1.81</v>
      </c>
      <c r="U159" s="44">
        <f t="shared" si="60"/>
        <v>1.81</v>
      </c>
      <c r="V159" s="44">
        <f t="shared" si="60"/>
        <v>1.81</v>
      </c>
      <c r="W159" s="44">
        <f t="shared" si="60"/>
        <v>1.81</v>
      </c>
      <c r="X159" s="44">
        <f t="shared" si="60"/>
        <v>1.81</v>
      </c>
      <c r="Y159" s="44">
        <f t="shared" si="60"/>
        <v>1.81</v>
      </c>
      <c r="Z159" s="44">
        <f t="shared" si="60"/>
        <v>1.81</v>
      </c>
      <c r="AA159" s="44">
        <f t="shared" si="60"/>
        <v>1.81</v>
      </c>
      <c r="AB159" s="44">
        <f t="shared" si="60"/>
        <v>1.81</v>
      </c>
      <c r="AC159" s="44">
        <f t="shared" si="60"/>
        <v>1.81</v>
      </c>
      <c r="AD159" s="44">
        <f t="shared" si="60"/>
        <v>1.81</v>
      </c>
      <c r="AE159" s="44">
        <f t="shared" si="60"/>
        <v>1.81</v>
      </c>
      <c r="AF159" s="44">
        <f t="shared" si="60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58"/>
        <v>1.0900000000000001</v>
      </c>
      <c r="C160" s="55">
        <v>1.0900000000000001</v>
      </c>
      <c r="D160" s="44">
        <f t="shared" si="59"/>
        <v>1.0900000000000001</v>
      </c>
      <c r="E160" s="44">
        <f t="shared" si="59"/>
        <v>1.0900000000000001</v>
      </c>
      <c r="F160" s="44">
        <f t="shared" si="59"/>
        <v>1.0900000000000001</v>
      </c>
      <c r="G160" s="44">
        <f t="shared" si="59"/>
        <v>1.0900000000000001</v>
      </c>
      <c r="H160" s="44">
        <f t="shared" si="59"/>
        <v>1.0900000000000001</v>
      </c>
      <c r="I160" s="44">
        <f t="shared" si="59"/>
        <v>1.0900000000000001</v>
      </c>
      <c r="J160" s="44">
        <f t="shared" si="59"/>
        <v>1.0900000000000001</v>
      </c>
      <c r="K160" s="44">
        <f t="shared" si="59"/>
        <v>1.0900000000000001</v>
      </c>
      <c r="L160" s="44">
        <f t="shared" si="59"/>
        <v>1.0900000000000001</v>
      </c>
      <c r="M160" s="44">
        <f t="shared" si="59"/>
        <v>1.0900000000000001</v>
      </c>
      <c r="N160" s="44">
        <f t="shared" si="59"/>
        <v>1.0900000000000001</v>
      </c>
      <c r="O160" s="44">
        <f t="shared" si="59"/>
        <v>1.0900000000000001</v>
      </c>
      <c r="P160" s="44">
        <f t="shared" si="59"/>
        <v>1.0900000000000001</v>
      </c>
      <c r="Q160" s="44">
        <f t="shared" si="59"/>
        <v>1.0900000000000001</v>
      </c>
      <c r="R160" s="44">
        <f t="shared" si="59"/>
        <v>1.0900000000000001</v>
      </c>
      <c r="S160" s="44">
        <f t="shared" si="59"/>
        <v>1.0900000000000001</v>
      </c>
      <c r="T160" s="44">
        <f t="shared" si="60"/>
        <v>1.0900000000000001</v>
      </c>
      <c r="U160" s="44">
        <f t="shared" si="60"/>
        <v>1.0900000000000001</v>
      </c>
      <c r="V160" s="44">
        <f t="shared" si="60"/>
        <v>1.0900000000000001</v>
      </c>
      <c r="W160" s="44">
        <f t="shared" si="60"/>
        <v>1.0900000000000001</v>
      </c>
      <c r="X160" s="44">
        <f t="shared" si="60"/>
        <v>1.0900000000000001</v>
      </c>
      <c r="Y160" s="44">
        <f t="shared" si="60"/>
        <v>1.0900000000000001</v>
      </c>
      <c r="Z160" s="44">
        <f t="shared" si="60"/>
        <v>1.0900000000000001</v>
      </c>
      <c r="AA160" s="44">
        <f t="shared" si="60"/>
        <v>1.0900000000000001</v>
      </c>
      <c r="AB160" s="44">
        <f t="shared" si="60"/>
        <v>1.0900000000000001</v>
      </c>
      <c r="AC160" s="44">
        <f t="shared" si="60"/>
        <v>1.0900000000000001</v>
      </c>
      <c r="AD160" s="44">
        <f t="shared" si="60"/>
        <v>1.0900000000000001</v>
      </c>
      <c r="AE160" s="44">
        <f t="shared" si="60"/>
        <v>1.0900000000000001</v>
      </c>
      <c r="AF160" s="44">
        <f t="shared" si="60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58"/>
        <v>1.58</v>
      </c>
      <c r="C161" s="55">
        <v>1.58</v>
      </c>
      <c r="D161" s="44">
        <f t="shared" si="59"/>
        <v>1.58</v>
      </c>
      <c r="E161" s="44">
        <f t="shared" si="59"/>
        <v>1.58</v>
      </c>
      <c r="F161" s="44">
        <f t="shared" si="59"/>
        <v>1.58</v>
      </c>
      <c r="G161" s="44">
        <f t="shared" si="59"/>
        <v>1.58</v>
      </c>
      <c r="H161" s="44">
        <f t="shared" si="59"/>
        <v>1.58</v>
      </c>
      <c r="I161" s="44">
        <f t="shared" si="59"/>
        <v>1.58</v>
      </c>
      <c r="J161" s="44">
        <f t="shared" si="59"/>
        <v>1.58</v>
      </c>
      <c r="K161" s="44">
        <f t="shared" si="59"/>
        <v>1.58</v>
      </c>
      <c r="L161" s="44">
        <f t="shared" si="59"/>
        <v>1.58</v>
      </c>
      <c r="M161" s="44">
        <f t="shared" si="59"/>
        <v>1.58</v>
      </c>
      <c r="N161" s="44">
        <f t="shared" si="59"/>
        <v>1.58</v>
      </c>
      <c r="O161" s="44">
        <f t="shared" si="59"/>
        <v>1.58</v>
      </c>
      <c r="P161" s="44">
        <f t="shared" si="59"/>
        <v>1.58</v>
      </c>
      <c r="Q161" s="44">
        <f t="shared" si="59"/>
        <v>1.58</v>
      </c>
      <c r="R161" s="44">
        <f t="shared" si="59"/>
        <v>1.58</v>
      </c>
      <c r="S161" s="44">
        <f t="shared" si="59"/>
        <v>1.58</v>
      </c>
      <c r="T161" s="44">
        <f t="shared" si="60"/>
        <v>1.58</v>
      </c>
      <c r="U161" s="44">
        <f t="shared" si="60"/>
        <v>1.58</v>
      </c>
      <c r="V161" s="44">
        <f t="shared" si="60"/>
        <v>1.58</v>
      </c>
      <c r="W161" s="44">
        <f t="shared" si="60"/>
        <v>1.58</v>
      </c>
      <c r="X161" s="44">
        <f t="shared" si="60"/>
        <v>1.58</v>
      </c>
      <c r="Y161" s="44">
        <f t="shared" si="60"/>
        <v>1.58</v>
      </c>
      <c r="Z161" s="44">
        <f t="shared" si="60"/>
        <v>1.58</v>
      </c>
      <c r="AA161" s="44">
        <f t="shared" si="60"/>
        <v>1.58</v>
      </c>
      <c r="AB161" s="44">
        <f t="shared" si="60"/>
        <v>1.58</v>
      </c>
      <c r="AC161" s="44">
        <f t="shared" si="60"/>
        <v>1.58</v>
      </c>
      <c r="AD161" s="44">
        <f t="shared" si="60"/>
        <v>1.58</v>
      </c>
      <c r="AE161" s="44">
        <f t="shared" si="60"/>
        <v>1.58</v>
      </c>
      <c r="AF161" s="44">
        <f t="shared" si="60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58"/>
        <v>2</v>
      </c>
      <c r="C162" s="55">
        <v>2</v>
      </c>
      <c r="D162" s="44">
        <f t="shared" si="59"/>
        <v>2</v>
      </c>
      <c r="E162" s="44">
        <f t="shared" si="59"/>
        <v>2</v>
      </c>
      <c r="F162" s="44">
        <f t="shared" si="59"/>
        <v>2</v>
      </c>
      <c r="G162" s="44">
        <f t="shared" si="59"/>
        <v>2</v>
      </c>
      <c r="H162" s="44">
        <f t="shared" si="59"/>
        <v>2</v>
      </c>
      <c r="I162" s="44">
        <f t="shared" si="59"/>
        <v>2</v>
      </c>
      <c r="J162" s="44">
        <f t="shared" si="59"/>
        <v>2</v>
      </c>
      <c r="K162" s="44">
        <f t="shared" si="59"/>
        <v>2</v>
      </c>
      <c r="L162" s="44">
        <f t="shared" si="59"/>
        <v>2</v>
      </c>
      <c r="M162" s="44">
        <f t="shared" si="59"/>
        <v>2</v>
      </c>
      <c r="N162" s="44">
        <f t="shared" si="59"/>
        <v>2</v>
      </c>
      <c r="O162" s="44">
        <f t="shared" si="59"/>
        <v>2</v>
      </c>
      <c r="P162" s="44">
        <f t="shared" si="59"/>
        <v>2</v>
      </c>
      <c r="Q162" s="44">
        <f t="shared" si="59"/>
        <v>2</v>
      </c>
      <c r="R162" s="44">
        <f t="shared" si="59"/>
        <v>2</v>
      </c>
      <c r="S162" s="44">
        <f t="shared" si="59"/>
        <v>2</v>
      </c>
      <c r="T162" s="44">
        <f t="shared" si="60"/>
        <v>2</v>
      </c>
      <c r="U162" s="44">
        <f t="shared" si="60"/>
        <v>2</v>
      </c>
      <c r="V162" s="44">
        <f t="shared" si="60"/>
        <v>2</v>
      </c>
      <c r="W162" s="44">
        <f t="shared" si="60"/>
        <v>2</v>
      </c>
      <c r="X162" s="44">
        <f t="shared" si="60"/>
        <v>2</v>
      </c>
      <c r="Y162" s="44">
        <f t="shared" si="60"/>
        <v>2</v>
      </c>
      <c r="Z162" s="44">
        <f t="shared" si="60"/>
        <v>2</v>
      </c>
      <c r="AA162" s="44">
        <f t="shared" si="60"/>
        <v>2</v>
      </c>
      <c r="AB162" s="44">
        <f t="shared" si="60"/>
        <v>2</v>
      </c>
      <c r="AC162" s="44">
        <f t="shared" si="60"/>
        <v>2</v>
      </c>
      <c r="AD162" s="44">
        <f t="shared" si="60"/>
        <v>2</v>
      </c>
      <c r="AE162" s="44">
        <f t="shared" si="60"/>
        <v>2</v>
      </c>
      <c r="AF162" s="44">
        <f t="shared" si="60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58"/>
        <v>0.47</v>
      </c>
      <c r="C163" s="55">
        <v>0.47</v>
      </c>
      <c r="D163" s="44">
        <f t="shared" si="59"/>
        <v>0.47</v>
      </c>
      <c r="E163" s="44">
        <f t="shared" si="59"/>
        <v>0.47</v>
      </c>
      <c r="F163" s="44">
        <f t="shared" si="59"/>
        <v>0.47</v>
      </c>
      <c r="G163" s="44">
        <f t="shared" si="59"/>
        <v>0.47</v>
      </c>
      <c r="H163" s="44">
        <f t="shared" si="59"/>
        <v>0.47</v>
      </c>
      <c r="I163" s="44">
        <f t="shared" si="59"/>
        <v>0.47</v>
      </c>
      <c r="J163" s="44">
        <f t="shared" si="59"/>
        <v>0.47</v>
      </c>
      <c r="K163" s="44">
        <f t="shared" si="59"/>
        <v>0.47</v>
      </c>
      <c r="L163" s="44">
        <f t="shared" si="59"/>
        <v>0.47</v>
      </c>
      <c r="M163" s="44">
        <f t="shared" si="59"/>
        <v>0.47</v>
      </c>
      <c r="N163" s="44">
        <f t="shared" si="59"/>
        <v>0.47</v>
      </c>
      <c r="O163" s="44">
        <f t="shared" si="59"/>
        <v>0.47</v>
      </c>
      <c r="P163" s="44">
        <f t="shared" si="59"/>
        <v>0.47</v>
      </c>
      <c r="Q163" s="44">
        <f t="shared" si="59"/>
        <v>0.47</v>
      </c>
      <c r="R163" s="44">
        <f t="shared" si="59"/>
        <v>0.47</v>
      </c>
      <c r="S163" s="44">
        <f t="shared" si="59"/>
        <v>0.47</v>
      </c>
      <c r="T163" s="44">
        <f t="shared" si="60"/>
        <v>0.47</v>
      </c>
      <c r="U163" s="44">
        <f t="shared" si="60"/>
        <v>0.47</v>
      </c>
      <c r="V163" s="44">
        <f t="shared" si="60"/>
        <v>0.47</v>
      </c>
      <c r="W163" s="44">
        <f t="shared" si="60"/>
        <v>0.47</v>
      </c>
      <c r="X163" s="44">
        <f t="shared" si="60"/>
        <v>0.47</v>
      </c>
      <c r="Y163" s="44">
        <f t="shared" si="60"/>
        <v>0.47</v>
      </c>
      <c r="Z163" s="44">
        <f t="shared" si="60"/>
        <v>0.47</v>
      </c>
      <c r="AA163" s="44">
        <f t="shared" si="60"/>
        <v>0.47</v>
      </c>
      <c r="AB163" s="44">
        <f t="shared" si="60"/>
        <v>0.47</v>
      </c>
      <c r="AC163" s="44">
        <f t="shared" si="60"/>
        <v>0.47</v>
      </c>
      <c r="AD163" s="44">
        <f t="shared" si="60"/>
        <v>0.47</v>
      </c>
      <c r="AE163" s="44">
        <f t="shared" si="60"/>
        <v>0.47</v>
      </c>
      <c r="AF163" s="44">
        <f t="shared" si="60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58"/>
        <v>0</v>
      </c>
      <c r="C164" s="55">
        <v>0</v>
      </c>
      <c r="D164" s="44">
        <f t="shared" si="59"/>
        <v>0</v>
      </c>
      <c r="E164" s="44">
        <f t="shared" si="59"/>
        <v>0</v>
      </c>
      <c r="F164" s="44">
        <f t="shared" si="59"/>
        <v>0</v>
      </c>
      <c r="G164" s="44">
        <f t="shared" si="59"/>
        <v>0</v>
      </c>
      <c r="H164" s="44">
        <f t="shared" si="59"/>
        <v>0</v>
      </c>
      <c r="I164" s="44">
        <f t="shared" si="59"/>
        <v>0</v>
      </c>
      <c r="J164" s="44">
        <f t="shared" si="59"/>
        <v>0</v>
      </c>
      <c r="K164" s="44">
        <f t="shared" si="59"/>
        <v>0</v>
      </c>
      <c r="L164" s="44">
        <f t="shared" si="59"/>
        <v>0</v>
      </c>
      <c r="M164" s="44">
        <f t="shared" si="59"/>
        <v>0</v>
      </c>
      <c r="N164" s="44">
        <f t="shared" si="59"/>
        <v>0</v>
      </c>
      <c r="O164" s="44">
        <f t="shared" si="59"/>
        <v>0</v>
      </c>
      <c r="P164" s="44">
        <f t="shared" si="59"/>
        <v>0</v>
      </c>
      <c r="Q164" s="44">
        <f t="shared" si="59"/>
        <v>0</v>
      </c>
      <c r="R164" s="44">
        <f t="shared" si="59"/>
        <v>0</v>
      </c>
      <c r="S164" s="44">
        <f t="shared" si="59"/>
        <v>0</v>
      </c>
      <c r="T164" s="44">
        <f t="shared" si="60"/>
        <v>0</v>
      </c>
      <c r="U164" s="44">
        <f t="shared" si="60"/>
        <v>0</v>
      </c>
      <c r="V164" s="44">
        <f t="shared" si="60"/>
        <v>0</v>
      </c>
      <c r="W164" s="44">
        <f t="shared" si="60"/>
        <v>0</v>
      </c>
      <c r="X164" s="44">
        <f t="shared" si="60"/>
        <v>0</v>
      </c>
      <c r="Y164" s="44">
        <f t="shared" si="60"/>
        <v>0</v>
      </c>
      <c r="Z164" s="44">
        <f t="shared" si="60"/>
        <v>0</v>
      </c>
      <c r="AA164" s="44">
        <f t="shared" si="60"/>
        <v>0</v>
      </c>
      <c r="AB164" s="44">
        <f t="shared" si="60"/>
        <v>0</v>
      </c>
      <c r="AC164" s="44">
        <f t="shared" si="60"/>
        <v>0</v>
      </c>
      <c r="AD164" s="44">
        <f t="shared" si="60"/>
        <v>0</v>
      </c>
      <c r="AE164" s="44">
        <f t="shared" si="60"/>
        <v>0</v>
      </c>
      <c r="AF164" s="44">
        <f t="shared" si="60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58"/>
        <v>0</v>
      </c>
      <c r="C165" s="55">
        <v>0</v>
      </c>
      <c r="D165" s="44">
        <f t="shared" si="59"/>
        <v>0</v>
      </c>
      <c r="E165" s="44">
        <f t="shared" si="59"/>
        <v>0</v>
      </c>
      <c r="F165" s="44">
        <f t="shared" si="59"/>
        <v>0</v>
      </c>
      <c r="G165" s="44">
        <f t="shared" si="59"/>
        <v>0</v>
      </c>
      <c r="H165" s="44">
        <f t="shared" si="59"/>
        <v>0</v>
      </c>
      <c r="I165" s="44">
        <f t="shared" si="59"/>
        <v>0</v>
      </c>
      <c r="J165" s="44">
        <f t="shared" si="59"/>
        <v>0</v>
      </c>
      <c r="K165" s="44">
        <f t="shared" si="59"/>
        <v>0</v>
      </c>
      <c r="L165" s="44">
        <f t="shared" si="59"/>
        <v>0</v>
      </c>
      <c r="M165" s="44">
        <f t="shared" si="59"/>
        <v>0</v>
      </c>
      <c r="N165" s="44">
        <f t="shared" si="59"/>
        <v>0</v>
      </c>
      <c r="O165" s="44">
        <f t="shared" si="59"/>
        <v>0</v>
      </c>
      <c r="P165" s="44">
        <f t="shared" si="59"/>
        <v>0</v>
      </c>
      <c r="Q165" s="44">
        <f t="shared" si="59"/>
        <v>0</v>
      </c>
      <c r="R165" s="44">
        <f t="shared" si="59"/>
        <v>0</v>
      </c>
      <c r="S165" s="44">
        <f t="shared" si="60"/>
        <v>0</v>
      </c>
      <c r="T165" s="44">
        <f t="shared" si="60"/>
        <v>0</v>
      </c>
      <c r="U165" s="44">
        <f t="shared" si="60"/>
        <v>0</v>
      </c>
      <c r="V165" s="44">
        <f t="shared" si="60"/>
        <v>0</v>
      </c>
      <c r="W165" s="44">
        <f t="shared" si="60"/>
        <v>0</v>
      </c>
      <c r="X165" s="44">
        <f t="shared" si="60"/>
        <v>0</v>
      </c>
      <c r="Y165" s="44">
        <f t="shared" si="60"/>
        <v>0</v>
      </c>
      <c r="Z165" s="44">
        <f t="shared" si="60"/>
        <v>0</v>
      </c>
      <c r="AA165" s="44">
        <f t="shared" si="60"/>
        <v>0</v>
      </c>
      <c r="AB165" s="44">
        <f t="shared" si="60"/>
        <v>0</v>
      </c>
      <c r="AC165" s="44">
        <f t="shared" si="60"/>
        <v>0</v>
      </c>
      <c r="AD165" s="44">
        <f t="shared" si="60"/>
        <v>0</v>
      </c>
      <c r="AE165" s="44">
        <f t="shared" si="60"/>
        <v>0</v>
      </c>
      <c r="AF165" s="44">
        <f t="shared" si="60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58"/>
        <v>0.8</v>
      </c>
      <c r="C166" s="55">
        <v>0.8</v>
      </c>
      <c r="D166" s="44">
        <f t="shared" si="59"/>
        <v>0.8</v>
      </c>
      <c r="E166" s="44">
        <f t="shared" si="59"/>
        <v>0.8</v>
      </c>
      <c r="F166" s="44">
        <f t="shared" si="59"/>
        <v>0.8</v>
      </c>
      <c r="G166" s="44">
        <f t="shared" si="59"/>
        <v>0.8</v>
      </c>
      <c r="H166" s="44">
        <f t="shared" si="59"/>
        <v>0.8</v>
      </c>
      <c r="I166" s="44">
        <f t="shared" si="59"/>
        <v>0.8</v>
      </c>
      <c r="J166" s="44">
        <f t="shared" si="59"/>
        <v>0.8</v>
      </c>
      <c r="K166" s="44">
        <f t="shared" si="59"/>
        <v>0.8</v>
      </c>
      <c r="L166" s="44">
        <f t="shared" si="59"/>
        <v>0.8</v>
      </c>
      <c r="M166" s="44">
        <f t="shared" si="59"/>
        <v>0.8</v>
      </c>
      <c r="N166" s="44">
        <f t="shared" si="59"/>
        <v>0.8</v>
      </c>
      <c r="O166" s="44">
        <f t="shared" si="59"/>
        <v>0.8</v>
      </c>
      <c r="P166" s="44">
        <f t="shared" si="59"/>
        <v>0.8</v>
      </c>
      <c r="Q166" s="44">
        <f t="shared" si="59"/>
        <v>0.8</v>
      </c>
      <c r="R166" s="44">
        <f t="shared" si="59"/>
        <v>0.8</v>
      </c>
      <c r="S166" s="44">
        <f t="shared" si="60"/>
        <v>0.8</v>
      </c>
      <c r="T166" s="44">
        <f t="shared" si="60"/>
        <v>0.8</v>
      </c>
      <c r="U166" s="44">
        <f t="shared" si="60"/>
        <v>0.8</v>
      </c>
      <c r="V166" s="44">
        <f t="shared" si="60"/>
        <v>0.8</v>
      </c>
      <c r="W166" s="44">
        <f t="shared" si="60"/>
        <v>0.8</v>
      </c>
      <c r="X166" s="44">
        <f t="shared" si="60"/>
        <v>0.8</v>
      </c>
      <c r="Y166" s="44">
        <f t="shared" si="60"/>
        <v>0.8</v>
      </c>
      <c r="Z166" s="44">
        <f t="shared" si="60"/>
        <v>0.8</v>
      </c>
      <c r="AA166" s="44">
        <f t="shared" si="60"/>
        <v>0.8</v>
      </c>
      <c r="AB166" s="44">
        <f t="shared" si="60"/>
        <v>0.8</v>
      </c>
      <c r="AC166" s="44">
        <f t="shared" si="60"/>
        <v>0.8</v>
      </c>
      <c r="AD166" s="44">
        <f t="shared" si="60"/>
        <v>0.8</v>
      </c>
      <c r="AE166" s="44">
        <f t="shared" si="60"/>
        <v>0.8</v>
      </c>
      <c r="AF166" s="44">
        <f t="shared" si="60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58"/>
        <v>1.5</v>
      </c>
      <c r="C167" s="55">
        <v>1.5</v>
      </c>
      <c r="D167" s="44">
        <f t="shared" si="59"/>
        <v>1.5</v>
      </c>
      <c r="E167" s="44">
        <f t="shared" si="59"/>
        <v>1.5</v>
      </c>
      <c r="F167" s="44">
        <f t="shared" si="59"/>
        <v>1.5</v>
      </c>
      <c r="G167" s="44">
        <f t="shared" si="59"/>
        <v>1.5</v>
      </c>
      <c r="H167" s="44">
        <f t="shared" si="59"/>
        <v>1.5</v>
      </c>
      <c r="I167" s="44">
        <f t="shared" si="59"/>
        <v>1.5</v>
      </c>
      <c r="J167" s="44">
        <f t="shared" si="59"/>
        <v>1.5</v>
      </c>
      <c r="K167" s="44">
        <f t="shared" si="59"/>
        <v>1.5</v>
      </c>
      <c r="L167" s="44">
        <f t="shared" si="59"/>
        <v>1.5</v>
      </c>
      <c r="M167" s="44">
        <f t="shared" si="59"/>
        <v>1.5</v>
      </c>
      <c r="N167" s="44">
        <f t="shared" si="59"/>
        <v>1.5</v>
      </c>
      <c r="O167" s="44">
        <f t="shared" si="59"/>
        <v>1.5</v>
      </c>
      <c r="P167" s="44">
        <f t="shared" si="59"/>
        <v>1.5</v>
      </c>
      <c r="Q167" s="44">
        <f t="shared" si="59"/>
        <v>1.5</v>
      </c>
      <c r="R167" s="44">
        <f t="shared" si="59"/>
        <v>1.5</v>
      </c>
      <c r="S167" s="44">
        <f t="shared" si="60"/>
        <v>1.5</v>
      </c>
      <c r="T167" s="44">
        <f t="shared" si="60"/>
        <v>1.5</v>
      </c>
      <c r="U167" s="44">
        <f t="shared" si="60"/>
        <v>1.5</v>
      </c>
      <c r="V167" s="44">
        <f t="shared" si="60"/>
        <v>1.5</v>
      </c>
      <c r="W167" s="44">
        <f t="shared" si="60"/>
        <v>1.5</v>
      </c>
      <c r="X167" s="44">
        <f t="shared" si="60"/>
        <v>1.5</v>
      </c>
      <c r="Y167" s="44">
        <f t="shared" si="60"/>
        <v>1.5</v>
      </c>
      <c r="Z167" s="44">
        <f t="shared" si="60"/>
        <v>1.5</v>
      </c>
      <c r="AA167" s="44">
        <f t="shared" si="60"/>
        <v>1.5</v>
      </c>
      <c r="AB167" s="44">
        <f t="shared" si="60"/>
        <v>1.5</v>
      </c>
      <c r="AC167" s="44">
        <f t="shared" si="60"/>
        <v>1.5</v>
      </c>
      <c r="AD167" s="44">
        <f t="shared" si="60"/>
        <v>1.5</v>
      </c>
      <c r="AE167" s="44">
        <f t="shared" si="60"/>
        <v>1.5</v>
      </c>
      <c r="AF167" s="44">
        <f t="shared" si="60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58"/>
        <v>1</v>
      </c>
      <c r="C168" s="55">
        <v>1</v>
      </c>
      <c r="D168" s="44">
        <f t="shared" si="59"/>
        <v>1</v>
      </c>
      <c r="E168" s="44">
        <f t="shared" si="59"/>
        <v>1</v>
      </c>
      <c r="F168" s="44">
        <f t="shared" si="59"/>
        <v>1</v>
      </c>
      <c r="G168" s="44">
        <f t="shared" si="59"/>
        <v>1</v>
      </c>
      <c r="H168" s="44">
        <f t="shared" si="59"/>
        <v>1</v>
      </c>
      <c r="I168" s="44">
        <f t="shared" si="59"/>
        <v>1</v>
      </c>
      <c r="J168" s="44">
        <f t="shared" si="59"/>
        <v>1</v>
      </c>
      <c r="K168" s="44">
        <f t="shared" si="59"/>
        <v>1</v>
      </c>
      <c r="L168" s="44">
        <f t="shared" si="59"/>
        <v>1</v>
      </c>
      <c r="M168" s="44">
        <f t="shared" si="59"/>
        <v>1</v>
      </c>
      <c r="N168" s="44">
        <f t="shared" si="59"/>
        <v>1</v>
      </c>
      <c r="O168" s="44">
        <f t="shared" si="59"/>
        <v>1</v>
      </c>
      <c r="P168" s="44">
        <f t="shared" si="59"/>
        <v>1</v>
      </c>
      <c r="Q168" s="44">
        <f t="shared" si="59"/>
        <v>1</v>
      </c>
      <c r="R168" s="44">
        <f t="shared" si="59"/>
        <v>1</v>
      </c>
      <c r="S168" s="44">
        <f t="shared" si="60"/>
        <v>1</v>
      </c>
      <c r="T168" s="44">
        <f t="shared" si="60"/>
        <v>1</v>
      </c>
      <c r="U168" s="44">
        <f t="shared" si="60"/>
        <v>1</v>
      </c>
      <c r="V168" s="44">
        <f t="shared" si="60"/>
        <v>1</v>
      </c>
      <c r="W168" s="44">
        <f t="shared" si="60"/>
        <v>1</v>
      </c>
      <c r="X168" s="44">
        <f t="shared" si="60"/>
        <v>1</v>
      </c>
      <c r="Y168" s="44">
        <f t="shared" si="60"/>
        <v>1</v>
      </c>
      <c r="Z168" s="44">
        <f t="shared" si="60"/>
        <v>1</v>
      </c>
      <c r="AA168" s="44">
        <f t="shared" si="60"/>
        <v>1</v>
      </c>
      <c r="AB168" s="44">
        <f t="shared" si="60"/>
        <v>1</v>
      </c>
      <c r="AC168" s="44">
        <f t="shared" si="60"/>
        <v>1</v>
      </c>
      <c r="AD168" s="44">
        <f t="shared" si="60"/>
        <v>1</v>
      </c>
      <c r="AE168" s="44">
        <f t="shared" si="60"/>
        <v>1</v>
      </c>
      <c r="AF168" s="44">
        <f t="shared" si="60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1">AF170</f>
        <v>1</v>
      </c>
      <c r="C170" s="55">
        <v>1</v>
      </c>
      <c r="D170" s="44">
        <f t="shared" ref="D170:S177" si="62">C170</f>
        <v>1</v>
      </c>
      <c r="E170" s="44">
        <f t="shared" si="62"/>
        <v>1</v>
      </c>
      <c r="F170" s="44">
        <f t="shared" si="62"/>
        <v>1</v>
      </c>
      <c r="G170" s="44">
        <f t="shared" si="62"/>
        <v>1</v>
      </c>
      <c r="H170" s="44">
        <f t="shared" si="62"/>
        <v>1</v>
      </c>
      <c r="I170" s="44">
        <f t="shared" si="62"/>
        <v>1</v>
      </c>
      <c r="J170" s="44">
        <f t="shared" si="62"/>
        <v>1</v>
      </c>
      <c r="K170" s="44">
        <f t="shared" si="62"/>
        <v>1</v>
      </c>
      <c r="L170" s="44">
        <f t="shared" si="62"/>
        <v>1</v>
      </c>
      <c r="M170" s="44">
        <f t="shared" si="62"/>
        <v>1</v>
      </c>
      <c r="N170" s="44">
        <f t="shared" si="62"/>
        <v>1</v>
      </c>
      <c r="O170" s="44">
        <f t="shared" si="62"/>
        <v>1</v>
      </c>
      <c r="P170" s="44">
        <f t="shared" si="62"/>
        <v>1</v>
      </c>
      <c r="Q170" s="44">
        <f t="shared" si="62"/>
        <v>1</v>
      </c>
      <c r="R170" s="44">
        <f t="shared" si="62"/>
        <v>1</v>
      </c>
      <c r="S170" s="44">
        <f t="shared" si="62"/>
        <v>1</v>
      </c>
      <c r="T170" s="44">
        <f t="shared" ref="S170:AF177" si="63">S170</f>
        <v>1</v>
      </c>
      <c r="U170" s="44">
        <f t="shared" si="63"/>
        <v>1</v>
      </c>
      <c r="V170" s="44">
        <f t="shared" si="63"/>
        <v>1</v>
      </c>
      <c r="W170" s="44">
        <f t="shared" si="63"/>
        <v>1</v>
      </c>
      <c r="X170" s="44">
        <f t="shared" si="63"/>
        <v>1</v>
      </c>
      <c r="Y170" s="44">
        <f t="shared" si="63"/>
        <v>1</v>
      </c>
      <c r="Z170" s="44">
        <f t="shared" si="63"/>
        <v>1</v>
      </c>
      <c r="AA170" s="44">
        <f t="shared" si="63"/>
        <v>1</v>
      </c>
      <c r="AB170" s="44">
        <f t="shared" si="63"/>
        <v>1</v>
      </c>
      <c r="AC170" s="44">
        <f t="shared" si="63"/>
        <v>1</v>
      </c>
      <c r="AD170" s="44">
        <f t="shared" si="63"/>
        <v>1</v>
      </c>
      <c r="AE170" s="44">
        <f t="shared" si="63"/>
        <v>1</v>
      </c>
      <c r="AF170" s="44">
        <f t="shared" si="63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1"/>
        <v>0.42</v>
      </c>
      <c r="C171" s="55">
        <v>0.42</v>
      </c>
      <c r="D171" s="44">
        <f t="shared" si="62"/>
        <v>0.42</v>
      </c>
      <c r="E171" s="44">
        <f t="shared" si="62"/>
        <v>0.42</v>
      </c>
      <c r="F171" s="44">
        <f t="shared" si="62"/>
        <v>0.42</v>
      </c>
      <c r="G171" s="44">
        <f t="shared" si="62"/>
        <v>0.42</v>
      </c>
      <c r="H171" s="44">
        <f t="shared" si="62"/>
        <v>0.42</v>
      </c>
      <c r="I171" s="44">
        <f t="shared" si="62"/>
        <v>0.42</v>
      </c>
      <c r="J171" s="44">
        <f t="shared" si="62"/>
        <v>0.42</v>
      </c>
      <c r="K171" s="44">
        <f t="shared" si="62"/>
        <v>0.42</v>
      </c>
      <c r="L171" s="44">
        <f t="shared" si="62"/>
        <v>0.42</v>
      </c>
      <c r="M171" s="44">
        <f t="shared" si="62"/>
        <v>0.42</v>
      </c>
      <c r="N171" s="44">
        <f t="shared" si="62"/>
        <v>0.42</v>
      </c>
      <c r="O171" s="44">
        <f t="shared" si="62"/>
        <v>0.42</v>
      </c>
      <c r="P171" s="44">
        <f t="shared" si="62"/>
        <v>0.42</v>
      </c>
      <c r="Q171" s="44">
        <f t="shared" si="62"/>
        <v>0.42</v>
      </c>
      <c r="R171" s="44">
        <f t="shared" si="62"/>
        <v>0.42</v>
      </c>
      <c r="S171" s="44">
        <f t="shared" si="63"/>
        <v>0.42</v>
      </c>
      <c r="T171" s="44">
        <f t="shared" si="63"/>
        <v>0.42</v>
      </c>
      <c r="U171" s="44">
        <f t="shared" si="63"/>
        <v>0.42</v>
      </c>
      <c r="V171" s="44">
        <f t="shared" si="63"/>
        <v>0.42</v>
      </c>
      <c r="W171" s="44">
        <f t="shared" si="63"/>
        <v>0.42</v>
      </c>
      <c r="X171" s="44">
        <f t="shared" si="63"/>
        <v>0.42</v>
      </c>
      <c r="Y171" s="44">
        <f t="shared" si="63"/>
        <v>0.42</v>
      </c>
      <c r="Z171" s="44">
        <f t="shared" si="63"/>
        <v>0.42</v>
      </c>
      <c r="AA171" s="44">
        <f t="shared" si="63"/>
        <v>0.42</v>
      </c>
      <c r="AB171" s="44">
        <f t="shared" si="63"/>
        <v>0.42</v>
      </c>
      <c r="AC171" s="44">
        <f t="shared" si="63"/>
        <v>0.42</v>
      </c>
      <c r="AD171" s="44">
        <f t="shared" si="63"/>
        <v>0.42</v>
      </c>
      <c r="AE171" s="44">
        <f t="shared" si="63"/>
        <v>0.42</v>
      </c>
      <c r="AF171" s="44">
        <f t="shared" si="63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1"/>
        <v>0.46</v>
      </c>
      <c r="C172" s="55">
        <v>0.46</v>
      </c>
      <c r="D172" s="44">
        <f t="shared" si="62"/>
        <v>0.46</v>
      </c>
      <c r="E172" s="44">
        <f t="shared" si="62"/>
        <v>0.46</v>
      </c>
      <c r="F172" s="44">
        <f t="shared" si="62"/>
        <v>0.46</v>
      </c>
      <c r="G172" s="44">
        <f t="shared" si="62"/>
        <v>0.46</v>
      </c>
      <c r="H172" s="44">
        <f t="shared" si="62"/>
        <v>0.46</v>
      </c>
      <c r="I172" s="44">
        <f t="shared" si="62"/>
        <v>0.46</v>
      </c>
      <c r="J172" s="44">
        <f t="shared" si="62"/>
        <v>0.46</v>
      </c>
      <c r="K172" s="44">
        <f t="shared" si="62"/>
        <v>0.46</v>
      </c>
      <c r="L172" s="44">
        <f t="shared" si="62"/>
        <v>0.46</v>
      </c>
      <c r="M172" s="44">
        <f t="shared" si="62"/>
        <v>0.46</v>
      </c>
      <c r="N172" s="44">
        <f t="shared" si="62"/>
        <v>0.46</v>
      </c>
      <c r="O172" s="44">
        <f t="shared" si="62"/>
        <v>0.46</v>
      </c>
      <c r="P172" s="44">
        <f t="shared" si="62"/>
        <v>0.46</v>
      </c>
      <c r="Q172" s="44">
        <f t="shared" si="62"/>
        <v>0.46</v>
      </c>
      <c r="R172" s="44">
        <f t="shared" si="62"/>
        <v>0.46</v>
      </c>
      <c r="S172" s="44">
        <f t="shared" si="63"/>
        <v>0.46</v>
      </c>
      <c r="T172" s="44">
        <f t="shared" si="63"/>
        <v>0.46</v>
      </c>
      <c r="U172" s="44">
        <f t="shared" si="63"/>
        <v>0.46</v>
      </c>
      <c r="V172" s="44">
        <f t="shared" si="63"/>
        <v>0.46</v>
      </c>
      <c r="W172" s="44">
        <f t="shared" si="63"/>
        <v>0.46</v>
      </c>
      <c r="X172" s="44">
        <f t="shared" si="63"/>
        <v>0.46</v>
      </c>
      <c r="Y172" s="44">
        <f t="shared" si="63"/>
        <v>0.46</v>
      </c>
      <c r="Z172" s="44">
        <f t="shared" si="63"/>
        <v>0.46</v>
      </c>
      <c r="AA172" s="44">
        <f t="shared" si="63"/>
        <v>0.46</v>
      </c>
      <c r="AB172" s="44">
        <f t="shared" si="63"/>
        <v>0.46</v>
      </c>
      <c r="AC172" s="44">
        <f t="shared" si="63"/>
        <v>0.46</v>
      </c>
      <c r="AD172" s="44">
        <f t="shared" si="63"/>
        <v>0.46</v>
      </c>
      <c r="AE172" s="44">
        <f t="shared" si="63"/>
        <v>0.46</v>
      </c>
      <c r="AF172" s="44">
        <f t="shared" si="63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1"/>
        <v>0.85</v>
      </c>
      <c r="C173" s="55">
        <v>0.85</v>
      </c>
      <c r="D173" s="44">
        <f t="shared" si="62"/>
        <v>0.85</v>
      </c>
      <c r="E173" s="44">
        <f t="shared" si="62"/>
        <v>0.85</v>
      </c>
      <c r="F173" s="44">
        <f t="shared" si="62"/>
        <v>0.85</v>
      </c>
      <c r="G173" s="44">
        <f t="shared" si="62"/>
        <v>0.85</v>
      </c>
      <c r="H173" s="44">
        <f t="shared" si="62"/>
        <v>0.85</v>
      </c>
      <c r="I173" s="44">
        <f t="shared" si="62"/>
        <v>0.85</v>
      </c>
      <c r="J173" s="44">
        <f t="shared" si="62"/>
        <v>0.85</v>
      </c>
      <c r="K173" s="44">
        <f t="shared" si="62"/>
        <v>0.85</v>
      </c>
      <c r="L173" s="44">
        <f t="shared" si="62"/>
        <v>0.85</v>
      </c>
      <c r="M173" s="44">
        <f t="shared" si="62"/>
        <v>0.85</v>
      </c>
      <c r="N173" s="44">
        <f t="shared" si="62"/>
        <v>0.85</v>
      </c>
      <c r="O173" s="44">
        <f t="shared" si="62"/>
        <v>0.85</v>
      </c>
      <c r="P173" s="44">
        <f t="shared" si="62"/>
        <v>0.85</v>
      </c>
      <c r="Q173" s="44">
        <f t="shared" si="62"/>
        <v>0.85</v>
      </c>
      <c r="R173" s="44">
        <f t="shared" si="62"/>
        <v>0.85</v>
      </c>
      <c r="S173" s="44">
        <f t="shared" si="63"/>
        <v>0.85</v>
      </c>
      <c r="T173" s="44">
        <f t="shared" si="63"/>
        <v>0.85</v>
      </c>
      <c r="U173" s="44">
        <f t="shared" si="63"/>
        <v>0.85</v>
      </c>
      <c r="V173" s="44">
        <f t="shared" si="63"/>
        <v>0.85</v>
      </c>
      <c r="W173" s="44">
        <f t="shared" si="63"/>
        <v>0.85</v>
      </c>
      <c r="X173" s="44">
        <f t="shared" si="63"/>
        <v>0.85</v>
      </c>
      <c r="Y173" s="44">
        <f t="shared" si="63"/>
        <v>0.85</v>
      </c>
      <c r="Z173" s="44">
        <f t="shared" si="63"/>
        <v>0.85</v>
      </c>
      <c r="AA173" s="44">
        <f t="shared" si="63"/>
        <v>0.85</v>
      </c>
      <c r="AB173" s="44">
        <f t="shared" si="63"/>
        <v>0.85</v>
      </c>
      <c r="AC173" s="44">
        <f t="shared" si="63"/>
        <v>0.85</v>
      </c>
      <c r="AD173" s="44">
        <f t="shared" si="63"/>
        <v>0.85</v>
      </c>
      <c r="AE173" s="44">
        <f t="shared" si="63"/>
        <v>0.85</v>
      </c>
      <c r="AF173" s="44">
        <f t="shared" si="63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1"/>
        <v>0.9</v>
      </c>
      <c r="C174" s="55">
        <v>0.9</v>
      </c>
      <c r="D174" s="44">
        <f t="shared" si="62"/>
        <v>0.9</v>
      </c>
      <c r="E174" s="44">
        <f t="shared" si="62"/>
        <v>0.9</v>
      </c>
      <c r="F174" s="44">
        <f t="shared" si="62"/>
        <v>0.9</v>
      </c>
      <c r="G174" s="44">
        <f t="shared" si="62"/>
        <v>0.9</v>
      </c>
      <c r="H174" s="44">
        <f t="shared" si="62"/>
        <v>0.9</v>
      </c>
      <c r="I174" s="44">
        <f t="shared" si="62"/>
        <v>0.9</v>
      </c>
      <c r="J174" s="44">
        <f t="shared" si="62"/>
        <v>0.9</v>
      </c>
      <c r="K174" s="44">
        <f t="shared" si="62"/>
        <v>0.9</v>
      </c>
      <c r="L174" s="44">
        <f t="shared" si="62"/>
        <v>0.9</v>
      </c>
      <c r="M174" s="44">
        <f t="shared" si="62"/>
        <v>0.9</v>
      </c>
      <c r="N174" s="44">
        <f t="shared" si="62"/>
        <v>0.9</v>
      </c>
      <c r="O174" s="44">
        <f t="shared" si="62"/>
        <v>0.9</v>
      </c>
      <c r="P174" s="44">
        <f t="shared" si="62"/>
        <v>0.9</v>
      </c>
      <c r="Q174" s="44">
        <f t="shared" si="62"/>
        <v>0.9</v>
      </c>
      <c r="R174" s="44">
        <f t="shared" si="62"/>
        <v>0.9</v>
      </c>
      <c r="S174" s="44">
        <f t="shared" si="63"/>
        <v>0.9</v>
      </c>
      <c r="T174" s="44">
        <f t="shared" si="63"/>
        <v>0.9</v>
      </c>
      <c r="U174" s="44">
        <f t="shared" si="63"/>
        <v>0.9</v>
      </c>
      <c r="V174" s="44">
        <f t="shared" si="63"/>
        <v>0.9</v>
      </c>
      <c r="W174" s="44">
        <f t="shared" si="63"/>
        <v>0.9</v>
      </c>
      <c r="X174" s="44">
        <f t="shared" si="63"/>
        <v>0.9</v>
      </c>
      <c r="Y174" s="44">
        <f t="shared" si="63"/>
        <v>0.9</v>
      </c>
      <c r="Z174" s="44">
        <f t="shared" si="63"/>
        <v>0.9</v>
      </c>
      <c r="AA174" s="44">
        <f t="shared" si="63"/>
        <v>0.9</v>
      </c>
      <c r="AB174" s="44">
        <f t="shared" si="63"/>
        <v>0.9</v>
      </c>
      <c r="AC174" s="44">
        <f t="shared" si="63"/>
        <v>0.9</v>
      </c>
      <c r="AD174" s="44">
        <f t="shared" si="63"/>
        <v>0.9</v>
      </c>
      <c r="AE174" s="44">
        <f t="shared" si="63"/>
        <v>0.9</v>
      </c>
      <c r="AF174" s="44">
        <f t="shared" si="63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1"/>
        <v>0.44</v>
      </c>
      <c r="C175" s="55">
        <v>0.44</v>
      </c>
      <c r="D175" s="44">
        <f t="shared" si="62"/>
        <v>0.44</v>
      </c>
      <c r="E175" s="44">
        <f t="shared" si="62"/>
        <v>0.44</v>
      </c>
      <c r="F175" s="44">
        <f t="shared" si="62"/>
        <v>0.44</v>
      </c>
      <c r="G175" s="44">
        <f t="shared" si="62"/>
        <v>0.44</v>
      </c>
      <c r="H175" s="44">
        <f t="shared" si="62"/>
        <v>0.44</v>
      </c>
      <c r="I175" s="44">
        <f t="shared" si="62"/>
        <v>0.44</v>
      </c>
      <c r="J175" s="44">
        <f t="shared" si="62"/>
        <v>0.44</v>
      </c>
      <c r="K175" s="44">
        <f t="shared" si="62"/>
        <v>0.44</v>
      </c>
      <c r="L175" s="44">
        <f t="shared" si="62"/>
        <v>0.44</v>
      </c>
      <c r="M175" s="44">
        <f t="shared" si="62"/>
        <v>0.44</v>
      </c>
      <c r="N175" s="44">
        <f t="shared" si="62"/>
        <v>0.44</v>
      </c>
      <c r="O175" s="44">
        <f t="shared" si="62"/>
        <v>0.44</v>
      </c>
      <c r="P175" s="44">
        <f t="shared" si="62"/>
        <v>0.44</v>
      </c>
      <c r="Q175" s="44">
        <f t="shared" si="62"/>
        <v>0.44</v>
      </c>
      <c r="R175" s="44">
        <f t="shared" si="62"/>
        <v>0.44</v>
      </c>
      <c r="S175" s="44">
        <f t="shared" si="63"/>
        <v>0.44</v>
      </c>
      <c r="T175" s="44">
        <f t="shared" si="63"/>
        <v>0.44</v>
      </c>
      <c r="U175" s="44">
        <f t="shared" si="63"/>
        <v>0.44</v>
      </c>
      <c r="V175" s="44">
        <f t="shared" si="63"/>
        <v>0.44</v>
      </c>
      <c r="W175" s="44">
        <f t="shared" si="63"/>
        <v>0.44</v>
      </c>
      <c r="X175" s="44">
        <f t="shared" si="63"/>
        <v>0.44</v>
      </c>
      <c r="Y175" s="44">
        <f t="shared" si="63"/>
        <v>0.44</v>
      </c>
      <c r="Z175" s="44">
        <f t="shared" si="63"/>
        <v>0.44</v>
      </c>
      <c r="AA175" s="44">
        <f t="shared" si="63"/>
        <v>0.44</v>
      </c>
      <c r="AB175" s="44">
        <f t="shared" si="63"/>
        <v>0.44</v>
      </c>
      <c r="AC175" s="44">
        <f t="shared" si="63"/>
        <v>0.44</v>
      </c>
      <c r="AD175" s="44">
        <f t="shared" si="63"/>
        <v>0.44</v>
      </c>
      <c r="AE175" s="44">
        <f t="shared" si="63"/>
        <v>0.44</v>
      </c>
      <c r="AF175" s="44">
        <f t="shared" si="63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1"/>
        <v>2.1</v>
      </c>
      <c r="C176" s="55">
        <v>2.1</v>
      </c>
      <c r="D176" s="44">
        <f t="shared" si="62"/>
        <v>2.1</v>
      </c>
      <c r="E176" s="44">
        <f t="shared" si="62"/>
        <v>2.1</v>
      </c>
      <c r="F176" s="44">
        <f t="shared" si="62"/>
        <v>2.1</v>
      </c>
      <c r="G176" s="44">
        <f t="shared" si="62"/>
        <v>2.1</v>
      </c>
      <c r="H176" s="44">
        <f t="shared" si="62"/>
        <v>2.1</v>
      </c>
      <c r="I176" s="44">
        <f t="shared" si="62"/>
        <v>2.1</v>
      </c>
      <c r="J176" s="44">
        <f t="shared" si="62"/>
        <v>2.1</v>
      </c>
      <c r="K176" s="44">
        <f t="shared" si="62"/>
        <v>2.1</v>
      </c>
      <c r="L176" s="44">
        <f t="shared" si="62"/>
        <v>2.1</v>
      </c>
      <c r="M176" s="44">
        <f t="shared" si="62"/>
        <v>2.1</v>
      </c>
      <c r="N176" s="44">
        <f t="shared" si="62"/>
        <v>2.1</v>
      </c>
      <c r="O176" s="44">
        <f t="shared" si="62"/>
        <v>2.1</v>
      </c>
      <c r="P176" s="44">
        <f t="shared" si="62"/>
        <v>2.1</v>
      </c>
      <c r="Q176" s="44">
        <f t="shared" si="62"/>
        <v>2.1</v>
      </c>
      <c r="R176" s="44">
        <f t="shared" si="62"/>
        <v>2.1</v>
      </c>
      <c r="S176" s="44">
        <f t="shared" si="63"/>
        <v>2.1</v>
      </c>
      <c r="T176" s="44">
        <f t="shared" si="63"/>
        <v>2.1</v>
      </c>
      <c r="U176" s="44">
        <f t="shared" si="63"/>
        <v>2.1</v>
      </c>
      <c r="V176" s="44">
        <f t="shared" si="63"/>
        <v>2.1</v>
      </c>
      <c r="W176" s="44">
        <f t="shared" si="63"/>
        <v>2.1</v>
      </c>
      <c r="X176" s="44">
        <f t="shared" si="63"/>
        <v>2.1</v>
      </c>
      <c r="Y176" s="44">
        <f t="shared" si="63"/>
        <v>2.1</v>
      </c>
      <c r="Z176" s="44">
        <f t="shared" si="63"/>
        <v>2.1</v>
      </c>
      <c r="AA176" s="44">
        <f t="shared" si="63"/>
        <v>2.1</v>
      </c>
      <c r="AB176" s="44">
        <f t="shared" si="63"/>
        <v>2.1</v>
      </c>
      <c r="AC176" s="44">
        <f t="shared" si="63"/>
        <v>2.1</v>
      </c>
      <c r="AD176" s="44">
        <f t="shared" si="63"/>
        <v>2.1</v>
      </c>
      <c r="AE176" s="44">
        <f t="shared" si="63"/>
        <v>2.1</v>
      </c>
      <c r="AF176" s="44">
        <f t="shared" si="63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1"/>
        <v>0.9</v>
      </c>
      <c r="C177" s="55">
        <v>0.9</v>
      </c>
      <c r="D177" s="44">
        <f t="shared" si="62"/>
        <v>0.9</v>
      </c>
      <c r="E177" s="44">
        <f t="shared" si="62"/>
        <v>0.9</v>
      </c>
      <c r="F177" s="44">
        <f t="shared" si="62"/>
        <v>0.9</v>
      </c>
      <c r="G177" s="44">
        <f t="shared" si="62"/>
        <v>0.9</v>
      </c>
      <c r="H177" s="44">
        <f t="shared" si="62"/>
        <v>0.9</v>
      </c>
      <c r="I177" s="44">
        <f t="shared" si="62"/>
        <v>0.9</v>
      </c>
      <c r="J177" s="44">
        <f t="shared" si="62"/>
        <v>0.9</v>
      </c>
      <c r="K177" s="44">
        <f t="shared" si="62"/>
        <v>0.9</v>
      </c>
      <c r="L177" s="44">
        <f t="shared" si="62"/>
        <v>0.9</v>
      </c>
      <c r="M177" s="44">
        <f t="shared" si="62"/>
        <v>0.9</v>
      </c>
      <c r="N177" s="44">
        <f t="shared" si="62"/>
        <v>0.9</v>
      </c>
      <c r="O177" s="44">
        <f t="shared" si="62"/>
        <v>0.9</v>
      </c>
      <c r="P177" s="44">
        <f t="shared" si="62"/>
        <v>0.9</v>
      </c>
      <c r="Q177" s="44">
        <f t="shared" si="62"/>
        <v>0.9</v>
      </c>
      <c r="R177" s="44">
        <f t="shared" si="62"/>
        <v>0.9</v>
      </c>
      <c r="S177" s="44">
        <f t="shared" si="63"/>
        <v>0.9</v>
      </c>
      <c r="T177" s="44">
        <f t="shared" si="63"/>
        <v>0.9</v>
      </c>
      <c r="U177" s="44">
        <f t="shared" si="63"/>
        <v>0.9</v>
      </c>
      <c r="V177" s="44">
        <f t="shared" si="63"/>
        <v>0.9</v>
      </c>
      <c r="W177" s="44">
        <f t="shared" si="63"/>
        <v>0.9</v>
      </c>
      <c r="X177" s="44">
        <f t="shared" si="63"/>
        <v>0.9</v>
      </c>
      <c r="Y177" s="44">
        <f t="shared" si="63"/>
        <v>0.9</v>
      </c>
      <c r="Z177" s="44">
        <f t="shared" si="63"/>
        <v>0.9</v>
      </c>
      <c r="AA177" s="44">
        <f t="shared" si="63"/>
        <v>0.9</v>
      </c>
      <c r="AB177" s="44">
        <f t="shared" si="63"/>
        <v>0.9</v>
      </c>
      <c r="AC177" s="44">
        <f t="shared" si="63"/>
        <v>0.9</v>
      </c>
      <c r="AD177" s="44">
        <f t="shared" si="63"/>
        <v>0.9</v>
      </c>
      <c r="AE177" s="44">
        <f t="shared" si="63"/>
        <v>0.9</v>
      </c>
      <c r="AF177" s="44">
        <f t="shared" si="63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4">AF179</f>
        <v>0.57999999999999996</v>
      </c>
      <c r="C179" s="55">
        <v>0.57999999999999996</v>
      </c>
      <c r="D179" s="44">
        <f t="shared" ref="D179:S191" si="65">C179</f>
        <v>0.57999999999999996</v>
      </c>
      <c r="E179" s="44">
        <f t="shared" si="65"/>
        <v>0.57999999999999996</v>
      </c>
      <c r="F179" s="44">
        <f t="shared" si="65"/>
        <v>0.57999999999999996</v>
      </c>
      <c r="G179" s="44">
        <f t="shared" si="65"/>
        <v>0.57999999999999996</v>
      </c>
      <c r="H179" s="44">
        <f t="shared" si="65"/>
        <v>0.57999999999999996</v>
      </c>
      <c r="I179" s="44">
        <f t="shared" si="65"/>
        <v>0.57999999999999996</v>
      </c>
      <c r="J179" s="44">
        <f t="shared" si="65"/>
        <v>0.57999999999999996</v>
      </c>
      <c r="K179" s="44">
        <f t="shared" si="65"/>
        <v>0.57999999999999996</v>
      </c>
      <c r="L179" s="44">
        <f t="shared" si="65"/>
        <v>0.57999999999999996</v>
      </c>
      <c r="M179" s="44">
        <f t="shared" si="65"/>
        <v>0.57999999999999996</v>
      </c>
      <c r="N179" s="44">
        <f t="shared" si="65"/>
        <v>0.57999999999999996</v>
      </c>
      <c r="O179" s="44">
        <f t="shared" si="65"/>
        <v>0.57999999999999996</v>
      </c>
      <c r="P179" s="44">
        <f t="shared" si="65"/>
        <v>0.57999999999999996</v>
      </c>
      <c r="Q179" s="44">
        <f t="shared" si="65"/>
        <v>0.57999999999999996</v>
      </c>
      <c r="R179" s="44">
        <f t="shared" si="65"/>
        <v>0.57999999999999996</v>
      </c>
      <c r="S179" s="44">
        <f t="shared" si="65"/>
        <v>0.57999999999999996</v>
      </c>
      <c r="T179" s="44">
        <f t="shared" ref="S179:AF191" si="66">S179</f>
        <v>0.57999999999999996</v>
      </c>
      <c r="U179" s="44">
        <f t="shared" si="66"/>
        <v>0.57999999999999996</v>
      </c>
      <c r="V179" s="44">
        <f t="shared" si="66"/>
        <v>0.57999999999999996</v>
      </c>
      <c r="W179" s="44">
        <f t="shared" si="66"/>
        <v>0.57999999999999996</v>
      </c>
      <c r="X179" s="44">
        <f t="shared" si="66"/>
        <v>0.57999999999999996</v>
      </c>
      <c r="Y179" s="44">
        <f t="shared" si="66"/>
        <v>0.57999999999999996</v>
      </c>
      <c r="Z179" s="44">
        <f t="shared" si="66"/>
        <v>0.57999999999999996</v>
      </c>
      <c r="AA179" s="44">
        <f t="shared" si="66"/>
        <v>0.57999999999999996</v>
      </c>
      <c r="AB179" s="44">
        <f t="shared" si="66"/>
        <v>0.57999999999999996</v>
      </c>
      <c r="AC179" s="44">
        <f t="shared" si="66"/>
        <v>0.57999999999999996</v>
      </c>
      <c r="AD179" s="44">
        <f t="shared" si="66"/>
        <v>0.57999999999999996</v>
      </c>
      <c r="AE179" s="44">
        <f t="shared" si="66"/>
        <v>0.57999999999999996</v>
      </c>
      <c r="AF179" s="44">
        <f t="shared" si="66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4"/>
        <v>0.8</v>
      </c>
      <c r="C180" s="55">
        <v>0.8</v>
      </c>
      <c r="D180" s="44">
        <f t="shared" si="65"/>
        <v>0.8</v>
      </c>
      <c r="E180" s="44">
        <f t="shared" si="65"/>
        <v>0.8</v>
      </c>
      <c r="F180" s="44">
        <f t="shared" si="65"/>
        <v>0.8</v>
      </c>
      <c r="G180" s="44">
        <f t="shared" si="65"/>
        <v>0.8</v>
      </c>
      <c r="H180" s="44">
        <f t="shared" si="65"/>
        <v>0.8</v>
      </c>
      <c r="I180" s="44">
        <f t="shared" si="65"/>
        <v>0.8</v>
      </c>
      <c r="J180" s="44">
        <f t="shared" si="65"/>
        <v>0.8</v>
      </c>
      <c r="K180" s="44">
        <f t="shared" si="65"/>
        <v>0.8</v>
      </c>
      <c r="L180" s="44">
        <f t="shared" si="65"/>
        <v>0.8</v>
      </c>
      <c r="M180" s="44">
        <f t="shared" si="65"/>
        <v>0.8</v>
      </c>
      <c r="N180" s="44">
        <f t="shared" si="65"/>
        <v>0.8</v>
      </c>
      <c r="O180" s="44">
        <f t="shared" si="65"/>
        <v>0.8</v>
      </c>
      <c r="P180" s="44">
        <f t="shared" si="65"/>
        <v>0.8</v>
      </c>
      <c r="Q180" s="44">
        <f t="shared" si="65"/>
        <v>0.8</v>
      </c>
      <c r="R180" s="44">
        <f t="shared" si="65"/>
        <v>0.8</v>
      </c>
      <c r="S180" s="44">
        <f t="shared" si="65"/>
        <v>0.8</v>
      </c>
      <c r="T180" s="44">
        <f t="shared" si="66"/>
        <v>0.8</v>
      </c>
      <c r="U180" s="44">
        <f t="shared" si="66"/>
        <v>0.8</v>
      </c>
      <c r="V180" s="44">
        <f t="shared" si="66"/>
        <v>0.8</v>
      </c>
      <c r="W180" s="44">
        <f t="shared" si="66"/>
        <v>0.8</v>
      </c>
      <c r="X180" s="44">
        <f t="shared" si="66"/>
        <v>0.8</v>
      </c>
      <c r="Y180" s="44">
        <f t="shared" si="66"/>
        <v>0.8</v>
      </c>
      <c r="Z180" s="44">
        <f t="shared" si="66"/>
        <v>0.8</v>
      </c>
      <c r="AA180" s="44">
        <f t="shared" si="66"/>
        <v>0.8</v>
      </c>
      <c r="AB180" s="44">
        <f t="shared" si="66"/>
        <v>0.8</v>
      </c>
      <c r="AC180" s="44">
        <f t="shared" si="66"/>
        <v>0.8</v>
      </c>
      <c r="AD180" s="44">
        <f t="shared" si="66"/>
        <v>0.8</v>
      </c>
      <c r="AE180" s="44">
        <f t="shared" si="66"/>
        <v>0.8</v>
      </c>
      <c r="AF180" s="44">
        <f t="shared" si="66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4"/>
        <v>0</v>
      </c>
      <c r="C181" s="55">
        <v>0</v>
      </c>
      <c r="D181" s="44">
        <f t="shared" si="65"/>
        <v>0</v>
      </c>
      <c r="E181" s="44">
        <f t="shared" si="65"/>
        <v>0</v>
      </c>
      <c r="F181" s="44">
        <f t="shared" si="65"/>
        <v>0</v>
      </c>
      <c r="G181" s="44">
        <f t="shared" si="65"/>
        <v>0</v>
      </c>
      <c r="H181" s="44">
        <f t="shared" si="65"/>
        <v>0</v>
      </c>
      <c r="I181" s="44">
        <f t="shared" si="65"/>
        <v>0</v>
      </c>
      <c r="J181" s="44">
        <f t="shared" si="65"/>
        <v>0</v>
      </c>
      <c r="K181" s="44">
        <f t="shared" si="65"/>
        <v>0</v>
      </c>
      <c r="L181" s="44">
        <f t="shared" si="65"/>
        <v>0</v>
      </c>
      <c r="M181" s="44">
        <f t="shared" si="65"/>
        <v>0</v>
      </c>
      <c r="N181" s="44">
        <f t="shared" si="65"/>
        <v>0</v>
      </c>
      <c r="O181" s="44">
        <f t="shared" si="65"/>
        <v>0</v>
      </c>
      <c r="P181" s="44">
        <f t="shared" si="65"/>
        <v>0</v>
      </c>
      <c r="Q181" s="44">
        <f t="shared" si="65"/>
        <v>0</v>
      </c>
      <c r="R181" s="44">
        <f t="shared" si="65"/>
        <v>0</v>
      </c>
      <c r="S181" s="44">
        <f t="shared" si="65"/>
        <v>0</v>
      </c>
      <c r="T181" s="44">
        <f t="shared" si="66"/>
        <v>0</v>
      </c>
      <c r="U181" s="44">
        <f t="shared" si="66"/>
        <v>0</v>
      </c>
      <c r="V181" s="44">
        <f t="shared" si="66"/>
        <v>0</v>
      </c>
      <c r="W181" s="44">
        <f t="shared" si="66"/>
        <v>0</v>
      </c>
      <c r="X181" s="44">
        <f t="shared" si="66"/>
        <v>0</v>
      </c>
      <c r="Y181" s="44">
        <f t="shared" si="66"/>
        <v>0</v>
      </c>
      <c r="Z181" s="44">
        <f t="shared" si="66"/>
        <v>0</v>
      </c>
      <c r="AA181" s="44">
        <f t="shared" si="66"/>
        <v>0</v>
      </c>
      <c r="AB181" s="44">
        <f t="shared" si="66"/>
        <v>0</v>
      </c>
      <c r="AC181" s="44">
        <f t="shared" si="66"/>
        <v>0</v>
      </c>
      <c r="AD181" s="44">
        <f t="shared" si="66"/>
        <v>0</v>
      </c>
      <c r="AE181" s="44">
        <f t="shared" si="66"/>
        <v>0</v>
      </c>
      <c r="AF181" s="44">
        <f t="shared" si="66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4"/>
        <v>0.6</v>
      </c>
      <c r="C182" s="55">
        <v>0.6</v>
      </c>
      <c r="D182" s="44">
        <f t="shared" si="65"/>
        <v>0.6</v>
      </c>
      <c r="E182" s="44">
        <f t="shared" si="65"/>
        <v>0.6</v>
      </c>
      <c r="F182" s="44">
        <f t="shared" si="65"/>
        <v>0.6</v>
      </c>
      <c r="G182" s="44">
        <f t="shared" si="65"/>
        <v>0.6</v>
      </c>
      <c r="H182" s="44">
        <f t="shared" si="65"/>
        <v>0.6</v>
      </c>
      <c r="I182" s="44">
        <f t="shared" si="65"/>
        <v>0.6</v>
      </c>
      <c r="J182" s="44">
        <f t="shared" si="65"/>
        <v>0.6</v>
      </c>
      <c r="K182" s="44">
        <f t="shared" si="65"/>
        <v>0.6</v>
      </c>
      <c r="L182" s="44">
        <f t="shared" si="65"/>
        <v>0.6</v>
      </c>
      <c r="M182" s="44">
        <f t="shared" si="65"/>
        <v>0.6</v>
      </c>
      <c r="N182" s="44">
        <f t="shared" si="65"/>
        <v>0.6</v>
      </c>
      <c r="O182" s="44">
        <f t="shared" si="65"/>
        <v>0.6</v>
      </c>
      <c r="P182" s="44">
        <f t="shared" si="65"/>
        <v>0.6</v>
      </c>
      <c r="Q182" s="44">
        <f t="shared" si="65"/>
        <v>0.6</v>
      </c>
      <c r="R182" s="44">
        <f t="shared" si="65"/>
        <v>0.6</v>
      </c>
      <c r="S182" s="44">
        <f t="shared" si="65"/>
        <v>0.6</v>
      </c>
      <c r="T182" s="44">
        <f t="shared" si="66"/>
        <v>0.6</v>
      </c>
      <c r="U182" s="44">
        <f t="shared" si="66"/>
        <v>0.6</v>
      </c>
      <c r="V182" s="44">
        <f t="shared" si="66"/>
        <v>0.6</v>
      </c>
      <c r="W182" s="44">
        <f t="shared" si="66"/>
        <v>0.6</v>
      </c>
      <c r="X182" s="44">
        <f t="shared" si="66"/>
        <v>0.6</v>
      </c>
      <c r="Y182" s="44">
        <f t="shared" si="66"/>
        <v>0.6</v>
      </c>
      <c r="Z182" s="44">
        <f t="shared" si="66"/>
        <v>0.6</v>
      </c>
      <c r="AA182" s="44">
        <f t="shared" si="66"/>
        <v>0.6</v>
      </c>
      <c r="AB182" s="44">
        <f t="shared" si="66"/>
        <v>0.6</v>
      </c>
      <c r="AC182" s="44">
        <f t="shared" si="66"/>
        <v>0.6</v>
      </c>
      <c r="AD182" s="44">
        <f t="shared" si="66"/>
        <v>0.6</v>
      </c>
      <c r="AE182" s="44">
        <f t="shared" si="66"/>
        <v>0.6</v>
      </c>
      <c r="AF182" s="44">
        <f t="shared" si="66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4"/>
        <v>0.6</v>
      </c>
      <c r="C183" s="55">
        <v>0.6</v>
      </c>
      <c r="D183" s="44">
        <f t="shared" si="65"/>
        <v>0.6</v>
      </c>
      <c r="E183" s="44">
        <f t="shared" si="65"/>
        <v>0.6</v>
      </c>
      <c r="F183" s="44">
        <f t="shared" si="65"/>
        <v>0.6</v>
      </c>
      <c r="G183" s="44">
        <f t="shared" si="65"/>
        <v>0.6</v>
      </c>
      <c r="H183" s="44">
        <f t="shared" si="65"/>
        <v>0.6</v>
      </c>
      <c r="I183" s="44">
        <f t="shared" si="65"/>
        <v>0.6</v>
      </c>
      <c r="J183" s="44">
        <f t="shared" si="65"/>
        <v>0.6</v>
      </c>
      <c r="K183" s="44">
        <f t="shared" si="65"/>
        <v>0.6</v>
      </c>
      <c r="L183" s="44">
        <f t="shared" si="65"/>
        <v>0.6</v>
      </c>
      <c r="M183" s="44">
        <f t="shared" si="65"/>
        <v>0.6</v>
      </c>
      <c r="N183" s="44">
        <f t="shared" si="65"/>
        <v>0.6</v>
      </c>
      <c r="O183" s="44">
        <f t="shared" si="65"/>
        <v>0.6</v>
      </c>
      <c r="P183" s="44">
        <f t="shared" si="65"/>
        <v>0.6</v>
      </c>
      <c r="Q183" s="44">
        <f t="shared" si="65"/>
        <v>0.6</v>
      </c>
      <c r="R183" s="44">
        <f t="shared" si="65"/>
        <v>0.6</v>
      </c>
      <c r="S183" s="44">
        <f t="shared" si="65"/>
        <v>0.6</v>
      </c>
      <c r="T183" s="44">
        <f t="shared" si="66"/>
        <v>0.6</v>
      </c>
      <c r="U183" s="44">
        <f t="shared" si="66"/>
        <v>0.6</v>
      </c>
      <c r="V183" s="44">
        <f t="shared" si="66"/>
        <v>0.6</v>
      </c>
      <c r="W183" s="44">
        <f t="shared" si="66"/>
        <v>0.6</v>
      </c>
      <c r="X183" s="44">
        <f t="shared" si="66"/>
        <v>0.6</v>
      </c>
      <c r="Y183" s="44">
        <f t="shared" si="66"/>
        <v>0.6</v>
      </c>
      <c r="Z183" s="44">
        <f t="shared" si="66"/>
        <v>0.6</v>
      </c>
      <c r="AA183" s="44">
        <f t="shared" si="66"/>
        <v>0.6</v>
      </c>
      <c r="AB183" s="44">
        <f t="shared" si="66"/>
        <v>0.6</v>
      </c>
      <c r="AC183" s="44">
        <f t="shared" si="66"/>
        <v>0.6</v>
      </c>
      <c r="AD183" s="44">
        <f t="shared" si="66"/>
        <v>0.6</v>
      </c>
      <c r="AE183" s="44">
        <f t="shared" si="66"/>
        <v>0.6</v>
      </c>
      <c r="AF183" s="44">
        <f t="shared" si="66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4"/>
        <v>0.35</v>
      </c>
      <c r="C184" s="55">
        <v>0.35</v>
      </c>
      <c r="D184" s="44">
        <f t="shared" si="65"/>
        <v>0.35</v>
      </c>
      <c r="E184" s="44">
        <f t="shared" si="65"/>
        <v>0.35</v>
      </c>
      <c r="F184" s="44">
        <f t="shared" si="65"/>
        <v>0.35</v>
      </c>
      <c r="G184" s="44">
        <f t="shared" si="65"/>
        <v>0.35</v>
      </c>
      <c r="H184" s="44">
        <f t="shared" si="65"/>
        <v>0.35</v>
      </c>
      <c r="I184" s="44">
        <f t="shared" si="65"/>
        <v>0.35</v>
      </c>
      <c r="J184" s="44">
        <f t="shared" si="65"/>
        <v>0.35</v>
      </c>
      <c r="K184" s="44">
        <f t="shared" si="65"/>
        <v>0.35</v>
      </c>
      <c r="L184" s="44">
        <f t="shared" si="65"/>
        <v>0.35</v>
      </c>
      <c r="M184" s="44">
        <f t="shared" si="65"/>
        <v>0.35</v>
      </c>
      <c r="N184" s="44">
        <f t="shared" si="65"/>
        <v>0.35</v>
      </c>
      <c r="O184" s="44">
        <f t="shared" si="65"/>
        <v>0.35</v>
      </c>
      <c r="P184" s="44">
        <f t="shared" si="65"/>
        <v>0.35</v>
      </c>
      <c r="Q184" s="44">
        <f t="shared" si="65"/>
        <v>0.35</v>
      </c>
      <c r="R184" s="44">
        <f t="shared" si="65"/>
        <v>0.35</v>
      </c>
      <c r="S184" s="44">
        <f t="shared" si="65"/>
        <v>0.35</v>
      </c>
      <c r="T184" s="44">
        <f t="shared" si="66"/>
        <v>0.35</v>
      </c>
      <c r="U184" s="44">
        <f t="shared" si="66"/>
        <v>0.35</v>
      </c>
      <c r="V184" s="44">
        <f t="shared" si="66"/>
        <v>0.35</v>
      </c>
      <c r="W184" s="44">
        <f t="shared" si="66"/>
        <v>0.35</v>
      </c>
      <c r="X184" s="44">
        <f t="shared" si="66"/>
        <v>0.35</v>
      </c>
      <c r="Y184" s="44">
        <f t="shared" si="66"/>
        <v>0.35</v>
      </c>
      <c r="Z184" s="44">
        <f t="shared" si="66"/>
        <v>0.35</v>
      </c>
      <c r="AA184" s="44">
        <f t="shared" si="66"/>
        <v>0.35</v>
      </c>
      <c r="AB184" s="44">
        <f t="shared" si="66"/>
        <v>0.35</v>
      </c>
      <c r="AC184" s="44">
        <f t="shared" si="66"/>
        <v>0.35</v>
      </c>
      <c r="AD184" s="44">
        <f t="shared" si="66"/>
        <v>0.35</v>
      </c>
      <c r="AE184" s="44">
        <f t="shared" si="66"/>
        <v>0.35</v>
      </c>
      <c r="AF184" s="44">
        <f t="shared" si="66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4"/>
        <v>0.28999999999999998</v>
      </c>
      <c r="C185" s="55">
        <v>0.28999999999999998</v>
      </c>
      <c r="D185" s="44">
        <f t="shared" si="65"/>
        <v>0.28999999999999998</v>
      </c>
      <c r="E185" s="44">
        <f t="shared" si="65"/>
        <v>0.28999999999999998</v>
      </c>
      <c r="F185" s="44">
        <f t="shared" si="65"/>
        <v>0.28999999999999998</v>
      </c>
      <c r="G185" s="44">
        <f t="shared" si="65"/>
        <v>0.28999999999999998</v>
      </c>
      <c r="H185" s="44">
        <f t="shared" si="65"/>
        <v>0.28999999999999998</v>
      </c>
      <c r="I185" s="44">
        <f t="shared" si="65"/>
        <v>0.28999999999999998</v>
      </c>
      <c r="J185" s="44">
        <f t="shared" si="65"/>
        <v>0.28999999999999998</v>
      </c>
      <c r="K185" s="44">
        <f t="shared" si="65"/>
        <v>0.28999999999999998</v>
      </c>
      <c r="L185" s="44">
        <f t="shared" si="65"/>
        <v>0.28999999999999998</v>
      </c>
      <c r="M185" s="44">
        <f t="shared" si="65"/>
        <v>0.28999999999999998</v>
      </c>
      <c r="N185" s="44">
        <f t="shared" si="65"/>
        <v>0.28999999999999998</v>
      </c>
      <c r="O185" s="44">
        <f t="shared" si="65"/>
        <v>0.28999999999999998</v>
      </c>
      <c r="P185" s="44">
        <f t="shared" si="65"/>
        <v>0.28999999999999998</v>
      </c>
      <c r="Q185" s="44">
        <f t="shared" si="65"/>
        <v>0.28999999999999998</v>
      </c>
      <c r="R185" s="44">
        <f t="shared" si="65"/>
        <v>0.28999999999999998</v>
      </c>
      <c r="S185" s="44">
        <f t="shared" si="65"/>
        <v>0.28999999999999998</v>
      </c>
      <c r="T185" s="44">
        <f t="shared" si="66"/>
        <v>0.28999999999999998</v>
      </c>
      <c r="U185" s="44">
        <f t="shared" si="66"/>
        <v>0.28999999999999998</v>
      </c>
      <c r="V185" s="44">
        <f t="shared" si="66"/>
        <v>0.28999999999999998</v>
      </c>
      <c r="W185" s="44">
        <f t="shared" si="66"/>
        <v>0.28999999999999998</v>
      </c>
      <c r="X185" s="44">
        <f t="shared" si="66"/>
        <v>0.28999999999999998</v>
      </c>
      <c r="Y185" s="44">
        <f t="shared" si="66"/>
        <v>0.28999999999999998</v>
      </c>
      <c r="Z185" s="44">
        <f t="shared" si="66"/>
        <v>0.28999999999999998</v>
      </c>
      <c r="AA185" s="44">
        <f t="shared" si="66"/>
        <v>0.28999999999999998</v>
      </c>
      <c r="AB185" s="44">
        <f t="shared" si="66"/>
        <v>0.28999999999999998</v>
      </c>
      <c r="AC185" s="44">
        <f t="shared" si="66"/>
        <v>0.28999999999999998</v>
      </c>
      <c r="AD185" s="44">
        <f t="shared" si="66"/>
        <v>0.28999999999999998</v>
      </c>
      <c r="AE185" s="44">
        <f t="shared" si="66"/>
        <v>0.28999999999999998</v>
      </c>
      <c r="AF185" s="44">
        <f t="shared" si="66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4"/>
        <v>0.06</v>
      </c>
      <c r="C186" s="55">
        <v>0.06</v>
      </c>
      <c r="D186" s="44">
        <f t="shared" si="65"/>
        <v>0.06</v>
      </c>
      <c r="E186" s="44">
        <f t="shared" si="65"/>
        <v>0.06</v>
      </c>
      <c r="F186" s="44">
        <f t="shared" si="65"/>
        <v>0.06</v>
      </c>
      <c r="G186" s="44">
        <f t="shared" si="65"/>
        <v>0.06</v>
      </c>
      <c r="H186" s="44">
        <f t="shared" si="65"/>
        <v>0.06</v>
      </c>
      <c r="I186" s="44">
        <f t="shared" si="65"/>
        <v>0.06</v>
      </c>
      <c r="J186" s="44">
        <f t="shared" si="65"/>
        <v>0.06</v>
      </c>
      <c r="K186" s="44">
        <f t="shared" si="65"/>
        <v>0.06</v>
      </c>
      <c r="L186" s="44">
        <f t="shared" si="65"/>
        <v>0.06</v>
      </c>
      <c r="M186" s="44">
        <f t="shared" si="65"/>
        <v>0.06</v>
      </c>
      <c r="N186" s="44">
        <f t="shared" si="65"/>
        <v>0.06</v>
      </c>
      <c r="O186" s="44">
        <f t="shared" si="65"/>
        <v>0.06</v>
      </c>
      <c r="P186" s="44">
        <f t="shared" si="65"/>
        <v>0.06</v>
      </c>
      <c r="Q186" s="44">
        <f t="shared" si="65"/>
        <v>0.06</v>
      </c>
      <c r="R186" s="44">
        <f t="shared" si="65"/>
        <v>0.06</v>
      </c>
      <c r="S186" s="44">
        <f t="shared" si="65"/>
        <v>0.06</v>
      </c>
      <c r="T186" s="44">
        <f t="shared" si="66"/>
        <v>0.06</v>
      </c>
      <c r="U186" s="44">
        <f t="shared" si="66"/>
        <v>0.06</v>
      </c>
      <c r="V186" s="44">
        <f t="shared" si="66"/>
        <v>0.06</v>
      </c>
      <c r="W186" s="44">
        <f t="shared" si="66"/>
        <v>0.06</v>
      </c>
      <c r="X186" s="44">
        <f t="shared" si="66"/>
        <v>0.06</v>
      </c>
      <c r="Y186" s="44">
        <f t="shared" si="66"/>
        <v>0.06</v>
      </c>
      <c r="Z186" s="44">
        <f t="shared" si="66"/>
        <v>0.06</v>
      </c>
      <c r="AA186" s="44">
        <f t="shared" si="66"/>
        <v>0.06</v>
      </c>
      <c r="AB186" s="44">
        <f t="shared" si="66"/>
        <v>0.06</v>
      </c>
      <c r="AC186" s="44">
        <f t="shared" si="66"/>
        <v>0.06</v>
      </c>
      <c r="AD186" s="44">
        <f t="shared" si="66"/>
        <v>0.06</v>
      </c>
      <c r="AE186" s="44">
        <f t="shared" si="66"/>
        <v>0.06</v>
      </c>
      <c r="AF186" s="44">
        <f t="shared" si="66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4"/>
        <v>0.11</v>
      </c>
      <c r="C187" s="55">
        <v>0.11</v>
      </c>
      <c r="D187" s="44">
        <f t="shared" si="65"/>
        <v>0.11</v>
      </c>
      <c r="E187" s="44">
        <f t="shared" si="65"/>
        <v>0.11</v>
      </c>
      <c r="F187" s="44">
        <f t="shared" si="65"/>
        <v>0.11</v>
      </c>
      <c r="G187" s="44">
        <f t="shared" si="65"/>
        <v>0.11</v>
      </c>
      <c r="H187" s="44">
        <f t="shared" si="65"/>
        <v>0.11</v>
      </c>
      <c r="I187" s="44">
        <f t="shared" si="65"/>
        <v>0.11</v>
      </c>
      <c r="J187" s="44">
        <f t="shared" si="65"/>
        <v>0.11</v>
      </c>
      <c r="K187" s="44">
        <f t="shared" si="65"/>
        <v>0.11</v>
      </c>
      <c r="L187" s="44">
        <f t="shared" si="65"/>
        <v>0.11</v>
      </c>
      <c r="M187" s="44">
        <f t="shared" si="65"/>
        <v>0.11</v>
      </c>
      <c r="N187" s="44">
        <f t="shared" si="65"/>
        <v>0.11</v>
      </c>
      <c r="O187" s="44">
        <f t="shared" si="65"/>
        <v>0.11</v>
      </c>
      <c r="P187" s="44">
        <f t="shared" si="65"/>
        <v>0.11</v>
      </c>
      <c r="Q187" s="44">
        <f t="shared" si="65"/>
        <v>0.11</v>
      </c>
      <c r="R187" s="44">
        <f t="shared" si="65"/>
        <v>0.11</v>
      </c>
      <c r="S187" s="44">
        <f t="shared" si="65"/>
        <v>0.11</v>
      </c>
      <c r="T187" s="44">
        <f t="shared" si="66"/>
        <v>0.11</v>
      </c>
      <c r="U187" s="44">
        <f t="shared" si="66"/>
        <v>0.11</v>
      </c>
      <c r="V187" s="44">
        <f t="shared" si="66"/>
        <v>0.11</v>
      </c>
      <c r="W187" s="44">
        <f t="shared" si="66"/>
        <v>0.11</v>
      </c>
      <c r="X187" s="44">
        <f t="shared" si="66"/>
        <v>0.11</v>
      </c>
      <c r="Y187" s="44">
        <f t="shared" si="66"/>
        <v>0.11</v>
      </c>
      <c r="Z187" s="44">
        <f t="shared" si="66"/>
        <v>0.11</v>
      </c>
      <c r="AA187" s="44">
        <f t="shared" si="66"/>
        <v>0.11</v>
      </c>
      <c r="AB187" s="44">
        <f t="shared" si="66"/>
        <v>0.11</v>
      </c>
      <c r="AC187" s="44">
        <f t="shared" si="66"/>
        <v>0.11</v>
      </c>
      <c r="AD187" s="44">
        <f t="shared" si="66"/>
        <v>0.11</v>
      </c>
      <c r="AE187" s="44">
        <f t="shared" si="66"/>
        <v>0.11</v>
      </c>
      <c r="AF187" s="44">
        <f t="shared" si="66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4"/>
        <v>0.1</v>
      </c>
      <c r="C188" s="55">
        <v>0.1</v>
      </c>
      <c r="D188" s="44">
        <f t="shared" si="65"/>
        <v>0.1</v>
      </c>
      <c r="E188" s="44">
        <f t="shared" si="65"/>
        <v>0.1</v>
      </c>
      <c r="F188" s="44">
        <f t="shared" si="65"/>
        <v>0.1</v>
      </c>
      <c r="G188" s="44">
        <f t="shared" si="65"/>
        <v>0.1</v>
      </c>
      <c r="H188" s="44">
        <f t="shared" si="65"/>
        <v>0.1</v>
      </c>
      <c r="I188" s="44">
        <f t="shared" si="65"/>
        <v>0.1</v>
      </c>
      <c r="J188" s="44">
        <f t="shared" si="65"/>
        <v>0.1</v>
      </c>
      <c r="K188" s="44">
        <f t="shared" si="65"/>
        <v>0.1</v>
      </c>
      <c r="L188" s="44">
        <f t="shared" si="65"/>
        <v>0.1</v>
      </c>
      <c r="M188" s="44">
        <f t="shared" si="65"/>
        <v>0.1</v>
      </c>
      <c r="N188" s="44">
        <f t="shared" si="65"/>
        <v>0.1</v>
      </c>
      <c r="O188" s="44">
        <f t="shared" si="65"/>
        <v>0.1</v>
      </c>
      <c r="P188" s="44">
        <f t="shared" si="65"/>
        <v>0.1</v>
      </c>
      <c r="Q188" s="44">
        <f t="shared" si="65"/>
        <v>0.1</v>
      </c>
      <c r="R188" s="44">
        <f t="shared" si="65"/>
        <v>0.1</v>
      </c>
      <c r="S188" s="44">
        <f t="shared" si="66"/>
        <v>0.1</v>
      </c>
      <c r="T188" s="44">
        <f t="shared" si="66"/>
        <v>0.1</v>
      </c>
      <c r="U188" s="44">
        <f t="shared" si="66"/>
        <v>0.1</v>
      </c>
      <c r="V188" s="44">
        <f t="shared" si="66"/>
        <v>0.1</v>
      </c>
      <c r="W188" s="44">
        <f t="shared" si="66"/>
        <v>0.1</v>
      </c>
      <c r="X188" s="44">
        <f t="shared" si="66"/>
        <v>0.1</v>
      </c>
      <c r="Y188" s="44">
        <f t="shared" si="66"/>
        <v>0.1</v>
      </c>
      <c r="Z188" s="44">
        <f t="shared" si="66"/>
        <v>0.1</v>
      </c>
      <c r="AA188" s="44">
        <f t="shared" si="66"/>
        <v>0.1</v>
      </c>
      <c r="AB188" s="44">
        <f t="shared" si="66"/>
        <v>0.1</v>
      </c>
      <c r="AC188" s="44">
        <f t="shared" si="66"/>
        <v>0.1</v>
      </c>
      <c r="AD188" s="44">
        <f t="shared" si="66"/>
        <v>0.1</v>
      </c>
      <c r="AE188" s="44">
        <f t="shared" si="66"/>
        <v>0.1</v>
      </c>
      <c r="AF188" s="44">
        <f t="shared" si="66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4"/>
        <v>0.09</v>
      </c>
      <c r="C189" s="55">
        <v>0.09</v>
      </c>
      <c r="D189" s="44">
        <f t="shared" si="65"/>
        <v>0.09</v>
      </c>
      <c r="E189" s="44">
        <f t="shared" si="65"/>
        <v>0.09</v>
      </c>
      <c r="F189" s="44">
        <f t="shared" si="65"/>
        <v>0.09</v>
      </c>
      <c r="G189" s="44">
        <f t="shared" si="65"/>
        <v>0.09</v>
      </c>
      <c r="H189" s="44">
        <f t="shared" si="65"/>
        <v>0.09</v>
      </c>
      <c r="I189" s="44">
        <f t="shared" si="65"/>
        <v>0.09</v>
      </c>
      <c r="J189" s="44">
        <f t="shared" si="65"/>
        <v>0.09</v>
      </c>
      <c r="K189" s="44">
        <f t="shared" si="65"/>
        <v>0.09</v>
      </c>
      <c r="L189" s="44">
        <f t="shared" si="65"/>
        <v>0.09</v>
      </c>
      <c r="M189" s="44">
        <f t="shared" si="65"/>
        <v>0.09</v>
      </c>
      <c r="N189" s="44">
        <f t="shared" si="65"/>
        <v>0.09</v>
      </c>
      <c r="O189" s="44">
        <f t="shared" si="65"/>
        <v>0.09</v>
      </c>
      <c r="P189" s="44">
        <f t="shared" si="65"/>
        <v>0.09</v>
      </c>
      <c r="Q189" s="44">
        <f t="shared" si="65"/>
        <v>0.09</v>
      </c>
      <c r="R189" s="44">
        <f t="shared" si="65"/>
        <v>0.09</v>
      </c>
      <c r="S189" s="44">
        <f t="shared" si="66"/>
        <v>0.09</v>
      </c>
      <c r="T189" s="44">
        <f t="shared" si="66"/>
        <v>0.09</v>
      </c>
      <c r="U189" s="44">
        <f t="shared" si="66"/>
        <v>0.09</v>
      </c>
      <c r="V189" s="44">
        <f t="shared" si="66"/>
        <v>0.09</v>
      </c>
      <c r="W189" s="44">
        <f t="shared" si="66"/>
        <v>0.09</v>
      </c>
      <c r="X189" s="44">
        <f t="shared" si="66"/>
        <v>0.09</v>
      </c>
      <c r="Y189" s="44">
        <f t="shared" si="66"/>
        <v>0.09</v>
      </c>
      <c r="Z189" s="44">
        <f t="shared" si="66"/>
        <v>0.09</v>
      </c>
      <c r="AA189" s="44">
        <f t="shared" si="66"/>
        <v>0.09</v>
      </c>
      <c r="AB189" s="44">
        <f t="shared" si="66"/>
        <v>0.09</v>
      </c>
      <c r="AC189" s="44">
        <f t="shared" si="66"/>
        <v>0.09</v>
      </c>
      <c r="AD189" s="44">
        <f t="shared" si="66"/>
        <v>0.09</v>
      </c>
      <c r="AE189" s="44">
        <f t="shared" si="66"/>
        <v>0.09</v>
      </c>
      <c r="AF189" s="44">
        <f t="shared" si="66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4"/>
        <v>0.04</v>
      </c>
      <c r="C190" s="54">
        <v>0.04</v>
      </c>
      <c r="D190" s="44">
        <f t="shared" si="65"/>
        <v>0.04</v>
      </c>
      <c r="E190" s="44">
        <f t="shared" si="65"/>
        <v>0.04</v>
      </c>
      <c r="F190" s="44">
        <f t="shared" si="65"/>
        <v>0.04</v>
      </c>
      <c r="G190" s="44">
        <f t="shared" si="65"/>
        <v>0.04</v>
      </c>
      <c r="H190" s="44">
        <f t="shared" si="65"/>
        <v>0.04</v>
      </c>
      <c r="I190" s="44">
        <f t="shared" si="65"/>
        <v>0.04</v>
      </c>
      <c r="J190" s="44">
        <f t="shared" si="65"/>
        <v>0.04</v>
      </c>
      <c r="K190" s="44">
        <f t="shared" si="65"/>
        <v>0.04</v>
      </c>
      <c r="L190" s="44">
        <f t="shared" si="65"/>
        <v>0.04</v>
      </c>
      <c r="M190" s="44">
        <f t="shared" si="65"/>
        <v>0.04</v>
      </c>
      <c r="N190" s="44">
        <f t="shared" si="65"/>
        <v>0.04</v>
      </c>
      <c r="O190" s="44">
        <f t="shared" si="65"/>
        <v>0.04</v>
      </c>
      <c r="P190" s="44">
        <f t="shared" si="65"/>
        <v>0.04</v>
      </c>
      <c r="Q190" s="44">
        <f t="shared" si="65"/>
        <v>0.04</v>
      </c>
      <c r="R190" s="44">
        <f t="shared" si="65"/>
        <v>0.04</v>
      </c>
      <c r="S190" s="44">
        <f t="shared" si="66"/>
        <v>0.04</v>
      </c>
      <c r="T190" s="44">
        <f t="shared" si="66"/>
        <v>0.04</v>
      </c>
      <c r="U190" s="44">
        <f t="shared" si="66"/>
        <v>0.04</v>
      </c>
      <c r="V190" s="44">
        <f t="shared" si="66"/>
        <v>0.04</v>
      </c>
      <c r="W190" s="44">
        <f t="shared" si="66"/>
        <v>0.04</v>
      </c>
      <c r="X190" s="44">
        <f t="shared" si="66"/>
        <v>0.04</v>
      </c>
      <c r="Y190" s="44">
        <f t="shared" si="66"/>
        <v>0.04</v>
      </c>
      <c r="Z190" s="44">
        <f t="shared" si="66"/>
        <v>0.04</v>
      </c>
      <c r="AA190" s="44">
        <f t="shared" si="66"/>
        <v>0.04</v>
      </c>
      <c r="AB190" s="44">
        <f t="shared" si="66"/>
        <v>0.04</v>
      </c>
      <c r="AC190" s="44">
        <f t="shared" si="66"/>
        <v>0.04</v>
      </c>
      <c r="AD190" s="44">
        <f t="shared" si="66"/>
        <v>0.04</v>
      </c>
      <c r="AE190" s="44">
        <f t="shared" si="66"/>
        <v>0.04</v>
      </c>
      <c r="AF190" s="44">
        <f t="shared" si="66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4"/>
        <v>2.3E-2</v>
      </c>
      <c r="C191" s="54">
        <v>2.3E-2</v>
      </c>
      <c r="D191" s="44">
        <f>C191</f>
        <v>2.3E-2</v>
      </c>
      <c r="E191" s="44">
        <f t="shared" si="65"/>
        <v>2.3E-2</v>
      </c>
      <c r="F191" s="44">
        <f t="shared" si="65"/>
        <v>2.3E-2</v>
      </c>
      <c r="G191" s="44">
        <f t="shared" si="65"/>
        <v>2.3E-2</v>
      </c>
      <c r="H191" s="44">
        <f t="shared" si="65"/>
        <v>2.3E-2</v>
      </c>
      <c r="I191" s="44">
        <f t="shared" si="65"/>
        <v>2.3E-2</v>
      </c>
      <c r="J191" s="44">
        <f t="shared" si="65"/>
        <v>2.3E-2</v>
      </c>
      <c r="K191" s="44">
        <f t="shared" si="65"/>
        <v>2.3E-2</v>
      </c>
      <c r="L191" s="44">
        <f t="shared" si="65"/>
        <v>2.3E-2</v>
      </c>
      <c r="M191" s="44">
        <f t="shared" si="65"/>
        <v>2.3E-2</v>
      </c>
      <c r="N191" s="44">
        <f t="shared" si="65"/>
        <v>2.3E-2</v>
      </c>
      <c r="O191" s="44">
        <f t="shared" si="65"/>
        <v>2.3E-2</v>
      </c>
      <c r="P191" s="44">
        <f t="shared" si="65"/>
        <v>2.3E-2</v>
      </c>
      <c r="Q191" s="44">
        <f t="shared" si="65"/>
        <v>2.3E-2</v>
      </c>
      <c r="R191" s="44">
        <f t="shared" si="65"/>
        <v>2.3E-2</v>
      </c>
      <c r="S191" s="44">
        <f t="shared" si="66"/>
        <v>2.3E-2</v>
      </c>
      <c r="T191" s="44">
        <f t="shared" si="66"/>
        <v>2.3E-2</v>
      </c>
      <c r="U191" s="44">
        <f t="shared" si="66"/>
        <v>2.3E-2</v>
      </c>
      <c r="V191" s="44">
        <f t="shared" si="66"/>
        <v>2.3E-2</v>
      </c>
      <c r="W191" s="44">
        <f t="shared" si="66"/>
        <v>2.3E-2</v>
      </c>
      <c r="X191" s="44">
        <f t="shared" si="66"/>
        <v>2.3E-2</v>
      </c>
      <c r="Y191" s="44">
        <f t="shared" si="66"/>
        <v>2.3E-2</v>
      </c>
      <c r="Z191" s="44">
        <f t="shared" si="66"/>
        <v>2.3E-2</v>
      </c>
      <c r="AA191" s="44">
        <f t="shared" si="66"/>
        <v>2.3E-2</v>
      </c>
      <c r="AB191" s="44">
        <f t="shared" si="66"/>
        <v>2.3E-2</v>
      </c>
      <c r="AC191" s="44">
        <f t="shared" si="66"/>
        <v>2.3E-2</v>
      </c>
      <c r="AD191" s="44">
        <f t="shared" si="66"/>
        <v>2.3E-2</v>
      </c>
      <c r="AE191" s="44">
        <f t="shared" si="66"/>
        <v>2.3E-2</v>
      </c>
      <c r="AF191" s="44">
        <f t="shared" si="66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7">SUM(C102:C191)</f>
        <v>194.70600000000002</v>
      </c>
      <c r="D192" s="51">
        <f t="shared" si="67"/>
        <v>194.70600000000002</v>
      </c>
      <c r="E192" s="51">
        <f t="shared" si="67"/>
        <v>194.70600000000002</v>
      </c>
      <c r="F192" s="51">
        <f t="shared" si="67"/>
        <v>194.70600000000002</v>
      </c>
      <c r="G192" s="51">
        <f t="shared" si="67"/>
        <v>194.70600000000002</v>
      </c>
      <c r="H192" s="51">
        <f t="shared" si="67"/>
        <v>194.70600000000002</v>
      </c>
      <c r="I192" s="51">
        <f t="shared" si="67"/>
        <v>194.70600000000002</v>
      </c>
      <c r="J192" s="51">
        <f t="shared" si="67"/>
        <v>192.10600000000005</v>
      </c>
      <c r="K192" s="51">
        <f t="shared" si="67"/>
        <v>192.10600000000005</v>
      </c>
      <c r="L192" s="51">
        <f t="shared" si="67"/>
        <v>192.10600000000005</v>
      </c>
      <c r="M192" s="51">
        <f t="shared" si="67"/>
        <v>192.10600000000005</v>
      </c>
      <c r="N192" s="51">
        <f t="shared" si="67"/>
        <v>192.10600000000005</v>
      </c>
      <c r="O192" s="51">
        <f t="shared" si="67"/>
        <v>192.10600000000005</v>
      </c>
      <c r="P192" s="51">
        <f t="shared" si="67"/>
        <v>192.10600000000005</v>
      </c>
      <c r="Q192" s="51">
        <f t="shared" si="67"/>
        <v>192.10600000000005</v>
      </c>
      <c r="R192" s="51">
        <f t="shared" si="67"/>
        <v>192.10600000000005</v>
      </c>
      <c r="S192" s="51">
        <f t="shared" si="67"/>
        <v>192.10600000000005</v>
      </c>
      <c r="T192" s="51">
        <f t="shared" si="67"/>
        <v>192.10600000000005</v>
      </c>
      <c r="U192" s="51">
        <f t="shared" si="67"/>
        <v>192.10600000000005</v>
      </c>
      <c r="V192" s="51">
        <f t="shared" si="67"/>
        <v>192.10600000000005</v>
      </c>
      <c r="W192" s="51">
        <f t="shared" si="67"/>
        <v>192.10600000000005</v>
      </c>
      <c r="X192" s="51">
        <f t="shared" si="67"/>
        <v>192.10600000000005</v>
      </c>
      <c r="Y192" s="51">
        <f t="shared" si="67"/>
        <v>192.10600000000005</v>
      </c>
      <c r="Z192" s="51">
        <f t="shared" si="67"/>
        <v>192.10600000000005</v>
      </c>
      <c r="AA192" s="51">
        <f t="shared" si="67"/>
        <v>192.10600000000005</v>
      </c>
      <c r="AB192" s="51">
        <f t="shared" si="67"/>
        <v>192.10600000000005</v>
      </c>
      <c r="AC192" s="51">
        <f t="shared" si="67"/>
        <v>192.10600000000005</v>
      </c>
      <c r="AD192" s="51">
        <f t="shared" si="67"/>
        <v>192.10600000000005</v>
      </c>
      <c r="AE192" s="51">
        <f t="shared" si="67"/>
        <v>192.10600000000005</v>
      </c>
      <c r="AF192" s="51">
        <f t="shared" si="67"/>
        <v>192.10600000000005</v>
      </c>
      <c r="AG192" s="50">
        <f t="shared" si="67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68">AF194</f>
        <v>0.3</v>
      </c>
      <c r="C194" s="47">
        <v>0.3</v>
      </c>
      <c r="D194" s="47">
        <f t="shared" ref="D194:S199" si="69">C194</f>
        <v>0.3</v>
      </c>
      <c r="E194" s="47">
        <f t="shared" si="69"/>
        <v>0.3</v>
      </c>
      <c r="F194" s="47">
        <f t="shared" si="69"/>
        <v>0.3</v>
      </c>
      <c r="G194" s="47">
        <f t="shared" si="69"/>
        <v>0.3</v>
      </c>
      <c r="H194" s="47">
        <f t="shared" si="69"/>
        <v>0.3</v>
      </c>
      <c r="I194" s="47">
        <f t="shared" si="69"/>
        <v>0.3</v>
      </c>
      <c r="J194" s="47">
        <f t="shared" si="69"/>
        <v>0.3</v>
      </c>
      <c r="K194" s="47">
        <f t="shared" si="69"/>
        <v>0.3</v>
      </c>
      <c r="L194" s="47">
        <f t="shared" si="69"/>
        <v>0.3</v>
      </c>
      <c r="M194" s="47">
        <f t="shared" si="69"/>
        <v>0.3</v>
      </c>
      <c r="N194" s="47">
        <f t="shared" si="69"/>
        <v>0.3</v>
      </c>
      <c r="O194" s="47">
        <f t="shared" si="69"/>
        <v>0.3</v>
      </c>
      <c r="P194" s="47">
        <f t="shared" si="69"/>
        <v>0.3</v>
      </c>
      <c r="Q194" s="47">
        <f t="shared" si="69"/>
        <v>0.3</v>
      </c>
      <c r="R194" s="47">
        <f t="shared" si="69"/>
        <v>0.3</v>
      </c>
      <c r="S194" s="47">
        <f t="shared" si="69"/>
        <v>0.3</v>
      </c>
      <c r="T194" s="47">
        <f t="shared" ref="T194:AF199" si="70">S194</f>
        <v>0.3</v>
      </c>
      <c r="U194" s="47">
        <f t="shared" si="70"/>
        <v>0.3</v>
      </c>
      <c r="V194" s="47">
        <f t="shared" si="70"/>
        <v>0.3</v>
      </c>
      <c r="W194" s="47">
        <f t="shared" si="70"/>
        <v>0.3</v>
      </c>
      <c r="X194" s="47">
        <f t="shared" si="70"/>
        <v>0.3</v>
      </c>
      <c r="Y194" s="47">
        <f t="shared" si="70"/>
        <v>0.3</v>
      </c>
      <c r="Z194" s="47">
        <f t="shared" si="70"/>
        <v>0.3</v>
      </c>
      <c r="AA194" s="47">
        <f t="shared" si="70"/>
        <v>0.3</v>
      </c>
      <c r="AB194" s="47">
        <f t="shared" si="70"/>
        <v>0.3</v>
      </c>
      <c r="AC194" s="47">
        <f t="shared" si="70"/>
        <v>0.3</v>
      </c>
      <c r="AD194" s="47">
        <f t="shared" si="70"/>
        <v>0.3</v>
      </c>
      <c r="AE194" s="47">
        <f t="shared" si="70"/>
        <v>0.3</v>
      </c>
      <c r="AF194" s="47">
        <f t="shared" si="70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68"/>
        <v>0.4</v>
      </c>
      <c r="C195" s="44">
        <v>0.4</v>
      </c>
      <c r="D195" s="44">
        <f t="shared" si="69"/>
        <v>0.4</v>
      </c>
      <c r="E195" s="44">
        <f t="shared" si="69"/>
        <v>0.4</v>
      </c>
      <c r="F195" s="44">
        <f t="shared" si="69"/>
        <v>0.4</v>
      </c>
      <c r="G195" s="44">
        <f t="shared" si="69"/>
        <v>0.4</v>
      </c>
      <c r="H195" s="44">
        <f t="shared" si="69"/>
        <v>0.4</v>
      </c>
      <c r="I195" s="44">
        <f t="shared" si="69"/>
        <v>0.4</v>
      </c>
      <c r="J195" s="44">
        <f t="shared" si="69"/>
        <v>0.4</v>
      </c>
      <c r="K195" s="44">
        <f t="shared" si="69"/>
        <v>0.4</v>
      </c>
      <c r="L195" s="44">
        <f t="shared" si="69"/>
        <v>0.4</v>
      </c>
      <c r="M195" s="44">
        <f t="shared" si="69"/>
        <v>0.4</v>
      </c>
      <c r="N195" s="44">
        <f t="shared" si="69"/>
        <v>0.4</v>
      </c>
      <c r="O195" s="44">
        <f t="shared" si="69"/>
        <v>0.4</v>
      </c>
      <c r="P195" s="44">
        <f t="shared" si="69"/>
        <v>0.4</v>
      </c>
      <c r="Q195" s="44">
        <f t="shared" si="69"/>
        <v>0.4</v>
      </c>
      <c r="R195" s="44">
        <f t="shared" si="69"/>
        <v>0.4</v>
      </c>
      <c r="S195" s="44">
        <f t="shared" si="69"/>
        <v>0.4</v>
      </c>
      <c r="T195" s="44">
        <f t="shared" si="70"/>
        <v>0.4</v>
      </c>
      <c r="U195" s="44">
        <f t="shared" si="70"/>
        <v>0.4</v>
      </c>
      <c r="V195" s="44">
        <f t="shared" si="70"/>
        <v>0.4</v>
      </c>
      <c r="W195" s="44">
        <f>V195</f>
        <v>0.4</v>
      </c>
      <c r="X195" s="44">
        <f>W195</f>
        <v>0.4</v>
      </c>
      <c r="Y195" s="44">
        <f t="shared" si="70"/>
        <v>0.4</v>
      </c>
      <c r="Z195" s="44">
        <f t="shared" si="70"/>
        <v>0.4</v>
      </c>
      <c r="AA195" s="44">
        <f t="shared" si="70"/>
        <v>0.4</v>
      </c>
      <c r="AB195" s="44">
        <f t="shared" si="70"/>
        <v>0.4</v>
      </c>
      <c r="AC195" s="44">
        <f t="shared" si="70"/>
        <v>0.4</v>
      </c>
      <c r="AD195" s="44">
        <f t="shared" si="70"/>
        <v>0.4</v>
      </c>
      <c r="AE195" s="44">
        <f t="shared" si="70"/>
        <v>0.4</v>
      </c>
      <c r="AF195" s="44">
        <f t="shared" si="70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68"/>
        <v>1.5</v>
      </c>
      <c r="C196" s="44">
        <v>1.5</v>
      </c>
      <c r="D196" s="44">
        <f t="shared" si="69"/>
        <v>1.5</v>
      </c>
      <c r="E196" s="44">
        <f t="shared" si="69"/>
        <v>1.5</v>
      </c>
      <c r="F196" s="44">
        <f t="shared" si="69"/>
        <v>1.5</v>
      </c>
      <c r="G196" s="44">
        <f t="shared" si="69"/>
        <v>1.5</v>
      </c>
      <c r="H196" s="44">
        <f t="shared" si="69"/>
        <v>1.5</v>
      </c>
      <c r="I196" s="44">
        <f t="shared" si="69"/>
        <v>1.5</v>
      </c>
      <c r="J196" s="44">
        <f t="shared" si="69"/>
        <v>1.5</v>
      </c>
      <c r="K196" s="44">
        <f t="shared" si="69"/>
        <v>1.5</v>
      </c>
      <c r="L196" s="44">
        <f t="shared" si="69"/>
        <v>1.5</v>
      </c>
      <c r="M196" s="44">
        <f t="shared" si="69"/>
        <v>1.5</v>
      </c>
      <c r="N196" s="44">
        <f t="shared" si="69"/>
        <v>1.5</v>
      </c>
      <c r="O196" s="44">
        <f t="shared" si="69"/>
        <v>1.5</v>
      </c>
      <c r="P196" s="44">
        <f t="shared" si="69"/>
        <v>1.5</v>
      </c>
      <c r="Q196" s="44">
        <f t="shared" si="69"/>
        <v>1.5</v>
      </c>
      <c r="R196" s="44">
        <f t="shared" si="69"/>
        <v>1.5</v>
      </c>
      <c r="S196" s="44">
        <f t="shared" si="69"/>
        <v>1.5</v>
      </c>
      <c r="T196" s="44">
        <f t="shared" si="70"/>
        <v>1.5</v>
      </c>
      <c r="U196" s="44">
        <f t="shared" si="70"/>
        <v>1.5</v>
      </c>
      <c r="V196" s="44">
        <f t="shared" si="70"/>
        <v>1.5</v>
      </c>
      <c r="W196" s="44">
        <f t="shared" si="70"/>
        <v>1.5</v>
      </c>
      <c r="X196" s="44">
        <f t="shared" si="70"/>
        <v>1.5</v>
      </c>
      <c r="Y196" s="44">
        <f t="shared" si="70"/>
        <v>1.5</v>
      </c>
      <c r="Z196" s="44">
        <f t="shared" si="70"/>
        <v>1.5</v>
      </c>
      <c r="AA196" s="44">
        <f t="shared" si="70"/>
        <v>1.5</v>
      </c>
      <c r="AB196" s="44">
        <f t="shared" si="70"/>
        <v>1.5</v>
      </c>
      <c r="AC196" s="44">
        <f t="shared" si="70"/>
        <v>1.5</v>
      </c>
      <c r="AD196" s="44">
        <f t="shared" si="70"/>
        <v>1.5</v>
      </c>
      <c r="AE196" s="44">
        <f t="shared" si="70"/>
        <v>1.5</v>
      </c>
      <c r="AF196" s="44">
        <f t="shared" si="70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68"/>
        <v>0.3</v>
      </c>
      <c r="C197" s="44">
        <v>0.3</v>
      </c>
      <c r="D197" s="44">
        <f t="shared" si="69"/>
        <v>0.3</v>
      </c>
      <c r="E197" s="44">
        <f t="shared" si="69"/>
        <v>0.3</v>
      </c>
      <c r="F197" s="44">
        <f t="shared" si="69"/>
        <v>0.3</v>
      </c>
      <c r="G197" s="44">
        <f t="shared" si="69"/>
        <v>0.3</v>
      </c>
      <c r="H197" s="44">
        <f t="shared" si="69"/>
        <v>0.3</v>
      </c>
      <c r="I197" s="44">
        <f t="shared" si="69"/>
        <v>0.3</v>
      </c>
      <c r="J197" s="44">
        <f t="shared" si="69"/>
        <v>0.3</v>
      </c>
      <c r="K197" s="44">
        <f t="shared" si="69"/>
        <v>0.3</v>
      </c>
      <c r="L197" s="44">
        <f t="shared" si="69"/>
        <v>0.3</v>
      </c>
      <c r="M197" s="44">
        <f t="shared" si="69"/>
        <v>0.3</v>
      </c>
      <c r="N197" s="44">
        <f t="shared" si="69"/>
        <v>0.3</v>
      </c>
      <c r="O197" s="44">
        <f t="shared" si="69"/>
        <v>0.3</v>
      </c>
      <c r="P197" s="44">
        <f t="shared" si="69"/>
        <v>0.3</v>
      </c>
      <c r="Q197" s="44">
        <f t="shared" si="69"/>
        <v>0.3</v>
      </c>
      <c r="R197" s="44">
        <f t="shared" si="69"/>
        <v>0.3</v>
      </c>
      <c r="S197" s="44">
        <f t="shared" si="69"/>
        <v>0.3</v>
      </c>
      <c r="T197" s="44">
        <f t="shared" si="70"/>
        <v>0.3</v>
      </c>
      <c r="U197" s="44">
        <f t="shared" si="70"/>
        <v>0.3</v>
      </c>
      <c r="V197" s="44">
        <f t="shared" si="70"/>
        <v>0.3</v>
      </c>
      <c r="W197" s="44">
        <f t="shared" si="70"/>
        <v>0.3</v>
      </c>
      <c r="X197" s="44">
        <f t="shared" si="70"/>
        <v>0.3</v>
      </c>
      <c r="Y197" s="44">
        <f t="shared" si="70"/>
        <v>0.3</v>
      </c>
      <c r="Z197" s="44">
        <f t="shared" si="70"/>
        <v>0.3</v>
      </c>
      <c r="AA197" s="44">
        <f t="shared" si="70"/>
        <v>0.3</v>
      </c>
      <c r="AB197" s="44">
        <f t="shared" si="70"/>
        <v>0.3</v>
      </c>
      <c r="AC197" s="44">
        <f t="shared" si="70"/>
        <v>0.3</v>
      </c>
      <c r="AD197" s="44">
        <f t="shared" si="70"/>
        <v>0.3</v>
      </c>
      <c r="AE197" s="44">
        <f t="shared" si="70"/>
        <v>0.3</v>
      </c>
      <c r="AF197" s="44">
        <f t="shared" si="70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68"/>
        <v>0.4</v>
      </c>
      <c r="C198" s="44">
        <v>0.4</v>
      </c>
      <c r="D198" s="44">
        <f t="shared" si="69"/>
        <v>0.4</v>
      </c>
      <c r="E198" s="44">
        <f t="shared" si="69"/>
        <v>0.4</v>
      </c>
      <c r="F198" s="44">
        <f t="shared" si="69"/>
        <v>0.4</v>
      </c>
      <c r="G198" s="44">
        <f t="shared" si="69"/>
        <v>0.4</v>
      </c>
      <c r="H198" s="44">
        <f t="shared" si="69"/>
        <v>0.4</v>
      </c>
      <c r="I198" s="44">
        <f t="shared" si="69"/>
        <v>0.4</v>
      </c>
      <c r="J198" s="44">
        <f t="shared" si="69"/>
        <v>0.4</v>
      </c>
      <c r="K198" s="44">
        <f t="shared" si="69"/>
        <v>0.4</v>
      </c>
      <c r="L198" s="44">
        <f t="shared" si="69"/>
        <v>0.4</v>
      </c>
      <c r="M198" s="44">
        <f t="shared" si="69"/>
        <v>0.4</v>
      </c>
      <c r="N198" s="44">
        <f t="shared" si="69"/>
        <v>0.4</v>
      </c>
      <c r="O198" s="44">
        <f t="shared" si="69"/>
        <v>0.4</v>
      </c>
      <c r="P198" s="44">
        <f t="shared" si="69"/>
        <v>0.4</v>
      </c>
      <c r="Q198" s="44">
        <f t="shared" si="69"/>
        <v>0.4</v>
      </c>
      <c r="R198" s="44">
        <f t="shared" si="69"/>
        <v>0.4</v>
      </c>
      <c r="S198" s="44">
        <f t="shared" si="69"/>
        <v>0.4</v>
      </c>
      <c r="T198" s="44">
        <f t="shared" si="70"/>
        <v>0.4</v>
      </c>
      <c r="U198" s="44">
        <f t="shared" si="70"/>
        <v>0.4</v>
      </c>
      <c r="V198" s="44">
        <f t="shared" si="70"/>
        <v>0.4</v>
      </c>
      <c r="W198" s="44">
        <f t="shared" si="70"/>
        <v>0.4</v>
      </c>
      <c r="X198" s="44">
        <f t="shared" si="70"/>
        <v>0.4</v>
      </c>
      <c r="Y198" s="44">
        <f t="shared" si="70"/>
        <v>0.4</v>
      </c>
      <c r="Z198" s="44">
        <f t="shared" si="70"/>
        <v>0.4</v>
      </c>
      <c r="AA198" s="44">
        <f t="shared" si="70"/>
        <v>0.4</v>
      </c>
      <c r="AB198" s="44">
        <f t="shared" si="70"/>
        <v>0.4</v>
      </c>
      <c r="AC198" s="44">
        <f t="shared" si="70"/>
        <v>0.4</v>
      </c>
      <c r="AD198" s="44">
        <f t="shared" si="70"/>
        <v>0.4</v>
      </c>
      <c r="AE198" s="44">
        <f t="shared" si="70"/>
        <v>0.4</v>
      </c>
      <c r="AF198" s="44">
        <f t="shared" si="70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68"/>
        <v>0.64</v>
      </c>
      <c r="C199" s="40">
        <v>0.64</v>
      </c>
      <c r="D199" s="40">
        <f t="shared" si="69"/>
        <v>0.64</v>
      </c>
      <c r="E199" s="40">
        <f t="shared" si="69"/>
        <v>0.64</v>
      </c>
      <c r="F199" s="40">
        <f t="shared" si="69"/>
        <v>0.64</v>
      </c>
      <c r="G199" s="40">
        <f t="shared" si="69"/>
        <v>0.64</v>
      </c>
      <c r="H199" s="40">
        <f t="shared" si="69"/>
        <v>0.64</v>
      </c>
      <c r="I199" s="40">
        <f t="shared" si="69"/>
        <v>0.64</v>
      </c>
      <c r="J199" s="40">
        <f t="shared" si="69"/>
        <v>0.64</v>
      </c>
      <c r="K199" s="40">
        <f t="shared" si="69"/>
        <v>0.64</v>
      </c>
      <c r="L199" s="40">
        <f t="shared" si="69"/>
        <v>0.64</v>
      </c>
      <c r="M199" s="40">
        <f t="shared" si="69"/>
        <v>0.64</v>
      </c>
      <c r="N199" s="40">
        <f t="shared" si="69"/>
        <v>0.64</v>
      </c>
      <c r="O199" s="40">
        <f t="shared" si="69"/>
        <v>0.64</v>
      </c>
      <c r="P199" s="40">
        <f t="shared" si="69"/>
        <v>0.64</v>
      </c>
      <c r="Q199" s="40">
        <f t="shared" si="69"/>
        <v>0.64</v>
      </c>
      <c r="R199" s="40">
        <f t="shared" si="69"/>
        <v>0.64</v>
      </c>
      <c r="S199" s="40">
        <f t="shared" si="69"/>
        <v>0.64</v>
      </c>
      <c r="T199" s="40">
        <f t="shared" si="70"/>
        <v>0.64</v>
      </c>
      <c r="U199" s="40">
        <f t="shared" si="70"/>
        <v>0.64</v>
      </c>
      <c r="V199" s="40">
        <f t="shared" si="70"/>
        <v>0.64</v>
      </c>
      <c r="W199" s="40">
        <f t="shared" si="70"/>
        <v>0.64</v>
      </c>
      <c r="X199" s="40">
        <f t="shared" si="70"/>
        <v>0.64</v>
      </c>
      <c r="Y199" s="40">
        <f t="shared" si="70"/>
        <v>0.64</v>
      </c>
      <c r="Z199" s="40">
        <f t="shared" si="70"/>
        <v>0.64</v>
      </c>
      <c r="AA199" s="40">
        <f t="shared" si="70"/>
        <v>0.64</v>
      </c>
      <c r="AB199" s="40">
        <f t="shared" si="70"/>
        <v>0.64</v>
      </c>
      <c r="AC199" s="40">
        <f t="shared" si="70"/>
        <v>0.64</v>
      </c>
      <c r="AD199" s="40">
        <f t="shared" si="70"/>
        <v>0.64</v>
      </c>
      <c r="AE199" s="40">
        <f t="shared" si="70"/>
        <v>0.64</v>
      </c>
      <c r="AF199" s="40">
        <f t="shared" si="70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1">SUM(D194:D199)</f>
        <v>3.54</v>
      </c>
      <c r="E200" s="37">
        <f t="shared" si="71"/>
        <v>3.54</v>
      </c>
      <c r="F200" s="37">
        <f t="shared" si="71"/>
        <v>3.54</v>
      </c>
      <c r="G200" s="37">
        <f t="shared" si="71"/>
        <v>3.54</v>
      </c>
      <c r="H200" s="37">
        <f t="shared" si="71"/>
        <v>3.54</v>
      </c>
      <c r="I200" s="37">
        <f t="shared" si="71"/>
        <v>3.54</v>
      </c>
      <c r="J200" s="37">
        <f t="shared" si="71"/>
        <v>3.54</v>
      </c>
      <c r="K200" s="37">
        <f t="shared" si="71"/>
        <v>3.54</v>
      </c>
      <c r="L200" s="37">
        <f t="shared" si="71"/>
        <v>3.54</v>
      </c>
      <c r="M200" s="37">
        <f>SUM(M194:M199)</f>
        <v>3.54</v>
      </c>
      <c r="N200" s="37">
        <f t="shared" ref="N200:S200" si="72">SUM(N194:N199)</f>
        <v>3.54</v>
      </c>
      <c r="O200" s="37">
        <f t="shared" si="72"/>
        <v>3.54</v>
      </c>
      <c r="P200" s="37">
        <f t="shared" si="72"/>
        <v>3.54</v>
      </c>
      <c r="Q200" s="37">
        <f t="shared" si="72"/>
        <v>3.54</v>
      </c>
      <c r="R200" s="37">
        <f t="shared" si="72"/>
        <v>3.54</v>
      </c>
      <c r="S200" s="37">
        <f t="shared" si="72"/>
        <v>3.54</v>
      </c>
      <c r="T200" s="37">
        <f>SUM(T194:T199)</f>
        <v>3.54</v>
      </c>
      <c r="U200" s="37">
        <f t="shared" ref="U200:AG200" si="73">SUM(U194:U199)</f>
        <v>3.54</v>
      </c>
      <c r="V200" s="37">
        <f t="shared" si="73"/>
        <v>3.54</v>
      </c>
      <c r="W200" s="37">
        <f t="shared" si="73"/>
        <v>3.54</v>
      </c>
      <c r="X200" s="37">
        <f t="shared" si="73"/>
        <v>3.54</v>
      </c>
      <c r="Y200" s="37">
        <f t="shared" si="73"/>
        <v>3.54</v>
      </c>
      <c r="Z200" s="37">
        <f t="shared" si="73"/>
        <v>3.54</v>
      </c>
      <c r="AA200" s="37">
        <f t="shared" si="73"/>
        <v>3.54</v>
      </c>
      <c r="AB200" s="37">
        <f t="shared" si="73"/>
        <v>3.54</v>
      </c>
      <c r="AC200" s="37">
        <f t="shared" si="73"/>
        <v>3.54</v>
      </c>
      <c r="AD200" s="37">
        <f t="shared" si="73"/>
        <v>3.54</v>
      </c>
      <c r="AE200" s="37">
        <f t="shared" si="73"/>
        <v>3.54</v>
      </c>
      <c r="AF200" s="37">
        <f t="shared" si="73"/>
        <v>3.54</v>
      </c>
      <c r="AG200" s="36">
        <f t="shared" si="73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1321.52</v>
      </c>
      <c r="C209" s="17">
        <f>INDEX(G9:N9,1,MATCH(MAX(G75:N75),G75:N75,0))</f>
        <v>0.27083333333333331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26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2078/12/26)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2078/12/26)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4">B75</f>
        <v>1293.5</v>
      </c>
      <c r="U214" s="9">
        <f t="shared" si="74"/>
        <v>1264.3699999999999</v>
      </c>
      <c r="V214" s="9">
        <f t="shared" si="74"/>
        <v>1254.5999999999999</v>
      </c>
      <c r="W214" s="9">
        <f t="shared" si="74"/>
        <v>1267.42</v>
      </c>
      <c r="X214" s="9">
        <f t="shared" si="74"/>
        <v>1235.8400000000001</v>
      </c>
      <c r="Y214" s="9">
        <f t="shared" si="74"/>
        <v>1250.74</v>
      </c>
      <c r="Z214" s="9">
        <f t="shared" si="74"/>
        <v>1271.8399999999999</v>
      </c>
      <c r="AA214" s="9">
        <f t="shared" si="74"/>
        <v>1268.57</v>
      </c>
      <c r="AB214" s="9">
        <f t="shared" si="74"/>
        <v>1321.52</v>
      </c>
      <c r="AC214" s="9">
        <f t="shared" si="74"/>
        <v>1315.58</v>
      </c>
      <c r="AD214" s="9">
        <f t="shared" si="74"/>
        <v>1312.17</v>
      </c>
      <c r="AE214" s="9">
        <f t="shared" si="74"/>
        <v>1280.8400000000001</v>
      </c>
      <c r="AF214" s="9">
        <f t="shared" si="74"/>
        <v>1258.8400000000001</v>
      </c>
      <c r="AG214" s="9">
        <f t="shared" si="74"/>
        <v>1238.8400000000001</v>
      </c>
      <c r="AH214" s="9">
        <f t="shared" si="74"/>
        <v>1258.74</v>
      </c>
      <c r="AI214" s="9">
        <f t="shared" si="74"/>
        <v>1242.54</v>
      </c>
      <c r="AJ214" s="9">
        <f t="shared" si="74"/>
        <v>1254.54</v>
      </c>
      <c r="AK214" s="9">
        <f t="shared" si="74"/>
        <v>1230.7399999999998</v>
      </c>
      <c r="AL214" s="9">
        <f t="shared" si="74"/>
        <v>1211.24</v>
      </c>
      <c r="AM214" s="9">
        <f t="shared" si="74"/>
        <v>1232.94</v>
      </c>
      <c r="AN214" s="9">
        <f t="shared" si="74"/>
        <v>1240.3400000000001</v>
      </c>
      <c r="AO214" s="9">
        <f t="shared" si="74"/>
        <v>1239.94</v>
      </c>
      <c r="AP214" s="9">
        <f t="shared" si="74"/>
        <v>1247.1399999999999</v>
      </c>
      <c r="AQ214" s="9">
        <f t="shared" si="74"/>
        <v>1333.9699999999998</v>
      </c>
      <c r="AR214" s="9">
        <f t="shared" si="74"/>
        <v>1358.5</v>
      </c>
      <c r="AS214" s="9">
        <f t="shared" si="74"/>
        <v>1414.04</v>
      </c>
      <c r="AT214" s="9">
        <f t="shared" si="74"/>
        <v>1379.0400000000002</v>
      </c>
      <c r="AU214" s="9">
        <f t="shared" si="74"/>
        <v>1368.94</v>
      </c>
      <c r="AV214" s="9">
        <f t="shared" si="74"/>
        <v>1353.3400000000001</v>
      </c>
      <c r="AW214" s="9">
        <f t="shared" si="74"/>
        <v>1253.1400000000001</v>
      </c>
      <c r="AX214" s="9">
        <f t="shared" si="74"/>
        <v>1210.94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5">C199</f>
        <v>0.64</v>
      </c>
      <c r="C235" s="4">
        <f t="shared" si="75"/>
        <v>0.64</v>
      </c>
      <c r="D235" s="4">
        <f t="shared" si="75"/>
        <v>0.64</v>
      </c>
      <c r="E235" s="4">
        <f t="shared" si="75"/>
        <v>0.64</v>
      </c>
      <c r="F235" s="4">
        <f t="shared" si="75"/>
        <v>0.64</v>
      </c>
      <c r="G235" s="4">
        <f t="shared" si="75"/>
        <v>0.64</v>
      </c>
      <c r="H235" s="4">
        <f t="shared" si="75"/>
        <v>0.64</v>
      </c>
      <c r="I235" s="4">
        <f t="shared" si="75"/>
        <v>0.64</v>
      </c>
      <c r="J235" s="4">
        <f t="shared" si="75"/>
        <v>0.64</v>
      </c>
      <c r="K235" s="4">
        <f t="shared" si="75"/>
        <v>0.64</v>
      </c>
      <c r="L235" s="4">
        <f t="shared" si="75"/>
        <v>0.64</v>
      </c>
      <c r="M235" s="4">
        <f t="shared" si="75"/>
        <v>0.64</v>
      </c>
      <c r="N235" s="4">
        <f t="shared" si="75"/>
        <v>0.64</v>
      </c>
      <c r="O235" s="4">
        <f t="shared" si="75"/>
        <v>0.64</v>
      </c>
      <c r="P235" s="4">
        <f t="shared" si="75"/>
        <v>0.64</v>
      </c>
      <c r="Q235" s="4">
        <f t="shared" si="75"/>
        <v>0.64</v>
      </c>
      <c r="R235" s="4">
        <f t="shared" si="75"/>
        <v>0.64</v>
      </c>
      <c r="S235" s="4">
        <f t="shared" si="75"/>
        <v>0.64</v>
      </c>
      <c r="T235" s="4">
        <f t="shared" si="75"/>
        <v>0.64</v>
      </c>
      <c r="U235" s="4">
        <f t="shared" si="75"/>
        <v>0.64</v>
      </c>
      <c r="V235" s="4">
        <f t="shared" si="75"/>
        <v>0.64</v>
      </c>
      <c r="W235" s="4">
        <f t="shared" si="75"/>
        <v>0.64</v>
      </c>
      <c r="X235" s="4">
        <f t="shared" si="75"/>
        <v>0.64</v>
      </c>
      <c r="Y235" s="4">
        <f t="shared" si="75"/>
        <v>0.64</v>
      </c>
      <c r="Z235" s="4">
        <f t="shared" si="75"/>
        <v>0.64</v>
      </c>
      <c r="AA235" s="4">
        <f t="shared" si="75"/>
        <v>0.64</v>
      </c>
      <c r="AB235" s="4">
        <f t="shared" si="75"/>
        <v>0.64</v>
      </c>
      <c r="AC235" s="4">
        <f t="shared" si="75"/>
        <v>0.64</v>
      </c>
      <c r="AD235" s="4">
        <f t="shared" si="75"/>
        <v>0.64</v>
      </c>
      <c r="AE235" s="4">
        <f t="shared" si="75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6">IF(C203&lt;100,"",C203-520)</f>
        <v/>
      </c>
      <c r="D236" s="3" t="str">
        <f t="shared" si="76"/>
        <v/>
      </c>
      <c r="E236" s="3" t="str">
        <f t="shared" si="76"/>
        <v/>
      </c>
      <c r="F236" s="3" t="str">
        <f t="shared" si="76"/>
        <v/>
      </c>
      <c r="G236" s="3" t="str">
        <f t="shared" si="76"/>
        <v/>
      </c>
      <c r="H236" s="3" t="str">
        <f t="shared" si="76"/>
        <v/>
      </c>
      <c r="I236" s="3" t="str">
        <f t="shared" si="76"/>
        <v/>
      </c>
      <c r="J236" s="3" t="str">
        <f t="shared" si="76"/>
        <v/>
      </c>
      <c r="K236" s="3" t="str">
        <f t="shared" si="76"/>
        <v/>
      </c>
      <c r="L236" s="3" t="str">
        <f t="shared" si="76"/>
        <v/>
      </c>
      <c r="M236" s="3" t="str">
        <f t="shared" si="76"/>
        <v/>
      </c>
      <c r="N236" s="3" t="str">
        <f t="shared" si="76"/>
        <v/>
      </c>
      <c r="O236" s="3" t="str">
        <f t="shared" si="76"/>
        <v/>
      </c>
      <c r="P236" s="3" t="str">
        <f t="shared" si="76"/>
        <v/>
      </c>
      <c r="Q236" s="3" t="str">
        <f t="shared" si="76"/>
        <v/>
      </c>
      <c r="R236" s="3" t="str">
        <f t="shared" si="76"/>
        <v/>
      </c>
      <c r="S236" s="3" t="str">
        <f t="shared" si="76"/>
        <v/>
      </c>
      <c r="T236" s="3" t="str">
        <f t="shared" si="76"/>
        <v/>
      </c>
      <c r="U236" s="3" t="str">
        <f t="shared" si="76"/>
        <v/>
      </c>
      <c r="V236" s="3" t="str">
        <f t="shared" si="76"/>
        <v/>
      </c>
      <c r="W236" s="3" t="str">
        <f t="shared" si="76"/>
        <v/>
      </c>
      <c r="X236" s="3" t="str">
        <f t="shared" si="76"/>
        <v/>
      </c>
      <c r="Y236" s="3" t="str">
        <f t="shared" si="76"/>
        <v/>
      </c>
      <c r="Z236" s="3" t="str">
        <f t="shared" si="76"/>
        <v/>
      </c>
      <c r="AA236" s="3" t="str">
        <f t="shared" si="76"/>
        <v/>
      </c>
      <c r="AB236" s="3" t="str">
        <f t="shared" si="76"/>
        <v/>
      </c>
      <c r="AC236" s="3" t="str">
        <f t="shared" si="76"/>
        <v/>
      </c>
      <c r="AD236" s="3" t="str">
        <f t="shared" si="76"/>
        <v/>
      </c>
      <c r="AE236" s="3" t="str">
        <f t="shared" si="76"/>
        <v/>
      </c>
      <c r="AF236" s="3" t="str">
        <f t="shared" si="76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7">IF(B204&lt;100,"",B204-620)</f>
        <v/>
      </c>
      <c r="C237" s="3" t="str">
        <f t="shared" si="77"/>
        <v/>
      </c>
      <c r="D237" s="3" t="str">
        <f t="shared" si="77"/>
        <v/>
      </c>
      <c r="E237" s="3" t="str">
        <f t="shared" si="77"/>
        <v/>
      </c>
      <c r="F237" s="3" t="str">
        <f t="shared" si="77"/>
        <v/>
      </c>
      <c r="G237" s="3" t="str">
        <f t="shared" si="77"/>
        <v/>
      </c>
      <c r="H237" s="3" t="str">
        <f t="shared" si="77"/>
        <v/>
      </c>
      <c r="I237" s="3" t="str">
        <f t="shared" si="77"/>
        <v/>
      </c>
      <c r="J237" s="3" t="str">
        <f t="shared" si="77"/>
        <v/>
      </c>
      <c r="K237" s="3" t="str">
        <f t="shared" si="77"/>
        <v/>
      </c>
      <c r="L237" s="3" t="str">
        <f t="shared" si="77"/>
        <v/>
      </c>
      <c r="M237" s="3" t="str">
        <f t="shared" si="77"/>
        <v/>
      </c>
      <c r="N237" s="3" t="str">
        <f t="shared" si="77"/>
        <v/>
      </c>
      <c r="O237" s="3" t="str">
        <f t="shared" si="77"/>
        <v/>
      </c>
      <c r="P237" s="3" t="str">
        <f t="shared" si="77"/>
        <v/>
      </c>
      <c r="Q237" s="3" t="str">
        <f t="shared" si="77"/>
        <v/>
      </c>
      <c r="R237" s="3" t="str">
        <f t="shared" si="77"/>
        <v/>
      </c>
      <c r="S237" s="3" t="str">
        <f t="shared" si="77"/>
        <v/>
      </c>
      <c r="T237" s="3" t="str">
        <f t="shared" si="77"/>
        <v/>
      </c>
      <c r="U237" s="3" t="str">
        <f t="shared" si="77"/>
        <v/>
      </c>
      <c r="V237" s="3" t="str">
        <f t="shared" si="77"/>
        <v/>
      </c>
      <c r="W237" s="3" t="str">
        <f t="shared" si="77"/>
        <v/>
      </c>
      <c r="X237" s="3" t="str">
        <f t="shared" si="77"/>
        <v/>
      </c>
      <c r="Y237" s="3" t="str">
        <f t="shared" si="77"/>
        <v/>
      </c>
      <c r="Z237" s="3" t="str">
        <f t="shared" si="77"/>
        <v/>
      </c>
      <c r="AA237" s="3" t="str">
        <f t="shared" si="77"/>
        <v/>
      </c>
      <c r="AB237" s="3" t="str">
        <f t="shared" si="77"/>
        <v/>
      </c>
      <c r="AC237" s="3" t="str">
        <f t="shared" si="77"/>
        <v/>
      </c>
      <c r="AD237" s="3" t="str">
        <f t="shared" si="77"/>
        <v/>
      </c>
      <c r="AE237" s="3" t="str">
        <f t="shared" si="77"/>
        <v/>
      </c>
      <c r="AF237" s="3" t="str">
        <f t="shared" si="77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78">IF(B205&lt;100,"",B205-330)</f>
        <v/>
      </c>
      <c r="C238" s="3" t="str">
        <f t="shared" si="78"/>
        <v/>
      </c>
      <c r="D238" s="3" t="str">
        <f t="shared" si="78"/>
        <v/>
      </c>
      <c r="E238" s="3" t="str">
        <f t="shared" si="78"/>
        <v/>
      </c>
      <c r="F238" s="3" t="str">
        <f t="shared" si="78"/>
        <v/>
      </c>
      <c r="G238" s="3" t="str">
        <f t="shared" si="78"/>
        <v/>
      </c>
      <c r="H238" s="3" t="str">
        <f t="shared" si="78"/>
        <v/>
      </c>
      <c r="I238" s="3" t="str">
        <f t="shared" si="78"/>
        <v/>
      </c>
      <c r="J238" s="3" t="str">
        <f t="shared" si="78"/>
        <v/>
      </c>
      <c r="K238" s="3" t="str">
        <f t="shared" si="78"/>
        <v/>
      </c>
      <c r="L238" s="3" t="str">
        <f t="shared" si="78"/>
        <v/>
      </c>
      <c r="M238" s="3" t="str">
        <f t="shared" si="78"/>
        <v/>
      </c>
      <c r="N238" s="3" t="str">
        <f t="shared" si="78"/>
        <v/>
      </c>
      <c r="O238" s="3" t="str">
        <f t="shared" si="78"/>
        <v/>
      </c>
      <c r="P238" s="3" t="str">
        <f t="shared" si="78"/>
        <v/>
      </c>
      <c r="Q238" s="3" t="str">
        <f t="shared" si="78"/>
        <v/>
      </c>
      <c r="R238" s="3" t="str">
        <f t="shared" si="78"/>
        <v/>
      </c>
      <c r="S238" s="3" t="str">
        <f t="shared" si="78"/>
        <v/>
      </c>
      <c r="T238" s="3" t="str">
        <f t="shared" si="78"/>
        <v/>
      </c>
      <c r="U238" s="3" t="str">
        <f t="shared" si="78"/>
        <v/>
      </c>
      <c r="V238" s="3" t="str">
        <f t="shared" si="78"/>
        <v/>
      </c>
      <c r="W238" s="3" t="str">
        <f t="shared" si="78"/>
        <v/>
      </c>
      <c r="X238" s="3" t="str">
        <f t="shared" si="78"/>
        <v/>
      </c>
      <c r="Y238" s="3" t="str">
        <f t="shared" si="78"/>
        <v/>
      </c>
      <c r="Z238" s="3" t="str">
        <f t="shared" si="78"/>
        <v/>
      </c>
      <c r="AA238" s="3" t="str">
        <f t="shared" si="78"/>
        <v/>
      </c>
      <c r="AB238" s="3" t="str">
        <f t="shared" si="78"/>
        <v/>
      </c>
      <c r="AC238" s="3" t="str">
        <f t="shared" si="78"/>
        <v/>
      </c>
      <c r="AD238" s="3" t="str">
        <f t="shared" si="78"/>
        <v/>
      </c>
      <c r="AE238" s="3" t="str">
        <f t="shared" si="78"/>
        <v/>
      </c>
      <c r="AF238" s="3" t="str">
        <f t="shared" si="78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79">IF(C206&lt;100,"",C206-1500)</f>
        <v/>
      </c>
      <c r="D239" s="3" t="str">
        <f t="shared" si="79"/>
        <v/>
      </c>
      <c r="E239" s="3" t="str">
        <f t="shared" si="79"/>
        <v/>
      </c>
      <c r="F239" s="3" t="str">
        <f t="shared" si="79"/>
        <v/>
      </c>
      <c r="G239" s="3" t="str">
        <f t="shared" si="79"/>
        <v/>
      </c>
      <c r="H239" s="3" t="str">
        <f t="shared" si="79"/>
        <v/>
      </c>
      <c r="I239" s="3" t="str">
        <f t="shared" si="79"/>
        <v/>
      </c>
      <c r="J239" s="3" t="str">
        <f t="shared" si="79"/>
        <v/>
      </c>
      <c r="K239" s="3" t="str">
        <f t="shared" si="79"/>
        <v/>
      </c>
      <c r="L239" s="3" t="str">
        <f t="shared" si="79"/>
        <v/>
      </c>
      <c r="M239" s="3" t="str">
        <f t="shared" si="79"/>
        <v/>
      </c>
      <c r="N239" s="3" t="str">
        <f t="shared" si="79"/>
        <v/>
      </c>
      <c r="O239" s="3" t="str">
        <f t="shared" si="79"/>
        <v/>
      </c>
      <c r="P239" s="3" t="str">
        <f t="shared" si="79"/>
        <v/>
      </c>
      <c r="Q239" s="3" t="str">
        <f t="shared" si="79"/>
        <v/>
      </c>
      <c r="R239" s="3" t="str">
        <f t="shared" si="79"/>
        <v/>
      </c>
      <c r="S239" s="3" t="str">
        <f t="shared" si="79"/>
        <v/>
      </c>
      <c r="T239" s="3" t="str">
        <f t="shared" si="79"/>
        <v/>
      </c>
      <c r="U239" s="3" t="str">
        <f t="shared" si="79"/>
        <v/>
      </c>
      <c r="V239" s="3" t="str">
        <f t="shared" si="79"/>
        <v/>
      </c>
      <c r="W239" s="3" t="str">
        <f t="shared" si="79"/>
        <v/>
      </c>
      <c r="X239" s="3" t="str">
        <f t="shared" si="79"/>
        <v/>
      </c>
      <c r="Y239" s="3" t="str">
        <f t="shared" si="79"/>
        <v/>
      </c>
      <c r="Z239" s="3" t="str">
        <f t="shared" si="79"/>
        <v/>
      </c>
      <c r="AA239" s="3" t="str">
        <f t="shared" si="79"/>
        <v/>
      </c>
      <c r="AB239" s="3" t="str">
        <f t="shared" si="79"/>
        <v/>
      </c>
      <c r="AC239" s="3" t="str">
        <f t="shared" si="79"/>
        <v/>
      </c>
      <c r="AD239" s="3" t="str">
        <f t="shared" si="79"/>
        <v/>
      </c>
      <c r="AE239" s="3" t="str">
        <f t="shared" si="79"/>
        <v/>
      </c>
      <c r="AF239" s="3" t="str">
        <f t="shared" si="79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C57:L59 P39:R39 P40:Q42 R40:T41 X85:AA91 AB81:AF81 C81:R81 C56:AF56 D194:AF200 B194:B200 B9:AF10 B192:AF192 AF57:AF59 AG73 U213:AF213 R42 M37:Y37 C68:AF80 M11:R11 M61:N61 C60:N60 C82:AF83 M39:O42 O60:R61 Q12:R14 S39:S42 M58:X59 U40:Y42 N45:Y48 Z16:AA31 Z36:AA36 S11:AA14 AB11:AE11 Z40:AE43 AB84:AF91 AB94:AF100 AF42:AF43 M53:AF55">
    <cfRule type="expression" dxfId="1635" priority="359">
      <formula>B$9&gt;=20/24</formula>
    </cfRule>
    <cfRule type="expression" dxfId="1634" priority="360">
      <formula>AND(B$9&gt;=14/24,B$9&lt;20/24)</formula>
    </cfRule>
    <cfRule type="expression" dxfId="1633" priority="361">
      <formula>AND(B$9&gt;=8/24,B$9&lt;14/24)</formula>
    </cfRule>
    <cfRule type="expression" dxfId="1632" priority="362">
      <formula>B$9&lt;8/24</formula>
    </cfRule>
  </conditionalFormatting>
  <conditionalFormatting sqref="AL4:AL6">
    <cfRule type="iconSet" priority="35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631" priority="354">
      <formula>M$9&gt;=20/24</formula>
    </cfRule>
    <cfRule type="expression" dxfId="1630" priority="355">
      <formula>AND(M$9&gt;=14/24,M$9&lt;20/24)</formula>
    </cfRule>
    <cfRule type="expression" dxfId="1629" priority="356">
      <formula>AND(M$9&gt;=8/24,M$9&lt;14/24)</formula>
    </cfRule>
    <cfRule type="expression" dxfId="1628" priority="357">
      <formula>M$9&lt;8/24</formula>
    </cfRule>
  </conditionalFormatting>
  <conditionalFormatting sqref="M43:Y43">
    <cfRule type="expression" dxfId="1627" priority="350">
      <formula>M$9&gt;=20/24</formula>
    </cfRule>
    <cfRule type="expression" dxfId="1626" priority="351">
      <formula>AND(M$9&gt;=14/24,M$9&lt;20/24)</formula>
    </cfRule>
    <cfRule type="expression" dxfId="1625" priority="352">
      <formula>AND(M$9&gt;=8/24,M$9&lt;14/24)</formula>
    </cfRule>
    <cfRule type="expression" dxfId="1624" priority="353">
      <formula>M$9&lt;8/24</formula>
    </cfRule>
  </conditionalFormatting>
  <conditionalFormatting sqref="Z32:AA32">
    <cfRule type="expression" dxfId="1623" priority="346">
      <formula>Z$9&gt;=20/24</formula>
    </cfRule>
    <cfRule type="expression" dxfId="1622" priority="347">
      <formula>AND(Z$9&gt;=14/24,Z$9&lt;20/24)</formula>
    </cfRule>
    <cfRule type="expression" dxfId="1621" priority="348">
      <formula>AND(Z$9&gt;=8/24,Z$9&lt;14/24)</formula>
    </cfRule>
    <cfRule type="expression" dxfId="1620" priority="349">
      <formula>Z$9&lt;8/24</formula>
    </cfRule>
  </conditionalFormatting>
  <conditionalFormatting sqref="S39:AE39">
    <cfRule type="expression" dxfId="1619" priority="342">
      <formula>S$9&gt;=20/24</formula>
    </cfRule>
    <cfRule type="expression" dxfId="1618" priority="343">
      <formula>AND(S$9&gt;=14/24,S$9&lt;20/24)</formula>
    </cfRule>
    <cfRule type="expression" dxfId="1617" priority="344">
      <formula>AND(S$9&gt;=8/24,S$9&lt;14/24)</formula>
    </cfRule>
    <cfRule type="expression" dxfId="1616" priority="345">
      <formula>S$9&lt;8/24</formula>
    </cfRule>
  </conditionalFormatting>
  <conditionalFormatting sqref="S57:AE57">
    <cfRule type="expression" dxfId="1615" priority="338">
      <formula>S$9&gt;=20/24</formula>
    </cfRule>
    <cfRule type="expression" dxfId="1614" priority="339">
      <formula>AND(S$9&gt;=14/24,S$9&lt;20/24)</formula>
    </cfRule>
    <cfRule type="expression" dxfId="1613" priority="340">
      <formula>AND(S$9&gt;=8/24,S$9&lt;14/24)</formula>
    </cfRule>
    <cfRule type="expression" dxfId="1612" priority="341">
      <formula>S$9&lt;8/24</formula>
    </cfRule>
  </conditionalFormatting>
  <conditionalFormatting sqref="S81:AA81">
    <cfRule type="expression" dxfId="1611" priority="334">
      <formula>S$9&gt;=20/24</formula>
    </cfRule>
    <cfRule type="expression" dxfId="1610" priority="335">
      <formula>AND(S$9&gt;=14/24,S$9&lt;20/24)</formula>
    </cfRule>
    <cfRule type="expression" dxfId="1609" priority="336">
      <formula>AND(S$9&gt;=8/24,S$9&lt;14/24)</formula>
    </cfRule>
    <cfRule type="expression" dxfId="1608" priority="337">
      <formula>S$9&lt;8/24</formula>
    </cfRule>
  </conditionalFormatting>
  <conditionalFormatting sqref="U84:AA84">
    <cfRule type="expression" dxfId="1607" priority="330">
      <formula>U$9&gt;=20/24</formula>
    </cfRule>
    <cfRule type="expression" dxfId="1606" priority="331">
      <formula>AND(U$9&gt;=14/24,U$9&lt;20/24)</formula>
    </cfRule>
    <cfRule type="expression" dxfId="1605" priority="332">
      <formula>AND(U$9&gt;=8/24,U$9&lt;14/24)</formula>
    </cfRule>
    <cfRule type="expression" dxfId="1604" priority="333">
      <formula>U$9&lt;8/24</formula>
    </cfRule>
  </conditionalFormatting>
  <conditionalFormatting sqref="M49:Y49">
    <cfRule type="expression" dxfId="1603" priority="322">
      <formula>M$9&gt;=20/24</formula>
    </cfRule>
    <cfRule type="expression" dxfId="1602" priority="323">
      <formula>AND(M$9&gt;=14/24,M$9&lt;20/24)</formula>
    </cfRule>
    <cfRule type="expression" dxfId="1601" priority="324">
      <formula>AND(M$9&gt;=8/24,M$9&lt;14/24)</formula>
    </cfRule>
    <cfRule type="expression" dxfId="1600" priority="325">
      <formula>M$9&lt;8/24</formula>
    </cfRule>
  </conditionalFormatting>
  <conditionalFormatting sqref="M50:Y50">
    <cfRule type="expression" dxfId="1599" priority="318">
      <formula>M$9&gt;=20/24</formula>
    </cfRule>
    <cfRule type="expression" dxfId="1598" priority="319">
      <formula>AND(M$9&gt;=14/24,M$9&lt;20/24)</formula>
    </cfRule>
    <cfRule type="expression" dxfId="1597" priority="320">
      <formula>AND(M$9&gt;=8/24,M$9&lt;14/24)</formula>
    </cfRule>
    <cfRule type="expression" dxfId="1596" priority="321">
      <formula>M$9&lt;8/24</formula>
    </cfRule>
  </conditionalFormatting>
  <conditionalFormatting sqref="M45:Y48">
    <cfRule type="expression" dxfId="1595" priority="314">
      <formula>M$9&gt;=20/24</formula>
    </cfRule>
    <cfRule type="expression" dxfId="1594" priority="315">
      <formula>AND(M$9&gt;=14/24,M$9&lt;20/24)</formula>
    </cfRule>
    <cfRule type="expression" dxfId="1593" priority="316">
      <formula>AND(M$9&gt;=8/24,M$9&lt;14/24)</formula>
    </cfRule>
    <cfRule type="expression" dxfId="1592" priority="317">
      <formula>M$9&lt;8/24</formula>
    </cfRule>
  </conditionalFormatting>
  <conditionalFormatting sqref="Z37:AA37">
    <cfRule type="expression" dxfId="1591" priority="310">
      <formula>Z$9&gt;=20/24</formula>
    </cfRule>
    <cfRule type="expression" dxfId="1590" priority="311">
      <formula>AND(Z$9&gt;=14/24,Z$9&lt;20/24)</formula>
    </cfRule>
    <cfRule type="expression" dxfId="1589" priority="312">
      <formula>AND(Z$9&gt;=8/24,Z$9&lt;14/24)</formula>
    </cfRule>
    <cfRule type="expression" dxfId="1588" priority="313">
      <formula>Z$9&lt;8/24</formula>
    </cfRule>
  </conditionalFormatting>
  <conditionalFormatting sqref="Z35:AA35">
    <cfRule type="expression" dxfId="1587" priority="306">
      <formula>Z$9&gt;=20/24</formula>
    </cfRule>
    <cfRule type="expression" dxfId="1586" priority="307">
      <formula>AND(Z$9&gt;=14/24,Z$9&lt;20/24)</formula>
    </cfRule>
    <cfRule type="expression" dxfId="1585" priority="308">
      <formula>AND(Z$9&gt;=8/24,Z$9&lt;14/24)</formula>
    </cfRule>
    <cfRule type="expression" dxfId="1584" priority="309">
      <formula>Z$9&lt;8/24</formula>
    </cfRule>
  </conditionalFormatting>
  <conditionalFormatting sqref="S42:U43 T43:Y43 S45:AF48">
    <cfRule type="expression" dxfId="1583" priority="302">
      <formula>S$9&gt;=20/24</formula>
    </cfRule>
    <cfRule type="expression" dxfId="1582" priority="303">
      <formula>AND(S$9&gt;=14/24,S$9&lt;20/24)</formula>
    </cfRule>
    <cfRule type="expression" dxfId="1581" priority="304">
      <formula>AND(S$9&gt;=8/24,S$9&lt;14/24)</formula>
    </cfRule>
    <cfRule type="expression" dxfId="1580" priority="305">
      <formula>S$9&lt;8/24</formula>
    </cfRule>
  </conditionalFormatting>
  <conditionalFormatting sqref="S49:AF49">
    <cfRule type="expression" dxfId="1579" priority="298">
      <formula>S$9&gt;=20/24</formula>
    </cfRule>
    <cfRule type="expression" dxfId="1578" priority="299">
      <formula>AND(S$9&gt;=14/24,S$9&lt;20/24)</formula>
    </cfRule>
    <cfRule type="expression" dxfId="1577" priority="300">
      <formula>AND(S$9&gt;=8/24,S$9&lt;14/24)</formula>
    </cfRule>
    <cfRule type="expression" dxfId="1576" priority="301">
      <formula>S$9&lt;8/24</formula>
    </cfRule>
  </conditionalFormatting>
  <conditionalFormatting sqref="S50:AF50">
    <cfRule type="expression" dxfId="1575" priority="294">
      <formula>S$9&gt;=20/24</formula>
    </cfRule>
    <cfRule type="expression" dxfId="1574" priority="295">
      <formula>AND(S$9&gt;=14/24,S$9&lt;20/24)</formula>
    </cfRule>
    <cfRule type="expression" dxfId="1573" priority="296">
      <formula>AND(S$9&gt;=8/24,S$9&lt;14/24)</formula>
    </cfRule>
    <cfRule type="expression" dxfId="1572" priority="297">
      <formula>S$9&lt;8/24</formula>
    </cfRule>
  </conditionalFormatting>
  <conditionalFormatting sqref="S60:T61 Y60:AF61">
    <cfRule type="expression" dxfId="1571" priority="290">
      <formula>S$9&gt;=20/24</formula>
    </cfRule>
    <cfRule type="expression" dxfId="1570" priority="291">
      <formula>AND(S$9&gt;=14/24,S$9&lt;20/24)</formula>
    </cfRule>
    <cfRule type="expression" dxfId="1569" priority="292">
      <formula>AND(S$9&gt;=8/24,S$9&lt;14/24)</formula>
    </cfRule>
    <cfRule type="expression" dxfId="1568" priority="293">
      <formula>S$9&lt;8/24</formula>
    </cfRule>
  </conditionalFormatting>
  <conditionalFormatting sqref="M62:AF67">
    <cfRule type="expression" dxfId="1567" priority="286">
      <formula>M$9&gt;=20/24</formula>
    </cfRule>
    <cfRule type="expression" dxfId="1566" priority="287">
      <formula>AND(M$9&gt;=14/24,M$9&lt;20/24)</formula>
    </cfRule>
    <cfRule type="expression" dxfId="1565" priority="288">
      <formula>AND(M$9&gt;=8/24,M$9&lt;14/24)</formula>
    </cfRule>
    <cfRule type="expression" dxfId="1564" priority="289">
      <formula>M$9&lt;8/24</formula>
    </cfRule>
  </conditionalFormatting>
  <conditionalFormatting sqref="U94:AA97">
    <cfRule type="expression" dxfId="1563" priority="282">
      <formula>U$9&gt;=20/24</formula>
    </cfRule>
    <cfRule type="expression" dxfId="1562" priority="283">
      <formula>AND(U$9&gt;=14/24,U$9&lt;20/24)</formula>
    </cfRule>
    <cfRule type="expression" dxfId="1561" priority="284">
      <formula>AND(U$9&gt;=8/24,U$9&lt;14/24)</formula>
    </cfRule>
    <cfRule type="expression" dxfId="1560" priority="285">
      <formula>U$9&lt;8/24</formula>
    </cfRule>
  </conditionalFormatting>
  <conditionalFormatting sqref="AG51 E37:AA37 E11:R11 J12:P12 Q12:R14 S11:Y14 Z34:AA36 Z12:AA32 Z11:AF11 C38:AF56">
    <cfRule type="expression" dxfId="1559" priority="281">
      <formula>C11&gt;$AG11</formula>
    </cfRule>
  </conditionalFormatting>
  <conditionalFormatting sqref="A101:A157 A84:A97 A11:A14 A16:A32 A45:A72 A80:A82 A74:A78 A35:A43 A170:A200">
    <cfRule type="expression" dxfId="1558" priority="280">
      <formula>$AH11=0</formula>
    </cfRule>
  </conditionalFormatting>
  <conditionalFormatting sqref="U98:AA98">
    <cfRule type="expression" dxfId="1557" priority="276">
      <formula>U$9&gt;=20/24</formula>
    </cfRule>
    <cfRule type="expression" dxfId="1556" priority="277">
      <formula>AND(U$9&gt;=14/24,U$9&lt;20/24)</formula>
    </cfRule>
    <cfRule type="expression" dxfId="1555" priority="278">
      <formula>AND(U$9&gt;=8/24,U$9&lt;14/24)</formula>
    </cfRule>
    <cfRule type="expression" dxfId="1554" priority="279">
      <formula>U$9&lt;8/24</formula>
    </cfRule>
  </conditionalFormatting>
  <conditionalFormatting sqref="A98">
    <cfRule type="expression" dxfId="1553" priority="275">
      <formula>$AH98=0</formula>
    </cfRule>
  </conditionalFormatting>
  <conditionalFormatting sqref="AL32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Z34:AA34">
    <cfRule type="expression" dxfId="1552" priority="270">
      <formula>Z$9&gt;=20/24</formula>
    </cfRule>
    <cfRule type="expression" dxfId="1551" priority="271">
      <formula>AND(Z$9&gt;=14/24,Z$9&lt;20/24)</formula>
    </cfRule>
    <cfRule type="expression" dxfId="1550" priority="272">
      <formula>AND(Z$9&gt;=8/24,Z$9&lt;14/24)</formula>
    </cfRule>
    <cfRule type="expression" dxfId="1549" priority="273">
      <formula>Z$9&lt;8/24</formula>
    </cfRule>
  </conditionalFormatting>
  <conditionalFormatting sqref="A34">
    <cfRule type="expression" dxfId="1548" priority="265">
      <formula>$AH34=0</formula>
    </cfRule>
  </conditionalFormatting>
  <conditionalFormatting sqref="A83">
    <cfRule type="expression" dxfId="1547" priority="264">
      <formula>$AH83=0</formula>
    </cfRule>
  </conditionalFormatting>
  <conditionalFormatting sqref="Z15:AA15">
    <cfRule type="expression" dxfId="1546" priority="260">
      <formula>Z$9&gt;=20/24</formula>
    </cfRule>
    <cfRule type="expression" dxfId="1545" priority="261">
      <formula>AND(Z$9&gt;=14/24,Z$9&lt;20/24)</formula>
    </cfRule>
    <cfRule type="expression" dxfId="1544" priority="262">
      <formula>AND(Z$9&gt;=8/24,Z$9&lt;14/24)</formula>
    </cfRule>
    <cfRule type="expression" dxfId="1543" priority="263">
      <formula>Z$9&lt;8/24</formula>
    </cfRule>
  </conditionalFormatting>
  <conditionalFormatting sqref="Q15:Y15">
    <cfRule type="expression" dxfId="1542" priority="256">
      <formula>Q$9&gt;=20/24</formula>
    </cfRule>
    <cfRule type="expression" dxfId="1541" priority="257">
      <formula>AND(Q$9&gt;=14/24,Q$9&lt;20/24)</formula>
    </cfRule>
    <cfRule type="expression" dxfId="1540" priority="258">
      <formula>AND(Q$9&gt;=8/24,Q$9&lt;14/24)</formula>
    </cfRule>
    <cfRule type="expression" dxfId="1539" priority="259">
      <formula>Q$9&lt;8/24</formula>
    </cfRule>
  </conditionalFormatting>
  <conditionalFormatting sqref="Q15:Y15">
    <cfRule type="expression" dxfId="1538" priority="255">
      <formula>Q15&gt;$AG15</formula>
    </cfRule>
  </conditionalFormatting>
  <conditionalFormatting sqref="A15">
    <cfRule type="expression" dxfId="1537" priority="254">
      <formula>$AH15=0</formula>
    </cfRule>
  </conditionalFormatting>
  <conditionalFormatting sqref="A164:A169">
    <cfRule type="expression" dxfId="1536" priority="253">
      <formula>$AH164=0</formula>
    </cfRule>
  </conditionalFormatting>
  <conditionalFormatting sqref="A158:A163">
    <cfRule type="expression" dxfId="1535" priority="252">
      <formula>$AH158=0</formula>
    </cfRule>
  </conditionalFormatting>
  <conditionalFormatting sqref="Z44:AF44">
    <cfRule type="expression" dxfId="1534" priority="248">
      <formula>Z$9&gt;=20/24</formula>
    </cfRule>
    <cfRule type="expression" dxfId="1533" priority="249">
      <formula>AND(Z$9&gt;=14/24,Z$9&lt;20/24)</formula>
    </cfRule>
    <cfRule type="expression" dxfId="1532" priority="250">
      <formula>AND(Z$9&gt;=8/24,Z$9&lt;14/24)</formula>
    </cfRule>
    <cfRule type="expression" dxfId="1531" priority="251">
      <formula>Z$9&lt;8/24</formula>
    </cfRule>
  </conditionalFormatting>
  <conditionalFormatting sqref="M44:Y44">
    <cfRule type="expression" dxfId="1530" priority="244">
      <formula>M$9&gt;=20/24</formula>
    </cfRule>
    <cfRule type="expression" dxfId="1529" priority="245">
      <formula>AND(M$9&gt;=14/24,M$9&lt;20/24)</formula>
    </cfRule>
    <cfRule type="expression" dxfId="1528" priority="246">
      <formula>AND(M$9&gt;=8/24,M$9&lt;14/24)</formula>
    </cfRule>
    <cfRule type="expression" dxfId="1527" priority="247">
      <formula>M$9&lt;8/24</formula>
    </cfRule>
  </conditionalFormatting>
  <conditionalFormatting sqref="S44:Y44">
    <cfRule type="expression" dxfId="1526" priority="240">
      <formula>S$9&gt;=20/24</formula>
    </cfRule>
    <cfRule type="expression" dxfId="1525" priority="241">
      <formula>AND(S$9&gt;=14/24,S$9&lt;20/24)</formula>
    </cfRule>
    <cfRule type="expression" dxfId="1524" priority="242">
      <formula>AND(S$9&gt;=8/24,S$9&lt;14/24)</formula>
    </cfRule>
    <cfRule type="expression" dxfId="1523" priority="243">
      <formula>S$9&lt;8/24</formula>
    </cfRule>
  </conditionalFormatting>
  <conditionalFormatting sqref="A44">
    <cfRule type="expression" dxfId="1522" priority="239">
      <formula>$AH44=0</formula>
    </cfRule>
  </conditionalFormatting>
  <conditionalFormatting sqref="A79">
    <cfRule type="expression" dxfId="1521" priority="238">
      <formula>$AH79=0</formula>
    </cfRule>
  </conditionalFormatting>
  <conditionalFormatting sqref="A73">
    <cfRule type="expression" dxfId="1520" priority="237">
      <formula>$AH73=0</formula>
    </cfRule>
  </conditionalFormatting>
  <conditionalFormatting sqref="AL34:AL35 AL7:AL31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U60:X61">
    <cfRule type="expression" dxfId="1519" priority="233">
      <formula>U$9&gt;=20/24</formula>
    </cfRule>
    <cfRule type="expression" dxfId="1518" priority="234">
      <formula>AND(U$9&gt;=14/24,U$9&lt;20/24)</formula>
    </cfRule>
    <cfRule type="expression" dxfId="1517" priority="235">
      <formula>AND(U$9&gt;=8/24,U$9&lt;14/24)</formula>
    </cfRule>
    <cfRule type="expression" dxfId="1516" priority="236">
      <formula>U$9&lt;8/24</formula>
    </cfRule>
  </conditionalFormatting>
  <conditionalFormatting sqref="U85:W91">
    <cfRule type="expression" dxfId="1515" priority="229">
      <formula>U$9&gt;=20/24</formula>
    </cfRule>
    <cfRule type="expression" dxfId="1514" priority="230">
      <formula>AND(U$9&gt;=14/24,U$9&lt;20/24)</formula>
    </cfRule>
    <cfRule type="expression" dxfId="1513" priority="231">
      <formula>AND(U$9&gt;=8/24,U$9&lt;14/24)</formula>
    </cfRule>
    <cfRule type="expression" dxfId="1512" priority="232">
      <formula>U$9&lt;8/24</formula>
    </cfRule>
  </conditionalFormatting>
  <conditionalFormatting sqref="S85:T91 C84:R91">
    <cfRule type="expression" dxfId="1511" priority="225">
      <formula>C$9&gt;=20/24</formula>
    </cfRule>
    <cfRule type="expression" dxfId="1510" priority="226">
      <formula>AND(C$9&gt;=14/24,C$9&lt;20/24)</formula>
    </cfRule>
    <cfRule type="expression" dxfId="1509" priority="227">
      <formula>AND(C$9&gt;=8/24,C$9&lt;14/24)</formula>
    </cfRule>
    <cfRule type="expression" dxfId="1508" priority="228">
      <formula>C$9&lt;8/24</formula>
    </cfRule>
  </conditionalFormatting>
  <conditionalFormatting sqref="S84:T84">
    <cfRule type="expression" dxfId="1507" priority="221">
      <formula>S$9&gt;=20/24</formula>
    </cfRule>
    <cfRule type="expression" dxfId="1506" priority="222">
      <formula>AND(S$9&gt;=14/24,S$9&lt;20/24)</formula>
    </cfRule>
    <cfRule type="expression" dxfId="1505" priority="223">
      <formula>AND(S$9&gt;=8/24,S$9&lt;14/24)</formula>
    </cfRule>
    <cfRule type="expression" dxfId="1504" priority="224">
      <formula>S$9&lt;8/24</formula>
    </cfRule>
  </conditionalFormatting>
  <conditionalFormatting sqref="G95:M97 C94:F97">
    <cfRule type="expression" dxfId="1503" priority="217">
      <formula>C$9&gt;=20/24</formula>
    </cfRule>
    <cfRule type="expression" dxfId="1502" priority="218">
      <formula>AND(C$9&gt;=14/24,C$9&lt;20/24)</formula>
    </cfRule>
    <cfRule type="expression" dxfId="1501" priority="219">
      <formula>AND(C$9&gt;=8/24,C$9&lt;14/24)</formula>
    </cfRule>
    <cfRule type="expression" dxfId="1500" priority="220">
      <formula>C$9&lt;8/24</formula>
    </cfRule>
  </conditionalFormatting>
  <conditionalFormatting sqref="N95:R97 O94:R94">
    <cfRule type="expression" dxfId="1499" priority="213">
      <formula>N$9&gt;=20/24</formula>
    </cfRule>
    <cfRule type="expression" dxfId="1498" priority="214">
      <formula>AND(N$9&gt;=14/24,N$9&lt;20/24)</formula>
    </cfRule>
    <cfRule type="expression" dxfId="1497" priority="215">
      <formula>AND(N$9&gt;=8/24,N$9&lt;14/24)</formula>
    </cfRule>
    <cfRule type="expression" dxfId="1496" priority="216">
      <formula>N$9&lt;8/24</formula>
    </cfRule>
  </conditionalFormatting>
  <conditionalFormatting sqref="S94:T97">
    <cfRule type="expression" dxfId="1495" priority="209">
      <formula>S$9&gt;=20/24</formula>
    </cfRule>
    <cfRule type="expression" dxfId="1494" priority="210">
      <formula>AND(S$9&gt;=14/24,S$9&lt;20/24)</formula>
    </cfRule>
    <cfRule type="expression" dxfId="1493" priority="211">
      <formula>AND(S$9&gt;=8/24,S$9&lt;14/24)</formula>
    </cfRule>
    <cfRule type="expression" dxfId="1492" priority="212">
      <formula>S$9&lt;8/24</formula>
    </cfRule>
  </conditionalFormatting>
  <conditionalFormatting sqref="C98:M98">
    <cfRule type="expression" dxfId="1491" priority="205">
      <formula>C$9&gt;=20/24</formula>
    </cfRule>
    <cfRule type="expression" dxfId="1490" priority="206">
      <formula>AND(C$9&gt;=14/24,C$9&lt;20/24)</formula>
    </cfRule>
    <cfRule type="expression" dxfId="1489" priority="207">
      <formula>AND(C$9&gt;=8/24,C$9&lt;14/24)</formula>
    </cfRule>
    <cfRule type="expression" dxfId="1488" priority="208">
      <formula>C$9&lt;8/24</formula>
    </cfRule>
  </conditionalFormatting>
  <conditionalFormatting sqref="N98:R98">
    <cfRule type="expression" dxfId="1487" priority="201">
      <formula>N$9&gt;=20/24</formula>
    </cfRule>
    <cfRule type="expression" dxfId="1486" priority="202">
      <formula>AND(N$9&gt;=14/24,N$9&lt;20/24)</formula>
    </cfRule>
    <cfRule type="expression" dxfId="1485" priority="203">
      <formula>AND(N$9&gt;=8/24,N$9&lt;14/24)</formula>
    </cfRule>
    <cfRule type="expression" dxfId="1484" priority="204">
      <formula>N$9&lt;8/24</formula>
    </cfRule>
  </conditionalFormatting>
  <conditionalFormatting sqref="S98:T98">
    <cfRule type="expression" dxfId="1483" priority="197">
      <formula>S$9&gt;=20/24</formula>
    </cfRule>
    <cfRule type="expression" dxfId="1482" priority="198">
      <formula>AND(S$9&gt;=14/24,S$9&lt;20/24)</formula>
    </cfRule>
    <cfRule type="expression" dxfId="1481" priority="199">
      <formula>AND(S$9&gt;=8/24,S$9&lt;14/24)</formula>
    </cfRule>
    <cfRule type="expression" dxfId="1480" priority="200">
      <formula>S$9&lt;8/24</formula>
    </cfRule>
  </conditionalFormatting>
  <conditionalFormatting sqref="M94:N94">
    <cfRule type="expression" dxfId="1479" priority="193">
      <formula>M$9&gt;=20/24</formula>
    </cfRule>
    <cfRule type="expression" dxfId="1478" priority="194">
      <formula>AND(M$9&gt;=14/24,M$9&lt;20/24)</formula>
    </cfRule>
    <cfRule type="expression" dxfId="1477" priority="195">
      <formula>AND(M$9&gt;=8/24,M$9&lt;14/24)</formula>
    </cfRule>
    <cfRule type="expression" dxfId="1476" priority="196">
      <formula>M$9&lt;8/24</formula>
    </cfRule>
  </conditionalFormatting>
  <conditionalFormatting sqref="G94:L94">
    <cfRule type="expression" dxfId="1475" priority="189">
      <formula>G$9&gt;=20/24</formula>
    </cfRule>
    <cfRule type="expression" dxfId="1474" priority="190">
      <formula>AND(G$9&gt;=14/24,G$9&lt;20/24)</formula>
    </cfRule>
    <cfRule type="expression" dxfId="1473" priority="191">
      <formula>AND(G$9&gt;=8/24,G$9&lt;14/24)</formula>
    </cfRule>
    <cfRule type="expression" dxfId="1472" priority="192">
      <formula>G$9&lt;8/24</formula>
    </cfRule>
  </conditionalFormatting>
  <conditionalFormatting sqref="U94:W94">
    <cfRule type="expression" dxfId="1471" priority="185">
      <formula>U$9&gt;=20/24</formula>
    </cfRule>
    <cfRule type="expression" dxfId="1470" priority="186">
      <formula>AND(U$9&gt;=14/24,U$9&lt;20/24)</formula>
    </cfRule>
    <cfRule type="expression" dxfId="1469" priority="187">
      <formula>AND(U$9&gt;=8/24,U$9&lt;14/24)</formula>
    </cfRule>
    <cfRule type="expression" dxfId="1468" priority="188">
      <formula>U$9&lt;8/24</formula>
    </cfRule>
  </conditionalFormatting>
  <conditionalFormatting sqref="N94:T94">
    <cfRule type="expression" dxfId="1467" priority="181">
      <formula>N$9&gt;=20/24</formula>
    </cfRule>
    <cfRule type="expression" dxfId="1466" priority="182">
      <formula>AND(N$9&gt;=14/24,N$9&lt;20/24)</formula>
    </cfRule>
    <cfRule type="expression" dxfId="1465" priority="183">
      <formula>AND(N$9&gt;=8/24,N$9&lt;14/24)</formula>
    </cfRule>
    <cfRule type="expression" dxfId="1464" priority="184">
      <formula>N$9&lt;8/24</formula>
    </cfRule>
  </conditionalFormatting>
  <conditionalFormatting sqref="U99:AA100">
    <cfRule type="expression" dxfId="1463" priority="177">
      <formula>U$9&gt;=20/24</formula>
    </cfRule>
    <cfRule type="expression" dxfId="1462" priority="178">
      <formula>AND(U$9&gt;=14/24,U$9&lt;20/24)</formula>
    </cfRule>
    <cfRule type="expression" dxfId="1461" priority="179">
      <formula>AND(U$9&gt;=8/24,U$9&lt;14/24)</formula>
    </cfRule>
    <cfRule type="expression" dxfId="1460" priority="180">
      <formula>U$9&lt;8/24</formula>
    </cfRule>
  </conditionalFormatting>
  <conditionalFormatting sqref="C99:M100">
    <cfRule type="expression" dxfId="1459" priority="173">
      <formula>C$9&gt;=20/24</formula>
    </cfRule>
    <cfRule type="expression" dxfId="1458" priority="174">
      <formula>AND(C$9&gt;=14/24,C$9&lt;20/24)</formula>
    </cfRule>
    <cfRule type="expression" dxfId="1457" priority="175">
      <formula>AND(C$9&gt;=8/24,C$9&lt;14/24)</formula>
    </cfRule>
    <cfRule type="expression" dxfId="1456" priority="176">
      <formula>C$9&lt;8/24</formula>
    </cfRule>
  </conditionalFormatting>
  <conditionalFormatting sqref="N99:R100">
    <cfRule type="expression" dxfId="1455" priority="169">
      <formula>N$9&gt;=20/24</formula>
    </cfRule>
    <cfRule type="expression" dxfId="1454" priority="170">
      <formula>AND(N$9&gt;=14/24,N$9&lt;20/24)</formula>
    </cfRule>
    <cfRule type="expression" dxfId="1453" priority="171">
      <formula>AND(N$9&gt;=8/24,N$9&lt;14/24)</formula>
    </cfRule>
    <cfRule type="expression" dxfId="1452" priority="172">
      <formula>N$9&lt;8/24</formula>
    </cfRule>
  </conditionalFormatting>
  <conditionalFormatting sqref="S99:T100">
    <cfRule type="expression" dxfId="1451" priority="165">
      <formula>S$9&gt;=20/24</formula>
    </cfRule>
    <cfRule type="expression" dxfId="1450" priority="166">
      <formula>AND(S$9&gt;=14/24,S$9&lt;20/24)</formula>
    </cfRule>
    <cfRule type="expression" dxfId="1449" priority="167">
      <formula>AND(S$9&gt;=8/24,S$9&lt;14/24)</formula>
    </cfRule>
    <cfRule type="expression" dxfId="1448" priority="168">
      <formula>S$9&lt;8/24</formula>
    </cfRule>
  </conditionalFormatting>
  <conditionalFormatting sqref="AC58:AE59">
    <cfRule type="expression" dxfId="1447" priority="161">
      <formula>AC$9&gt;=20/24</formula>
    </cfRule>
    <cfRule type="expression" dxfId="1446" priority="162">
      <formula>AND(AC$9&gt;=14/24,AC$9&lt;20/24)</formula>
    </cfRule>
    <cfRule type="expression" dxfId="1445" priority="163">
      <formula>AND(AC$9&gt;=8/24,AC$9&lt;14/24)</formula>
    </cfRule>
    <cfRule type="expression" dxfId="1444" priority="164">
      <formula>AC$9&lt;8/24</formula>
    </cfRule>
  </conditionalFormatting>
  <conditionalFormatting sqref="AL3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43" priority="366">
      <formula>C$9&gt;=20/24</formula>
    </cfRule>
    <cfRule type="expression" dxfId="1442" priority="367">
      <formula>AND(C$9&gt;=14/24,C$9&lt;20/24)</formula>
    </cfRule>
    <cfRule type="expression" dxfId="1441" priority="368">
      <formula>AND(C$9&gt;=8/24,C$9&lt;14/24)</formula>
    </cfRule>
    <cfRule type="expression" dxfId="1440" priority="369">
      <formula>C$9&lt;8/24</formula>
    </cfRule>
  </conditionalFormatting>
  <conditionalFormatting sqref="A201">
    <cfRule type="expression" dxfId="1439" priority="370">
      <formula>$AH201=0</formula>
    </cfRule>
  </conditionalFormatting>
  <conditionalFormatting sqref="AG213">
    <cfRule type="expression" dxfId="1438" priority="371">
      <formula>B$9&gt;=20/24</formula>
    </cfRule>
    <cfRule type="expression" dxfId="1437" priority="372">
      <formula>AND(B$9&gt;=14/24,B$9&lt;20/24)</formula>
    </cfRule>
    <cfRule type="expression" dxfId="1436" priority="373">
      <formula>AND(B$9&gt;=8/24,B$9&lt;14/24)</formula>
    </cfRule>
    <cfRule type="expression" dxfId="1435" priority="374">
      <formula>B$9&lt;8/24</formula>
    </cfRule>
  </conditionalFormatting>
  <conditionalFormatting sqref="S8">
    <cfRule type="expression" dxfId="1434" priority="155">
      <formula>U$9&gt;=20/24</formula>
    </cfRule>
    <cfRule type="expression" dxfId="1433" priority="156">
      <formula>AND(U$9&gt;=14/24,U$9&lt;20/24)</formula>
    </cfRule>
    <cfRule type="expression" dxfId="1432" priority="157">
      <formula>AND(U$9&gt;=8/24,U$9&lt;14/24)</formula>
    </cfRule>
    <cfRule type="expression" dxfId="1431" priority="158">
      <formula>U$9&lt;8/24</formula>
    </cfRule>
  </conditionalFormatting>
  <conditionalFormatting sqref="AB8">
    <cfRule type="expression" dxfId="1430" priority="151">
      <formula>AD$9&gt;=20/24</formula>
    </cfRule>
    <cfRule type="expression" dxfId="1429" priority="152">
      <formula>AND(AD$9&gt;=14/24,AD$9&lt;20/24)</formula>
    </cfRule>
    <cfRule type="expression" dxfId="1428" priority="153">
      <formula>AND(AD$9&gt;=8/24,AD$9&lt;14/24)</formula>
    </cfRule>
    <cfRule type="expression" dxfId="1427" priority="154">
      <formula>AD$9&lt;8/24</formula>
    </cfRule>
  </conditionalFormatting>
  <conditionalFormatting sqref="AH213:AX213">
    <cfRule type="expression" dxfId="1426" priority="375">
      <formula>AG$9&gt;=20/24</formula>
    </cfRule>
    <cfRule type="expression" dxfId="1425" priority="376">
      <formula>AND(AG$9&gt;=14/24,AG$9&lt;20/24)</formula>
    </cfRule>
    <cfRule type="expression" dxfId="1424" priority="377">
      <formula>AND(AG$9&gt;=8/24,AG$9&lt;14/24)</formula>
    </cfRule>
    <cfRule type="expression" dxfId="1423" priority="378">
      <formula>AG$9&lt;8/24</formula>
    </cfRule>
  </conditionalFormatting>
  <conditionalFormatting sqref="T213">
    <cfRule type="expression" dxfId="1422" priority="379">
      <formula>AX$9&gt;=20/24</formula>
    </cfRule>
    <cfRule type="expression" dxfId="1421" priority="380">
      <formula>AND(AX$9&gt;=14/24,AX$9&lt;20/24)</formula>
    </cfRule>
    <cfRule type="expression" dxfId="1420" priority="381">
      <formula>AND(AX$9&gt;=8/24,AX$9&lt;14/24)</formula>
    </cfRule>
    <cfRule type="expression" dxfId="1419" priority="382">
      <formula>AX$9&lt;8/24</formula>
    </cfRule>
  </conditionalFormatting>
  <conditionalFormatting sqref="A99:A100">
    <cfRule type="expression" dxfId="1418" priority="150">
      <formula>$AH99=0</formula>
    </cfRule>
  </conditionalFormatting>
  <conditionalFormatting sqref="Z33:AA33">
    <cfRule type="expression" dxfId="1417" priority="142">
      <formula>Z$9&gt;=20/24</formula>
    </cfRule>
    <cfRule type="expression" dxfId="1416" priority="143">
      <formula>AND(Z$9&gt;=14/24,Z$9&lt;20/24)</formula>
    </cfRule>
    <cfRule type="expression" dxfId="1415" priority="144">
      <formula>AND(Z$9&gt;=8/24,Z$9&lt;14/24)</formula>
    </cfRule>
    <cfRule type="expression" dxfId="1414" priority="145">
      <formula>Z$9&lt;8/24</formula>
    </cfRule>
  </conditionalFormatting>
  <conditionalFormatting sqref="Z33:AA33">
    <cfRule type="expression" dxfId="1413" priority="141">
      <formula>Z33&gt;$AG33</formula>
    </cfRule>
  </conditionalFormatting>
  <conditionalFormatting sqref="C11:D13 E12:E13 D14:E14 F12:I14 J13:P14 D29:Y31 D16:Y26 D36:Y36">
    <cfRule type="expression" dxfId="1412" priority="112">
      <formula>C$9&gt;=20/24</formula>
    </cfRule>
    <cfRule type="expression" dxfId="1411" priority="113">
      <formula>AND(C$9&gt;=14/24,C$9&lt;20/24)</formula>
    </cfRule>
    <cfRule type="expression" dxfId="1410" priority="114">
      <formula>AND(C$9&gt;=8/24,C$9&lt;14/24)</formula>
    </cfRule>
    <cfRule type="expression" dxfId="1409" priority="115">
      <formula>C$9&lt;8/24</formula>
    </cfRule>
  </conditionalFormatting>
  <conditionalFormatting sqref="D32:Y32">
    <cfRule type="expression" dxfId="1408" priority="108">
      <formula>D$9&gt;=20/24</formula>
    </cfRule>
    <cfRule type="expression" dxfId="1407" priority="109">
      <formula>AND(D$9&gt;=14/24,D$9&lt;20/24)</formula>
    </cfRule>
    <cfRule type="expression" dxfId="1406" priority="110">
      <formula>AND(D$9&gt;=8/24,D$9&lt;14/24)</formula>
    </cfRule>
    <cfRule type="expression" dxfId="1405" priority="111">
      <formula>D$9&lt;8/24</formula>
    </cfRule>
  </conditionalFormatting>
  <conditionalFormatting sqref="C37:D37">
    <cfRule type="expression" dxfId="1404" priority="104">
      <formula>C$9&gt;=20/24</formula>
    </cfRule>
    <cfRule type="expression" dxfId="1403" priority="105">
      <formula>AND(C$9&gt;=14/24,C$9&lt;20/24)</formula>
    </cfRule>
    <cfRule type="expression" dxfId="1402" priority="106">
      <formula>AND(C$9&gt;=8/24,C$9&lt;14/24)</formula>
    </cfRule>
    <cfRule type="expression" dxfId="1401" priority="107">
      <formula>C$9&lt;8/24</formula>
    </cfRule>
  </conditionalFormatting>
  <conditionalFormatting sqref="D35:Y35">
    <cfRule type="expression" dxfId="1400" priority="100">
      <formula>D$9&gt;=20/24</formula>
    </cfRule>
    <cfRule type="expression" dxfId="1399" priority="101">
      <formula>AND(D$9&gt;=14/24,D$9&lt;20/24)</formula>
    </cfRule>
    <cfRule type="expression" dxfId="1398" priority="102">
      <formula>AND(D$9&gt;=8/24,D$9&lt;14/24)</formula>
    </cfRule>
    <cfRule type="expression" dxfId="1397" priority="103">
      <formula>D$9&lt;8/24</formula>
    </cfRule>
  </conditionalFormatting>
  <conditionalFormatting sqref="C11:D13 C37:D37 E12:E13 D14:E27 F12:I27 J27:L27 J13:P26 D34:Y36 Q16:Y26 D29:Y32">
    <cfRule type="expression" dxfId="1396" priority="99">
      <formula>C11&gt;$AG11</formula>
    </cfRule>
  </conditionalFormatting>
  <conditionalFormatting sqref="D34:Y34">
    <cfRule type="expression" dxfId="1395" priority="95">
      <formula>D$9&gt;=20/24</formula>
    </cfRule>
    <cfRule type="expression" dxfId="1394" priority="96">
      <formula>AND(D$9&gt;=14/24,D$9&lt;20/24)</formula>
    </cfRule>
    <cfRule type="expression" dxfId="1393" priority="97">
      <formula>AND(D$9&gt;=8/24,D$9&lt;14/24)</formula>
    </cfRule>
    <cfRule type="expression" dxfId="1392" priority="98">
      <formula>D$9&lt;8/24</formula>
    </cfRule>
  </conditionalFormatting>
  <conditionalFormatting sqref="D15:P15">
    <cfRule type="expression" dxfId="1391" priority="91">
      <formula>D$9&gt;=20/24</formula>
    </cfRule>
    <cfRule type="expression" dxfId="1390" priority="92">
      <formula>AND(D$9&gt;=14/24,D$9&lt;20/24)</formula>
    </cfRule>
    <cfRule type="expression" dxfId="1389" priority="93">
      <formula>AND(D$9&gt;=8/24,D$9&lt;14/24)</formula>
    </cfRule>
    <cfRule type="expression" dxfId="1388" priority="94">
      <formula>D$9&lt;8/24</formula>
    </cfRule>
  </conditionalFormatting>
  <conditionalFormatting sqref="D33:Y33">
    <cfRule type="expression" dxfId="1387" priority="87">
      <formula>D$9&gt;=20/24</formula>
    </cfRule>
    <cfRule type="expression" dxfId="1386" priority="88">
      <formula>AND(D$9&gt;=14/24,D$9&lt;20/24)</formula>
    </cfRule>
    <cfRule type="expression" dxfId="1385" priority="89">
      <formula>AND(D$9&gt;=8/24,D$9&lt;14/24)</formula>
    </cfRule>
    <cfRule type="expression" dxfId="1384" priority="90">
      <formula>D$9&lt;8/24</formula>
    </cfRule>
  </conditionalFormatting>
  <conditionalFormatting sqref="D33:Y33">
    <cfRule type="expression" dxfId="1383" priority="86">
      <formula>D33&gt;$AG33</formula>
    </cfRule>
  </conditionalFormatting>
  <conditionalFormatting sqref="B94:B100">
    <cfRule type="expression" dxfId="1382" priority="82">
      <formula>B$9&gt;=20/24</formula>
    </cfRule>
    <cfRule type="expression" dxfId="1381" priority="83">
      <formula>AND(B$9&gt;=14/24,B$9&lt;20/24)</formula>
    </cfRule>
    <cfRule type="expression" dxfId="1380" priority="84">
      <formula>AND(B$9&gt;=8/24,B$9&lt;14/24)</formula>
    </cfRule>
    <cfRule type="expression" dxfId="1379" priority="85">
      <formula>B$9&lt;8/24</formula>
    </cfRule>
  </conditionalFormatting>
  <conditionalFormatting sqref="B53:B91 B12:B14 B16:C27 B36:C36 C14 B29:C31 C61:L67 B28:Y28">
    <cfRule type="expression" dxfId="1378" priority="78">
      <formula>B$9&gt;=20/24</formula>
    </cfRule>
    <cfRule type="expression" dxfId="1377" priority="79">
      <formula>AND(B$9&gt;=14/24,B$9&lt;20/24)</formula>
    </cfRule>
    <cfRule type="expression" dxfId="1376" priority="80">
      <formula>AND(B$9&gt;=8/24,B$9&lt;14/24)</formula>
    </cfRule>
    <cfRule type="expression" dxfId="1375" priority="81">
      <formula>B$9&lt;8/24</formula>
    </cfRule>
  </conditionalFormatting>
  <conditionalFormatting sqref="B32:C32">
    <cfRule type="expression" dxfId="1374" priority="74">
      <formula>B$9&gt;=20/24</formula>
    </cfRule>
    <cfRule type="expression" dxfId="1373" priority="75">
      <formula>AND(B$9&gt;=14/24,B$9&lt;20/24)</formula>
    </cfRule>
    <cfRule type="expression" dxfId="1372" priority="76">
      <formula>AND(B$9&gt;=8/24,B$9&lt;14/24)</formula>
    </cfRule>
    <cfRule type="expression" dxfId="1371" priority="77">
      <formula>B$9&lt;8/24</formula>
    </cfRule>
  </conditionalFormatting>
  <conditionalFormatting sqref="B37">
    <cfRule type="expression" dxfId="1370" priority="70">
      <formula>B$9&gt;=20/24</formula>
    </cfRule>
    <cfRule type="expression" dxfId="1369" priority="71">
      <formula>AND(B$9&gt;=14/24,B$9&lt;20/24)</formula>
    </cfRule>
    <cfRule type="expression" dxfId="1368" priority="72">
      <formula>AND(B$9&gt;=8/24,B$9&lt;14/24)</formula>
    </cfRule>
    <cfRule type="expression" dxfId="1367" priority="73">
      <formula>B$9&lt;8/24</formula>
    </cfRule>
  </conditionalFormatting>
  <conditionalFormatting sqref="B35:C35">
    <cfRule type="expression" dxfId="1366" priority="66">
      <formula>B$9&gt;=20/24</formula>
    </cfRule>
    <cfRule type="expression" dxfId="1365" priority="67">
      <formula>AND(B$9&gt;=14/24,B$9&lt;20/24)</formula>
    </cfRule>
    <cfRule type="expression" dxfId="1364" priority="68">
      <formula>AND(B$9&gt;=8/24,B$9&lt;14/24)</formula>
    </cfRule>
    <cfRule type="expression" dxfId="1363" priority="69">
      <formula>B$9&lt;8/24</formula>
    </cfRule>
  </conditionalFormatting>
  <conditionalFormatting sqref="B46:B48">
    <cfRule type="expression" dxfId="1362" priority="62">
      <formula>B$9&gt;=20/24</formula>
    </cfRule>
    <cfRule type="expression" dxfId="1361" priority="63">
      <formula>AND(B$9&gt;=14/24,B$9&lt;20/24)</formula>
    </cfRule>
    <cfRule type="expression" dxfId="1360" priority="64">
      <formula>AND(B$9&gt;=8/24,B$9&lt;14/24)</formula>
    </cfRule>
    <cfRule type="expression" dxfId="1359" priority="65">
      <formula>B$9&lt;8/24</formula>
    </cfRule>
  </conditionalFormatting>
  <conditionalFormatting sqref="B49">
    <cfRule type="expression" dxfId="1358" priority="58">
      <formula>B$9&gt;=20/24</formula>
    </cfRule>
    <cfRule type="expression" dxfId="1357" priority="59">
      <formula>AND(B$9&gt;=14/24,B$9&lt;20/24)</formula>
    </cfRule>
    <cfRule type="expression" dxfId="1356" priority="60">
      <formula>AND(B$9&gt;=8/24,B$9&lt;14/24)</formula>
    </cfRule>
    <cfRule type="expression" dxfId="1355" priority="61">
      <formula>B$9&lt;8/24</formula>
    </cfRule>
  </conditionalFormatting>
  <conditionalFormatting sqref="B50">
    <cfRule type="expression" dxfId="1354" priority="54">
      <formula>B$9&gt;=20/24</formula>
    </cfRule>
    <cfRule type="expression" dxfId="1353" priority="55">
      <formula>AND(B$9&gt;=14/24,B$9&lt;20/24)</formula>
    </cfRule>
    <cfRule type="expression" dxfId="1352" priority="56">
      <formula>AND(B$9&gt;=8/24,B$9&lt;14/24)</formula>
    </cfRule>
    <cfRule type="expression" dxfId="1351" priority="57">
      <formula>B$9&lt;8/24</formula>
    </cfRule>
  </conditionalFormatting>
  <conditionalFormatting sqref="B11:B32 B34:B56 C14:C27 C34:C36 C29:C32 C28:Y28">
    <cfRule type="expression" dxfId="1350" priority="53">
      <formula>B11&gt;$AG11</formula>
    </cfRule>
  </conditionalFormatting>
  <conditionalFormatting sqref="B34:C34">
    <cfRule type="expression" dxfId="1349" priority="49">
      <formula>B$9&gt;=20/24</formula>
    </cfRule>
    <cfRule type="expression" dxfId="1348" priority="50">
      <formula>AND(B$9&gt;=14/24,B$9&lt;20/24)</formula>
    </cfRule>
    <cfRule type="expression" dxfId="1347" priority="51">
      <formula>AND(B$9&gt;=8/24,B$9&lt;14/24)</formula>
    </cfRule>
    <cfRule type="expression" dxfId="1346" priority="52">
      <formula>B$9&lt;8/24</formula>
    </cfRule>
  </conditionalFormatting>
  <conditionalFormatting sqref="B15:C15">
    <cfRule type="expression" dxfId="1345" priority="45">
      <formula>B$9&gt;=20/24</formula>
    </cfRule>
    <cfRule type="expression" dxfId="1344" priority="46">
      <formula>AND(B$9&gt;=14/24,B$9&lt;20/24)</formula>
    </cfRule>
    <cfRule type="expression" dxfId="1343" priority="47">
      <formula>AND(B$9&gt;=8/24,B$9&lt;14/24)</formula>
    </cfRule>
    <cfRule type="expression" dxfId="1342" priority="48">
      <formula>B$9&lt;8/24</formula>
    </cfRule>
  </conditionalFormatting>
  <conditionalFormatting sqref="B33:C33">
    <cfRule type="expression" dxfId="1341" priority="41">
      <formula>B$9&gt;=20/24</formula>
    </cfRule>
    <cfRule type="expression" dxfId="1340" priority="42">
      <formula>AND(B$9&gt;=14/24,B$9&lt;20/24)</formula>
    </cfRule>
    <cfRule type="expression" dxfId="1339" priority="43">
      <formula>AND(B$9&gt;=8/24,B$9&lt;14/24)</formula>
    </cfRule>
    <cfRule type="expression" dxfId="1338" priority="44">
      <formula>B$9&lt;8/24</formula>
    </cfRule>
  </conditionalFormatting>
  <conditionalFormatting sqref="B33:C33">
    <cfRule type="expression" dxfId="1337" priority="40">
      <formula>B33&gt;$AG33</formula>
    </cfRule>
  </conditionalFormatting>
  <conditionalFormatting sqref="M12:P12">
    <cfRule type="expression" dxfId="1336" priority="36">
      <formula>M$9&gt;=20/24</formula>
    </cfRule>
    <cfRule type="expression" dxfId="1335" priority="37">
      <formula>AND(M$9&gt;=14/24,M$9&lt;20/24)</formula>
    </cfRule>
    <cfRule type="expression" dxfId="1334" priority="38">
      <formula>AND(M$9&gt;=8/24,M$9&lt;14/24)</formula>
    </cfRule>
    <cfRule type="expression" dxfId="1333" priority="39">
      <formula>M$9&lt;8/24</formula>
    </cfRule>
  </conditionalFormatting>
  <conditionalFormatting sqref="M27:Y27">
    <cfRule type="expression" dxfId="1332" priority="32">
      <formula>M$9&gt;=20/24</formula>
    </cfRule>
    <cfRule type="expression" dxfId="1331" priority="33">
      <formula>AND(M$9&gt;=14/24,M$9&lt;20/24)</formula>
    </cfRule>
    <cfRule type="expression" dxfId="1330" priority="34">
      <formula>AND(M$9&gt;=8/24,M$9&lt;14/24)</formula>
    </cfRule>
    <cfRule type="expression" dxfId="1329" priority="35">
      <formula>M$9&lt;8/24</formula>
    </cfRule>
  </conditionalFormatting>
  <conditionalFormatting sqref="M27:Y27">
    <cfRule type="expression" dxfId="1328" priority="31">
      <formula>M27&gt;$AG27</formula>
    </cfRule>
  </conditionalFormatting>
  <conditionalFormatting sqref="AB16:AF31 AB36:AF36 AB12:AF14">
    <cfRule type="expression" dxfId="1327" priority="27">
      <formula>AB$9&gt;=20/24</formula>
    </cfRule>
    <cfRule type="expression" dxfId="1326" priority="28">
      <formula>AND(AB$9&gt;=14/24,AB$9&lt;20/24)</formula>
    </cfRule>
    <cfRule type="expression" dxfId="1325" priority="29">
      <formula>AND(AB$9&gt;=8/24,AB$9&lt;14/24)</formula>
    </cfRule>
    <cfRule type="expression" dxfId="1324" priority="30">
      <formula>AB$9&lt;8/24</formula>
    </cfRule>
  </conditionalFormatting>
  <conditionalFormatting sqref="AB32:AF32">
    <cfRule type="expression" dxfId="1323" priority="23">
      <formula>AB$9&gt;=20/24</formula>
    </cfRule>
    <cfRule type="expression" dxfId="1322" priority="24">
      <formula>AND(AB$9&gt;=14/24,AB$9&lt;20/24)</formula>
    </cfRule>
    <cfRule type="expression" dxfId="1321" priority="25">
      <formula>AND(AB$9&gt;=8/24,AB$9&lt;14/24)</formula>
    </cfRule>
    <cfRule type="expression" dxfId="1320" priority="26">
      <formula>AB$9&lt;8/24</formula>
    </cfRule>
  </conditionalFormatting>
  <conditionalFormatting sqref="AB37:AF37">
    <cfRule type="expression" dxfId="1319" priority="19">
      <formula>AB$9&gt;=20/24</formula>
    </cfRule>
    <cfRule type="expression" dxfId="1318" priority="20">
      <formula>AND(AB$9&gt;=14/24,AB$9&lt;20/24)</formula>
    </cfRule>
    <cfRule type="expression" dxfId="1317" priority="21">
      <formula>AND(AB$9&gt;=8/24,AB$9&lt;14/24)</formula>
    </cfRule>
    <cfRule type="expression" dxfId="1316" priority="22">
      <formula>AB$9&lt;8/24</formula>
    </cfRule>
  </conditionalFormatting>
  <conditionalFormatting sqref="AB35:AF35">
    <cfRule type="expression" dxfId="1315" priority="15">
      <formula>AB$9&gt;=20/24</formula>
    </cfRule>
    <cfRule type="expression" dxfId="1314" priority="16">
      <formula>AND(AB$9&gt;=14/24,AB$9&lt;20/24)</formula>
    </cfRule>
    <cfRule type="expression" dxfId="1313" priority="17">
      <formula>AND(AB$9&gt;=8/24,AB$9&lt;14/24)</formula>
    </cfRule>
    <cfRule type="expression" dxfId="1312" priority="18">
      <formula>AB$9&lt;8/24</formula>
    </cfRule>
  </conditionalFormatting>
  <conditionalFormatting sqref="AB34:AF37 AB12:AF32">
    <cfRule type="expression" dxfId="1311" priority="14">
      <formula>AB12&gt;$AG12</formula>
    </cfRule>
  </conditionalFormatting>
  <conditionalFormatting sqref="AB34:AF34">
    <cfRule type="expression" dxfId="1310" priority="10">
      <formula>AB$9&gt;=20/24</formula>
    </cfRule>
    <cfRule type="expression" dxfId="1309" priority="11">
      <formula>AND(AB$9&gt;=14/24,AB$9&lt;20/24)</formula>
    </cfRule>
    <cfRule type="expression" dxfId="1308" priority="12">
      <formula>AND(AB$9&gt;=8/24,AB$9&lt;14/24)</formula>
    </cfRule>
    <cfRule type="expression" dxfId="1307" priority="13">
      <formula>AB$9&lt;8/24</formula>
    </cfRule>
  </conditionalFormatting>
  <conditionalFormatting sqref="AB15:AF15">
    <cfRule type="expression" dxfId="1306" priority="6">
      <formula>AB$9&gt;=20/24</formula>
    </cfRule>
    <cfRule type="expression" dxfId="1305" priority="7">
      <formula>AND(AB$9&gt;=14/24,AB$9&lt;20/24)</formula>
    </cfRule>
    <cfRule type="expression" dxfId="1304" priority="8">
      <formula>AND(AB$9&gt;=8/24,AB$9&lt;14/24)</formula>
    </cfRule>
    <cfRule type="expression" dxfId="1303" priority="9">
      <formula>AB$9&lt;8/24</formula>
    </cfRule>
  </conditionalFormatting>
  <conditionalFormatting sqref="AB33:AF33">
    <cfRule type="expression" dxfId="1302" priority="2">
      <formula>AB$9&gt;=20/24</formula>
    </cfRule>
    <cfRule type="expression" dxfId="1301" priority="3">
      <formula>AND(AB$9&gt;=14/24,AB$9&lt;20/24)</formula>
    </cfRule>
    <cfRule type="expression" dxfId="1300" priority="4">
      <formula>AND(AB$9&gt;=8/24,AB$9&lt;14/24)</formula>
    </cfRule>
    <cfRule type="expression" dxfId="1299" priority="5">
      <formula>AB$9&lt;8/24</formula>
    </cfRule>
  </conditionalFormatting>
  <conditionalFormatting sqref="AB33:AF33">
    <cfRule type="expression" dxfId="1298" priority="1">
      <formula>AB33&gt;$AG33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0" id="{7E836CED-372C-43B1-9D66-DD8B577BB39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53" sqref="B53:B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2078/12/27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223</v>
      </c>
      <c r="C5" s="157">
        <f t="shared" si="0"/>
        <v>245</v>
      </c>
      <c r="D5" s="157">
        <f t="shared" si="0"/>
        <v>258</v>
      </c>
      <c r="E5" s="157">
        <f t="shared" si="0"/>
        <v>289</v>
      </c>
      <c r="F5" s="157">
        <f t="shared" si="0"/>
        <v>289</v>
      </c>
      <c r="G5" s="157">
        <f t="shared" si="0"/>
        <v>277</v>
      </c>
      <c r="H5" s="157">
        <f t="shared" si="0"/>
        <v>299</v>
      </c>
      <c r="I5" s="157">
        <f t="shared" si="0"/>
        <v>471.4</v>
      </c>
      <c r="J5" s="157">
        <f t="shared" si="0"/>
        <v>487</v>
      </c>
      <c r="K5" s="157">
        <f t="shared" si="0"/>
        <v>536.20000000000005</v>
      </c>
      <c r="L5" s="157">
        <f t="shared" si="0"/>
        <v>523.20000000000005</v>
      </c>
      <c r="M5" s="157">
        <f t="shared" si="0"/>
        <v>566.59999999999991</v>
      </c>
      <c r="N5" s="157">
        <f t="shared" si="0"/>
        <v>494.69999999999993</v>
      </c>
      <c r="O5" s="157">
        <f t="shared" si="0"/>
        <v>497.5</v>
      </c>
      <c r="P5" s="157">
        <f t="shared" si="0"/>
        <v>516.9</v>
      </c>
      <c r="Q5" s="157">
        <f t="shared" si="0"/>
        <v>462.2</v>
      </c>
      <c r="R5" s="157">
        <f t="shared" si="0"/>
        <v>499.8</v>
      </c>
      <c r="S5" s="157">
        <f t="shared" si="0"/>
        <v>524.20000000000005</v>
      </c>
      <c r="T5" s="157">
        <f t="shared" si="0"/>
        <v>506.6</v>
      </c>
      <c r="U5" s="157">
        <f t="shared" si="0"/>
        <v>410</v>
      </c>
      <c r="V5" s="157">
        <f t="shared" si="0"/>
        <v>456</v>
      </c>
      <c r="W5" s="157">
        <f t="shared" si="0"/>
        <v>414.5</v>
      </c>
      <c r="X5" s="157">
        <f t="shared" si="0"/>
        <v>375</v>
      </c>
      <c r="Y5" s="157">
        <f t="shared" si="0"/>
        <v>298.90000000000003</v>
      </c>
      <c r="Z5" s="157">
        <f t="shared" si="0"/>
        <v>286.60000000000002</v>
      </c>
      <c r="AA5" s="157">
        <f t="shared" si="0"/>
        <v>368.1</v>
      </c>
      <c r="AB5" s="157">
        <f t="shared" si="0"/>
        <v>405.4</v>
      </c>
      <c r="AC5" s="157">
        <f t="shared" si="0"/>
        <v>392.4</v>
      </c>
      <c r="AD5" s="157">
        <f t="shared" si="0"/>
        <v>402</v>
      </c>
      <c r="AE5" s="157">
        <f t="shared" si="0"/>
        <v>385</v>
      </c>
      <c r="AF5" s="157">
        <f>B68</f>
        <v>203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1370MW at 9:00hr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Load=1117</v>
      </c>
      <c r="B7" s="146">
        <f>B75</f>
        <v>1195.94</v>
      </c>
      <c r="C7" s="146">
        <f t="shared" ref="C7:AF7" si="1">C75</f>
        <v>1185.24</v>
      </c>
      <c r="D7" s="146">
        <f t="shared" si="1"/>
        <v>1146.6399999999999</v>
      </c>
      <c r="E7" s="146">
        <f t="shared" si="1"/>
        <v>1131.3399999999999</v>
      </c>
      <c r="F7" s="146">
        <f t="shared" si="1"/>
        <v>1117.3399999999999</v>
      </c>
      <c r="G7" s="146">
        <f t="shared" si="1"/>
        <v>1147.1399999999999</v>
      </c>
      <c r="H7" s="146">
        <f t="shared" si="1"/>
        <v>1156.4399999999998</v>
      </c>
      <c r="I7" s="146">
        <f t="shared" si="1"/>
        <v>1180.4399999999998</v>
      </c>
      <c r="J7" s="146">
        <f t="shared" si="1"/>
        <v>1221.8399999999999</v>
      </c>
      <c r="K7" s="146">
        <f t="shared" si="1"/>
        <v>1298.8399999999999</v>
      </c>
      <c r="L7" s="146">
        <f t="shared" si="1"/>
        <v>1357.6399999999999</v>
      </c>
      <c r="M7" s="146">
        <f t="shared" si="1"/>
        <v>1350.04</v>
      </c>
      <c r="N7" s="146">
        <f t="shared" si="1"/>
        <v>1370.4399999999998</v>
      </c>
      <c r="O7" s="146">
        <f t="shared" si="1"/>
        <v>1332.1399999999999</v>
      </c>
      <c r="P7" s="146">
        <f t="shared" si="1"/>
        <v>1328.74</v>
      </c>
      <c r="Q7" s="146">
        <f t="shared" si="1"/>
        <v>1371.74</v>
      </c>
      <c r="R7" s="146">
        <f t="shared" si="1"/>
        <v>1300.44</v>
      </c>
      <c r="S7" s="146">
        <f t="shared" si="1"/>
        <v>1375.74</v>
      </c>
      <c r="T7" s="146">
        <f t="shared" si="1"/>
        <v>1353.34</v>
      </c>
      <c r="U7" s="146">
        <f t="shared" si="1"/>
        <v>1393.34</v>
      </c>
      <c r="V7" s="146">
        <f t="shared" si="1"/>
        <v>1341.54</v>
      </c>
      <c r="W7" s="146">
        <f t="shared" si="1"/>
        <v>1359.14</v>
      </c>
      <c r="X7" s="146">
        <f t="shared" si="1"/>
        <v>1297.1399999999999</v>
      </c>
      <c r="Y7" s="146">
        <f t="shared" si="1"/>
        <v>1300.4399999999998</v>
      </c>
      <c r="Z7" s="146">
        <f t="shared" si="1"/>
        <v>1433.34</v>
      </c>
      <c r="AA7" s="146">
        <f t="shared" si="1"/>
        <v>1421.04</v>
      </c>
      <c r="AB7" s="146">
        <f t="shared" si="1"/>
        <v>1397.04</v>
      </c>
      <c r="AC7" s="146">
        <f t="shared" si="1"/>
        <v>1369.7399999999998</v>
      </c>
      <c r="AD7" s="146">
        <f t="shared" si="1"/>
        <v>1309.7399999999998</v>
      </c>
      <c r="AE7" s="146">
        <f t="shared" si="1"/>
        <v>1223.44</v>
      </c>
      <c r="AF7" s="146">
        <f t="shared" si="1"/>
        <v>1140.8399999999999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210</v>
      </c>
      <c r="C11" s="127">
        <v>190</v>
      </c>
      <c r="D11" s="127">
        <v>150</v>
      </c>
      <c r="E11" s="127">
        <v>165</v>
      </c>
      <c r="F11" s="127">
        <v>120</v>
      </c>
      <c r="G11" s="127">
        <v>130</v>
      </c>
      <c r="H11" s="127">
        <v>150</v>
      </c>
      <c r="I11" s="127">
        <v>140</v>
      </c>
      <c r="J11" s="127">
        <v>40</v>
      </c>
      <c r="K11" s="127">
        <v>40</v>
      </c>
      <c r="L11" s="127">
        <v>40</v>
      </c>
      <c r="M11" s="103">
        <v>40</v>
      </c>
      <c r="N11" s="103">
        <v>45</v>
      </c>
      <c r="O11" s="103">
        <v>75</v>
      </c>
      <c r="P11" s="103">
        <v>75</v>
      </c>
      <c r="Q11" s="103">
        <v>98</v>
      </c>
      <c r="R11" s="103">
        <v>87.9</v>
      </c>
      <c r="S11" s="103">
        <v>100</v>
      </c>
      <c r="T11" s="103">
        <v>60</v>
      </c>
      <c r="U11" s="103">
        <v>110</v>
      </c>
      <c r="V11" s="103">
        <v>140</v>
      </c>
      <c r="W11" s="103">
        <v>90</v>
      </c>
      <c r="X11" s="103">
        <v>80</v>
      </c>
      <c r="Y11" s="103">
        <v>60</v>
      </c>
      <c r="Z11" s="179">
        <v>200</v>
      </c>
      <c r="AA11" s="179">
        <v>200</v>
      </c>
      <c r="AB11" s="103">
        <v>200</v>
      </c>
      <c r="AC11" s="103">
        <v>155</v>
      </c>
      <c r="AD11" s="103">
        <v>155</v>
      </c>
      <c r="AE11" s="103">
        <v>100</v>
      </c>
      <c r="AF11" s="127">
        <v>80</v>
      </c>
      <c r="AG11" s="54">
        <v>456</v>
      </c>
      <c r="AH11" s="21">
        <f>MAX(B11:AF11)</f>
        <v>210</v>
      </c>
      <c r="AI11" s="20">
        <f>MIN(B11:AF11)</f>
        <v>40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16.7</v>
      </c>
      <c r="C13" s="127">
        <v>20.399999999999999</v>
      </c>
      <c r="D13" s="127">
        <v>21.2</v>
      </c>
      <c r="E13" s="127">
        <v>23</v>
      </c>
      <c r="F13" s="127">
        <v>23</v>
      </c>
      <c r="G13" s="127">
        <v>23</v>
      </c>
      <c r="H13" s="127">
        <v>23</v>
      </c>
      <c r="I13" s="127">
        <v>23</v>
      </c>
      <c r="J13" s="127">
        <v>23</v>
      </c>
      <c r="K13" s="127">
        <v>23</v>
      </c>
      <c r="L13" s="127">
        <v>23</v>
      </c>
      <c r="M13" s="127">
        <v>23</v>
      </c>
      <c r="N13" s="127">
        <v>23</v>
      </c>
      <c r="O13" s="127">
        <v>17.5</v>
      </c>
      <c r="P13" s="127">
        <v>17.5</v>
      </c>
      <c r="Q13" s="127">
        <v>17.5</v>
      </c>
      <c r="R13" s="127">
        <v>17.5</v>
      </c>
      <c r="S13" s="127">
        <v>17.5</v>
      </c>
      <c r="T13" s="127">
        <v>17.5</v>
      </c>
      <c r="U13" s="127">
        <v>17.5</v>
      </c>
      <c r="V13" s="127">
        <v>17.5</v>
      </c>
      <c r="W13" s="127">
        <v>17.5</v>
      </c>
      <c r="X13" s="127">
        <v>20</v>
      </c>
      <c r="Y13" s="127">
        <v>20</v>
      </c>
      <c r="Z13" s="103">
        <v>20</v>
      </c>
      <c r="AA13" s="103">
        <v>20</v>
      </c>
      <c r="AB13" s="103">
        <v>20</v>
      </c>
      <c r="AC13" s="103">
        <v>20</v>
      </c>
      <c r="AD13" s="103">
        <v>20</v>
      </c>
      <c r="AE13" s="103">
        <v>20</v>
      </c>
      <c r="AF13" s="103">
        <v>19.399999999999999</v>
      </c>
      <c r="AG13" s="134">
        <v>52.4</v>
      </c>
      <c r="AH13" s="21">
        <f t="shared" si="2"/>
        <v>23</v>
      </c>
      <c r="AI13" s="20">
        <f t="shared" si="3"/>
        <v>16.7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0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7">
        <v>0</v>
      </c>
      <c r="I14" s="127">
        <v>0</v>
      </c>
      <c r="J14" s="127">
        <v>0</v>
      </c>
      <c r="K14" s="127">
        <v>0</v>
      </c>
      <c r="L14" s="127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0</v>
      </c>
      <c r="AG14" s="134">
        <v>50</v>
      </c>
      <c r="AH14" s="21">
        <f t="shared" si="2"/>
        <v>0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22.8</v>
      </c>
      <c r="C15" s="123">
        <v>22.9</v>
      </c>
      <c r="D15" s="123">
        <v>22.9</v>
      </c>
      <c r="E15" s="123">
        <v>22.9</v>
      </c>
      <c r="F15" s="123">
        <v>22.9</v>
      </c>
      <c r="G15" s="123">
        <v>22.9</v>
      </c>
      <c r="H15" s="123">
        <v>22.9</v>
      </c>
      <c r="I15" s="123">
        <v>22.9</v>
      </c>
      <c r="J15" s="123">
        <v>22.9</v>
      </c>
      <c r="K15" s="123">
        <v>22.9</v>
      </c>
      <c r="L15" s="123">
        <v>22.9</v>
      </c>
      <c r="M15" s="103">
        <v>22.9</v>
      </c>
      <c r="N15" s="103">
        <v>22.9</v>
      </c>
      <c r="O15" s="103">
        <v>22.9</v>
      </c>
      <c r="P15" s="103">
        <v>22.9</v>
      </c>
      <c r="Q15" s="103">
        <v>22.9</v>
      </c>
      <c r="R15" s="103">
        <v>22.9</v>
      </c>
      <c r="S15" s="103">
        <v>22.9</v>
      </c>
      <c r="T15" s="103">
        <v>22.9</v>
      </c>
      <c r="U15" s="103">
        <v>22.9</v>
      </c>
      <c r="V15" s="103">
        <v>22.9</v>
      </c>
      <c r="W15" s="103">
        <v>22.9</v>
      </c>
      <c r="X15" s="103">
        <v>22.9</v>
      </c>
      <c r="Y15" s="103">
        <v>22.9</v>
      </c>
      <c r="Z15" s="103">
        <v>22.9</v>
      </c>
      <c r="AA15" s="103">
        <v>22.9</v>
      </c>
      <c r="AB15" s="103">
        <v>22.9</v>
      </c>
      <c r="AC15" s="103">
        <v>22.9</v>
      </c>
      <c r="AD15" s="103">
        <v>22.9</v>
      </c>
      <c r="AE15" s="103">
        <v>22.9</v>
      </c>
      <c r="AF15" s="103">
        <v>22.9</v>
      </c>
      <c r="AG15" s="108">
        <v>45</v>
      </c>
      <c r="AH15" s="21">
        <f t="shared" si="2"/>
        <v>22.9</v>
      </c>
      <c r="AI15" s="20">
        <f t="shared" si="3"/>
        <v>22.8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12</v>
      </c>
      <c r="C17" s="127">
        <v>12</v>
      </c>
      <c r="D17" s="127">
        <v>12</v>
      </c>
      <c r="E17" s="127">
        <v>12</v>
      </c>
      <c r="F17" s="127">
        <v>12</v>
      </c>
      <c r="G17" s="127">
        <v>12</v>
      </c>
      <c r="H17" s="127">
        <v>12</v>
      </c>
      <c r="I17" s="127">
        <v>12</v>
      </c>
      <c r="J17" s="127">
        <v>12</v>
      </c>
      <c r="K17" s="127">
        <v>12</v>
      </c>
      <c r="L17" s="127">
        <v>12</v>
      </c>
      <c r="M17" s="103">
        <v>12</v>
      </c>
      <c r="N17" s="103">
        <v>12</v>
      </c>
      <c r="O17" s="103">
        <v>12</v>
      </c>
      <c r="P17" s="103">
        <v>12</v>
      </c>
      <c r="Q17" s="103">
        <v>12</v>
      </c>
      <c r="R17" s="103">
        <v>12</v>
      </c>
      <c r="S17" s="103">
        <v>12</v>
      </c>
      <c r="T17" s="103">
        <v>12</v>
      </c>
      <c r="U17" s="103">
        <v>12</v>
      </c>
      <c r="V17" s="103">
        <v>12</v>
      </c>
      <c r="W17" s="103">
        <v>12</v>
      </c>
      <c r="X17" s="103">
        <v>12</v>
      </c>
      <c r="Y17" s="103">
        <v>12</v>
      </c>
      <c r="Z17" s="103">
        <v>14</v>
      </c>
      <c r="AA17" s="103">
        <v>14</v>
      </c>
      <c r="AB17" s="103">
        <v>14</v>
      </c>
      <c r="AC17" s="103">
        <v>14</v>
      </c>
      <c r="AD17" s="103">
        <v>14</v>
      </c>
      <c r="AE17" s="103">
        <v>14</v>
      </c>
      <c r="AF17" s="103">
        <v>14</v>
      </c>
      <c r="AG17" s="134">
        <v>42</v>
      </c>
      <c r="AH17" s="21">
        <f t="shared" si="2"/>
        <v>14</v>
      </c>
      <c r="AI17" s="20">
        <f t="shared" si="3"/>
        <v>12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27">
        <v>8</v>
      </c>
      <c r="N18" s="127">
        <v>8</v>
      </c>
      <c r="O18" s="127">
        <v>8</v>
      </c>
      <c r="P18" s="127">
        <v>8</v>
      </c>
      <c r="Q18" s="127">
        <v>8</v>
      </c>
      <c r="R18" s="127">
        <v>8</v>
      </c>
      <c r="S18" s="127">
        <v>8</v>
      </c>
      <c r="T18" s="127">
        <v>8</v>
      </c>
      <c r="U18" s="127">
        <v>8</v>
      </c>
      <c r="V18" s="127">
        <v>8</v>
      </c>
      <c r="W18" s="127">
        <v>8</v>
      </c>
      <c r="X18" s="127">
        <v>8</v>
      </c>
      <c r="Y18" s="127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13.3</v>
      </c>
      <c r="C19" s="127">
        <v>13.3</v>
      </c>
      <c r="D19" s="127">
        <v>13.3</v>
      </c>
      <c r="E19" s="127">
        <v>13.3</v>
      </c>
      <c r="F19" s="127">
        <v>13.3</v>
      </c>
      <c r="G19" s="127">
        <v>13.3</v>
      </c>
      <c r="H19" s="127">
        <v>13.3</v>
      </c>
      <c r="I19" s="127">
        <v>13.3</v>
      </c>
      <c r="J19" s="127">
        <v>13.3</v>
      </c>
      <c r="K19" s="127">
        <v>13.3</v>
      </c>
      <c r="L19" s="127">
        <v>13.3</v>
      </c>
      <c r="M19" s="103">
        <v>13.3</v>
      </c>
      <c r="N19" s="103">
        <v>13.3</v>
      </c>
      <c r="O19" s="103">
        <v>13.3</v>
      </c>
      <c r="P19" s="103">
        <v>13.3</v>
      </c>
      <c r="Q19" s="103">
        <v>13.3</v>
      </c>
      <c r="R19" s="103">
        <v>13.3</v>
      </c>
      <c r="S19" s="103">
        <v>13.3</v>
      </c>
      <c r="T19" s="103">
        <v>13.3</v>
      </c>
      <c r="U19" s="103">
        <v>13.3</v>
      </c>
      <c r="V19" s="103">
        <v>13.3</v>
      </c>
      <c r="W19" s="103">
        <v>13.3</v>
      </c>
      <c r="X19" s="103">
        <v>13.3</v>
      </c>
      <c r="Y19" s="103">
        <v>13.3</v>
      </c>
      <c r="Z19" s="103">
        <v>13.3</v>
      </c>
      <c r="AA19" s="103">
        <v>13.3</v>
      </c>
      <c r="AB19" s="103">
        <v>13.3</v>
      </c>
      <c r="AC19" s="103">
        <v>13.3</v>
      </c>
      <c r="AD19" s="103">
        <v>13.3</v>
      </c>
      <c r="AE19" s="103">
        <v>13.3</v>
      </c>
      <c r="AF19" s="103">
        <v>13.3</v>
      </c>
      <c r="AG19" s="134">
        <v>30</v>
      </c>
      <c r="AH19" s="21">
        <f t="shared" si="2"/>
        <v>13.3</v>
      </c>
      <c r="AI19" s="20">
        <f t="shared" si="3"/>
        <v>13.3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</v>
      </c>
      <c r="C22" s="127">
        <v>22</v>
      </c>
      <c r="D22" s="127">
        <v>22</v>
      </c>
      <c r="E22" s="127">
        <v>22</v>
      </c>
      <c r="F22" s="127">
        <v>22</v>
      </c>
      <c r="G22" s="127">
        <v>22</v>
      </c>
      <c r="H22" s="127">
        <v>22</v>
      </c>
      <c r="I22" s="127">
        <v>22</v>
      </c>
      <c r="J22" s="127">
        <v>22</v>
      </c>
      <c r="K22" s="127">
        <v>22</v>
      </c>
      <c r="L22" s="127">
        <v>22</v>
      </c>
      <c r="M22" s="103">
        <v>22</v>
      </c>
      <c r="N22" s="103">
        <v>22</v>
      </c>
      <c r="O22" s="103">
        <v>22</v>
      </c>
      <c r="P22" s="103">
        <v>22</v>
      </c>
      <c r="Q22" s="103">
        <v>22</v>
      </c>
      <c r="R22" s="103">
        <v>22</v>
      </c>
      <c r="S22" s="103">
        <v>22</v>
      </c>
      <c r="T22" s="103">
        <v>22</v>
      </c>
      <c r="U22" s="103">
        <v>22</v>
      </c>
      <c r="V22" s="103">
        <v>22</v>
      </c>
      <c r="W22" s="103">
        <v>22</v>
      </c>
      <c r="X22" s="103">
        <v>11.9</v>
      </c>
      <c r="Y22" s="103">
        <v>22.1</v>
      </c>
      <c r="Z22" s="103">
        <v>22.1</v>
      </c>
      <c r="AA22" s="103">
        <v>22.1</v>
      </c>
      <c r="AB22" s="103">
        <v>22.1</v>
      </c>
      <c r="AC22" s="103">
        <v>22.1</v>
      </c>
      <c r="AD22" s="103">
        <v>22.1</v>
      </c>
      <c r="AE22" s="103">
        <v>22.1</v>
      </c>
      <c r="AF22" s="103">
        <v>22.1</v>
      </c>
      <c r="AG22" s="134">
        <v>25</v>
      </c>
      <c r="AH22" s="21">
        <f t="shared" si="2"/>
        <v>22.1</v>
      </c>
      <c r="AI22" s="20">
        <f t="shared" si="3"/>
        <v>11.9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4.9000000000000004</v>
      </c>
      <c r="C23" s="127">
        <v>4.9000000000000004</v>
      </c>
      <c r="D23" s="127">
        <v>4.9000000000000004</v>
      </c>
      <c r="E23" s="127">
        <v>4.9000000000000004</v>
      </c>
      <c r="F23" s="127">
        <v>4.9000000000000004</v>
      </c>
      <c r="G23" s="127">
        <v>4.9000000000000004</v>
      </c>
      <c r="H23" s="127">
        <v>4.9000000000000004</v>
      </c>
      <c r="I23" s="127">
        <v>4.9000000000000004</v>
      </c>
      <c r="J23" s="127">
        <v>4.9000000000000004</v>
      </c>
      <c r="K23" s="127">
        <v>4.9000000000000004</v>
      </c>
      <c r="L23" s="127">
        <v>4.9000000000000004</v>
      </c>
      <c r="M23" s="103">
        <v>4.9000000000000004</v>
      </c>
      <c r="N23" s="103">
        <v>4.9000000000000004</v>
      </c>
      <c r="O23" s="103">
        <v>4.9000000000000004</v>
      </c>
      <c r="P23" s="103">
        <v>4.9000000000000004</v>
      </c>
      <c r="Q23" s="103">
        <v>4.9000000000000004</v>
      </c>
      <c r="R23" s="103">
        <v>4.9000000000000004</v>
      </c>
      <c r="S23" s="103">
        <v>4.9000000000000004</v>
      </c>
      <c r="T23" s="103">
        <v>4.9000000000000004</v>
      </c>
      <c r="U23" s="103">
        <v>4.9000000000000004</v>
      </c>
      <c r="V23" s="103">
        <v>4.9000000000000004</v>
      </c>
      <c r="W23" s="103">
        <v>4.9000000000000004</v>
      </c>
      <c r="X23" s="103">
        <v>4.9000000000000004</v>
      </c>
      <c r="Y23" s="103">
        <v>4.9000000000000004</v>
      </c>
      <c r="Z23" s="103">
        <v>7.9</v>
      </c>
      <c r="AA23" s="103">
        <v>7.9</v>
      </c>
      <c r="AB23" s="103">
        <v>7.9</v>
      </c>
      <c r="AC23" s="103">
        <v>7.9</v>
      </c>
      <c r="AD23" s="103">
        <v>7.9</v>
      </c>
      <c r="AE23" s="103">
        <v>7.9</v>
      </c>
      <c r="AF23" s="103">
        <v>7.9</v>
      </c>
      <c r="AG23" s="134">
        <v>25</v>
      </c>
      <c r="AH23" s="21">
        <f t="shared" si="2"/>
        <v>7.9</v>
      </c>
      <c r="AI23" s="20">
        <f t="shared" si="3"/>
        <v>4.9000000000000004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10</v>
      </c>
      <c r="C24" s="127">
        <v>10</v>
      </c>
      <c r="D24" s="127">
        <v>10</v>
      </c>
      <c r="E24" s="127">
        <v>10</v>
      </c>
      <c r="F24" s="127">
        <v>10</v>
      </c>
      <c r="G24" s="127">
        <v>10</v>
      </c>
      <c r="H24" s="127">
        <v>10</v>
      </c>
      <c r="I24" s="127">
        <v>10</v>
      </c>
      <c r="J24" s="127">
        <v>10</v>
      </c>
      <c r="K24" s="127">
        <v>10</v>
      </c>
      <c r="L24" s="127">
        <v>10</v>
      </c>
      <c r="M24" s="103">
        <v>16.2</v>
      </c>
      <c r="N24" s="103">
        <v>16.2</v>
      </c>
      <c r="O24" s="103">
        <v>16.2</v>
      </c>
      <c r="P24" s="103">
        <v>16.2</v>
      </c>
      <c r="Q24" s="103">
        <v>16.2</v>
      </c>
      <c r="R24" s="103">
        <v>16.2</v>
      </c>
      <c r="S24" s="103">
        <v>16.2</v>
      </c>
      <c r="T24" s="103">
        <v>16.2</v>
      </c>
      <c r="U24" s="103">
        <v>16.2</v>
      </c>
      <c r="V24" s="103">
        <v>16.2</v>
      </c>
      <c r="W24" s="103">
        <v>16.2</v>
      </c>
      <c r="X24" s="103">
        <v>9.6</v>
      </c>
      <c r="Y24" s="103">
        <v>9.6</v>
      </c>
      <c r="Z24" s="103">
        <v>10.199999999999999</v>
      </c>
      <c r="AA24" s="103">
        <v>10.199999999999999</v>
      </c>
      <c r="AB24" s="103">
        <v>10.199999999999999</v>
      </c>
      <c r="AC24" s="103">
        <v>10.199999999999999</v>
      </c>
      <c r="AD24" s="103">
        <v>10.199999999999999</v>
      </c>
      <c r="AE24" s="103">
        <v>10.199999999999999</v>
      </c>
      <c r="AF24" s="103">
        <v>10.199999999999999</v>
      </c>
      <c r="AG24" s="134">
        <v>25</v>
      </c>
      <c r="AH24" s="21">
        <f t="shared" si="2"/>
        <v>16.2</v>
      </c>
      <c r="AI24" s="20">
        <f t="shared" si="3"/>
        <v>9.6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5</v>
      </c>
      <c r="C25" s="127">
        <v>5</v>
      </c>
      <c r="D25" s="127">
        <v>5</v>
      </c>
      <c r="E25" s="127">
        <v>5</v>
      </c>
      <c r="F25" s="127">
        <v>5</v>
      </c>
      <c r="G25" s="127">
        <v>5</v>
      </c>
      <c r="H25" s="127">
        <v>5</v>
      </c>
      <c r="I25" s="127">
        <v>5</v>
      </c>
      <c r="J25" s="127">
        <v>5</v>
      </c>
      <c r="K25" s="127">
        <v>5</v>
      </c>
      <c r="L25" s="127">
        <v>5</v>
      </c>
      <c r="M25" s="103">
        <v>5</v>
      </c>
      <c r="N25" s="103">
        <v>5</v>
      </c>
      <c r="O25" s="103">
        <v>5</v>
      </c>
      <c r="P25" s="103">
        <v>5</v>
      </c>
      <c r="Q25" s="103">
        <v>5</v>
      </c>
      <c r="R25" s="103">
        <v>5</v>
      </c>
      <c r="S25" s="103">
        <v>5</v>
      </c>
      <c r="T25" s="103">
        <v>5</v>
      </c>
      <c r="U25" s="103">
        <v>5</v>
      </c>
      <c r="V25" s="103">
        <v>5</v>
      </c>
      <c r="W25" s="103">
        <v>5</v>
      </c>
      <c r="X25" s="103">
        <v>5</v>
      </c>
      <c r="Y25" s="103">
        <v>5</v>
      </c>
      <c r="Z25" s="103">
        <v>21</v>
      </c>
      <c r="AA25" s="103">
        <v>21</v>
      </c>
      <c r="AB25" s="103">
        <v>21</v>
      </c>
      <c r="AC25" s="103">
        <v>21</v>
      </c>
      <c r="AD25" s="103">
        <v>21</v>
      </c>
      <c r="AE25" s="103">
        <v>21</v>
      </c>
      <c r="AF25" s="103">
        <v>21</v>
      </c>
      <c r="AG25" s="134">
        <v>24.2</v>
      </c>
      <c r="AH25" s="21">
        <f t="shared" si="2"/>
        <v>21</v>
      </c>
      <c r="AI25" s="20">
        <f t="shared" si="3"/>
        <v>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11</v>
      </c>
      <c r="C26" s="127">
        <v>11</v>
      </c>
      <c r="D26" s="127">
        <v>11</v>
      </c>
      <c r="E26" s="127">
        <v>11</v>
      </c>
      <c r="F26" s="127">
        <v>11</v>
      </c>
      <c r="G26" s="127">
        <v>11</v>
      </c>
      <c r="H26" s="127">
        <v>11</v>
      </c>
      <c r="I26" s="127">
        <v>11</v>
      </c>
      <c r="J26" s="127">
        <v>11</v>
      </c>
      <c r="K26" s="127">
        <v>11</v>
      </c>
      <c r="L26" s="127">
        <v>11</v>
      </c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2.5</v>
      </c>
      <c r="C27" s="127">
        <v>2.5</v>
      </c>
      <c r="D27" s="127">
        <v>2.5</v>
      </c>
      <c r="E27" s="127">
        <v>2.5</v>
      </c>
      <c r="F27" s="127">
        <v>2.5</v>
      </c>
      <c r="G27" s="127">
        <v>2.5</v>
      </c>
      <c r="H27" s="127">
        <v>2.5</v>
      </c>
      <c r="I27" s="127">
        <v>2.5</v>
      </c>
      <c r="J27" s="127">
        <v>2.5</v>
      </c>
      <c r="K27" s="127">
        <v>2.5</v>
      </c>
      <c r="L27" s="127">
        <v>2.5</v>
      </c>
      <c r="M27" s="103">
        <v>2.5</v>
      </c>
      <c r="N27" s="103">
        <v>2.5</v>
      </c>
      <c r="O27" s="103">
        <v>2.5</v>
      </c>
      <c r="P27" s="103">
        <v>2.5</v>
      </c>
      <c r="Q27" s="103">
        <v>2.5</v>
      </c>
      <c r="R27" s="103">
        <v>2.5</v>
      </c>
      <c r="S27" s="103">
        <v>2.5</v>
      </c>
      <c r="T27" s="103">
        <v>2.5</v>
      </c>
      <c r="U27" s="103">
        <v>2.5</v>
      </c>
      <c r="V27" s="103">
        <v>2.5</v>
      </c>
      <c r="W27" s="103">
        <v>2.5</v>
      </c>
      <c r="X27" s="103">
        <v>2.5</v>
      </c>
      <c r="Y27" s="103">
        <v>2.5</v>
      </c>
      <c r="Z27" s="103">
        <v>3.9</v>
      </c>
      <c r="AA27" s="103">
        <v>3.9</v>
      </c>
      <c r="AB27" s="127">
        <v>3.9</v>
      </c>
      <c r="AC27" s="127">
        <v>3.9</v>
      </c>
      <c r="AD27" s="127">
        <v>3.9</v>
      </c>
      <c r="AE27" s="127">
        <v>3.9</v>
      </c>
      <c r="AF27" s="127">
        <v>3.9</v>
      </c>
      <c r="AG27" s="134">
        <v>23.5</v>
      </c>
      <c r="AH27" s="21">
        <f t="shared" si="2"/>
        <v>3.9</v>
      </c>
      <c r="AI27" s="20">
        <f t="shared" si="3"/>
        <v>2.5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11</v>
      </c>
      <c r="C28" s="127">
        <v>11</v>
      </c>
      <c r="D28" s="127">
        <v>11</v>
      </c>
      <c r="E28" s="127">
        <v>11</v>
      </c>
      <c r="F28" s="127">
        <v>11</v>
      </c>
      <c r="G28" s="127">
        <v>11</v>
      </c>
      <c r="H28" s="127">
        <v>11</v>
      </c>
      <c r="I28" s="127">
        <v>11</v>
      </c>
      <c r="J28" s="127">
        <v>11</v>
      </c>
      <c r="K28" s="127">
        <v>11</v>
      </c>
      <c r="L28" s="127">
        <v>11</v>
      </c>
      <c r="M28" s="103">
        <v>11</v>
      </c>
      <c r="N28" s="103">
        <v>11</v>
      </c>
      <c r="O28" s="103">
        <v>11</v>
      </c>
      <c r="P28" s="103">
        <v>11</v>
      </c>
      <c r="Q28" s="103">
        <v>11</v>
      </c>
      <c r="R28" s="103">
        <v>11</v>
      </c>
      <c r="S28" s="103">
        <v>11</v>
      </c>
      <c r="T28" s="103">
        <v>11</v>
      </c>
      <c r="U28" s="103">
        <v>11</v>
      </c>
      <c r="V28" s="103">
        <v>11</v>
      </c>
      <c r="W28" s="103">
        <v>11</v>
      </c>
      <c r="X28" s="103">
        <v>11</v>
      </c>
      <c r="Y28" s="103">
        <v>11</v>
      </c>
      <c r="Z28" s="103">
        <v>11</v>
      </c>
      <c r="AA28" s="103">
        <v>11</v>
      </c>
      <c r="AB28" s="103">
        <v>11</v>
      </c>
      <c r="AC28" s="103">
        <v>11</v>
      </c>
      <c r="AD28" s="103">
        <v>11</v>
      </c>
      <c r="AE28" s="103">
        <v>11</v>
      </c>
      <c r="AF28" s="103">
        <v>11</v>
      </c>
      <c r="AG28" s="134">
        <v>22.2</v>
      </c>
      <c r="AH28" s="21">
        <f t="shared" si="2"/>
        <v>11</v>
      </c>
      <c r="AI28" s="20">
        <f t="shared" si="3"/>
        <v>11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03">
        <v>0</v>
      </c>
      <c r="N35" s="103">
        <v>0</v>
      </c>
      <c r="O35" s="103">
        <v>0</v>
      </c>
      <c r="P35" s="103">
        <v>0</v>
      </c>
      <c r="Q35" s="103">
        <v>0</v>
      </c>
      <c r="R35" s="103">
        <v>0</v>
      </c>
      <c r="S35" s="103">
        <v>0</v>
      </c>
      <c r="T35" s="103">
        <v>0</v>
      </c>
      <c r="U35" s="103">
        <v>0</v>
      </c>
      <c r="V35" s="103">
        <v>0</v>
      </c>
      <c r="W35" s="103">
        <v>0</v>
      </c>
      <c r="X35" s="103">
        <v>0</v>
      </c>
      <c r="Y35" s="103">
        <v>0</v>
      </c>
      <c r="Z35" s="103">
        <v>0</v>
      </c>
      <c r="AA35" s="103">
        <v>0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160</v>
      </c>
      <c r="C36" s="123">
        <v>160</v>
      </c>
      <c r="D36" s="123">
        <v>160</v>
      </c>
      <c r="E36" s="123">
        <v>160</v>
      </c>
      <c r="F36" s="123">
        <v>160</v>
      </c>
      <c r="G36" s="123">
        <v>160</v>
      </c>
      <c r="H36" s="123">
        <v>160</v>
      </c>
      <c r="I36" s="123">
        <v>160</v>
      </c>
      <c r="J36" s="123">
        <v>160</v>
      </c>
      <c r="K36" s="123">
        <v>160</v>
      </c>
      <c r="L36" s="123">
        <v>160</v>
      </c>
      <c r="M36" s="123">
        <v>160</v>
      </c>
      <c r="N36" s="123">
        <v>160</v>
      </c>
      <c r="O36" s="123">
        <v>160</v>
      </c>
      <c r="P36" s="123">
        <v>160</v>
      </c>
      <c r="Q36" s="123">
        <v>160</v>
      </c>
      <c r="R36" s="123">
        <v>160</v>
      </c>
      <c r="S36" s="123">
        <v>160</v>
      </c>
      <c r="T36" s="123">
        <v>160</v>
      </c>
      <c r="U36" s="123">
        <v>160</v>
      </c>
      <c r="V36" s="123">
        <v>160</v>
      </c>
      <c r="W36" s="123">
        <v>160</v>
      </c>
      <c r="X36" s="123">
        <v>160</v>
      </c>
      <c r="Y36" s="123">
        <v>160</v>
      </c>
      <c r="Z36" s="123">
        <v>170</v>
      </c>
      <c r="AA36" s="123">
        <v>170</v>
      </c>
      <c r="AB36" s="123">
        <v>170</v>
      </c>
      <c r="AC36" s="123">
        <v>170</v>
      </c>
      <c r="AD36" s="123">
        <v>170</v>
      </c>
      <c r="AE36" s="123">
        <v>170</v>
      </c>
      <c r="AF36" s="123">
        <v>170</v>
      </c>
      <c r="AG36" s="106">
        <v>85</v>
      </c>
      <c r="AH36" s="21">
        <f t="shared" si="2"/>
        <v>170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55</v>
      </c>
      <c r="C37" s="123">
        <v>60</v>
      </c>
      <c r="D37" s="123">
        <v>60</v>
      </c>
      <c r="E37" s="123">
        <v>60</v>
      </c>
      <c r="F37" s="123">
        <v>60</v>
      </c>
      <c r="G37" s="123">
        <v>63</v>
      </c>
      <c r="H37" s="123">
        <v>59</v>
      </c>
      <c r="I37" s="123">
        <v>66</v>
      </c>
      <c r="J37" s="123">
        <v>64</v>
      </c>
      <c r="K37" s="123">
        <v>61</v>
      </c>
      <c r="L37" s="123">
        <v>61</v>
      </c>
      <c r="M37" s="128">
        <f>31.7+25.9</f>
        <v>57.599999999999994</v>
      </c>
      <c r="N37" s="128">
        <f>28.8+24.9</f>
        <v>53.7</v>
      </c>
      <c r="O37" s="128">
        <f>33.6+25.8</f>
        <v>59.400000000000006</v>
      </c>
      <c r="P37" s="128">
        <f>35.2+24.6</f>
        <v>59.800000000000004</v>
      </c>
      <c r="Q37" s="128">
        <f>34+24.8</f>
        <v>58.8</v>
      </c>
      <c r="R37" s="128">
        <f>3.9+34.4</f>
        <v>38.299999999999997</v>
      </c>
      <c r="S37" s="128">
        <v>66.3</v>
      </c>
      <c r="T37" s="128">
        <v>69</v>
      </c>
      <c r="U37" s="128">
        <v>78.7</v>
      </c>
      <c r="V37" s="128">
        <v>86.4</v>
      </c>
      <c r="W37" s="128">
        <v>93.2</v>
      </c>
      <c r="X37" s="128">
        <v>94.3</v>
      </c>
      <c r="Y37" s="128">
        <v>99</v>
      </c>
      <c r="Z37" s="128">
        <v>96.3</v>
      </c>
      <c r="AA37" s="128">
        <v>93.5</v>
      </c>
      <c r="AB37" s="128">
        <f>29.5+66.7</f>
        <v>96.2</v>
      </c>
      <c r="AC37" s="128">
        <f>29.5+66.7</f>
        <v>96.2</v>
      </c>
      <c r="AD37" s="128">
        <f>29.5+66.7</f>
        <v>96.2</v>
      </c>
      <c r="AE37" s="128">
        <v>105</v>
      </c>
      <c r="AF37" s="128">
        <v>109</v>
      </c>
      <c r="AG37" s="106">
        <v>240</v>
      </c>
      <c r="AH37" s="21">
        <f t="shared" si="2"/>
        <v>109</v>
      </c>
      <c r="AI37" s="20">
        <f t="shared" si="3"/>
        <v>38.299999999999997</v>
      </c>
      <c r="AK37" s="42"/>
    </row>
    <row r="38" spans="1:88" ht="15.75" thickBot="1" x14ac:dyDescent="0.3">
      <c r="A38" s="100" t="s">
        <v>173</v>
      </c>
      <c r="B38" s="99">
        <f>SUM(B11:B36)</f>
        <v>591.70000000000005</v>
      </c>
      <c r="C38" s="99">
        <f t="shared" ref="C38:AF38" si="4">SUM(C11:C36)</f>
        <v>575.5</v>
      </c>
      <c r="D38" s="99">
        <f t="shared" si="4"/>
        <v>536.29999999999995</v>
      </c>
      <c r="E38" s="99">
        <f t="shared" si="4"/>
        <v>553.09999999999991</v>
      </c>
      <c r="F38" s="99">
        <f t="shared" si="4"/>
        <v>508.09999999999997</v>
      </c>
      <c r="G38" s="99">
        <f t="shared" si="4"/>
        <v>518.1</v>
      </c>
      <c r="H38" s="99">
        <f t="shared" si="4"/>
        <v>538.09999999999991</v>
      </c>
      <c r="I38" s="99">
        <f t="shared" si="4"/>
        <v>528.09999999999991</v>
      </c>
      <c r="J38" s="99">
        <f t="shared" si="4"/>
        <v>428.09999999999997</v>
      </c>
      <c r="K38" s="99">
        <f t="shared" si="4"/>
        <v>428.09999999999997</v>
      </c>
      <c r="L38" s="99">
        <f t="shared" si="4"/>
        <v>428.09999999999997</v>
      </c>
      <c r="M38" s="99">
        <f t="shared" si="4"/>
        <v>434.3</v>
      </c>
      <c r="N38" s="99">
        <f t="shared" si="4"/>
        <v>439.3</v>
      </c>
      <c r="O38" s="99">
        <f t="shared" si="4"/>
        <v>463.8</v>
      </c>
      <c r="P38" s="99">
        <f t="shared" si="4"/>
        <v>463.8</v>
      </c>
      <c r="Q38" s="99">
        <f t="shared" si="4"/>
        <v>486.8</v>
      </c>
      <c r="R38" s="99">
        <f t="shared" si="4"/>
        <v>476.7</v>
      </c>
      <c r="S38" s="99">
        <f t="shared" si="4"/>
        <v>488.8</v>
      </c>
      <c r="T38" s="99">
        <f t="shared" si="4"/>
        <v>448.8</v>
      </c>
      <c r="U38" s="99">
        <f t="shared" si="4"/>
        <v>498.79999999999995</v>
      </c>
      <c r="V38" s="99">
        <f t="shared" si="4"/>
        <v>528.79999999999995</v>
      </c>
      <c r="W38" s="99">
        <f t="shared" si="4"/>
        <v>478.8</v>
      </c>
      <c r="X38" s="99">
        <f t="shared" si="4"/>
        <v>454.6</v>
      </c>
      <c r="Y38" s="99">
        <f t="shared" si="4"/>
        <v>444.8</v>
      </c>
      <c r="Z38" s="99">
        <f t="shared" si="4"/>
        <v>617.79999999999995</v>
      </c>
      <c r="AA38" s="99">
        <f t="shared" si="4"/>
        <v>617.79999999999995</v>
      </c>
      <c r="AB38" s="99">
        <f t="shared" si="4"/>
        <v>617.79999999999995</v>
      </c>
      <c r="AC38" s="99">
        <f t="shared" si="4"/>
        <v>572.79999999999995</v>
      </c>
      <c r="AD38" s="99">
        <f t="shared" si="4"/>
        <v>572.79999999999995</v>
      </c>
      <c r="AE38" s="99">
        <f t="shared" si="4"/>
        <v>517.79999999999995</v>
      </c>
      <c r="AF38" s="99">
        <f t="shared" si="4"/>
        <v>497.2</v>
      </c>
      <c r="AG38" s="106">
        <f>SUM(AG11:AG37)</f>
        <v>1492.8299999999997</v>
      </c>
      <c r="AH38" s="21">
        <f t="shared" si="2"/>
        <v>617.79999999999995</v>
      </c>
      <c r="AI38" s="20">
        <f t="shared" si="3"/>
        <v>428.09999999999997</v>
      </c>
      <c r="AK38" s="42"/>
    </row>
    <row r="39" spans="1:88" x14ac:dyDescent="0.25">
      <c r="A39" s="109" t="s">
        <v>172</v>
      </c>
      <c r="B39" s="127">
        <v>138</v>
      </c>
      <c r="C39" s="123">
        <v>121</v>
      </c>
      <c r="D39" s="123">
        <v>110</v>
      </c>
      <c r="E39" s="123">
        <v>90</v>
      </c>
      <c r="F39" s="123">
        <v>80</v>
      </c>
      <c r="G39" s="123">
        <v>91</v>
      </c>
      <c r="H39" s="123">
        <v>91</v>
      </c>
      <c r="I39" s="123">
        <v>94</v>
      </c>
      <c r="J39" s="123">
        <v>91</v>
      </c>
      <c r="K39" s="123">
        <v>121</v>
      </c>
      <c r="L39" s="123">
        <v>121</v>
      </c>
      <c r="M39" s="103">
        <v>121.1</v>
      </c>
      <c r="N39" s="103">
        <v>97.7</v>
      </c>
      <c r="O39" s="103">
        <v>91</v>
      </c>
      <c r="P39" s="103">
        <v>88.7</v>
      </c>
      <c r="Q39" s="103">
        <v>97.2</v>
      </c>
      <c r="R39" s="103">
        <v>97.2</v>
      </c>
      <c r="S39" s="103">
        <v>97.2</v>
      </c>
      <c r="T39" s="103">
        <v>97.2</v>
      </c>
      <c r="U39" s="103">
        <v>111.3</v>
      </c>
      <c r="V39" s="103">
        <v>119.5</v>
      </c>
      <c r="W39" s="103">
        <v>119.5</v>
      </c>
      <c r="X39" s="103">
        <v>119.5</v>
      </c>
      <c r="Y39" s="103">
        <v>140.19999999999999</v>
      </c>
      <c r="Z39" s="103">
        <v>145.1</v>
      </c>
      <c r="AA39" s="103">
        <v>145.1</v>
      </c>
      <c r="AB39" s="103">
        <v>143.6</v>
      </c>
      <c r="AC39" s="103">
        <v>128</v>
      </c>
      <c r="AD39" s="103">
        <v>116</v>
      </c>
      <c r="AE39" s="103">
        <v>91</v>
      </c>
      <c r="AF39" s="127">
        <v>60</v>
      </c>
      <c r="AG39" s="108">
        <v>144</v>
      </c>
      <c r="AH39" s="21">
        <f t="shared" si="2"/>
        <v>145.1</v>
      </c>
      <c r="AI39" s="20">
        <f t="shared" si="3"/>
        <v>60</v>
      </c>
      <c r="AK39" s="42"/>
    </row>
    <row r="40" spans="1:88" x14ac:dyDescent="0.25">
      <c r="A40" s="107" t="s">
        <v>171</v>
      </c>
      <c r="B40" s="123">
        <v>69.5</v>
      </c>
      <c r="C40" s="123">
        <v>72</v>
      </c>
      <c r="D40" s="123">
        <v>62</v>
      </c>
      <c r="E40" s="123">
        <v>35.9</v>
      </c>
      <c r="F40" s="123">
        <v>51.5</v>
      </c>
      <c r="G40" s="123">
        <v>60</v>
      </c>
      <c r="H40" s="123">
        <v>61</v>
      </c>
      <c r="I40" s="123">
        <v>70</v>
      </c>
      <c r="J40" s="123">
        <v>52</v>
      </c>
      <c r="K40" s="123">
        <v>71</v>
      </c>
      <c r="L40" s="123">
        <v>71</v>
      </c>
      <c r="M40" s="73">
        <v>71.2</v>
      </c>
      <c r="N40" s="73">
        <v>58.7</v>
      </c>
      <c r="O40" s="73">
        <v>55</v>
      </c>
      <c r="P40" s="73">
        <v>53</v>
      </c>
      <c r="Q40" s="73">
        <v>67.900000000000006</v>
      </c>
      <c r="R40" s="73">
        <v>69.2</v>
      </c>
      <c r="S40" s="73">
        <v>69.2</v>
      </c>
      <c r="T40" s="73">
        <v>70.599999999999994</v>
      </c>
      <c r="U40" s="73">
        <v>35.5</v>
      </c>
      <c r="V40" s="73">
        <v>60.3</v>
      </c>
      <c r="W40" s="73">
        <v>60.3</v>
      </c>
      <c r="X40" s="73">
        <v>71.099999999999994</v>
      </c>
      <c r="Y40" s="73">
        <v>70.2</v>
      </c>
      <c r="Z40" s="73">
        <v>70.2</v>
      </c>
      <c r="AA40" s="73">
        <v>70.2</v>
      </c>
      <c r="AB40" s="73">
        <v>60.1</v>
      </c>
      <c r="AC40" s="73">
        <v>65</v>
      </c>
      <c r="AD40" s="73">
        <v>47</v>
      </c>
      <c r="AE40" s="73">
        <v>35</v>
      </c>
      <c r="AF40" s="123">
        <v>25</v>
      </c>
      <c r="AG40" s="106">
        <v>70</v>
      </c>
      <c r="AH40" s="21">
        <f t="shared" si="2"/>
        <v>72</v>
      </c>
      <c r="AI40" s="20">
        <f t="shared" si="3"/>
        <v>25</v>
      </c>
      <c r="AK40" s="42"/>
    </row>
    <row r="41" spans="1:88" x14ac:dyDescent="0.25">
      <c r="A41" s="107" t="s">
        <v>170</v>
      </c>
      <c r="B41" s="123">
        <v>66.8</v>
      </c>
      <c r="C41" s="123">
        <v>66.400000000000006</v>
      </c>
      <c r="D41" s="123">
        <v>66</v>
      </c>
      <c r="E41" s="123">
        <v>67</v>
      </c>
      <c r="F41" s="123">
        <v>66.400000000000006</v>
      </c>
      <c r="G41" s="123">
        <v>66.7</v>
      </c>
      <c r="H41" s="123">
        <v>67</v>
      </c>
      <c r="I41" s="123">
        <v>67</v>
      </c>
      <c r="J41" s="123">
        <v>57</v>
      </c>
      <c r="K41" s="123">
        <v>57</v>
      </c>
      <c r="L41" s="123">
        <v>66</v>
      </c>
      <c r="M41" s="73">
        <v>66.5</v>
      </c>
      <c r="N41" s="73">
        <v>57.1</v>
      </c>
      <c r="O41" s="73">
        <v>51</v>
      </c>
      <c r="P41" s="73">
        <v>60.7</v>
      </c>
      <c r="Q41" s="73">
        <v>60.9</v>
      </c>
      <c r="R41" s="73">
        <v>53.1</v>
      </c>
      <c r="S41" s="73">
        <v>53.1</v>
      </c>
      <c r="T41" s="73">
        <v>53.1</v>
      </c>
      <c r="U41" s="73">
        <v>62.5</v>
      </c>
      <c r="V41" s="73">
        <v>52.3</v>
      </c>
      <c r="W41" s="73">
        <v>52.3</v>
      </c>
      <c r="X41" s="73">
        <v>52.4</v>
      </c>
      <c r="Y41" s="73">
        <v>67.8</v>
      </c>
      <c r="Z41" s="73">
        <v>67.8</v>
      </c>
      <c r="AA41" s="73">
        <v>67.8</v>
      </c>
      <c r="AB41" s="73">
        <v>67</v>
      </c>
      <c r="AC41" s="73">
        <v>67</v>
      </c>
      <c r="AD41" s="73">
        <v>50</v>
      </c>
      <c r="AE41" s="73">
        <v>50</v>
      </c>
      <c r="AF41" s="123">
        <v>46</v>
      </c>
      <c r="AG41" s="106">
        <v>69</v>
      </c>
      <c r="AH41" s="21">
        <f t="shared" si="2"/>
        <v>67.8</v>
      </c>
      <c r="AI41" s="20">
        <f t="shared" si="3"/>
        <v>46</v>
      </c>
      <c r="AK41" s="42"/>
    </row>
    <row r="42" spans="1:88" x14ac:dyDescent="0.25">
      <c r="A42" s="107" t="s">
        <v>169</v>
      </c>
      <c r="B42" s="123">
        <v>60</v>
      </c>
      <c r="C42" s="123">
        <v>60.4</v>
      </c>
      <c r="D42" s="123">
        <v>60.4</v>
      </c>
      <c r="E42" s="123">
        <v>60.4</v>
      </c>
      <c r="F42" s="123">
        <v>60.4</v>
      </c>
      <c r="G42" s="123">
        <v>60.4</v>
      </c>
      <c r="H42" s="123">
        <v>60.4</v>
      </c>
      <c r="I42" s="123">
        <v>60.4</v>
      </c>
      <c r="J42" s="123">
        <v>60.4</v>
      </c>
      <c r="K42" s="123">
        <v>60.4</v>
      </c>
      <c r="L42" s="123">
        <v>60.4</v>
      </c>
      <c r="M42" s="73">
        <v>60.2</v>
      </c>
      <c r="N42" s="73">
        <v>60.4</v>
      </c>
      <c r="O42" s="73">
        <v>60.4</v>
      </c>
      <c r="P42" s="73">
        <v>60.2</v>
      </c>
      <c r="Q42" s="73">
        <v>60.2</v>
      </c>
      <c r="R42" s="73">
        <v>60.2</v>
      </c>
      <c r="S42" s="73">
        <v>60.2</v>
      </c>
      <c r="T42" s="73">
        <v>60.2</v>
      </c>
      <c r="U42" s="73">
        <v>60.7</v>
      </c>
      <c r="V42" s="73">
        <v>60.7</v>
      </c>
      <c r="W42" s="73">
        <v>60.7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73">
        <v>60.7</v>
      </c>
      <c r="AG42" s="106">
        <v>60</v>
      </c>
      <c r="AH42" s="21">
        <f t="shared" si="2"/>
        <v>60.7</v>
      </c>
      <c r="AI42" s="20">
        <f t="shared" si="3"/>
        <v>60</v>
      </c>
      <c r="AK42" s="42"/>
    </row>
    <row r="43" spans="1:88" x14ac:dyDescent="0.25">
      <c r="A43" s="107" t="s">
        <v>168</v>
      </c>
      <c r="B43" s="123">
        <v>15</v>
      </c>
      <c r="C43" s="123">
        <v>15</v>
      </c>
      <c r="D43" s="123">
        <v>15</v>
      </c>
      <c r="E43" s="123">
        <v>15</v>
      </c>
      <c r="F43" s="123">
        <v>10</v>
      </c>
      <c r="G43" s="123">
        <v>10</v>
      </c>
      <c r="H43" s="123">
        <v>10</v>
      </c>
      <c r="I43" s="123">
        <v>10</v>
      </c>
      <c r="J43" s="123">
        <v>10</v>
      </c>
      <c r="K43" s="123">
        <v>0</v>
      </c>
      <c r="L43" s="123">
        <v>0</v>
      </c>
      <c r="M43" s="103">
        <v>0</v>
      </c>
      <c r="N43" s="103">
        <v>15</v>
      </c>
      <c r="O43" s="103">
        <v>15</v>
      </c>
      <c r="P43" s="103">
        <v>30</v>
      </c>
      <c r="Q43" s="103">
        <v>30</v>
      </c>
      <c r="R43" s="103">
        <v>30</v>
      </c>
      <c r="S43" s="103">
        <v>24</v>
      </c>
      <c r="T43" s="103">
        <v>15</v>
      </c>
      <c r="U43" s="103">
        <v>15</v>
      </c>
      <c r="V43" s="103">
        <v>15</v>
      </c>
      <c r="W43" s="103">
        <v>15</v>
      </c>
      <c r="X43" s="103">
        <v>10</v>
      </c>
      <c r="Y43" s="103">
        <v>20</v>
      </c>
      <c r="Z43" s="73">
        <v>20</v>
      </c>
      <c r="AA43" s="73">
        <v>20</v>
      </c>
      <c r="AB43" s="73">
        <v>18.899999999999999</v>
      </c>
      <c r="AC43" s="73">
        <v>18.899999999999999</v>
      </c>
      <c r="AD43" s="73">
        <v>18.899999999999999</v>
      </c>
      <c r="AE43" s="73">
        <v>15</v>
      </c>
      <c r="AF43" s="73">
        <v>15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17.5</v>
      </c>
      <c r="C45" s="123">
        <v>17.5</v>
      </c>
      <c r="D45" s="123">
        <v>17.5</v>
      </c>
      <c r="E45" s="123">
        <v>17.5</v>
      </c>
      <c r="F45" s="123">
        <v>17.5</v>
      </c>
      <c r="G45" s="123">
        <v>17.5</v>
      </c>
      <c r="H45" s="123">
        <v>17.5</v>
      </c>
      <c r="I45" s="123">
        <v>17.5</v>
      </c>
      <c r="J45" s="123">
        <v>17.5</v>
      </c>
      <c r="K45" s="123">
        <v>17.5</v>
      </c>
      <c r="L45" s="123">
        <v>17.5</v>
      </c>
      <c r="M45" s="103">
        <v>17.5</v>
      </c>
      <c r="N45" s="103">
        <v>17.5</v>
      </c>
      <c r="O45" s="103">
        <v>17.5</v>
      </c>
      <c r="P45" s="103">
        <v>17.399999999999999</v>
      </c>
      <c r="Q45" s="103">
        <v>17.399999999999999</v>
      </c>
      <c r="R45" s="103">
        <v>17.399999999999999</v>
      </c>
      <c r="S45" s="103">
        <v>17.399999999999999</v>
      </c>
      <c r="T45" s="103">
        <v>17.399999999999999</v>
      </c>
      <c r="U45" s="103">
        <v>17.399999999999999</v>
      </c>
      <c r="V45" s="103">
        <v>17.399999999999999</v>
      </c>
      <c r="W45" s="103">
        <v>17.399999999999999</v>
      </c>
      <c r="X45" s="103">
        <v>17.399999999999999</v>
      </c>
      <c r="Y45" s="103">
        <v>17.399999999999999</v>
      </c>
      <c r="Z45" s="103">
        <v>17.399999999999999</v>
      </c>
      <c r="AA45" s="103">
        <v>17.399999999999999</v>
      </c>
      <c r="AB45" s="103">
        <v>17.5</v>
      </c>
      <c r="AC45" s="103">
        <v>17.5</v>
      </c>
      <c r="AD45" s="103">
        <v>17.5</v>
      </c>
      <c r="AE45" s="103">
        <v>17.5</v>
      </c>
      <c r="AF45" s="103">
        <v>17.5</v>
      </c>
      <c r="AG45" s="106">
        <v>24</v>
      </c>
      <c r="AH45" s="21">
        <f t="shared" si="2"/>
        <v>17.5</v>
      </c>
      <c r="AI45" s="20">
        <f t="shared" si="3"/>
        <v>17.399999999999999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7.2</v>
      </c>
      <c r="C48" s="123">
        <v>7.2</v>
      </c>
      <c r="D48" s="123">
        <v>7.2</v>
      </c>
      <c r="E48" s="123">
        <v>7.2</v>
      </c>
      <c r="F48" s="123">
        <v>7.2</v>
      </c>
      <c r="G48" s="123">
        <v>7.2</v>
      </c>
      <c r="H48" s="123">
        <v>7.2</v>
      </c>
      <c r="I48" s="123">
        <v>7.2</v>
      </c>
      <c r="J48" s="123">
        <v>7.2</v>
      </c>
      <c r="K48" s="123">
        <v>7.2</v>
      </c>
      <c r="L48" s="123">
        <v>7.2</v>
      </c>
      <c r="M48" s="103">
        <v>7.2</v>
      </c>
      <c r="N48" s="103">
        <v>7.2</v>
      </c>
      <c r="O48" s="103">
        <v>7.2</v>
      </c>
      <c r="P48" s="103">
        <v>7.2</v>
      </c>
      <c r="Q48" s="103">
        <v>7.2</v>
      </c>
      <c r="R48" s="10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23">
        <v>8.6999999999999993</v>
      </c>
      <c r="C49" s="123">
        <v>8.6999999999999993</v>
      </c>
      <c r="D49" s="123">
        <v>8.6999999999999993</v>
      </c>
      <c r="E49" s="123">
        <v>8.6999999999999993</v>
      </c>
      <c r="F49" s="123">
        <v>8.6999999999999993</v>
      </c>
      <c r="G49" s="123">
        <v>8.6999999999999993</v>
      </c>
      <c r="H49" s="123">
        <v>8.6999999999999993</v>
      </c>
      <c r="I49" s="123">
        <v>8.6999999999999993</v>
      </c>
      <c r="J49" s="123">
        <v>8.6999999999999993</v>
      </c>
      <c r="K49" s="123">
        <v>8.6999999999999993</v>
      </c>
      <c r="L49" s="123">
        <v>8.6999999999999993</v>
      </c>
      <c r="M49" s="103">
        <v>8.6999999999999993</v>
      </c>
      <c r="N49" s="103">
        <v>8.6999999999999993</v>
      </c>
      <c r="O49" s="103">
        <v>8.6999999999999993</v>
      </c>
      <c r="P49" s="103">
        <v>8.6999999999999993</v>
      </c>
      <c r="Q49" s="103">
        <v>8.6999999999999993</v>
      </c>
      <c r="R49" s="103">
        <v>8.6999999999999993</v>
      </c>
      <c r="S49" s="103">
        <v>8.6999999999999993</v>
      </c>
      <c r="T49" s="103">
        <v>8.6999999999999993</v>
      </c>
      <c r="U49" s="103">
        <v>8.6999999999999993</v>
      </c>
      <c r="V49" s="103">
        <v>8.6999999999999993</v>
      </c>
      <c r="W49" s="103">
        <v>8.6999999999999993</v>
      </c>
      <c r="X49" s="103">
        <v>8.6999999999999993</v>
      </c>
      <c r="Y49" s="10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0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8.6999999999999993</v>
      </c>
      <c r="AK49" s="42"/>
    </row>
    <row r="50" spans="1:37" x14ac:dyDescent="0.25">
      <c r="A50" s="107" t="s">
        <v>161</v>
      </c>
      <c r="B50" s="123">
        <v>3</v>
      </c>
      <c r="C50" s="123">
        <v>3</v>
      </c>
      <c r="D50" s="123">
        <v>3</v>
      </c>
      <c r="E50" s="123">
        <v>3</v>
      </c>
      <c r="F50" s="123">
        <v>3</v>
      </c>
      <c r="G50" s="123">
        <v>3</v>
      </c>
      <c r="H50" s="123">
        <v>3</v>
      </c>
      <c r="I50" s="123">
        <v>3</v>
      </c>
      <c r="J50" s="123">
        <v>3</v>
      </c>
      <c r="K50" s="123">
        <v>3</v>
      </c>
      <c r="L50" s="123">
        <v>3</v>
      </c>
      <c r="M50" s="103">
        <v>3</v>
      </c>
      <c r="N50" s="103">
        <v>3</v>
      </c>
      <c r="O50" s="103">
        <v>3</v>
      </c>
      <c r="P50" s="103">
        <v>3</v>
      </c>
      <c r="Q50" s="103">
        <v>3</v>
      </c>
      <c r="R50" s="103">
        <v>3</v>
      </c>
      <c r="S50" s="103">
        <v>3</v>
      </c>
      <c r="T50" s="103">
        <v>3</v>
      </c>
      <c r="U50" s="103">
        <v>3</v>
      </c>
      <c r="V50" s="103">
        <v>3</v>
      </c>
      <c r="W50" s="103">
        <v>3</v>
      </c>
      <c r="X50" s="103">
        <v>3</v>
      </c>
      <c r="Y50" s="10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03">
        <v>3</v>
      </c>
      <c r="AG50" s="106">
        <v>6.2</v>
      </c>
      <c r="AH50" s="21">
        <f t="shared" si="2"/>
        <v>3</v>
      </c>
      <c r="AI50" s="20">
        <f t="shared" si="3"/>
        <v>3</v>
      </c>
      <c r="AK50" s="42"/>
    </row>
    <row r="51" spans="1:37" ht="15.75" thickBot="1" x14ac:dyDescent="0.3">
      <c r="A51" s="125" t="s">
        <v>17</v>
      </c>
      <c r="B51" s="124">
        <f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401.24</v>
      </c>
      <c r="C52" s="99">
        <f t="shared" ref="C52:AF52" si="6">SUM(C39:C51)</f>
        <v>386.73999999999995</v>
      </c>
      <c r="D52" s="99">
        <f t="shared" si="6"/>
        <v>365.34</v>
      </c>
      <c r="E52" s="99">
        <f t="shared" si="6"/>
        <v>320.24</v>
      </c>
      <c r="F52" s="99">
        <f t="shared" si="6"/>
        <v>320.24</v>
      </c>
      <c r="G52" s="99">
        <f t="shared" si="6"/>
        <v>340.03999999999996</v>
      </c>
      <c r="H52" s="99">
        <f t="shared" si="6"/>
        <v>341.34</v>
      </c>
      <c r="I52" s="99">
        <f t="shared" si="6"/>
        <v>353.34</v>
      </c>
      <c r="J52" s="99">
        <f t="shared" si="6"/>
        <v>322.33999999999997</v>
      </c>
      <c r="K52" s="99">
        <f t="shared" si="6"/>
        <v>361.34</v>
      </c>
      <c r="L52" s="99">
        <f t="shared" si="6"/>
        <v>370.34</v>
      </c>
      <c r="M52" s="99">
        <f t="shared" si="6"/>
        <v>370.94</v>
      </c>
      <c r="N52" s="99">
        <f t="shared" si="6"/>
        <v>340.84</v>
      </c>
      <c r="O52" s="99">
        <f t="shared" si="6"/>
        <v>324.33999999999997</v>
      </c>
      <c r="P52" s="99">
        <f t="shared" si="6"/>
        <v>344.43999999999994</v>
      </c>
      <c r="Q52" s="99">
        <f t="shared" si="6"/>
        <v>368.04</v>
      </c>
      <c r="R52" s="99">
        <f t="shared" si="6"/>
        <v>361.53999999999996</v>
      </c>
      <c r="S52" s="99">
        <f t="shared" si="6"/>
        <v>355.53999999999996</v>
      </c>
      <c r="T52" s="99">
        <f t="shared" si="6"/>
        <v>347.94</v>
      </c>
      <c r="U52" s="99">
        <f t="shared" si="6"/>
        <v>336.84</v>
      </c>
      <c r="V52" s="99">
        <f t="shared" si="6"/>
        <v>359.64</v>
      </c>
      <c r="W52" s="99">
        <f t="shared" si="6"/>
        <v>359.64</v>
      </c>
      <c r="X52" s="99">
        <f t="shared" si="6"/>
        <v>365.53999999999996</v>
      </c>
      <c r="Y52" s="99">
        <f t="shared" si="6"/>
        <v>410.73999999999995</v>
      </c>
      <c r="Z52" s="99">
        <f t="shared" si="6"/>
        <v>415.64</v>
      </c>
      <c r="AA52" s="99">
        <f t="shared" si="6"/>
        <v>415.64</v>
      </c>
      <c r="AB52" s="99">
        <f t="shared" si="6"/>
        <v>402.23999999999995</v>
      </c>
      <c r="AC52" s="99">
        <f t="shared" si="6"/>
        <v>391.53999999999996</v>
      </c>
      <c r="AD52" s="99">
        <f t="shared" si="6"/>
        <v>344.53999999999996</v>
      </c>
      <c r="AE52" s="99">
        <f t="shared" si="6"/>
        <v>303.64</v>
      </c>
      <c r="AF52" s="99">
        <f t="shared" si="6"/>
        <v>258.64</v>
      </c>
      <c r="AG52" s="98">
        <f>SUM(AG39:AG51)</f>
        <v>489.91</v>
      </c>
      <c r="AH52" s="21">
        <f t="shared" si="2"/>
        <v>415.64</v>
      </c>
      <c r="AI52" s="20">
        <f t="shared" si="3"/>
        <v>258.64</v>
      </c>
      <c r="AK52" s="42"/>
    </row>
    <row r="53" spans="1:37" x14ac:dyDescent="0.25">
      <c r="A53" s="109" t="s">
        <v>159</v>
      </c>
      <c r="B53" s="103">
        <v>0</v>
      </c>
      <c r="C53" s="103">
        <v>0</v>
      </c>
      <c r="D53" s="103">
        <v>0</v>
      </c>
      <c r="E53" s="103">
        <v>0</v>
      </c>
      <c r="F53" s="103">
        <v>0</v>
      </c>
      <c r="G53" s="103">
        <v>0</v>
      </c>
      <c r="H53" s="103">
        <v>0</v>
      </c>
      <c r="I53" s="103">
        <v>0</v>
      </c>
      <c r="J53" s="103">
        <v>0</v>
      </c>
      <c r="K53" s="123">
        <v>14</v>
      </c>
      <c r="L53" s="123">
        <v>14</v>
      </c>
      <c r="M53" s="122">
        <v>13.6</v>
      </c>
      <c r="N53" s="122">
        <v>14</v>
      </c>
      <c r="O53" s="122">
        <v>29.6</v>
      </c>
      <c r="P53" s="122">
        <v>13.7</v>
      </c>
      <c r="Q53" s="103">
        <v>0</v>
      </c>
      <c r="R53" s="103">
        <v>0</v>
      </c>
      <c r="S53" s="103">
        <v>20</v>
      </c>
      <c r="T53" s="103">
        <v>20</v>
      </c>
      <c r="U53" s="103">
        <v>30.4</v>
      </c>
      <c r="V53" s="103">
        <v>25.1</v>
      </c>
      <c r="W53" s="103">
        <v>40</v>
      </c>
      <c r="X53" s="103">
        <v>39.700000000000003</v>
      </c>
      <c r="Y53" s="103">
        <v>44.9</v>
      </c>
      <c r="Z53" s="103">
        <v>60</v>
      </c>
      <c r="AA53" s="103">
        <v>60</v>
      </c>
      <c r="AB53" s="103">
        <v>0</v>
      </c>
      <c r="AC53" s="103">
        <v>0</v>
      </c>
      <c r="AD53" s="103">
        <v>0</v>
      </c>
      <c r="AE53" s="103">
        <v>0</v>
      </c>
      <c r="AF53" s="103">
        <v>0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0</v>
      </c>
      <c r="C54" s="73">
        <v>0</v>
      </c>
      <c r="D54" s="73">
        <v>0</v>
      </c>
      <c r="E54" s="73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123">
        <v>5.4</v>
      </c>
      <c r="L54" s="123">
        <v>6</v>
      </c>
      <c r="M54" s="122">
        <v>5.9</v>
      </c>
      <c r="N54" s="122">
        <v>7.1</v>
      </c>
      <c r="O54" s="122">
        <v>14.4</v>
      </c>
      <c r="P54" s="122">
        <v>6.8</v>
      </c>
      <c r="Q54" s="73">
        <v>0</v>
      </c>
      <c r="R54" s="73">
        <v>0</v>
      </c>
      <c r="S54" s="103">
        <v>8.5</v>
      </c>
      <c r="T54" s="103">
        <v>9.1</v>
      </c>
      <c r="U54" s="103">
        <v>15.2</v>
      </c>
      <c r="V54" s="73">
        <v>13.2</v>
      </c>
      <c r="W54" s="73">
        <v>18.100000000000001</v>
      </c>
      <c r="X54" s="73">
        <v>16.7</v>
      </c>
      <c r="Y54" s="73">
        <v>18.3</v>
      </c>
      <c r="Z54" s="73">
        <v>30</v>
      </c>
      <c r="AA54" s="73">
        <v>30</v>
      </c>
      <c r="AB54" s="73">
        <v>6.9</v>
      </c>
      <c r="AC54" s="73">
        <v>0</v>
      </c>
      <c r="AD54" s="73">
        <v>0</v>
      </c>
      <c r="AE54" s="73">
        <v>0</v>
      </c>
      <c r="AF54" s="73">
        <v>0</v>
      </c>
      <c r="AG54" s="106">
        <v>32</v>
      </c>
      <c r="AH54" s="21">
        <f t="shared" si="2"/>
        <v>30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0</v>
      </c>
      <c r="C55" s="118">
        <v>0</v>
      </c>
      <c r="D55" s="118">
        <v>0</v>
      </c>
      <c r="E55" s="118">
        <v>0</v>
      </c>
      <c r="F55" s="118">
        <v>0</v>
      </c>
      <c r="G55" s="118">
        <v>0</v>
      </c>
      <c r="H55" s="118">
        <v>0</v>
      </c>
      <c r="I55" s="118">
        <v>0</v>
      </c>
      <c r="J55" s="118">
        <v>0</v>
      </c>
      <c r="K55" s="120">
        <v>3</v>
      </c>
      <c r="L55" s="120">
        <v>3</v>
      </c>
      <c r="M55" s="119">
        <v>2.1</v>
      </c>
      <c r="N55" s="119">
        <v>2.6</v>
      </c>
      <c r="O55" s="119">
        <v>5.3</v>
      </c>
      <c r="P55" s="119">
        <v>2.5</v>
      </c>
      <c r="Q55" s="118">
        <v>0</v>
      </c>
      <c r="R55" s="118">
        <v>0</v>
      </c>
      <c r="S55" s="103">
        <v>3.1</v>
      </c>
      <c r="T55" s="103">
        <v>3.3</v>
      </c>
      <c r="U55" s="103">
        <v>5.5</v>
      </c>
      <c r="V55" s="118">
        <v>4.8</v>
      </c>
      <c r="W55" s="118">
        <v>6.6</v>
      </c>
      <c r="X55" s="118">
        <v>6.1</v>
      </c>
      <c r="Y55" s="118">
        <v>6.7</v>
      </c>
      <c r="Z55" s="118">
        <v>11</v>
      </c>
      <c r="AA55" s="118">
        <v>11</v>
      </c>
      <c r="AB55" s="118">
        <v>2</v>
      </c>
      <c r="AC55" s="118">
        <v>0</v>
      </c>
      <c r="AD55" s="118">
        <v>0</v>
      </c>
      <c r="AE55" s="118">
        <v>0</v>
      </c>
      <c r="AF55" s="118">
        <v>0</v>
      </c>
      <c r="AG55" s="117">
        <v>14</v>
      </c>
      <c r="AH55" s="21">
        <f t="shared" si="2"/>
        <v>11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0</v>
      </c>
      <c r="C56" s="99">
        <f>SUM(C53:C55)</f>
        <v>0</v>
      </c>
      <c r="D56" s="99">
        <f t="shared" ref="D56:AF56" si="7">SUM(D53:D55)</f>
        <v>0</v>
      </c>
      <c r="E56" s="99">
        <f t="shared" si="7"/>
        <v>0</v>
      </c>
      <c r="F56" s="99">
        <f t="shared" si="7"/>
        <v>0</v>
      </c>
      <c r="G56" s="99">
        <f t="shared" si="7"/>
        <v>0</v>
      </c>
      <c r="H56" s="99">
        <f t="shared" si="7"/>
        <v>0</v>
      </c>
      <c r="I56" s="99">
        <f t="shared" si="7"/>
        <v>0</v>
      </c>
      <c r="J56" s="99">
        <f t="shared" si="7"/>
        <v>0</v>
      </c>
      <c r="K56" s="99">
        <f t="shared" si="7"/>
        <v>22.4</v>
      </c>
      <c r="L56" s="99">
        <f t="shared" si="7"/>
        <v>23</v>
      </c>
      <c r="M56" s="99">
        <f t="shared" si="7"/>
        <v>21.6</v>
      </c>
      <c r="N56" s="99">
        <f t="shared" si="7"/>
        <v>23.700000000000003</v>
      </c>
      <c r="O56" s="99">
        <f t="shared" si="7"/>
        <v>49.3</v>
      </c>
      <c r="P56" s="99">
        <f t="shared" si="7"/>
        <v>23</v>
      </c>
      <c r="Q56" s="99">
        <f t="shared" si="7"/>
        <v>0</v>
      </c>
      <c r="R56" s="99">
        <f t="shared" si="7"/>
        <v>0</v>
      </c>
      <c r="S56" s="99">
        <f t="shared" si="7"/>
        <v>31.6</v>
      </c>
      <c r="T56" s="99">
        <f t="shared" si="7"/>
        <v>32.4</v>
      </c>
      <c r="U56" s="99">
        <f t="shared" si="7"/>
        <v>51.099999999999994</v>
      </c>
      <c r="V56" s="99">
        <f t="shared" si="7"/>
        <v>43.099999999999994</v>
      </c>
      <c r="W56" s="99">
        <f t="shared" si="7"/>
        <v>64.7</v>
      </c>
      <c r="X56" s="99">
        <f t="shared" si="7"/>
        <v>62.500000000000007</v>
      </c>
      <c r="Y56" s="99">
        <f t="shared" si="7"/>
        <v>69.900000000000006</v>
      </c>
      <c r="Z56" s="99">
        <f t="shared" si="7"/>
        <v>101</v>
      </c>
      <c r="AA56" s="99">
        <f t="shared" si="7"/>
        <v>101</v>
      </c>
      <c r="AB56" s="99">
        <f t="shared" si="7"/>
        <v>8.9</v>
      </c>
      <c r="AC56" s="99">
        <f t="shared" si="7"/>
        <v>0</v>
      </c>
      <c r="AD56" s="99">
        <f t="shared" si="7"/>
        <v>0</v>
      </c>
      <c r="AE56" s="99">
        <f t="shared" si="7"/>
        <v>0</v>
      </c>
      <c r="AF56" s="99">
        <f t="shared" si="7"/>
        <v>0</v>
      </c>
      <c r="AG56" s="98">
        <f>SUM(AG53:AG55)</f>
        <v>106</v>
      </c>
      <c r="AH56" s="21">
        <f t="shared" si="2"/>
        <v>101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31</v>
      </c>
      <c r="C57" s="103">
        <v>49</v>
      </c>
      <c r="D57" s="103">
        <v>48</v>
      </c>
      <c r="E57" s="103">
        <v>64</v>
      </c>
      <c r="F57" s="103">
        <v>67</v>
      </c>
      <c r="G57" s="103">
        <v>65</v>
      </c>
      <c r="H57" s="103">
        <v>67</v>
      </c>
      <c r="I57" s="103">
        <v>64</v>
      </c>
      <c r="J57" s="103">
        <v>48</v>
      </c>
      <c r="K57" s="103">
        <v>35</v>
      </c>
      <c r="L57" s="103">
        <v>38</v>
      </c>
      <c r="M57" s="103">
        <v>37.200000000000003</v>
      </c>
      <c r="N57" s="103">
        <v>32.1</v>
      </c>
      <c r="O57" s="103">
        <v>29.7</v>
      </c>
      <c r="P57" s="103">
        <v>38.799999999999997</v>
      </c>
      <c r="Q57" s="103">
        <v>38.5</v>
      </c>
      <c r="R57" s="103">
        <v>37.5</v>
      </c>
      <c r="S57" s="103">
        <v>53.1</v>
      </c>
      <c r="T57" s="103">
        <v>61.4</v>
      </c>
      <c r="U57" s="103">
        <v>62</v>
      </c>
      <c r="V57" s="103">
        <v>62</v>
      </c>
      <c r="W57" s="103">
        <v>62</v>
      </c>
      <c r="X57" s="103">
        <v>59</v>
      </c>
      <c r="Y57" s="103">
        <v>46</v>
      </c>
      <c r="Z57" s="103">
        <v>53.6</v>
      </c>
      <c r="AA57" s="103">
        <v>53.6</v>
      </c>
      <c r="AB57" s="103">
        <v>44.4</v>
      </c>
      <c r="AC57" s="103">
        <v>45</v>
      </c>
      <c r="AD57" s="103">
        <v>44</v>
      </c>
      <c r="AE57" s="103">
        <v>45</v>
      </c>
      <c r="AF57" s="103">
        <v>40</v>
      </c>
      <c r="AG57" s="108"/>
      <c r="AH57" s="21">
        <f t="shared" si="2"/>
        <v>67</v>
      </c>
      <c r="AI57" s="20">
        <f t="shared" si="3"/>
        <v>29.7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112</v>
      </c>
      <c r="K58" s="73">
        <v>122</v>
      </c>
      <c r="L58" s="73">
        <v>122</v>
      </c>
      <c r="M58" s="103">
        <f>94.3+32</f>
        <v>126.3</v>
      </c>
      <c r="N58" s="103">
        <v>86.6</v>
      </c>
      <c r="O58" s="103">
        <v>0</v>
      </c>
      <c r="P58" s="103">
        <v>0</v>
      </c>
      <c r="Q58" s="103">
        <v>0</v>
      </c>
      <c r="R58" s="103">
        <v>0</v>
      </c>
      <c r="S58" s="103">
        <v>0</v>
      </c>
      <c r="T58" s="103">
        <v>0</v>
      </c>
      <c r="U58" s="103">
        <v>0</v>
      </c>
      <c r="V58" s="103">
        <v>0</v>
      </c>
      <c r="W58" s="103">
        <v>0</v>
      </c>
      <c r="X58" s="116">
        <v>0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126.3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135</v>
      </c>
      <c r="C59" s="73">
        <v>137</v>
      </c>
      <c r="D59" s="73">
        <v>160</v>
      </c>
      <c r="E59" s="73">
        <v>157</v>
      </c>
      <c r="F59" s="73">
        <v>165</v>
      </c>
      <c r="G59" s="73">
        <v>167</v>
      </c>
      <c r="H59" s="103">
        <v>153</v>
      </c>
      <c r="I59" s="103">
        <v>178</v>
      </c>
      <c r="J59" s="103">
        <v>169</v>
      </c>
      <c r="K59" s="103">
        <v>181</v>
      </c>
      <c r="L59" s="103">
        <v>223</v>
      </c>
      <c r="M59" s="73">
        <v>220</v>
      </c>
      <c r="N59" s="73">
        <v>307</v>
      </c>
      <c r="O59" s="73">
        <v>315</v>
      </c>
      <c r="P59" s="73">
        <v>314</v>
      </c>
      <c r="Q59" s="73">
        <v>329</v>
      </c>
      <c r="R59" s="73">
        <v>290</v>
      </c>
      <c r="S59" s="73">
        <v>294.39999999999998</v>
      </c>
      <c r="T59" s="73">
        <v>307.3</v>
      </c>
      <c r="U59" s="73">
        <v>289</v>
      </c>
      <c r="V59" s="73">
        <v>198</v>
      </c>
      <c r="W59" s="73">
        <v>253</v>
      </c>
      <c r="X59" s="115">
        <v>224.2</v>
      </c>
      <c r="Y59" s="115">
        <v>292</v>
      </c>
      <c r="Z59" s="115">
        <v>208.3</v>
      </c>
      <c r="AA59" s="115">
        <v>196</v>
      </c>
      <c r="AB59" s="73">
        <v>188.8</v>
      </c>
      <c r="AC59" s="73">
        <v>219</v>
      </c>
      <c r="AD59" s="73">
        <v>200</v>
      </c>
      <c r="AE59" s="73">
        <v>201</v>
      </c>
      <c r="AF59" s="73">
        <v>192</v>
      </c>
      <c r="AG59" s="113"/>
      <c r="AH59" s="21">
        <f t="shared" si="2"/>
        <v>329</v>
      </c>
      <c r="AI59" s="20">
        <f t="shared" si="3"/>
        <v>135</v>
      </c>
      <c r="AK59" s="42"/>
    </row>
    <row r="60" spans="1:37" x14ac:dyDescent="0.25">
      <c r="A60" s="107" t="s">
        <v>139</v>
      </c>
      <c r="B60" s="77">
        <v>12</v>
      </c>
      <c r="C60" s="77">
        <v>12</v>
      </c>
      <c r="D60" s="77">
        <v>12</v>
      </c>
      <c r="E60" s="77">
        <v>12</v>
      </c>
      <c r="F60" s="77">
        <v>32</v>
      </c>
      <c r="G60" s="77">
        <v>32</v>
      </c>
      <c r="H60" s="77">
        <v>32</v>
      </c>
      <c r="I60" s="77">
        <v>32</v>
      </c>
      <c r="J60" s="77">
        <v>45</v>
      </c>
      <c r="K60" s="77">
        <v>46</v>
      </c>
      <c r="L60" s="77">
        <v>55</v>
      </c>
      <c r="M60" s="73">
        <v>49.6</v>
      </c>
      <c r="N60" s="73">
        <v>47.9</v>
      </c>
      <c r="O60" s="73">
        <v>47.9</v>
      </c>
      <c r="P60" s="73">
        <v>49.7</v>
      </c>
      <c r="Q60" s="73">
        <v>50.5</v>
      </c>
      <c r="R60" s="73">
        <v>50.2</v>
      </c>
      <c r="S60" s="73">
        <v>52</v>
      </c>
      <c r="T60" s="73">
        <v>52</v>
      </c>
      <c r="U60" s="73">
        <v>51</v>
      </c>
      <c r="V60" s="73">
        <v>50</v>
      </c>
      <c r="W60" s="73">
        <v>50</v>
      </c>
      <c r="X60" s="73">
        <v>48</v>
      </c>
      <c r="Y60" s="73">
        <v>15</v>
      </c>
      <c r="Z60" s="73">
        <v>15</v>
      </c>
      <c r="AA60" s="73">
        <v>15</v>
      </c>
      <c r="AB60" s="73">
        <v>49</v>
      </c>
      <c r="AC60" s="73">
        <v>50</v>
      </c>
      <c r="AD60" s="73">
        <v>50</v>
      </c>
      <c r="AE60" s="73">
        <v>49</v>
      </c>
      <c r="AF60" s="77">
        <v>48</v>
      </c>
      <c r="AG60" s="113"/>
      <c r="AH60" s="21">
        <f t="shared" si="2"/>
        <v>55</v>
      </c>
      <c r="AI60" s="20">
        <f t="shared" si="3"/>
        <v>12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>
        <v>0</v>
      </c>
      <c r="J61" s="77">
        <v>72.400000000000006</v>
      </c>
      <c r="K61" s="77">
        <v>78</v>
      </c>
      <c r="L61" s="77">
        <v>73.2</v>
      </c>
      <c r="M61" s="103">
        <v>68.099999999999994</v>
      </c>
      <c r="N61" s="103">
        <v>71</v>
      </c>
      <c r="O61" s="103">
        <v>80.099999999999994</v>
      </c>
      <c r="P61" s="103">
        <v>73</v>
      </c>
      <c r="Q61" s="103">
        <v>76.900000000000006</v>
      </c>
      <c r="R61" s="103">
        <v>62.5</v>
      </c>
      <c r="S61" s="103">
        <v>78.3</v>
      </c>
      <c r="T61" s="103">
        <v>81.5</v>
      </c>
      <c r="U61" s="103">
        <v>82.6</v>
      </c>
      <c r="V61" s="103">
        <v>78</v>
      </c>
      <c r="W61" s="103">
        <v>69</v>
      </c>
      <c r="X61" s="103">
        <v>61.3</v>
      </c>
      <c r="Y61" s="103">
        <v>0</v>
      </c>
      <c r="Z61" s="103">
        <v>0</v>
      </c>
      <c r="AA61" s="103">
        <v>0</v>
      </c>
      <c r="AB61" s="103">
        <v>63.9</v>
      </c>
      <c r="AC61" s="103">
        <v>69.400000000000006</v>
      </c>
      <c r="AD61" s="103">
        <v>76.400000000000006</v>
      </c>
      <c r="AE61" s="103">
        <v>85</v>
      </c>
      <c r="AF61" s="103">
        <v>83</v>
      </c>
      <c r="AG61" s="113"/>
      <c r="AH61" s="21">
        <f t="shared" si="2"/>
        <v>85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73">
        <v>8</v>
      </c>
      <c r="N62" s="73">
        <v>8</v>
      </c>
      <c r="O62" s="73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103">
        <v>0</v>
      </c>
      <c r="N63" s="103">
        <v>0</v>
      </c>
      <c r="O63" s="103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7</v>
      </c>
      <c r="C64" s="77">
        <v>7</v>
      </c>
      <c r="D64" s="77">
        <v>7</v>
      </c>
      <c r="E64" s="77">
        <v>7</v>
      </c>
      <c r="F64" s="77">
        <v>7</v>
      </c>
      <c r="G64" s="77">
        <v>7</v>
      </c>
      <c r="H64" s="77">
        <v>7</v>
      </c>
      <c r="I64" s="77">
        <v>7</v>
      </c>
      <c r="J64" s="77">
        <v>7</v>
      </c>
      <c r="K64" s="77">
        <v>7</v>
      </c>
      <c r="L64" s="77">
        <v>7</v>
      </c>
      <c r="M64" s="77">
        <v>7</v>
      </c>
      <c r="N64" s="77">
        <v>7</v>
      </c>
      <c r="O64" s="77">
        <v>7</v>
      </c>
      <c r="P64" s="77">
        <v>7</v>
      </c>
      <c r="Q64" s="77">
        <v>7</v>
      </c>
      <c r="R64" s="77">
        <v>7</v>
      </c>
      <c r="S64" s="77">
        <v>7</v>
      </c>
      <c r="T64" s="77">
        <v>7</v>
      </c>
      <c r="U64" s="77">
        <v>7</v>
      </c>
      <c r="V64" s="77">
        <v>7</v>
      </c>
      <c r="W64" s="77">
        <v>7</v>
      </c>
      <c r="X64" s="77">
        <v>7</v>
      </c>
      <c r="Y64" s="77">
        <v>7</v>
      </c>
      <c r="Z64" s="77">
        <v>7</v>
      </c>
      <c r="AA64" s="77">
        <v>7</v>
      </c>
      <c r="AB64" s="77">
        <v>7</v>
      </c>
      <c r="AC64" s="77">
        <v>7</v>
      </c>
      <c r="AD64" s="77">
        <v>7</v>
      </c>
      <c r="AE64" s="77">
        <v>7</v>
      </c>
      <c r="AF64" s="77">
        <v>7</v>
      </c>
      <c r="AG64" s="113"/>
      <c r="AH64" s="21">
        <f t="shared" si="2"/>
        <v>7</v>
      </c>
      <c r="AI64" s="20">
        <f t="shared" si="3"/>
        <v>7</v>
      </c>
      <c r="AK64" s="42"/>
    </row>
    <row r="65" spans="1:88" x14ac:dyDescent="0.25">
      <c r="A65" s="107" t="s">
        <v>150</v>
      </c>
      <c r="B65" s="77">
        <v>3</v>
      </c>
      <c r="C65" s="77">
        <v>3</v>
      </c>
      <c r="D65" s="77">
        <v>3</v>
      </c>
      <c r="E65" s="77">
        <v>3</v>
      </c>
      <c r="F65" s="77">
        <v>3</v>
      </c>
      <c r="G65" s="77">
        <v>3</v>
      </c>
      <c r="H65" s="77">
        <v>3</v>
      </c>
      <c r="I65" s="77">
        <v>3</v>
      </c>
      <c r="J65" s="77">
        <v>3</v>
      </c>
      <c r="K65" s="77">
        <v>3</v>
      </c>
      <c r="L65" s="77">
        <v>3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3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7</v>
      </c>
      <c r="C66" s="70">
        <v>7</v>
      </c>
      <c r="D66" s="70">
        <v>7</v>
      </c>
      <c r="E66" s="70">
        <v>7</v>
      </c>
      <c r="F66" s="70">
        <v>7</v>
      </c>
      <c r="G66" s="70">
        <v>7</v>
      </c>
      <c r="H66" s="70">
        <v>7</v>
      </c>
      <c r="I66" s="70">
        <v>7</v>
      </c>
      <c r="J66" s="70">
        <v>7</v>
      </c>
      <c r="K66" s="70">
        <v>7</v>
      </c>
      <c r="L66" s="70">
        <v>7</v>
      </c>
      <c r="M66" s="73">
        <v>7</v>
      </c>
      <c r="N66" s="73">
        <v>7</v>
      </c>
      <c r="O66" s="73">
        <v>7</v>
      </c>
      <c r="P66" s="70">
        <v>7</v>
      </c>
      <c r="Q66" s="70">
        <v>7</v>
      </c>
      <c r="R66" s="70">
        <v>7</v>
      </c>
      <c r="S66" s="70">
        <v>7</v>
      </c>
      <c r="T66" s="70">
        <v>7</v>
      </c>
      <c r="U66" s="70">
        <v>7</v>
      </c>
      <c r="V66" s="70">
        <v>7</v>
      </c>
      <c r="W66" s="70">
        <v>7</v>
      </c>
      <c r="X66" s="70">
        <v>7</v>
      </c>
      <c r="Y66" s="70">
        <v>7</v>
      </c>
      <c r="Z66" s="70">
        <v>7</v>
      </c>
      <c r="AA66" s="70">
        <v>7</v>
      </c>
      <c r="AB66" s="70">
        <v>7</v>
      </c>
      <c r="AC66" s="70">
        <v>7</v>
      </c>
      <c r="AD66" s="70">
        <v>7</v>
      </c>
      <c r="AE66" s="70">
        <v>7</v>
      </c>
      <c r="AF66" s="70">
        <v>7</v>
      </c>
      <c r="AG66" s="102"/>
      <c r="AH66" s="21">
        <f t="shared" si="2"/>
        <v>7</v>
      </c>
      <c r="AI66" s="20">
        <f t="shared" si="3"/>
        <v>7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103">
        <v>0</v>
      </c>
      <c r="N67" s="103">
        <v>0</v>
      </c>
      <c r="O67" s="103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203</v>
      </c>
      <c r="C68" s="99">
        <f>SUM(C57:C67)</f>
        <v>223</v>
      </c>
      <c r="D68" s="99">
        <f t="shared" ref="D68:AF68" si="8">SUM(D57:D67)</f>
        <v>245</v>
      </c>
      <c r="E68" s="99">
        <f t="shared" si="8"/>
        <v>258</v>
      </c>
      <c r="F68" s="99">
        <f t="shared" si="8"/>
        <v>289</v>
      </c>
      <c r="G68" s="99">
        <f t="shared" si="8"/>
        <v>289</v>
      </c>
      <c r="H68" s="99">
        <f t="shared" si="8"/>
        <v>277</v>
      </c>
      <c r="I68" s="99">
        <f t="shared" si="8"/>
        <v>299</v>
      </c>
      <c r="J68" s="99">
        <f t="shared" si="8"/>
        <v>471.4</v>
      </c>
      <c r="K68" s="99">
        <f t="shared" si="8"/>
        <v>487</v>
      </c>
      <c r="L68" s="99">
        <f t="shared" si="8"/>
        <v>536.20000000000005</v>
      </c>
      <c r="M68" s="99">
        <f t="shared" si="8"/>
        <v>523.20000000000005</v>
      </c>
      <c r="N68" s="99">
        <f t="shared" si="8"/>
        <v>566.59999999999991</v>
      </c>
      <c r="O68" s="99">
        <f t="shared" si="8"/>
        <v>494.69999999999993</v>
      </c>
      <c r="P68" s="99">
        <f t="shared" si="8"/>
        <v>497.5</v>
      </c>
      <c r="Q68" s="99">
        <f t="shared" si="8"/>
        <v>516.9</v>
      </c>
      <c r="R68" s="99">
        <f t="shared" si="8"/>
        <v>462.2</v>
      </c>
      <c r="S68" s="99">
        <f t="shared" si="8"/>
        <v>499.8</v>
      </c>
      <c r="T68" s="99">
        <f t="shared" si="8"/>
        <v>524.20000000000005</v>
      </c>
      <c r="U68" s="99">
        <f t="shared" si="8"/>
        <v>506.6</v>
      </c>
      <c r="V68" s="99">
        <f t="shared" si="8"/>
        <v>410</v>
      </c>
      <c r="W68" s="99">
        <f t="shared" si="8"/>
        <v>456</v>
      </c>
      <c r="X68" s="99">
        <f t="shared" si="8"/>
        <v>414.5</v>
      </c>
      <c r="Y68" s="99">
        <f t="shared" si="8"/>
        <v>375</v>
      </c>
      <c r="Z68" s="99">
        <f t="shared" si="8"/>
        <v>298.90000000000003</v>
      </c>
      <c r="AA68" s="99">
        <f t="shared" si="8"/>
        <v>286.60000000000002</v>
      </c>
      <c r="AB68" s="99">
        <f t="shared" si="8"/>
        <v>368.1</v>
      </c>
      <c r="AC68" s="99">
        <f t="shared" si="8"/>
        <v>405.4</v>
      </c>
      <c r="AD68" s="99">
        <f t="shared" si="8"/>
        <v>392.4</v>
      </c>
      <c r="AE68" s="99">
        <f t="shared" si="8"/>
        <v>402</v>
      </c>
      <c r="AF68" s="99">
        <f t="shared" si="8"/>
        <v>385</v>
      </c>
      <c r="AG68" s="98">
        <f>SUM(AG57:AG67)</f>
        <v>0</v>
      </c>
      <c r="AH68" s="21">
        <f t="shared" si="2"/>
        <v>566.59999999999991</v>
      </c>
      <c r="AI68" s="20">
        <f t="shared" si="3"/>
        <v>203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1195.94</v>
      </c>
      <c r="C73" s="110">
        <f>C68+C56+C52+C38+C72</f>
        <v>1185.24</v>
      </c>
      <c r="D73" s="110">
        <f t="shared" ref="D73:AG73" si="10">D68+D56+D52+D38+D72</f>
        <v>1146.6399999999999</v>
      </c>
      <c r="E73" s="110">
        <f t="shared" si="10"/>
        <v>1131.3399999999999</v>
      </c>
      <c r="F73" s="110">
        <f t="shared" si="10"/>
        <v>1117.3399999999999</v>
      </c>
      <c r="G73" s="110">
        <f t="shared" si="10"/>
        <v>1147.1399999999999</v>
      </c>
      <c r="H73" s="110">
        <f t="shared" si="10"/>
        <v>1156.4399999999998</v>
      </c>
      <c r="I73" s="110">
        <f t="shared" si="10"/>
        <v>1180.4399999999998</v>
      </c>
      <c r="J73" s="110">
        <f t="shared" si="10"/>
        <v>1221.8399999999999</v>
      </c>
      <c r="K73" s="110">
        <f t="shared" si="10"/>
        <v>1298.8399999999999</v>
      </c>
      <c r="L73" s="110">
        <f t="shared" si="10"/>
        <v>1357.6399999999999</v>
      </c>
      <c r="M73" s="110">
        <f t="shared" si="10"/>
        <v>1350.04</v>
      </c>
      <c r="N73" s="110">
        <f t="shared" si="10"/>
        <v>1370.4399999999998</v>
      </c>
      <c r="O73" s="110">
        <f t="shared" si="10"/>
        <v>1332.1399999999999</v>
      </c>
      <c r="P73" s="110">
        <f t="shared" si="10"/>
        <v>1328.74</v>
      </c>
      <c r="Q73" s="110">
        <f t="shared" si="10"/>
        <v>1371.74</v>
      </c>
      <c r="R73" s="110">
        <f t="shared" si="10"/>
        <v>1300.44</v>
      </c>
      <c r="S73" s="110">
        <f t="shared" si="10"/>
        <v>1375.74</v>
      </c>
      <c r="T73" s="110">
        <f t="shared" si="10"/>
        <v>1353.34</v>
      </c>
      <c r="U73" s="110">
        <f t="shared" si="10"/>
        <v>1393.34</v>
      </c>
      <c r="V73" s="110">
        <f t="shared" si="10"/>
        <v>1341.54</v>
      </c>
      <c r="W73" s="110">
        <f t="shared" si="10"/>
        <v>1359.14</v>
      </c>
      <c r="X73" s="110">
        <f t="shared" si="10"/>
        <v>1297.1399999999999</v>
      </c>
      <c r="Y73" s="110">
        <f t="shared" si="10"/>
        <v>1300.4399999999998</v>
      </c>
      <c r="Z73" s="110">
        <f t="shared" si="10"/>
        <v>1433.34</v>
      </c>
      <c r="AA73" s="110">
        <f t="shared" si="10"/>
        <v>1421.04</v>
      </c>
      <c r="AB73" s="110">
        <f t="shared" si="10"/>
        <v>1397.04</v>
      </c>
      <c r="AC73" s="110">
        <f t="shared" si="10"/>
        <v>1369.7399999999998</v>
      </c>
      <c r="AD73" s="110">
        <f t="shared" si="10"/>
        <v>1309.7399999999998</v>
      </c>
      <c r="AE73" s="110">
        <f t="shared" si="10"/>
        <v>1223.44</v>
      </c>
      <c r="AF73" s="110">
        <f t="shared" si="10"/>
        <v>1140.8399999999999</v>
      </c>
      <c r="AG73" s="110">
        <f t="shared" si="10"/>
        <v>2144.14</v>
      </c>
      <c r="AH73" s="21">
        <f t="shared" si="2"/>
        <v>1433.34</v>
      </c>
      <c r="AI73" s="20">
        <f t="shared" si="3"/>
        <v>1117.3399999999999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1195.94</v>
      </c>
      <c r="C75" s="110">
        <f>C73+C74</f>
        <v>1185.24</v>
      </c>
      <c r="D75" s="110">
        <f t="shared" ref="D75:AF75" si="11">D72+D68+D56+D52+D38+D74</f>
        <v>1146.6399999999999</v>
      </c>
      <c r="E75" s="110">
        <f t="shared" si="11"/>
        <v>1131.3399999999999</v>
      </c>
      <c r="F75" s="110">
        <f t="shared" si="11"/>
        <v>1117.3399999999999</v>
      </c>
      <c r="G75" s="110">
        <f t="shared" si="11"/>
        <v>1147.1399999999999</v>
      </c>
      <c r="H75" s="110">
        <f t="shared" si="11"/>
        <v>1156.4399999999998</v>
      </c>
      <c r="I75" s="110">
        <f t="shared" si="11"/>
        <v>1180.4399999999998</v>
      </c>
      <c r="J75" s="110">
        <f t="shared" si="11"/>
        <v>1221.8399999999999</v>
      </c>
      <c r="K75" s="110">
        <f t="shared" si="11"/>
        <v>1298.8399999999999</v>
      </c>
      <c r="L75" s="110">
        <f t="shared" si="11"/>
        <v>1357.6399999999999</v>
      </c>
      <c r="M75" s="110">
        <f t="shared" si="11"/>
        <v>1350.04</v>
      </c>
      <c r="N75" s="110">
        <f t="shared" si="11"/>
        <v>1370.4399999999998</v>
      </c>
      <c r="O75" s="110">
        <f t="shared" si="11"/>
        <v>1332.1399999999999</v>
      </c>
      <c r="P75" s="110">
        <f t="shared" si="11"/>
        <v>1328.74</v>
      </c>
      <c r="Q75" s="110">
        <f t="shared" si="11"/>
        <v>1371.74</v>
      </c>
      <c r="R75" s="110">
        <f t="shared" si="11"/>
        <v>1300.44</v>
      </c>
      <c r="S75" s="110">
        <f t="shared" si="11"/>
        <v>1375.74</v>
      </c>
      <c r="T75" s="110">
        <f t="shared" si="11"/>
        <v>1353.34</v>
      </c>
      <c r="U75" s="110">
        <f t="shared" si="11"/>
        <v>1393.34</v>
      </c>
      <c r="V75" s="110">
        <f t="shared" si="11"/>
        <v>1341.54</v>
      </c>
      <c r="W75" s="110">
        <f t="shared" si="11"/>
        <v>1359.14</v>
      </c>
      <c r="X75" s="110">
        <f t="shared" si="11"/>
        <v>1297.1399999999999</v>
      </c>
      <c r="Y75" s="110">
        <f t="shared" si="11"/>
        <v>1300.4399999999998</v>
      </c>
      <c r="Z75" s="110">
        <f t="shared" si="11"/>
        <v>1433.34</v>
      </c>
      <c r="AA75" s="110">
        <f t="shared" si="11"/>
        <v>1421.04</v>
      </c>
      <c r="AB75" s="110">
        <f t="shared" si="11"/>
        <v>1397.04</v>
      </c>
      <c r="AC75" s="110">
        <f t="shared" si="11"/>
        <v>1369.7399999999998</v>
      </c>
      <c r="AD75" s="110">
        <f t="shared" si="11"/>
        <v>1309.7399999999998</v>
      </c>
      <c r="AE75" s="110">
        <f t="shared" si="11"/>
        <v>1223.44</v>
      </c>
      <c r="AF75" s="110">
        <f t="shared" si="11"/>
        <v>1140.8399999999999</v>
      </c>
      <c r="AG75" s="98">
        <f>AG72+AG68+AG56+AG52+AG38+AG74</f>
        <v>2144.14</v>
      </c>
      <c r="AH75" s="21">
        <f t="shared" si="2"/>
        <v>1433.34</v>
      </c>
      <c r="AI75" s="20">
        <f t="shared" si="3"/>
        <v>1117.3399999999999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2391.88</v>
      </c>
      <c r="C83" s="99">
        <f t="shared" ref="C83:AG83" si="20">SUM(C70:C82)</f>
        <v>2370.48</v>
      </c>
      <c r="D83" s="99">
        <f t="shared" si="20"/>
        <v>2293.2799999999997</v>
      </c>
      <c r="E83" s="99">
        <f t="shared" si="20"/>
        <v>2262.6799999999998</v>
      </c>
      <c r="F83" s="99">
        <f t="shared" si="20"/>
        <v>2234.6799999999998</v>
      </c>
      <c r="G83" s="99">
        <f t="shared" si="20"/>
        <v>2294.2799999999997</v>
      </c>
      <c r="H83" s="99">
        <f t="shared" si="20"/>
        <v>2312.8799999999997</v>
      </c>
      <c r="I83" s="99">
        <f t="shared" si="20"/>
        <v>2360.8799999999997</v>
      </c>
      <c r="J83" s="99">
        <f t="shared" si="20"/>
        <v>2443.6799999999998</v>
      </c>
      <c r="K83" s="99">
        <f t="shared" si="20"/>
        <v>2597.6799999999998</v>
      </c>
      <c r="L83" s="99">
        <f t="shared" si="20"/>
        <v>2715.2799999999997</v>
      </c>
      <c r="M83" s="99">
        <f t="shared" si="20"/>
        <v>2700.08</v>
      </c>
      <c r="N83" s="99">
        <f t="shared" si="20"/>
        <v>2740.8799999999997</v>
      </c>
      <c r="O83" s="99">
        <f t="shared" si="20"/>
        <v>2664.2799999999997</v>
      </c>
      <c r="P83" s="99">
        <f t="shared" si="20"/>
        <v>2657.48</v>
      </c>
      <c r="Q83" s="99">
        <f t="shared" si="20"/>
        <v>2743.48</v>
      </c>
      <c r="R83" s="99">
        <f t="shared" si="20"/>
        <v>2600.88</v>
      </c>
      <c r="S83" s="99">
        <f t="shared" si="20"/>
        <v>2751.48</v>
      </c>
      <c r="T83" s="99">
        <f t="shared" si="20"/>
        <v>2706.68</v>
      </c>
      <c r="U83" s="99">
        <f t="shared" si="20"/>
        <v>2786.68</v>
      </c>
      <c r="V83" s="99">
        <f t="shared" si="20"/>
        <v>2683.08</v>
      </c>
      <c r="W83" s="99">
        <f t="shared" si="20"/>
        <v>2718.28</v>
      </c>
      <c r="X83" s="99">
        <f t="shared" si="20"/>
        <v>2594.2799999999997</v>
      </c>
      <c r="Y83" s="99">
        <f t="shared" si="20"/>
        <v>2600.8799999999997</v>
      </c>
      <c r="Z83" s="99">
        <f t="shared" si="20"/>
        <v>2866.68</v>
      </c>
      <c r="AA83" s="99">
        <f t="shared" si="20"/>
        <v>2842.08</v>
      </c>
      <c r="AB83" s="99">
        <f t="shared" si="20"/>
        <v>2794.08</v>
      </c>
      <c r="AC83" s="99">
        <f t="shared" si="20"/>
        <v>2739.4799999999996</v>
      </c>
      <c r="AD83" s="99">
        <f t="shared" si="20"/>
        <v>2619.4799999999996</v>
      </c>
      <c r="AE83" s="99">
        <f t="shared" si="20"/>
        <v>2446.88</v>
      </c>
      <c r="AF83" s="99">
        <f t="shared" si="20"/>
        <v>2281.6799999999998</v>
      </c>
      <c r="AG83" s="98">
        <f t="shared" si="20"/>
        <v>4360.08</v>
      </c>
      <c r="AH83" s="21">
        <f t="shared" si="13"/>
        <v>2866.68</v>
      </c>
      <c r="AI83" s="20">
        <f t="shared" si="14"/>
        <v>2234.6799999999998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49.93</v>
      </c>
      <c r="C84" s="96">
        <v>49.902999999999999</v>
      </c>
      <c r="D84" s="96">
        <v>49.9</v>
      </c>
      <c r="E84" s="96">
        <v>49.988</v>
      </c>
      <c r="F84" s="96">
        <v>49.908000000000001</v>
      </c>
      <c r="G84" s="96">
        <v>49.929000000000002</v>
      </c>
      <c r="H84" s="96">
        <v>49.881</v>
      </c>
      <c r="I84" s="96">
        <v>50.009</v>
      </c>
      <c r="J84" s="96">
        <v>49.963999999999999</v>
      </c>
      <c r="K84" s="96">
        <v>50.027999999999999</v>
      </c>
      <c r="L84" s="96">
        <v>49.997</v>
      </c>
      <c r="M84" s="96">
        <v>50.054000000000002</v>
      </c>
      <c r="N84" s="96">
        <v>50.09</v>
      </c>
      <c r="O84" s="96">
        <v>50.07</v>
      </c>
      <c r="P84" s="96">
        <v>50.1</v>
      </c>
      <c r="Q84" s="96">
        <v>50.09</v>
      </c>
      <c r="R84" s="96">
        <v>50.1</v>
      </c>
      <c r="S84" s="96">
        <v>50.081000000000003</v>
      </c>
      <c r="T84" s="96">
        <v>49.997999999999998</v>
      </c>
      <c r="U84" s="96">
        <v>49.985999999999997</v>
      </c>
      <c r="V84" s="96">
        <v>50.042000000000002</v>
      </c>
      <c r="W84" s="96">
        <v>49.87</v>
      </c>
      <c r="X84" s="96">
        <v>50.055999999999997</v>
      </c>
      <c r="Y84" s="96">
        <v>50.027999999999999</v>
      </c>
      <c r="Z84" s="96">
        <v>50.067</v>
      </c>
      <c r="AA84" s="96">
        <v>49.866999999999997</v>
      </c>
      <c r="AB84" s="96">
        <v>49.981999999999999</v>
      </c>
      <c r="AC84" s="96">
        <v>49.99</v>
      </c>
      <c r="AD84" s="96">
        <v>50</v>
      </c>
      <c r="AE84" s="96">
        <v>49.866999999999997</v>
      </c>
      <c r="AF84" s="96">
        <v>49.87</v>
      </c>
      <c r="AG84" s="95"/>
      <c r="AH84" s="21">
        <f t="shared" si="13"/>
        <v>50.1</v>
      </c>
      <c r="AI84" s="20">
        <f t="shared" si="14"/>
        <v>49.866999999999997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125</v>
      </c>
      <c r="C85" s="90">
        <v>125</v>
      </c>
      <c r="D85" s="73">
        <v>126.6</v>
      </c>
      <c r="E85" s="73">
        <v>126.6</v>
      </c>
      <c r="F85" s="73">
        <v>126</v>
      </c>
      <c r="G85" s="73">
        <v>126</v>
      </c>
      <c r="H85" s="73">
        <v>125</v>
      </c>
      <c r="I85" s="73">
        <v>124</v>
      </c>
      <c r="J85" s="73">
        <v>126</v>
      </c>
      <c r="K85" s="73">
        <v>126</v>
      </c>
      <c r="L85" s="73">
        <v>124</v>
      </c>
      <c r="M85" s="73">
        <v>125.5</v>
      </c>
      <c r="N85" s="73">
        <v>123.1</v>
      </c>
      <c r="O85" s="73">
        <v>124.2</v>
      </c>
      <c r="P85" s="73">
        <v>123.4</v>
      </c>
      <c r="Q85" s="73">
        <v>121.3</v>
      </c>
      <c r="R85" s="73">
        <v>123</v>
      </c>
      <c r="S85" s="73">
        <v>124</v>
      </c>
      <c r="T85" s="73">
        <v>124.2</v>
      </c>
      <c r="U85" s="94">
        <v>124.2</v>
      </c>
      <c r="V85" s="94">
        <v>125.7</v>
      </c>
      <c r="W85" s="94">
        <v>125</v>
      </c>
      <c r="X85" s="94">
        <v>127.6</v>
      </c>
      <c r="Y85" s="94">
        <v>125.9</v>
      </c>
      <c r="Z85" s="94">
        <v>125.5</v>
      </c>
      <c r="AA85" s="94">
        <v>125.5</v>
      </c>
      <c r="AB85" s="73">
        <v>124.7</v>
      </c>
      <c r="AC85" s="73">
        <v>125</v>
      </c>
      <c r="AD85" s="73">
        <v>126.4</v>
      </c>
      <c r="AE85" s="73">
        <v>127.5</v>
      </c>
      <c r="AF85" s="73">
        <v>126.6</v>
      </c>
      <c r="AG85" s="89"/>
      <c r="AH85" s="21">
        <f t="shared" si="13"/>
        <v>127.6</v>
      </c>
      <c r="AI85" s="20">
        <f t="shared" si="14"/>
        <v>121.3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129.5</v>
      </c>
      <c r="C86" s="90">
        <v>129.5</v>
      </c>
      <c r="D86" s="73">
        <v>130</v>
      </c>
      <c r="E86" s="73">
        <v>130</v>
      </c>
      <c r="F86" s="73">
        <v>130</v>
      </c>
      <c r="G86" s="73">
        <v>130</v>
      </c>
      <c r="H86" s="73">
        <v>129</v>
      </c>
      <c r="I86" s="73">
        <v>128</v>
      </c>
      <c r="J86" s="73">
        <v>129</v>
      </c>
      <c r="K86" s="73">
        <v>128</v>
      </c>
      <c r="L86" s="73">
        <v>127</v>
      </c>
      <c r="M86" s="73">
        <v>128.80000000000001</v>
      </c>
      <c r="N86" s="73">
        <v>126.3</v>
      </c>
      <c r="O86" s="73">
        <v>128</v>
      </c>
      <c r="P86" s="73">
        <v>127.1</v>
      </c>
      <c r="Q86" s="73">
        <v>124.2</v>
      </c>
      <c r="R86" s="73">
        <v>126.9</v>
      </c>
      <c r="S86" s="73">
        <v>127.9</v>
      </c>
      <c r="T86" s="73">
        <v>127.6</v>
      </c>
      <c r="U86" s="94">
        <v>127.7</v>
      </c>
      <c r="V86" s="94">
        <v>128.80000000000001</v>
      </c>
      <c r="W86" s="94">
        <v>127</v>
      </c>
      <c r="X86" s="94">
        <v>130.1</v>
      </c>
      <c r="Y86" s="94">
        <v>129</v>
      </c>
      <c r="Z86" s="94">
        <v>129</v>
      </c>
      <c r="AA86" s="94">
        <v>129.1</v>
      </c>
      <c r="AB86" s="73">
        <v>127.5</v>
      </c>
      <c r="AC86" s="73">
        <v>128</v>
      </c>
      <c r="AD86" s="73">
        <v>129</v>
      </c>
      <c r="AE86" s="73">
        <v>130</v>
      </c>
      <c r="AF86" s="73">
        <v>129.4</v>
      </c>
      <c r="AG86" s="89"/>
      <c r="AH86" s="21">
        <f t="shared" si="13"/>
        <v>130.1</v>
      </c>
      <c r="AI86" s="20">
        <f t="shared" si="14"/>
        <v>124.2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131</v>
      </c>
      <c r="C87" s="90">
        <v>131</v>
      </c>
      <c r="D87" s="73">
        <v>130.69999999999999</v>
      </c>
      <c r="E87" s="73">
        <v>130.69999999999999</v>
      </c>
      <c r="F87" s="73">
        <v>131</v>
      </c>
      <c r="G87" s="73">
        <v>131</v>
      </c>
      <c r="H87" s="73">
        <v>130</v>
      </c>
      <c r="I87" s="73">
        <v>130</v>
      </c>
      <c r="J87" s="73">
        <v>130</v>
      </c>
      <c r="K87" s="73">
        <v>129</v>
      </c>
      <c r="L87" s="73">
        <v>129</v>
      </c>
      <c r="M87" s="73">
        <v>130.30000000000001</v>
      </c>
      <c r="N87" s="73">
        <v>129.5</v>
      </c>
      <c r="O87" s="73">
        <v>128.69999999999999</v>
      </c>
      <c r="P87" s="73">
        <v>126.4</v>
      </c>
      <c r="Q87" s="73">
        <v>130</v>
      </c>
      <c r="R87" s="73">
        <v>129.6</v>
      </c>
      <c r="S87" s="73">
        <v>127.8</v>
      </c>
      <c r="T87" s="73">
        <v>128.69999999999999</v>
      </c>
      <c r="U87" s="73">
        <v>127.2</v>
      </c>
      <c r="V87" s="73">
        <v>130.5</v>
      </c>
      <c r="W87" s="73">
        <v>130</v>
      </c>
      <c r="X87" s="94">
        <v>130</v>
      </c>
      <c r="Y87" s="94">
        <v>129.19999999999999</v>
      </c>
      <c r="Z87" s="94">
        <v>128.80000000000001</v>
      </c>
      <c r="AA87" s="94">
        <v>129.69999999999999</v>
      </c>
      <c r="AB87" s="73">
        <v>128.6</v>
      </c>
      <c r="AC87" s="73">
        <v>130</v>
      </c>
      <c r="AD87" s="73">
        <v>130.80000000000001</v>
      </c>
      <c r="AE87" s="73">
        <v>130</v>
      </c>
      <c r="AF87" s="73">
        <v>130</v>
      </c>
      <c r="AG87" s="89"/>
      <c r="AH87" s="21">
        <f t="shared" si="13"/>
        <v>131</v>
      </c>
      <c r="AI87" s="20">
        <f t="shared" si="14"/>
        <v>126.4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133.9</v>
      </c>
      <c r="C88" s="90">
        <v>133.9</v>
      </c>
      <c r="D88" s="73">
        <v>133.9</v>
      </c>
      <c r="E88" s="73">
        <v>133.9</v>
      </c>
      <c r="F88" s="73">
        <v>135</v>
      </c>
      <c r="G88" s="73">
        <v>135</v>
      </c>
      <c r="H88" s="73">
        <v>133</v>
      </c>
      <c r="I88" s="73">
        <v>133</v>
      </c>
      <c r="J88" s="73">
        <v>133</v>
      </c>
      <c r="K88" s="73">
        <v>131</v>
      </c>
      <c r="L88" s="73">
        <v>130</v>
      </c>
      <c r="M88" s="73">
        <v>131.69999999999999</v>
      </c>
      <c r="N88" s="73">
        <v>131.1</v>
      </c>
      <c r="O88" s="73">
        <v>131.30000000000001</v>
      </c>
      <c r="P88" s="73">
        <v>129</v>
      </c>
      <c r="Q88" s="73">
        <v>132.6</v>
      </c>
      <c r="R88" s="73">
        <v>132.30000000000001</v>
      </c>
      <c r="S88" s="73">
        <v>130.6</v>
      </c>
      <c r="T88" s="73">
        <v>131.9</v>
      </c>
      <c r="U88" s="73">
        <v>130.6</v>
      </c>
      <c r="V88" s="73">
        <v>133.4</v>
      </c>
      <c r="W88" s="73">
        <v>131</v>
      </c>
      <c r="X88" s="94">
        <v>132.80000000000001</v>
      </c>
      <c r="Y88" s="94">
        <v>132.4</v>
      </c>
      <c r="Z88" s="94">
        <v>131.4</v>
      </c>
      <c r="AA88" s="94">
        <v>132.80000000000001</v>
      </c>
      <c r="AB88" s="73">
        <v>131.6</v>
      </c>
      <c r="AC88" s="73">
        <v>132.80000000000001</v>
      </c>
      <c r="AD88" s="73">
        <v>133.6</v>
      </c>
      <c r="AE88" s="73">
        <v>134</v>
      </c>
      <c r="AF88" s="73">
        <v>134</v>
      </c>
      <c r="AG88" s="89"/>
      <c r="AH88" s="21">
        <f t="shared" si="13"/>
        <v>135</v>
      </c>
      <c r="AI88" s="20">
        <f t="shared" si="14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133</v>
      </c>
      <c r="C89" s="92">
        <v>133</v>
      </c>
      <c r="D89" s="66">
        <v>134</v>
      </c>
      <c r="E89" s="66">
        <v>134</v>
      </c>
      <c r="F89" s="66">
        <v>132</v>
      </c>
      <c r="G89" s="66">
        <v>132</v>
      </c>
      <c r="H89" s="66">
        <v>131</v>
      </c>
      <c r="I89" s="66">
        <v>131</v>
      </c>
      <c r="J89" s="66">
        <v>132</v>
      </c>
      <c r="K89" s="66">
        <v>133</v>
      </c>
      <c r="L89" s="66">
        <v>132</v>
      </c>
      <c r="M89" s="66">
        <v>133.80000000000001</v>
      </c>
      <c r="N89" s="66">
        <v>128.30000000000001</v>
      </c>
      <c r="O89" s="66">
        <v>131.4</v>
      </c>
      <c r="P89" s="66">
        <v>135.6</v>
      </c>
      <c r="Q89" s="66">
        <v>132.6</v>
      </c>
      <c r="R89" s="66">
        <v>130.69999999999999</v>
      </c>
      <c r="S89" s="66">
        <v>130.4</v>
      </c>
      <c r="T89" s="66">
        <v>129.6</v>
      </c>
      <c r="U89" s="66">
        <v>132</v>
      </c>
      <c r="V89" s="66">
        <v>137.19999999999999</v>
      </c>
      <c r="W89" s="66">
        <v>130.5</v>
      </c>
      <c r="X89" s="94">
        <v>135.5</v>
      </c>
      <c r="Y89" s="94">
        <v>134.69999999999999</v>
      </c>
      <c r="Z89" s="94">
        <v>133.6</v>
      </c>
      <c r="AA89" s="94">
        <v>132.9</v>
      </c>
      <c r="AB89" s="66">
        <v>130.30000000000001</v>
      </c>
      <c r="AC89" s="66">
        <v>133.4</v>
      </c>
      <c r="AD89" s="66">
        <v>132</v>
      </c>
      <c r="AE89" s="66">
        <v>130</v>
      </c>
      <c r="AF89" s="66">
        <v>129.4</v>
      </c>
      <c r="AG89" s="91"/>
      <c r="AH89" s="21">
        <f t="shared" si="13"/>
        <v>137.19999999999999</v>
      </c>
      <c r="AI89" s="20">
        <f t="shared" si="14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130</v>
      </c>
      <c r="C90" s="90">
        <v>130</v>
      </c>
      <c r="D90" s="73">
        <v>137</v>
      </c>
      <c r="E90" s="73">
        <v>137</v>
      </c>
      <c r="F90" s="73">
        <v>131</v>
      </c>
      <c r="G90" s="73">
        <v>131</v>
      </c>
      <c r="H90" s="73">
        <v>131</v>
      </c>
      <c r="I90" s="73">
        <v>131</v>
      </c>
      <c r="J90" s="73">
        <v>134</v>
      </c>
      <c r="K90" s="73">
        <v>132</v>
      </c>
      <c r="L90" s="73">
        <v>133</v>
      </c>
      <c r="M90" s="73">
        <v>135.1</v>
      </c>
      <c r="N90" s="73">
        <v>127.5</v>
      </c>
      <c r="O90" s="73">
        <v>130.69999999999999</v>
      </c>
      <c r="P90" s="73">
        <v>138.1</v>
      </c>
      <c r="Q90" s="73">
        <v>136.5</v>
      </c>
      <c r="R90" s="73">
        <v>137.9</v>
      </c>
      <c r="S90" s="73">
        <v>124.9</v>
      </c>
      <c r="T90" s="73">
        <v>125.3</v>
      </c>
      <c r="U90" s="73"/>
      <c r="V90" s="73"/>
      <c r="W90" s="73">
        <v>126</v>
      </c>
      <c r="X90" s="94"/>
      <c r="Y90" s="94"/>
      <c r="Z90" s="94">
        <v>131.6</v>
      </c>
      <c r="AA90" s="94">
        <v>128.9</v>
      </c>
      <c r="AB90" s="73">
        <v>126.6</v>
      </c>
      <c r="AC90" s="73">
        <v>132</v>
      </c>
      <c r="AD90" s="73">
        <v>131</v>
      </c>
      <c r="AE90" s="73"/>
      <c r="AF90" s="73"/>
      <c r="AG90" s="89"/>
      <c r="AH90" s="21">
        <f t="shared" si="13"/>
        <v>138.1</v>
      </c>
      <c r="AI90" s="20">
        <f t="shared" si="14"/>
        <v>124.9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65.599999999999994</v>
      </c>
      <c r="C91" s="88">
        <v>66.099999999999994</v>
      </c>
      <c r="D91" s="87">
        <v>66.599999999999994</v>
      </c>
      <c r="E91" s="87">
        <v>66.599999999999994</v>
      </c>
      <c r="F91" s="87">
        <v>66</v>
      </c>
      <c r="G91" s="87">
        <v>66</v>
      </c>
      <c r="H91" s="87">
        <v>66</v>
      </c>
      <c r="I91" s="87">
        <v>65</v>
      </c>
      <c r="J91" s="87">
        <v>65</v>
      </c>
      <c r="K91" s="87">
        <v>65</v>
      </c>
      <c r="L91" s="87">
        <v>64</v>
      </c>
      <c r="M91" s="87">
        <v>64.8</v>
      </c>
      <c r="N91" s="87">
        <v>63.7</v>
      </c>
      <c r="O91" s="87">
        <v>64.3</v>
      </c>
      <c r="P91" s="87">
        <v>63.7</v>
      </c>
      <c r="Q91" s="87">
        <v>61.2</v>
      </c>
      <c r="R91" s="87">
        <v>64</v>
      </c>
      <c r="S91" s="87">
        <v>64.5</v>
      </c>
      <c r="T91" s="87">
        <v>64.2</v>
      </c>
      <c r="U91" s="87">
        <v>64.2</v>
      </c>
      <c r="V91" s="87">
        <v>65.099999999999994</v>
      </c>
      <c r="W91" s="87">
        <v>64</v>
      </c>
      <c r="X91" s="87">
        <v>65.5</v>
      </c>
      <c r="Y91" s="87">
        <v>65.2</v>
      </c>
      <c r="Z91" s="87">
        <v>65.2</v>
      </c>
      <c r="AA91" s="87">
        <v>65.099999999999994</v>
      </c>
      <c r="AB91" s="87">
        <v>63.5</v>
      </c>
      <c r="AC91" s="87">
        <v>63.7</v>
      </c>
      <c r="AD91" s="87">
        <v>64.400000000000006</v>
      </c>
      <c r="AE91" s="87">
        <v>65.2</v>
      </c>
      <c r="AF91" s="87">
        <v>64.900000000000006</v>
      </c>
      <c r="AG91" s="86"/>
      <c r="AH91" s="21">
        <f t="shared" si="13"/>
        <v>66.599999999999994</v>
      </c>
      <c r="AI91" s="20">
        <f t="shared" si="14"/>
        <v>61.2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169.33999999999997</v>
      </c>
      <c r="C93" s="82">
        <f t="shared" si="21"/>
        <v>164.83999999999997</v>
      </c>
      <c r="D93" s="82">
        <f t="shared" si="21"/>
        <v>151.83999999999997</v>
      </c>
      <c r="E93" s="82">
        <f t="shared" si="21"/>
        <v>152.23999999999998</v>
      </c>
      <c r="F93" s="82">
        <f t="shared" si="21"/>
        <v>157.04</v>
      </c>
      <c r="G93" s="80">
        <f t="shared" si="21"/>
        <v>175.73999999999998</v>
      </c>
      <c r="H93" s="80">
        <f t="shared" si="21"/>
        <v>196.43999999999997</v>
      </c>
      <c r="I93" s="80">
        <f t="shared" si="21"/>
        <v>226.64</v>
      </c>
      <c r="J93" s="80">
        <f t="shared" si="21"/>
        <v>256.44</v>
      </c>
      <c r="K93" s="80">
        <f t="shared" si="21"/>
        <v>282.84000000000003</v>
      </c>
      <c r="L93" s="80">
        <f t="shared" si="21"/>
        <v>317.94000000000005</v>
      </c>
      <c r="M93" s="80">
        <f t="shared" si="21"/>
        <v>319.94</v>
      </c>
      <c r="N93" s="80">
        <f t="shared" si="21"/>
        <v>314.54000000000002</v>
      </c>
      <c r="O93" s="80">
        <f t="shared" si="21"/>
        <v>291.03999999999996</v>
      </c>
      <c r="P93" s="80">
        <f t="shared" si="21"/>
        <v>278.44000000000005</v>
      </c>
      <c r="Q93" s="80">
        <f t="shared" si="21"/>
        <v>302.94000000000005</v>
      </c>
      <c r="R93" s="80">
        <f t="shared" si="21"/>
        <v>291.04000000000002</v>
      </c>
      <c r="S93" s="80">
        <f t="shared" si="21"/>
        <v>295.44000000000005</v>
      </c>
      <c r="T93" s="80">
        <f t="shared" si="21"/>
        <v>296.24</v>
      </c>
      <c r="U93" s="80">
        <f t="shared" si="21"/>
        <v>299.24</v>
      </c>
      <c r="V93" s="80">
        <f t="shared" si="21"/>
        <v>292.64</v>
      </c>
      <c r="W93" s="80">
        <f t="shared" si="21"/>
        <v>339.04</v>
      </c>
      <c r="X93" s="80">
        <f t="shared" si="21"/>
        <v>344.24</v>
      </c>
      <c r="Y93" s="80">
        <f t="shared" si="21"/>
        <v>354.14000000000004</v>
      </c>
      <c r="Z93" s="80">
        <f t="shared" si="21"/>
        <v>367.14</v>
      </c>
      <c r="AA93" s="80">
        <f t="shared" si="21"/>
        <v>355.14</v>
      </c>
      <c r="AB93" s="80">
        <f t="shared" si="21"/>
        <v>321.54000000000002</v>
      </c>
      <c r="AC93" s="80">
        <f t="shared" si="21"/>
        <v>292.24</v>
      </c>
      <c r="AD93" s="80">
        <f t="shared" si="21"/>
        <v>266.24</v>
      </c>
      <c r="AE93" s="80">
        <f t="shared" si="21"/>
        <v>218.23999999999995</v>
      </c>
      <c r="AF93" s="80">
        <f t="shared" si="21"/>
        <v>193.23999999999995</v>
      </c>
      <c r="AG93" s="79"/>
      <c r="AH93" s="21">
        <f>MAX(C93:AF93)</f>
        <v>367.14</v>
      </c>
      <c r="AI93" s="20">
        <f>MIN(C93:AF93)</f>
        <v>151.83999999999997</v>
      </c>
    </row>
    <row r="94" spans="1:88" x14ac:dyDescent="0.25">
      <c r="A94" s="48" t="s">
        <v>122</v>
      </c>
      <c r="B94" s="78">
        <v>4</v>
      </c>
      <c r="C94" s="77">
        <v>10</v>
      </c>
      <c r="D94" s="77">
        <v>4</v>
      </c>
      <c r="E94" s="77">
        <v>-2.9</v>
      </c>
      <c r="F94" s="77">
        <v>10.6</v>
      </c>
      <c r="G94" s="76">
        <v>16.8</v>
      </c>
      <c r="H94" s="76">
        <v>13</v>
      </c>
      <c r="I94" s="76">
        <v>19.399999999999999</v>
      </c>
      <c r="J94" s="76">
        <v>-0.7</v>
      </c>
      <c r="K94" s="76">
        <v>3</v>
      </c>
      <c r="L94" s="76">
        <v>16.7</v>
      </c>
      <c r="M94" s="75">
        <v>18.2</v>
      </c>
      <c r="N94" s="76">
        <v>-3.9</v>
      </c>
      <c r="O94" s="76">
        <v>-9.9</v>
      </c>
      <c r="P94" s="76">
        <f>-8.5</f>
        <v>-8.5</v>
      </c>
      <c r="Q94" s="76">
        <v>14.8</v>
      </c>
      <c r="R94" s="76">
        <v>2.1</v>
      </c>
      <c r="S94" s="76">
        <v>2.2999999999999998</v>
      </c>
      <c r="T94" s="76">
        <v>6.1</v>
      </c>
      <c r="U94" s="75">
        <v>-9.4</v>
      </c>
      <c r="V94" s="75">
        <v>2.7</v>
      </c>
      <c r="W94" s="75">
        <v>14</v>
      </c>
      <c r="X94" s="76">
        <v>10.9</v>
      </c>
      <c r="Y94" s="76">
        <v>24.4</v>
      </c>
      <c r="Z94" s="76">
        <v>12.7</v>
      </c>
      <c r="AA94" s="76">
        <v>6.1</v>
      </c>
      <c r="AB94" s="75">
        <v>10.4</v>
      </c>
      <c r="AC94" s="75">
        <v>11</v>
      </c>
      <c r="AD94" s="75">
        <v>-11</v>
      </c>
      <c r="AE94" s="75">
        <v>-5</v>
      </c>
      <c r="AF94" s="75">
        <v>-16</v>
      </c>
      <c r="AG94" s="3">
        <v>75</v>
      </c>
      <c r="AH94" s="21">
        <f t="shared" ref="AH94:AH100" si="22">IF(ABS(MAX(C94:AF94))&gt;ABS(MIN(C94:AF94)),MAX(C94:AF94),MIN(C94:AF94))</f>
        <v>24.4</v>
      </c>
      <c r="AI94" s="64">
        <f t="shared" ref="AI94:AI100" si="23">INDEX($C$9:$AF$9,1,MATCH(AH94,C94:AF94,0))</f>
        <v>0.77083333333333337</v>
      </c>
    </row>
    <row r="95" spans="1:88" x14ac:dyDescent="0.25">
      <c r="A95" s="45" t="s">
        <v>121</v>
      </c>
      <c r="B95" s="74">
        <v>-80</v>
      </c>
      <c r="C95" s="67">
        <v>-82</v>
      </c>
      <c r="D95" s="67">
        <v>-78</v>
      </c>
      <c r="E95" s="67">
        <v>-81</v>
      </c>
      <c r="F95" s="67">
        <v>-80.5</v>
      </c>
      <c r="G95" s="67">
        <v>-76</v>
      </c>
      <c r="H95" s="67">
        <v>-67.400000000000006</v>
      </c>
      <c r="I95" s="67">
        <v>-53</v>
      </c>
      <c r="J95" s="67">
        <v>-18</v>
      </c>
      <c r="K95" s="67">
        <v>2</v>
      </c>
      <c r="L95" s="67">
        <v>7</v>
      </c>
      <c r="M95" s="67">
        <v>6</v>
      </c>
      <c r="N95" s="67">
        <f>12.9+12.5</f>
        <v>25.4</v>
      </c>
      <c r="O95" s="67">
        <f>11.2+8.1</f>
        <v>19.299999999999997</v>
      </c>
      <c r="P95" s="67">
        <f>9+7.9</f>
        <v>16.899999999999999</v>
      </c>
      <c r="Q95" s="67">
        <f>2.6+2.8</f>
        <v>5.4</v>
      </c>
      <c r="R95" s="67">
        <f>-4.3-5.2</f>
        <v>-9.5</v>
      </c>
      <c r="S95" s="67">
        <v>-5.7</v>
      </c>
      <c r="T95" s="67">
        <v>-4.5</v>
      </c>
      <c r="U95" s="67">
        <v>1</v>
      </c>
      <c r="V95" s="67">
        <v>2</v>
      </c>
      <c r="W95" s="67">
        <v>17</v>
      </c>
      <c r="X95" s="67">
        <v>23</v>
      </c>
      <c r="Y95" s="67">
        <v>16</v>
      </c>
      <c r="Z95" s="67">
        <v>25</v>
      </c>
      <c r="AA95" s="67">
        <v>22</v>
      </c>
      <c r="AB95" s="73">
        <v>26</v>
      </c>
      <c r="AC95" s="73">
        <v>15</v>
      </c>
      <c r="AD95" s="73">
        <v>-9</v>
      </c>
      <c r="AE95" s="73">
        <v>-33</v>
      </c>
      <c r="AF95" s="73">
        <v>-47</v>
      </c>
      <c r="AG95" s="3">
        <v>240</v>
      </c>
      <c r="AH95" s="21">
        <f t="shared" si="22"/>
        <v>-82</v>
      </c>
      <c r="AI95" s="64">
        <f t="shared" si="23"/>
        <v>4.1666666666666664E-2</v>
      </c>
    </row>
    <row r="96" spans="1:88" x14ac:dyDescent="0.25">
      <c r="A96" s="45" t="s">
        <v>120</v>
      </c>
      <c r="B96" s="74">
        <v>-10</v>
      </c>
      <c r="C96" s="67">
        <v>-12</v>
      </c>
      <c r="D96" s="67">
        <v>-12</v>
      </c>
      <c r="E96" s="67">
        <v>-11.7</v>
      </c>
      <c r="F96" s="67">
        <v>-9.6</v>
      </c>
      <c r="G96" s="67">
        <v>-7.4</v>
      </c>
      <c r="H96" s="67">
        <v>-5</v>
      </c>
      <c r="I96" s="67">
        <v>-4</v>
      </c>
      <c r="J96" s="67">
        <v>4.5</v>
      </c>
      <c r="K96" s="67">
        <v>6</v>
      </c>
      <c r="L96" s="67">
        <v>14.4</v>
      </c>
      <c r="M96" s="67">
        <v>16.8</v>
      </c>
      <c r="N96" s="67">
        <v>19.7</v>
      </c>
      <c r="O96" s="67">
        <v>17.7</v>
      </c>
      <c r="P96" s="67">
        <v>13.8</v>
      </c>
      <c r="Q96" s="67">
        <v>0</v>
      </c>
      <c r="R96" s="67">
        <v>12.1</v>
      </c>
      <c r="S96" s="67">
        <v>12.3</v>
      </c>
      <c r="T96" s="67">
        <v>12.6</v>
      </c>
      <c r="U96" s="67">
        <v>16.600000000000001</v>
      </c>
      <c r="V96" s="67">
        <v>2.5</v>
      </c>
      <c r="W96" s="67">
        <v>36</v>
      </c>
      <c r="X96" s="67">
        <v>39</v>
      </c>
      <c r="Y96" s="67">
        <v>35.299999999999997</v>
      </c>
      <c r="Z96" s="67">
        <v>43.8</v>
      </c>
      <c r="AA96" s="67">
        <v>42.3</v>
      </c>
      <c r="AB96" s="73">
        <v>0</v>
      </c>
      <c r="AC96" s="73">
        <v>0</v>
      </c>
      <c r="AD96" s="73">
        <v>0</v>
      </c>
      <c r="AE96" s="73">
        <v>0</v>
      </c>
      <c r="AF96" s="73">
        <v>0</v>
      </c>
      <c r="AG96" s="3">
        <v>60</v>
      </c>
      <c r="AH96" s="21">
        <f t="shared" si="22"/>
        <v>43.8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66</v>
      </c>
      <c r="C97" s="70">
        <v>59</v>
      </c>
      <c r="D97" s="70">
        <v>48</v>
      </c>
      <c r="E97" s="70">
        <v>58</v>
      </c>
      <c r="F97" s="70">
        <v>46.7</v>
      </c>
      <c r="G97" s="70">
        <v>52.5</v>
      </c>
      <c r="H97" s="70">
        <v>66</v>
      </c>
      <c r="I97" s="70">
        <v>74.400000000000006</v>
      </c>
      <c r="J97" s="70">
        <v>80.8</v>
      </c>
      <c r="K97" s="70">
        <v>82</v>
      </c>
      <c r="L97" s="70">
        <v>90</v>
      </c>
      <c r="M97" s="70">
        <v>89.3</v>
      </c>
      <c r="N97" s="70">
        <v>83.5</v>
      </c>
      <c r="O97" s="70">
        <v>74.099999999999994</v>
      </c>
      <c r="P97" s="70">
        <v>66.7</v>
      </c>
      <c r="Q97" s="70">
        <v>93.2</v>
      </c>
      <c r="R97" s="70">
        <v>96.8</v>
      </c>
      <c r="S97" s="70">
        <v>97</v>
      </c>
      <c r="T97" s="70">
        <v>92.5</v>
      </c>
      <c r="U97" s="70">
        <v>101</v>
      </c>
      <c r="V97" s="70">
        <v>95.4</v>
      </c>
      <c r="W97" s="70">
        <v>82</v>
      </c>
      <c r="X97" s="70">
        <v>91.4</v>
      </c>
      <c r="Y97" s="70">
        <v>88.3</v>
      </c>
      <c r="Z97" s="70">
        <v>95.5</v>
      </c>
      <c r="AA97" s="70">
        <v>94.6</v>
      </c>
      <c r="AB97" s="69">
        <v>94.9</v>
      </c>
      <c r="AC97" s="69">
        <v>76</v>
      </c>
      <c r="AD97" s="69">
        <v>96</v>
      </c>
      <c r="AE97" s="69">
        <v>66</v>
      </c>
      <c r="AF97" s="69">
        <v>66</v>
      </c>
      <c r="AG97" s="72">
        <v>120</v>
      </c>
      <c r="AH97" s="21">
        <f t="shared" si="22"/>
        <v>101</v>
      </c>
      <c r="AI97" s="64">
        <f t="shared" si="23"/>
        <v>0.66666666666666696</v>
      </c>
    </row>
    <row r="98" spans="1:37" x14ac:dyDescent="0.25">
      <c r="A98" s="41" t="s">
        <v>118</v>
      </c>
      <c r="B98" s="71">
        <v>73</v>
      </c>
      <c r="C98" s="70">
        <v>71</v>
      </c>
      <c r="D98" s="70">
        <v>63</v>
      </c>
      <c r="E98" s="70">
        <v>70</v>
      </c>
      <c r="F98" s="70">
        <v>63.8</v>
      </c>
      <c r="G98" s="70">
        <v>62</v>
      </c>
      <c r="H98" s="70">
        <v>72</v>
      </c>
      <c r="I98" s="70">
        <v>76.400000000000006</v>
      </c>
      <c r="J98" s="70">
        <v>70.599999999999994</v>
      </c>
      <c r="K98" s="70">
        <v>75</v>
      </c>
      <c r="L98" s="70">
        <v>82.4</v>
      </c>
      <c r="M98" s="70">
        <v>82.1</v>
      </c>
      <c r="N98" s="70">
        <v>104.4</v>
      </c>
      <c r="O98" s="70">
        <v>101.9</v>
      </c>
      <c r="P98" s="70">
        <v>100.1</v>
      </c>
      <c r="Q98" s="70">
        <v>94</v>
      </c>
      <c r="R98" s="70">
        <v>87.2</v>
      </c>
      <c r="S98" s="70">
        <v>86.9</v>
      </c>
      <c r="T98" s="70">
        <v>84</v>
      </c>
      <c r="U98" s="70">
        <v>89.9</v>
      </c>
      <c r="V98" s="70">
        <v>80</v>
      </c>
      <c r="W98" s="70">
        <v>75</v>
      </c>
      <c r="X98" s="70">
        <v>74.2</v>
      </c>
      <c r="Y98" s="70">
        <v>93</v>
      </c>
      <c r="Z98" s="70">
        <v>103</v>
      </c>
      <c r="AA98" s="70">
        <v>103.6</v>
      </c>
      <c r="AB98" s="69">
        <v>102.2</v>
      </c>
      <c r="AC98" s="69">
        <v>103</v>
      </c>
      <c r="AD98" s="69">
        <v>86</v>
      </c>
      <c r="AE98" s="69">
        <v>68</v>
      </c>
      <c r="AF98" s="69">
        <v>73</v>
      </c>
      <c r="AG98" s="72"/>
      <c r="AH98" s="21">
        <f t="shared" si="22"/>
        <v>104.4</v>
      </c>
      <c r="AI98" s="64">
        <f t="shared" si="23"/>
        <v>0.375</v>
      </c>
    </row>
    <row r="99" spans="1:37" x14ac:dyDescent="0.25">
      <c r="A99" s="41" t="s">
        <v>117</v>
      </c>
      <c r="B99" s="71">
        <v>82</v>
      </c>
      <c r="C99" s="70">
        <v>71</v>
      </c>
      <c r="D99" s="70">
        <v>77</v>
      </c>
      <c r="E99" s="70">
        <v>67.599999999999994</v>
      </c>
      <c r="F99" s="70">
        <v>56.2</v>
      </c>
      <c r="G99" s="70">
        <v>54</v>
      </c>
      <c r="H99" s="70">
        <v>57.8</v>
      </c>
      <c r="I99" s="70">
        <v>53.5</v>
      </c>
      <c r="J99" s="70">
        <v>59.2</v>
      </c>
      <c r="K99" s="70">
        <v>53</v>
      </c>
      <c r="L99" s="70">
        <v>54.7</v>
      </c>
      <c r="M99" s="70">
        <v>18.8</v>
      </c>
      <c r="N99" s="70">
        <v>58.6</v>
      </c>
      <c r="O99" s="70">
        <v>72.599999999999994</v>
      </c>
      <c r="P99" s="70">
        <v>62.8</v>
      </c>
      <c r="Q99" s="70">
        <v>56.5</v>
      </c>
      <c r="R99" s="70">
        <v>65.099999999999994</v>
      </c>
      <c r="S99" s="70">
        <v>70.2</v>
      </c>
      <c r="T99" s="70">
        <v>65.7</v>
      </c>
      <c r="U99" s="70">
        <v>60</v>
      </c>
      <c r="V99" s="70">
        <v>57.6</v>
      </c>
      <c r="W99" s="70">
        <v>50</v>
      </c>
      <c r="X99" s="70">
        <v>57</v>
      </c>
      <c r="Y99" s="70">
        <v>65</v>
      </c>
      <c r="Z99" s="70">
        <v>72.099999999999994</v>
      </c>
      <c r="AA99" s="70">
        <v>79.599999999999994</v>
      </c>
      <c r="AB99" s="69">
        <v>69.400000000000006</v>
      </c>
      <c r="AC99" s="69">
        <v>73</v>
      </c>
      <c r="AD99" s="69">
        <v>76.5</v>
      </c>
      <c r="AE99" s="69">
        <v>67</v>
      </c>
      <c r="AF99" s="69">
        <v>60</v>
      </c>
      <c r="AG99" s="65"/>
      <c r="AH99" s="21">
        <f t="shared" si="22"/>
        <v>79.599999999999994</v>
      </c>
      <c r="AI99" s="64">
        <f t="shared" si="23"/>
        <v>0.8125</v>
      </c>
    </row>
    <row r="100" spans="1:37" ht="15.75" thickBot="1" x14ac:dyDescent="0.3">
      <c r="A100" s="68" t="s">
        <v>116</v>
      </c>
      <c r="B100" s="66">
        <v>74</v>
      </c>
      <c r="C100" s="67">
        <v>69</v>
      </c>
      <c r="D100" s="67">
        <v>65</v>
      </c>
      <c r="E100" s="67">
        <v>67</v>
      </c>
      <c r="F100" s="67">
        <v>61.8</v>
      </c>
      <c r="G100" s="67">
        <v>64.400000000000006</v>
      </c>
      <c r="H100" s="67">
        <v>64.599999999999994</v>
      </c>
      <c r="I100" s="67">
        <v>66</v>
      </c>
      <c r="J100" s="67">
        <v>14.6</v>
      </c>
      <c r="K100" s="67">
        <v>16</v>
      </c>
      <c r="L100" s="67">
        <v>19</v>
      </c>
      <c r="M100" s="67">
        <v>18.8</v>
      </c>
      <c r="N100" s="67">
        <v>42.2</v>
      </c>
      <c r="O100" s="67">
        <v>70.5</v>
      </c>
      <c r="P100" s="67">
        <v>86.4</v>
      </c>
      <c r="Q100" s="67">
        <v>80.3</v>
      </c>
      <c r="R100" s="67">
        <v>58.5</v>
      </c>
      <c r="S100" s="67">
        <v>62.3</v>
      </c>
      <c r="T100" s="67">
        <v>66</v>
      </c>
      <c r="U100" s="67">
        <v>66</v>
      </c>
      <c r="V100" s="67">
        <v>52.1</v>
      </c>
      <c r="W100" s="67">
        <v>60</v>
      </c>
      <c r="X100" s="67">
        <v>41</v>
      </c>
      <c r="Y100" s="67">
        <v>41.5</v>
      </c>
      <c r="Z100" s="67">
        <v>58.6</v>
      </c>
      <c r="AA100" s="67">
        <v>57</v>
      </c>
      <c r="AB100" s="66">
        <v>52.2</v>
      </c>
      <c r="AC100" s="66">
        <v>50</v>
      </c>
      <c r="AD100" s="66">
        <v>50</v>
      </c>
      <c r="AE100" s="66">
        <v>43</v>
      </c>
      <c r="AF100" s="66">
        <v>36</v>
      </c>
      <c r="AG100" s="65"/>
      <c r="AH100" s="21">
        <f t="shared" si="22"/>
        <v>86.4</v>
      </c>
      <c r="AI100" s="64">
        <f t="shared" si="23"/>
        <v>0.45833333333333298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1370.4399999999998</v>
      </c>
      <c r="C209" s="17">
        <f>INDEX(G9:N9,1,MATCH(MAX(G75:N75),G75:N75,0))</f>
        <v>0.375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27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2078/12/27)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2078/12/27)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1195.94</v>
      </c>
      <c r="U214" s="9">
        <f t="shared" si="60"/>
        <v>1185.24</v>
      </c>
      <c r="V214" s="9">
        <f t="shared" si="60"/>
        <v>1146.6399999999999</v>
      </c>
      <c r="W214" s="9">
        <f t="shared" si="60"/>
        <v>1131.3399999999999</v>
      </c>
      <c r="X214" s="9">
        <f t="shared" si="60"/>
        <v>1117.3399999999999</v>
      </c>
      <c r="Y214" s="9">
        <f t="shared" si="60"/>
        <v>1147.1399999999999</v>
      </c>
      <c r="Z214" s="9">
        <f t="shared" si="60"/>
        <v>1156.4399999999998</v>
      </c>
      <c r="AA214" s="9">
        <f t="shared" si="60"/>
        <v>1180.4399999999998</v>
      </c>
      <c r="AB214" s="9">
        <f t="shared" si="60"/>
        <v>1221.8399999999999</v>
      </c>
      <c r="AC214" s="9">
        <f t="shared" si="60"/>
        <v>1298.8399999999999</v>
      </c>
      <c r="AD214" s="9">
        <f t="shared" si="60"/>
        <v>1357.6399999999999</v>
      </c>
      <c r="AE214" s="9">
        <f t="shared" si="60"/>
        <v>1350.04</v>
      </c>
      <c r="AF214" s="9">
        <f t="shared" si="60"/>
        <v>1370.4399999999998</v>
      </c>
      <c r="AG214" s="9">
        <f t="shared" si="60"/>
        <v>1332.1399999999999</v>
      </c>
      <c r="AH214" s="9">
        <f t="shared" si="60"/>
        <v>1328.74</v>
      </c>
      <c r="AI214" s="9">
        <f t="shared" si="60"/>
        <v>1371.74</v>
      </c>
      <c r="AJ214" s="9">
        <f t="shared" si="60"/>
        <v>1300.44</v>
      </c>
      <c r="AK214" s="9">
        <f t="shared" si="60"/>
        <v>1375.74</v>
      </c>
      <c r="AL214" s="9">
        <f t="shared" si="60"/>
        <v>1353.34</v>
      </c>
      <c r="AM214" s="9">
        <f t="shared" si="60"/>
        <v>1393.34</v>
      </c>
      <c r="AN214" s="9">
        <f t="shared" si="60"/>
        <v>1341.54</v>
      </c>
      <c r="AO214" s="9">
        <f t="shared" si="60"/>
        <v>1359.14</v>
      </c>
      <c r="AP214" s="9">
        <f t="shared" si="60"/>
        <v>1297.1399999999999</v>
      </c>
      <c r="AQ214" s="9">
        <f t="shared" si="60"/>
        <v>1300.4399999999998</v>
      </c>
      <c r="AR214" s="9">
        <f t="shared" si="60"/>
        <v>1433.34</v>
      </c>
      <c r="AS214" s="9">
        <f t="shared" si="60"/>
        <v>1421.04</v>
      </c>
      <c r="AT214" s="9">
        <f t="shared" si="60"/>
        <v>1397.04</v>
      </c>
      <c r="AU214" s="9">
        <f t="shared" si="60"/>
        <v>1369.7399999999998</v>
      </c>
      <c r="AV214" s="9">
        <f t="shared" si="60"/>
        <v>1309.7399999999998</v>
      </c>
      <c r="AW214" s="9">
        <f t="shared" si="60"/>
        <v>1223.44</v>
      </c>
      <c r="AX214" s="9">
        <f t="shared" si="60"/>
        <v>1140.8399999999999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 C57:L59 P39:R39 J61:M61 P40:Q42 R42 R40:T41 M58:M59 U40:Y42 X85:AA91 AB81:AF81 B81:R81 C56:AF56 B82:AF83 D194:AF200 B194:B200 C68:AF72 AB84:AF91 B84:B91 B73:AF80 B9:AF10 B192:AF192 AF57:AF61 B53:B72 AG73 AB94:AF100 B94:B100 U213:AF213 C85:C91 I60:M60 C60:H67 I61:I67 C53:J55 B36:M36 J62:L67 M39:O42 N58:O61 Q39:Q42 P58:Q64 P66:Q67 N36:R37 R58:S67 T58:W59 S39:X42 M16:Y17 N45:Y48 T62:Y67 M19:Y32 Z16:AA31 M11:AE14 Z40:AE43 M53:AF55 AB28:AF31 AB16:AF26 S36:AF36 AF12:AF14 AF42:AF43">
    <cfRule type="expression" dxfId="1296" priority="251">
      <formula>B$9&gt;=20/24</formula>
    </cfRule>
    <cfRule type="expression" dxfId="1295" priority="252">
      <formula>AND(B$9&gt;=14/24,B$9&lt;20/24)</formula>
    </cfRule>
    <cfRule type="expression" dxfId="1294" priority="253">
      <formula>AND(B$9&gt;=8/24,B$9&lt;14/24)</formula>
    </cfRule>
    <cfRule type="expression" dxfId="1293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1292" priority="246">
      <formula>M$9&gt;=20/24</formula>
    </cfRule>
    <cfRule type="expression" dxfId="1291" priority="247">
      <formula>AND(M$9&gt;=14/24,M$9&lt;20/24)</formula>
    </cfRule>
    <cfRule type="expression" dxfId="1290" priority="248">
      <formula>AND(M$9&gt;=8/24,M$9&lt;14/24)</formula>
    </cfRule>
    <cfRule type="expression" dxfId="1289" priority="249">
      <formula>M$9&lt;8/24</formula>
    </cfRule>
  </conditionalFormatting>
  <conditionalFormatting sqref="M43:X43">
    <cfRule type="expression" dxfId="1288" priority="242">
      <formula>M$9&gt;=20/24</formula>
    </cfRule>
    <cfRule type="expression" dxfId="1287" priority="243">
      <formula>AND(M$9&gt;=14/24,M$9&lt;20/24)</formula>
    </cfRule>
    <cfRule type="expression" dxfId="1286" priority="244">
      <formula>AND(M$9&gt;=8/24,M$9&lt;14/24)</formula>
    </cfRule>
    <cfRule type="expression" dxfId="1285" priority="245">
      <formula>M$9&lt;8/24</formula>
    </cfRule>
  </conditionalFormatting>
  <conditionalFormatting sqref="Z32:AF32">
    <cfRule type="expression" dxfId="1284" priority="238">
      <formula>Z$9&gt;=20/24</formula>
    </cfRule>
    <cfRule type="expression" dxfId="1283" priority="239">
      <formula>AND(Z$9&gt;=14/24,Z$9&lt;20/24)</formula>
    </cfRule>
    <cfRule type="expression" dxfId="1282" priority="240">
      <formula>AND(Z$9&gt;=8/24,Z$9&lt;14/24)</formula>
    </cfRule>
    <cfRule type="expression" dxfId="1281" priority="241">
      <formula>Z$9&lt;8/24</formula>
    </cfRule>
  </conditionalFormatting>
  <conditionalFormatting sqref="S39:AE39">
    <cfRule type="expression" dxfId="1280" priority="234">
      <formula>S$9&gt;=20/24</formula>
    </cfRule>
    <cfRule type="expression" dxfId="1279" priority="235">
      <formula>AND(S$9&gt;=14/24,S$9&lt;20/24)</formula>
    </cfRule>
    <cfRule type="expression" dxfId="1278" priority="236">
      <formula>AND(S$9&gt;=8/24,S$9&lt;14/24)</formula>
    </cfRule>
    <cfRule type="expression" dxfId="1277" priority="237">
      <formula>S$9&lt;8/24</formula>
    </cfRule>
  </conditionalFormatting>
  <conditionalFormatting sqref="T57:AE57">
    <cfRule type="expression" dxfId="1276" priority="230">
      <formula>T$9&gt;=20/24</formula>
    </cfRule>
    <cfRule type="expression" dxfId="1275" priority="231">
      <formula>AND(T$9&gt;=14/24,T$9&lt;20/24)</formula>
    </cfRule>
    <cfRule type="expression" dxfId="1274" priority="232">
      <formula>AND(T$9&gt;=8/24,T$9&lt;14/24)</formula>
    </cfRule>
    <cfRule type="expression" dxfId="1273" priority="233">
      <formula>T$9&lt;8/24</formula>
    </cfRule>
  </conditionalFormatting>
  <conditionalFormatting sqref="S81:AA81">
    <cfRule type="expression" dxfId="1272" priority="226">
      <formula>S$9&gt;=20/24</formula>
    </cfRule>
    <cfRule type="expression" dxfId="1271" priority="227">
      <formula>AND(S$9&gt;=14/24,S$9&lt;20/24)</formula>
    </cfRule>
    <cfRule type="expression" dxfId="1270" priority="228">
      <formula>AND(S$9&gt;=8/24,S$9&lt;14/24)</formula>
    </cfRule>
    <cfRule type="expression" dxfId="1269" priority="229">
      <formula>S$9&lt;8/24</formula>
    </cfRule>
  </conditionalFormatting>
  <conditionalFormatting sqref="U84:AA84">
    <cfRule type="expression" dxfId="1268" priority="222">
      <formula>U$9&gt;=20/24</formula>
    </cfRule>
    <cfRule type="expression" dxfId="1267" priority="223">
      <formula>AND(U$9&gt;=14/24,U$9&lt;20/24)</formula>
    </cfRule>
    <cfRule type="expression" dxfId="1266" priority="224">
      <formula>AND(U$9&gt;=8/24,U$9&lt;14/24)</formula>
    </cfRule>
    <cfRule type="expression" dxfId="1265" priority="225">
      <formula>U$9&lt;8/24</formula>
    </cfRule>
  </conditionalFormatting>
  <conditionalFormatting sqref="M35:Y35">
    <cfRule type="expression" dxfId="1264" priority="218">
      <formula>M$9&gt;=20/24</formula>
    </cfRule>
    <cfRule type="expression" dxfId="1263" priority="219">
      <formula>AND(M$9&gt;=14/24,M$9&lt;20/24)</formula>
    </cfRule>
    <cfRule type="expression" dxfId="1262" priority="220">
      <formula>AND(M$9&gt;=8/24,M$9&lt;14/24)</formula>
    </cfRule>
    <cfRule type="expression" dxfId="1261" priority="221">
      <formula>M$9&lt;8/24</formula>
    </cfRule>
  </conditionalFormatting>
  <conditionalFormatting sqref="M49:Y49">
    <cfRule type="expression" dxfId="1260" priority="214">
      <formula>M$9&gt;=20/24</formula>
    </cfRule>
    <cfRule type="expression" dxfId="1259" priority="215">
      <formula>AND(M$9&gt;=14/24,M$9&lt;20/24)</formula>
    </cfRule>
    <cfRule type="expression" dxfId="1258" priority="216">
      <formula>AND(M$9&gt;=8/24,M$9&lt;14/24)</formula>
    </cfRule>
    <cfRule type="expression" dxfId="1257" priority="217">
      <formula>M$9&lt;8/24</formula>
    </cfRule>
  </conditionalFormatting>
  <conditionalFormatting sqref="M50:Y50">
    <cfRule type="expression" dxfId="1256" priority="210">
      <formula>M$9&gt;=20/24</formula>
    </cfRule>
    <cfRule type="expression" dxfId="1255" priority="211">
      <formula>AND(M$9&gt;=14/24,M$9&lt;20/24)</formula>
    </cfRule>
    <cfRule type="expression" dxfId="1254" priority="212">
      <formula>AND(M$9&gt;=8/24,M$9&lt;14/24)</formula>
    </cfRule>
    <cfRule type="expression" dxfId="1253" priority="213">
      <formula>M$9&lt;8/24</formula>
    </cfRule>
  </conditionalFormatting>
  <conditionalFormatting sqref="M45:Y48">
    <cfRule type="expression" dxfId="1252" priority="206">
      <formula>M$9&gt;=20/24</formula>
    </cfRule>
    <cfRule type="expression" dxfId="1251" priority="207">
      <formula>AND(M$9&gt;=14/24,M$9&lt;20/24)</formula>
    </cfRule>
    <cfRule type="expression" dxfId="1250" priority="208">
      <formula>AND(M$9&gt;=8/24,M$9&lt;14/24)</formula>
    </cfRule>
    <cfRule type="expression" dxfId="1249" priority="209">
      <formula>M$9&lt;8/24</formula>
    </cfRule>
  </conditionalFormatting>
  <conditionalFormatting sqref="S37:AF37">
    <cfRule type="expression" dxfId="1248" priority="202">
      <formula>S$9&gt;=20/24</formula>
    </cfRule>
    <cfRule type="expression" dxfId="1247" priority="203">
      <formula>AND(S$9&gt;=14/24,S$9&lt;20/24)</formula>
    </cfRule>
    <cfRule type="expression" dxfId="1246" priority="204">
      <formula>AND(S$9&gt;=8/24,S$9&lt;14/24)</formula>
    </cfRule>
    <cfRule type="expression" dxfId="1245" priority="205">
      <formula>S$9&lt;8/24</formula>
    </cfRule>
  </conditionalFormatting>
  <conditionalFormatting sqref="Z35:AF35">
    <cfRule type="expression" dxfId="1244" priority="198">
      <formula>Z$9&gt;=20/24</formula>
    </cfRule>
    <cfRule type="expression" dxfId="1243" priority="199">
      <formula>AND(Z$9&gt;=14/24,Z$9&lt;20/24)</formula>
    </cfRule>
    <cfRule type="expression" dxfId="1242" priority="200">
      <formula>AND(Z$9&gt;=8/24,Z$9&lt;14/24)</formula>
    </cfRule>
    <cfRule type="expression" dxfId="1241" priority="201">
      <formula>Z$9&lt;8/24</formula>
    </cfRule>
  </conditionalFormatting>
  <conditionalFormatting sqref="U43:Y43 S42:X43 S45:AF48">
    <cfRule type="expression" dxfId="1240" priority="194">
      <formula>S$9&gt;=20/24</formula>
    </cfRule>
    <cfRule type="expression" dxfId="1239" priority="195">
      <formula>AND(S$9&gt;=14/24,S$9&lt;20/24)</formula>
    </cfRule>
    <cfRule type="expression" dxfId="1238" priority="196">
      <formula>AND(S$9&gt;=8/24,S$9&lt;14/24)</formula>
    </cfRule>
    <cfRule type="expression" dxfId="1237" priority="197">
      <formula>S$9&lt;8/24</formula>
    </cfRule>
  </conditionalFormatting>
  <conditionalFormatting sqref="S49:AF49">
    <cfRule type="expression" dxfId="1236" priority="190">
      <formula>S$9&gt;=20/24</formula>
    </cfRule>
    <cfRule type="expression" dxfId="1235" priority="191">
      <formula>AND(S$9&gt;=14/24,S$9&lt;20/24)</formula>
    </cfRule>
    <cfRule type="expression" dxfId="1234" priority="192">
      <formula>AND(S$9&gt;=8/24,S$9&lt;14/24)</formula>
    </cfRule>
    <cfRule type="expression" dxfId="1233" priority="193">
      <formula>S$9&lt;8/24</formula>
    </cfRule>
  </conditionalFormatting>
  <conditionalFormatting sqref="S50:AF50">
    <cfRule type="expression" dxfId="1232" priority="186">
      <formula>S$9&gt;=20/24</formula>
    </cfRule>
    <cfRule type="expression" dxfId="1231" priority="187">
      <formula>AND(S$9&gt;=14/24,S$9&lt;20/24)</formula>
    </cfRule>
    <cfRule type="expression" dxfId="1230" priority="188">
      <formula>AND(S$9&gt;=8/24,S$9&lt;14/24)</formula>
    </cfRule>
    <cfRule type="expression" dxfId="1229" priority="189">
      <formula>S$9&lt;8/24</formula>
    </cfRule>
  </conditionalFormatting>
  <conditionalFormatting sqref="T60:T61 X60:AE61 Z62:AF67">
    <cfRule type="expression" dxfId="1228" priority="182">
      <formula>T$9&gt;=20/24</formula>
    </cfRule>
    <cfRule type="expression" dxfId="1227" priority="183">
      <formula>AND(T$9&gt;=14/24,T$9&lt;20/24)</formula>
    </cfRule>
    <cfRule type="expression" dxfId="1226" priority="184">
      <formula>AND(T$9&gt;=8/24,T$9&lt;14/24)</formula>
    </cfRule>
    <cfRule type="expression" dxfId="1225" priority="185">
      <formula>T$9&lt;8/24</formula>
    </cfRule>
  </conditionalFormatting>
  <conditionalFormatting sqref="U94:AA97">
    <cfRule type="expression" dxfId="1224" priority="174">
      <formula>U$9&gt;=20/24</formula>
    </cfRule>
    <cfRule type="expression" dxfId="1223" priority="175">
      <formula>AND(U$9&gt;=14/24,U$9&lt;20/24)</formula>
    </cfRule>
    <cfRule type="expression" dxfId="1222" priority="176">
      <formula>AND(U$9&gt;=8/24,U$9&lt;14/24)</formula>
    </cfRule>
    <cfRule type="expression" dxfId="1221" priority="177">
      <formula>U$9&lt;8/24</formula>
    </cfRule>
  </conditionalFormatting>
  <conditionalFormatting sqref="AG51 M12:M14 I11:M11 B11:H17 I12:L17 M16:Y17 N11:Y14 B18:Y32 Z11:AF32 B34:AF56">
    <cfRule type="expression" dxfId="1220" priority="173">
      <formula>B11&gt;$AG11</formula>
    </cfRule>
  </conditionalFormatting>
  <conditionalFormatting sqref="A101:A157 A84:A97 A11:A14 A16:A32 A45:A72 A80:A82 A74:A78 A35:A43 A170:A200">
    <cfRule type="expression" dxfId="1219" priority="172">
      <formula>$AH11=0</formula>
    </cfRule>
  </conditionalFormatting>
  <conditionalFormatting sqref="U98:AA98">
    <cfRule type="expression" dxfId="1218" priority="168">
      <formula>U$9&gt;=20/24</formula>
    </cfRule>
    <cfRule type="expression" dxfId="1217" priority="169">
      <formula>AND(U$9&gt;=14/24,U$9&lt;20/24)</formula>
    </cfRule>
    <cfRule type="expression" dxfId="1216" priority="170">
      <formula>AND(U$9&gt;=8/24,U$9&lt;14/24)</formula>
    </cfRule>
    <cfRule type="expression" dxfId="1215" priority="171">
      <formula>U$9&lt;8/24</formula>
    </cfRule>
  </conditionalFormatting>
  <conditionalFormatting sqref="A98">
    <cfRule type="expression" dxfId="1214" priority="167">
      <formula>$AH98=0</formula>
    </cfRule>
  </conditionalFormatting>
  <conditionalFormatting sqref="M62:O64 M66:O67 M65:Q65">
    <cfRule type="expression" dxfId="1213" priority="155">
      <formula>M$9&gt;=20/24</formula>
    </cfRule>
    <cfRule type="expression" dxfId="1212" priority="156">
      <formula>AND(M$9&gt;=14/24,M$9&lt;20/24)</formula>
    </cfRule>
    <cfRule type="expression" dxfId="1211" priority="157">
      <formula>AND(M$9&gt;=8/24,M$9&lt;14/24)</formula>
    </cfRule>
    <cfRule type="expression" dxfId="1210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1209" priority="150">
      <formula>Z$9&gt;=20/24</formula>
    </cfRule>
    <cfRule type="expression" dxfId="1208" priority="151">
      <formula>AND(Z$9&gt;=14/24,Z$9&lt;20/24)</formula>
    </cfRule>
    <cfRule type="expression" dxfId="1207" priority="152">
      <formula>AND(Z$9&gt;=8/24,Z$9&lt;14/24)</formula>
    </cfRule>
    <cfRule type="expression" dxfId="1206" priority="153">
      <formula>Z$9&lt;8/24</formula>
    </cfRule>
  </conditionalFormatting>
  <conditionalFormatting sqref="M34:Y34">
    <cfRule type="expression" dxfId="1205" priority="146">
      <formula>M$9&gt;=20/24</formula>
    </cfRule>
    <cfRule type="expression" dxfId="1204" priority="147">
      <formula>AND(M$9&gt;=14/24,M$9&lt;20/24)</formula>
    </cfRule>
    <cfRule type="expression" dxfId="1203" priority="148">
      <formula>AND(M$9&gt;=8/24,M$9&lt;14/24)</formula>
    </cfRule>
    <cfRule type="expression" dxfId="1202" priority="149">
      <formula>M$9&lt;8/24</formula>
    </cfRule>
  </conditionalFormatting>
  <conditionalFormatting sqref="A34">
    <cfRule type="expression" dxfId="1201" priority="141">
      <formula>$AH34=0</formula>
    </cfRule>
  </conditionalFormatting>
  <conditionalFormatting sqref="A83">
    <cfRule type="expression" dxfId="1200" priority="140">
      <formula>$AH83=0</formula>
    </cfRule>
  </conditionalFormatting>
  <conditionalFormatting sqref="Z15:AF15">
    <cfRule type="expression" dxfId="1199" priority="136">
      <formula>Z$9&gt;=20/24</formula>
    </cfRule>
    <cfRule type="expression" dxfId="1198" priority="137">
      <formula>AND(Z$9&gt;=14/24,Z$9&lt;20/24)</formula>
    </cfRule>
    <cfRule type="expression" dxfId="1197" priority="138">
      <formula>AND(Z$9&gt;=8/24,Z$9&lt;14/24)</formula>
    </cfRule>
    <cfRule type="expression" dxfId="1196" priority="139">
      <formula>Z$9&lt;8/24</formula>
    </cfRule>
  </conditionalFormatting>
  <conditionalFormatting sqref="M15:Y15">
    <cfRule type="expression" dxfId="1195" priority="132">
      <formula>M$9&gt;=20/24</formula>
    </cfRule>
    <cfRule type="expression" dxfId="1194" priority="133">
      <formula>AND(M$9&gt;=14/24,M$9&lt;20/24)</formula>
    </cfRule>
    <cfRule type="expression" dxfId="1193" priority="134">
      <formula>AND(M$9&gt;=8/24,M$9&lt;14/24)</formula>
    </cfRule>
    <cfRule type="expression" dxfId="1192" priority="135">
      <formula>M$9&lt;8/24</formula>
    </cfRule>
  </conditionalFormatting>
  <conditionalFormatting sqref="M15:Y15">
    <cfRule type="expression" dxfId="1191" priority="131">
      <formula>M15&gt;$AG15</formula>
    </cfRule>
  </conditionalFormatting>
  <conditionalFormatting sqref="A15">
    <cfRule type="expression" dxfId="1190" priority="130">
      <formula>$AH15=0</formula>
    </cfRule>
  </conditionalFormatting>
  <conditionalFormatting sqref="A164:A169">
    <cfRule type="expression" dxfId="1189" priority="129">
      <formula>$AH164=0</formula>
    </cfRule>
  </conditionalFormatting>
  <conditionalFormatting sqref="A158:A163">
    <cfRule type="expression" dxfId="1188" priority="128">
      <formula>$AH158=0</formula>
    </cfRule>
  </conditionalFormatting>
  <conditionalFormatting sqref="Z44:AF44">
    <cfRule type="expression" dxfId="1187" priority="124">
      <formula>Z$9&gt;=20/24</formula>
    </cfRule>
    <cfRule type="expression" dxfId="1186" priority="125">
      <formula>AND(Z$9&gt;=14/24,Z$9&lt;20/24)</formula>
    </cfRule>
    <cfRule type="expression" dxfId="1185" priority="126">
      <formula>AND(Z$9&gt;=8/24,Z$9&lt;14/24)</formula>
    </cfRule>
    <cfRule type="expression" dxfId="1184" priority="127">
      <formula>Z$9&lt;8/24</formula>
    </cfRule>
  </conditionalFormatting>
  <conditionalFormatting sqref="M44:Y44">
    <cfRule type="expression" dxfId="1183" priority="120">
      <formula>M$9&gt;=20/24</formula>
    </cfRule>
    <cfRule type="expression" dxfId="1182" priority="121">
      <formula>AND(M$9&gt;=14/24,M$9&lt;20/24)</formula>
    </cfRule>
    <cfRule type="expression" dxfId="1181" priority="122">
      <formula>AND(M$9&gt;=8/24,M$9&lt;14/24)</formula>
    </cfRule>
    <cfRule type="expression" dxfId="1180" priority="123">
      <formula>M$9&lt;8/24</formula>
    </cfRule>
  </conditionalFormatting>
  <conditionalFormatting sqref="S44:Y44">
    <cfRule type="expression" dxfId="1179" priority="116">
      <formula>S$9&gt;=20/24</formula>
    </cfRule>
    <cfRule type="expression" dxfId="1178" priority="117">
      <formula>AND(S$9&gt;=14/24,S$9&lt;20/24)</formula>
    </cfRule>
    <cfRule type="expression" dxfId="1177" priority="118">
      <formula>AND(S$9&gt;=8/24,S$9&lt;14/24)</formula>
    </cfRule>
    <cfRule type="expression" dxfId="1176" priority="119">
      <formula>S$9&lt;8/24</formula>
    </cfRule>
  </conditionalFormatting>
  <conditionalFormatting sqref="A44">
    <cfRule type="expression" dxfId="1175" priority="115">
      <formula>$AH44=0</formula>
    </cfRule>
  </conditionalFormatting>
  <conditionalFormatting sqref="A79">
    <cfRule type="expression" dxfId="1174" priority="114">
      <formula>$AH79=0</formula>
    </cfRule>
  </conditionalFormatting>
  <conditionalFormatting sqref="A73">
    <cfRule type="expression" dxfId="1173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1172" priority="109">
      <formula>U$9&gt;=20/24</formula>
    </cfRule>
    <cfRule type="expression" dxfId="1171" priority="110">
      <formula>AND(U$9&gt;=14/24,U$9&lt;20/24)</formula>
    </cfRule>
    <cfRule type="expression" dxfId="1170" priority="111">
      <formula>AND(U$9&gt;=8/24,U$9&lt;14/24)</formula>
    </cfRule>
    <cfRule type="expression" dxfId="1169" priority="112">
      <formula>U$9&lt;8/24</formula>
    </cfRule>
  </conditionalFormatting>
  <conditionalFormatting sqref="U85:W91">
    <cfRule type="expression" dxfId="1168" priority="105">
      <formula>U$9&gt;=20/24</formula>
    </cfRule>
    <cfRule type="expression" dxfId="1167" priority="106">
      <formula>AND(U$9&gt;=14/24,U$9&lt;20/24)</formula>
    </cfRule>
    <cfRule type="expression" dxfId="1166" priority="107">
      <formula>AND(U$9&gt;=8/24,U$9&lt;14/24)</formula>
    </cfRule>
    <cfRule type="expression" dxfId="1165" priority="108">
      <formula>U$9&lt;8/24</formula>
    </cfRule>
  </conditionalFormatting>
  <conditionalFormatting sqref="C84:R84 D85:T91">
    <cfRule type="expression" dxfId="1164" priority="101">
      <formula>C$9&gt;=20/24</formula>
    </cfRule>
    <cfRule type="expression" dxfId="1163" priority="102">
      <formula>AND(C$9&gt;=14/24,C$9&lt;20/24)</formula>
    </cfRule>
    <cfRule type="expression" dxfId="1162" priority="103">
      <formula>AND(C$9&gt;=8/24,C$9&lt;14/24)</formula>
    </cfRule>
    <cfRule type="expression" dxfId="1161" priority="104">
      <formula>C$9&lt;8/24</formula>
    </cfRule>
  </conditionalFormatting>
  <conditionalFormatting sqref="S84:T84">
    <cfRule type="expression" dxfId="1160" priority="97">
      <formula>S$9&gt;=20/24</formula>
    </cfRule>
    <cfRule type="expression" dxfId="1159" priority="98">
      <formula>AND(S$9&gt;=14/24,S$9&lt;20/24)</formula>
    </cfRule>
    <cfRule type="expression" dxfId="1158" priority="99">
      <formula>AND(S$9&gt;=8/24,S$9&lt;14/24)</formula>
    </cfRule>
    <cfRule type="expression" dxfId="1157" priority="100">
      <formula>S$9&lt;8/24</formula>
    </cfRule>
  </conditionalFormatting>
  <conditionalFormatting sqref="C95:M97 C94:F94">
    <cfRule type="expression" dxfId="1156" priority="93">
      <formula>C$9&gt;=20/24</formula>
    </cfRule>
    <cfRule type="expression" dxfId="1155" priority="94">
      <formula>AND(C$9&gt;=14/24,C$9&lt;20/24)</formula>
    </cfRule>
    <cfRule type="expression" dxfId="1154" priority="95">
      <formula>AND(C$9&gt;=8/24,C$9&lt;14/24)</formula>
    </cfRule>
    <cfRule type="expression" dxfId="1153" priority="96">
      <formula>C$9&lt;8/24</formula>
    </cfRule>
  </conditionalFormatting>
  <conditionalFormatting sqref="N95:R97 O94:R94">
    <cfRule type="expression" dxfId="1152" priority="89">
      <formula>N$9&gt;=20/24</formula>
    </cfRule>
    <cfRule type="expression" dxfId="1151" priority="90">
      <formula>AND(N$9&gt;=14/24,N$9&lt;20/24)</formula>
    </cfRule>
    <cfRule type="expression" dxfId="1150" priority="91">
      <formula>AND(N$9&gt;=8/24,N$9&lt;14/24)</formula>
    </cfRule>
    <cfRule type="expression" dxfId="1149" priority="92">
      <formula>N$9&lt;8/24</formula>
    </cfRule>
  </conditionalFormatting>
  <conditionalFormatting sqref="S94:T97">
    <cfRule type="expression" dxfId="1148" priority="85">
      <formula>S$9&gt;=20/24</formula>
    </cfRule>
    <cfRule type="expression" dxfId="1147" priority="86">
      <formula>AND(S$9&gt;=14/24,S$9&lt;20/24)</formula>
    </cfRule>
    <cfRule type="expression" dxfId="1146" priority="87">
      <formula>AND(S$9&gt;=8/24,S$9&lt;14/24)</formula>
    </cfRule>
    <cfRule type="expression" dxfId="1145" priority="88">
      <formula>S$9&lt;8/24</formula>
    </cfRule>
  </conditionalFormatting>
  <conditionalFormatting sqref="C98:M98">
    <cfRule type="expression" dxfId="1144" priority="81">
      <formula>C$9&gt;=20/24</formula>
    </cfRule>
    <cfRule type="expression" dxfId="1143" priority="82">
      <formula>AND(C$9&gt;=14/24,C$9&lt;20/24)</formula>
    </cfRule>
    <cfRule type="expression" dxfId="1142" priority="83">
      <formula>AND(C$9&gt;=8/24,C$9&lt;14/24)</formula>
    </cfRule>
    <cfRule type="expression" dxfId="1141" priority="84">
      <formula>C$9&lt;8/24</formula>
    </cfRule>
  </conditionalFormatting>
  <conditionalFormatting sqref="N98:R98">
    <cfRule type="expression" dxfId="1140" priority="77">
      <formula>N$9&gt;=20/24</formula>
    </cfRule>
    <cfRule type="expression" dxfId="1139" priority="78">
      <formula>AND(N$9&gt;=14/24,N$9&lt;20/24)</formula>
    </cfRule>
    <cfRule type="expression" dxfId="1138" priority="79">
      <formula>AND(N$9&gt;=8/24,N$9&lt;14/24)</formula>
    </cfRule>
    <cfRule type="expression" dxfId="1137" priority="80">
      <formula>N$9&lt;8/24</formula>
    </cfRule>
  </conditionalFormatting>
  <conditionalFormatting sqref="S98:T98">
    <cfRule type="expression" dxfId="1136" priority="73">
      <formula>S$9&gt;=20/24</formula>
    </cfRule>
    <cfRule type="expression" dxfId="1135" priority="74">
      <formula>AND(S$9&gt;=14/24,S$9&lt;20/24)</formula>
    </cfRule>
    <cfRule type="expression" dxfId="1134" priority="75">
      <formula>AND(S$9&gt;=8/24,S$9&lt;14/24)</formula>
    </cfRule>
    <cfRule type="expression" dxfId="1133" priority="76">
      <formula>S$9&lt;8/24</formula>
    </cfRule>
  </conditionalFormatting>
  <conditionalFormatting sqref="M94:N94">
    <cfRule type="expression" dxfId="1132" priority="69">
      <formula>M$9&gt;=20/24</formula>
    </cfRule>
    <cfRule type="expression" dxfId="1131" priority="70">
      <formula>AND(M$9&gt;=14/24,M$9&lt;20/24)</formula>
    </cfRule>
    <cfRule type="expression" dxfId="1130" priority="71">
      <formula>AND(M$9&gt;=8/24,M$9&lt;14/24)</formula>
    </cfRule>
    <cfRule type="expression" dxfId="1129" priority="72">
      <formula>M$9&lt;8/24</formula>
    </cfRule>
  </conditionalFormatting>
  <conditionalFormatting sqref="G94:L94">
    <cfRule type="expression" dxfId="1128" priority="65">
      <formula>G$9&gt;=20/24</formula>
    </cfRule>
    <cfRule type="expression" dxfId="1127" priority="66">
      <formula>AND(G$9&gt;=14/24,G$9&lt;20/24)</formula>
    </cfRule>
    <cfRule type="expression" dxfId="1126" priority="67">
      <formula>AND(G$9&gt;=8/24,G$9&lt;14/24)</formula>
    </cfRule>
    <cfRule type="expression" dxfId="1125" priority="68">
      <formula>G$9&lt;8/24</formula>
    </cfRule>
  </conditionalFormatting>
  <conditionalFormatting sqref="U94:W94">
    <cfRule type="expression" dxfId="1124" priority="61">
      <formula>U$9&gt;=20/24</formula>
    </cfRule>
    <cfRule type="expression" dxfId="1123" priority="62">
      <formula>AND(U$9&gt;=14/24,U$9&lt;20/24)</formula>
    </cfRule>
    <cfRule type="expression" dxfId="1122" priority="63">
      <formula>AND(U$9&gt;=8/24,U$9&lt;14/24)</formula>
    </cfRule>
    <cfRule type="expression" dxfId="1121" priority="64">
      <formula>U$9&lt;8/24</formula>
    </cfRule>
  </conditionalFormatting>
  <conditionalFormatting sqref="N94:T94">
    <cfRule type="expression" dxfId="1120" priority="57">
      <formula>N$9&gt;=20/24</formula>
    </cfRule>
    <cfRule type="expression" dxfId="1119" priority="58">
      <formula>AND(N$9&gt;=14/24,N$9&lt;20/24)</formula>
    </cfRule>
    <cfRule type="expression" dxfId="1118" priority="59">
      <formula>AND(N$9&gt;=8/24,N$9&lt;14/24)</formula>
    </cfRule>
    <cfRule type="expression" dxfId="1117" priority="60">
      <formula>N$9&lt;8/24</formula>
    </cfRule>
  </conditionalFormatting>
  <conditionalFormatting sqref="U99:AA100">
    <cfRule type="expression" dxfId="1116" priority="53">
      <formula>U$9&gt;=20/24</formula>
    </cfRule>
    <cfRule type="expression" dxfId="1115" priority="54">
      <formula>AND(U$9&gt;=14/24,U$9&lt;20/24)</formula>
    </cfRule>
    <cfRule type="expression" dxfId="1114" priority="55">
      <formula>AND(U$9&gt;=8/24,U$9&lt;14/24)</formula>
    </cfRule>
    <cfRule type="expression" dxfId="1113" priority="56">
      <formula>U$9&lt;8/24</formula>
    </cfRule>
  </conditionalFormatting>
  <conditionalFormatting sqref="C99:M100">
    <cfRule type="expression" dxfId="1112" priority="49">
      <formula>C$9&gt;=20/24</formula>
    </cfRule>
    <cfRule type="expression" dxfId="1111" priority="50">
      <formula>AND(C$9&gt;=14/24,C$9&lt;20/24)</formula>
    </cfRule>
    <cfRule type="expression" dxfId="1110" priority="51">
      <formula>AND(C$9&gt;=8/24,C$9&lt;14/24)</formula>
    </cfRule>
    <cfRule type="expression" dxfId="1109" priority="52">
      <formula>C$9&lt;8/24</formula>
    </cfRule>
  </conditionalFormatting>
  <conditionalFormatting sqref="N99:R100">
    <cfRule type="expression" dxfId="1108" priority="45">
      <formula>N$9&gt;=20/24</formula>
    </cfRule>
    <cfRule type="expression" dxfId="1107" priority="46">
      <formula>AND(N$9&gt;=14/24,N$9&lt;20/24)</formula>
    </cfRule>
    <cfRule type="expression" dxfId="1106" priority="47">
      <formula>AND(N$9&gt;=8/24,N$9&lt;14/24)</formula>
    </cfRule>
    <cfRule type="expression" dxfId="1105" priority="48">
      <formula>N$9&lt;8/24</formula>
    </cfRule>
  </conditionalFormatting>
  <conditionalFormatting sqref="S99:T100">
    <cfRule type="expression" dxfId="1104" priority="41">
      <formula>S$9&gt;=20/24</formula>
    </cfRule>
    <cfRule type="expression" dxfId="1103" priority="42">
      <formula>AND(S$9&gt;=14/24,S$9&lt;20/24)</formula>
    </cfRule>
    <cfRule type="expression" dxfId="1102" priority="43">
      <formula>AND(S$9&gt;=8/24,S$9&lt;14/24)</formula>
    </cfRule>
    <cfRule type="expression" dxfId="1101" priority="44">
      <formula>S$9&lt;8/24</formula>
    </cfRule>
  </conditionalFormatting>
  <conditionalFormatting sqref="AB58:AE59">
    <cfRule type="expression" dxfId="1100" priority="25">
      <formula>AB$9&gt;=20/24</formula>
    </cfRule>
    <cfRule type="expression" dxfId="1099" priority="26">
      <formula>AND(AB$9&gt;=14/24,AB$9&lt;20/24)</formula>
    </cfRule>
    <cfRule type="expression" dxfId="1098" priority="27">
      <formula>AND(AB$9&gt;=8/24,AB$9&lt;14/24)</formula>
    </cfRule>
    <cfRule type="expression" dxfId="1097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96" priority="258">
      <formula>C$9&gt;=20/24</formula>
    </cfRule>
    <cfRule type="expression" dxfId="1095" priority="259">
      <formula>AND(C$9&gt;=14/24,C$9&lt;20/24)</formula>
    </cfRule>
    <cfRule type="expression" dxfId="1094" priority="260">
      <formula>AND(C$9&gt;=8/24,C$9&lt;14/24)</formula>
    </cfRule>
    <cfRule type="expression" dxfId="1093" priority="261">
      <formula>C$9&lt;8/24</formula>
    </cfRule>
  </conditionalFormatting>
  <conditionalFormatting sqref="A201">
    <cfRule type="expression" dxfId="1092" priority="262">
      <formula>$AH201=0</formula>
    </cfRule>
  </conditionalFormatting>
  <conditionalFormatting sqref="AG213">
    <cfRule type="expression" dxfId="1091" priority="263">
      <formula>B$9&gt;=20/24</formula>
    </cfRule>
    <cfRule type="expression" dxfId="1090" priority="264">
      <formula>AND(B$9&gt;=14/24,B$9&lt;20/24)</formula>
    </cfRule>
    <cfRule type="expression" dxfId="1089" priority="265">
      <formula>AND(B$9&gt;=8/24,B$9&lt;14/24)</formula>
    </cfRule>
    <cfRule type="expression" dxfId="1088" priority="266">
      <formula>B$9&lt;8/24</formula>
    </cfRule>
  </conditionalFormatting>
  <conditionalFormatting sqref="S8">
    <cfRule type="expression" dxfId="1087" priority="19">
      <formula>U$9&gt;=20/24</formula>
    </cfRule>
    <cfRule type="expression" dxfId="1086" priority="20">
      <formula>AND(U$9&gt;=14/24,U$9&lt;20/24)</formula>
    </cfRule>
    <cfRule type="expression" dxfId="1085" priority="21">
      <formula>AND(U$9&gt;=8/24,U$9&lt;14/24)</formula>
    </cfRule>
    <cfRule type="expression" dxfId="1084" priority="22">
      <formula>U$9&lt;8/24</formula>
    </cfRule>
  </conditionalFormatting>
  <conditionalFormatting sqref="AB8">
    <cfRule type="expression" dxfId="1083" priority="15">
      <formula>AD$9&gt;=20/24</formula>
    </cfRule>
    <cfRule type="expression" dxfId="1082" priority="16">
      <formula>AND(AD$9&gt;=14/24,AD$9&lt;20/24)</formula>
    </cfRule>
    <cfRule type="expression" dxfId="1081" priority="17">
      <formula>AND(AD$9&gt;=8/24,AD$9&lt;14/24)</formula>
    </cfRule>
    <cfRule type="expression" dxfId="1080" priority="18">
      <formula>AD$9&lt;8/24</formula>
    </cfRule>
  </conditionalFormatting>
  <conditionalFormatting sqref="AH213:AX213">
    <cfRule type="expression" dxfId="1079" priority="267">
      <formula>AG$9&gt;=20/24</formula>
    </cfRule>
    <cfRule type="expression" dxfId="1078" priority="268">
      <formula>AND(AG$9&gt;=14/24,AG$9&lt;20/24)</formula>
    </cfRule>
    <cfRule type="expression" dxfId="1077" priority="269">
      <formula>AND(AG$9&gt;=8/24,AG$9&lt;14/24)</formula>
    </cfRule>
    <cfRule type="expression" dxfId="1076" priority="270">
      <formula>AG$9&lt;8/24</formula>
    </cfRule>
  </conditionalFormatting>
  <conditionalFormatting sqref="T213">
    <cfRule type="expression" dxfId="1075" priority="271">
      <formula>AX$9&gt;=20/24</formula>
    </cfRule>
    <cfRule type="expression" dxfId="1074" priority="272">
      <formula>AND(AX$9&gt;=14/24,AX$9&lt;20/24)</formula>
    </cfRule>
    <cfRule type="expression" dxfId="1073" priority="273">
      <formula>AND(AX$9&gt;=8/24,AX$9&lt;14/24)</formula>
    </cfRule>
    <cfRule type="expression" dxfId="1072" priority="274">
      <formula>AX$9&lt;8/24</formula>
    </cfRule>
  </conditionalFormatting>
  <conditionalFormatting sqref="A99:A100">
    <cfRule type="expression" dxfId="1071" priority="14">
      <formula>$AH99=0</formula>
    </cfRule>
  </conditionalFormatting>
  <conditionalFormatting sqref="M33:Y33">
    <cfRule type="expression" dxfId="1070" priority="10">
      <formula>M$9&gt;=20/24</formula>
    </cfRule>
    <cfRule type="expression" dxfId="1069" priority="11">
      <formula>AND(M$9&gt;=14/24,M$9&lt;20/24)</formula>
    </cfRule>
    <cfRule type="expression" dxfId="1068" priority="12">
      <formula>AND(M$9&gt;=8/24,M$9&lt;14/24)</formula>
    </cfRule>
    <cfRule type="expression" dxfId="1067" priority="13">
      <formula>M$9&lt;8/24</formula>
    </cfRule>
  </conditionalFormatting>
  <conditionalFormatting sqref="Z33:AF33">
    <cfRule type="expression" dxfId="1066" priority="6">
      <formula>Z$9&gt;=20/24</formula>
    </cfRule>
    <cfRule type="expression" dxfId="1065" priority="7">
      <formula>AND(Z$9&gt;=14/24,Z$9&lt;20/24)</formula>
    </cfRule>
    <cfRule type="expression" dxfId="1064" priority="8">
      <formula>AND(Z$9&gt;=8/24,Z$9&lt;14/24)</formula>
    </cfRule>
    <cfRule type="expression" dxfId="1063" priority="9">
      <formula>Z$9&lt;8/24</formula>
    </cfRule>
  </conditionalFormatting>
  <conditionalFormatting sqref="B33:AF33">
    <cfRule type="expression" dxfId="1062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4E5EC43F-D5D0-4F8C-AA8A-2879E026BF4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CJ472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D55" sqref="D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2078/12/28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224</v>
      </c>
      <c r="C5" s="157">
        <f t="shared" si="0"/>
        <v>260</v>
      </c>
      <c r="D5" s="157">
        <f t="shared" si="0"/>
        <v>247.7</v>
      </c>
      <c r="E5" s="157">
        <f t="shared" si="0"/>
        <v>249.2</v>
      </c>
      <c r="F5" s="157">
        <f t="shared" si="0"/>
        <v>240.35999999999999</v>
      </c>
      <c r="G5" s="157">
        <f t="shared" si="0"/>
        <v>286.89999999999998</v>
      </c>
      <c r="H5" s="157">
        <f t="shared" si="0"/>
        <v>337.1</v>
      </c>
      <c r="I5" s="157">
        <f t="shared" si="0"/>
        <v>318.10000000000002</v>
      </c>
      <c r="J5" s="157">
        <f t="shared" si="0"/>
        <v>383.4</v>
      </c>
      <c r="K5" s="157">
        <f t="shared" si="0"/>
        <v>421.79999999999995</v>
      </c>
      <c r="L5" s="157">
        <f t="shared" si="0"/>
        <v>470.36</v>
      </c>
      <c r="M5" s="157">
        <f t="shared" si="0"/>
        <v>454.25</v>
      </c>
      <c r="N5" s="157">
        <f t="shared" si="0"/>
        <v>463.97999999999996</v>
      </c>
      <c r="O5" s="157">
        <f t="shared" si="0"/>
        <v>503.5</v>
      </c>
      <c r="P5" s="157">
        <f t="shared" si="0"/>
        <v>490.7</v>
      </c>
      <c r="Q5" s="157">
        <f t="shared" si="0"/>
        <v>498.20000000000005</v>
      </c>
      <c r="R5" s="157">
        <f t="shared" si="0"/>
        <v>503.7</v>
      </c>
      <c r="S5" s="157">
        <f t="shared" si="0"/>
        <v>435.09999999999997</v>
      </c>
      <c r="T5" s="157">
        <f t="shared" si="0"/>
        <v>521.1</v>
      </c>
      <c r="U5" s="157">
        <f t="shared" si="0"/>
        <v>455.3</v>
      </c>
      <c r="V5" s="157">
        <f t="shared" si="0"/>
        <v>462.3</v>
      </c>
      <c r="W5" s="157">
        <f t="shared" si="0"/>
        <v>461.49999999999994</v>
      </c>
      <c r="X5" s="157">
        <f t="shared" si="0"/>
        <v>210.39999999999998</v>
      </c>
      <c r="Y5" s="157">
        <f t="shared" si="0"/>
        <v>184</v>
      </c>
      <c r="Z5" s="157">
        <f t="shared" si="0"/>
        <v>134.4</v>
      </c>
      <c r="AA5" s="157">
        <f t="shared" si="0"/>
        <v>187.20000000000002</v>
      </c>
      <c r="AB5" s="157">
        <f t="shared" si="0"/>
        <v>247.5</v>
      </c>
      <c r="AC5" s="157">
        <f t="shared" si="0"/>
        <v>222.7</v>
      </c>
      <c r="AD5" s="157">
        <f t="shared" si="0"/>
        <v>180.1</v>
      </c>
      <c r="AE5" s="157">
        <f t="shared" si="0"/>
        <v>184.1</v>
      </c>
      <c r="AF5" s="157">
        <f>B68</f>
        <v>342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1393MW at 8:00hr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Load=1102</v>
      </c>
      <c r="B7" s="146">
        <f>B75</f>
        <v>1102.3399999999999</v>
      </c>
      <c r="C7" s="146">
        <f t="shared" ref="C7:AF7" si="1">C75</f>
        <v>1150.3399999999999</v>
      </c>
      <c r="D7" s="146">
        <f t="shared" si="1"/>
        <v>1162.48</v>
      </c>
      <c r="E7" s="146">
        <f t="shared" si="1"/>
        <v>1152.48</v>
      </c>
      <c r="F7" s="146">
        <f t="shared" si="1"/>
        <v>1139.48</v>
      </c>
      <c r="G7" s="146">
        <f t="shared" si="1"/>
        <v>1185.94</v>
      </c>
      <c r="H7" s="146">
        <f t="shared" si="1"/>
        <v>1216.8799999999999</v>
      </c>
      <c r="I7" s="146">
        <f t="shared" si="1"/>
        <v>1231.6399999999999</v>
      </c>
      <c r="J7" s="146">
        <f t="shared" si="1"/>
        <v>1284.3400000000001</v>
      </c>
      <c r="K7" s="146">
        <f t="shared" si="1"/>
        <v>1352.54</v>
      </c>
      <c r="L7" s="146">
        <f t="shared" si="1"/>
        <v>1372.94</v>
      </c>
      <c r="M7" s="146">
        <f t="shared" si="1"/>
        <v>1392.8</v>
      </c>
      <c r="N7" s="146">
        <f t="shared" si="1"/>
        <v>1368.8899999999999</v>
      </c>
      <c r="O7" s="146">
        <f t="shared" si="1"/>
        <v>1376.32</v>
      </c>
      <c r="P7" s="146">
        <f t="shared" si="1"/>
        <v>1398.2399999999998</v>
      </c>
      <c r="Q7" s="146">
        <f t="shared" si="1"/>
        <v>1425.94</v>
      </c>
      <c r="R7" s="146">
        <f t="shared" si="1"/>
        <v>1411.8400000000001</v>
      </c>
      <c r="S7" s="146">
        <f t="shared" si="1"/>
        <v>1433.64</v>
      </c>
      <c r="T7" s="146">
        <f t="shared" si="1"/>
        <v>1370.24</v>
      </c>
      <c r="U7" s="146">
        <f t="shared" si="1"/>
        <v>1483.74</v>
      </c>
      <c r="V7" s="146">
        <f t="shared" si="1"/>
        <v>1425.04</v>
      </c>
      <c r="W7" s="146">
        <f t="shared" si="1"/>
        <v>1403.04</v>
      </c>
      <c r="X7" s="146">
        <f t="shared" si="1"/>
        <v>1390.04</v>
      </c>
      <c r="Y7" s="146">
        <f t="shared" si="1"/>
        <v>1449.6399999999999</v>
      </c>
      <c r="Z7" s="146">
        <f t="shared" si="1"/>
        <v>1662.7400000000002</v>
      </c>
      <c r="AA7" s="146">
        <f t="shared" si="1"/>
        <v>1604.04</v>
      </c>
      <c r="AB7" s="146">
        <f t="shared" si="1"/>
        <v>1548.6400000000003</v>
      </c>
      <c r="AC7" s="146">
        <f t="shared" si="1"/>
        <v>1545.84</v>
      </c>
      <c r="AD7" s="146">
        <f t="shared" si="1"/>
        <v>1483.84</v>
      </c>
      <c r="AE7" s="146">
        <f t="shared" si="1"/>
        <v>1416.54</v>
      </c>
      <c r="AF7" s="146">
        <f t="shared" si="1"/>
        <v>1318.04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80</v>
      </c>
      <c r="C11" s="127">
        <v>210</v>
      </c>
      <c r="D11" s="127">
        <v>180</v>
      </c>
      <c r="E11" s="127">
        <v>180</v>
      </c>
      <c r="F11" s="127">
        <v>160</v>
      </c>
      <c r="G11" s="127">
        <v>200</v>
      </c>
      <c r="H11" s="127">
        <v>180</v>
      </c>
      <c r="I11" s="127">
        <v>150</v>
      </c>
      <c r="J11" s="127">
        <v>200</v>
      </c>
      <c r="K11" s="127">
        <v>170</v>
      </c>
      <c r="L11" s="127">
        <v>145</v>
      </c>
      <c r="M11" s="181">
        <v>100</v>
      </c>
      <c r="N11" s="103">
        <v>100</v>
      </c>
      <c r="O11" s="103">
        <v>110</v>
      </c>
      <c r="P11" s="103">
        <v>100</v>
      </c>
      <c r="Q11" s="103">
        <v>140</v>
      </c>
      <c r="R11" s="135">
        <v>130</v>
      </c>
      <c r="S11" s="103">
        <v>145</v>
      </c>
      <c r="T11" s="103">
        <v>151</v>
      </c>
      <c r="U11" s="103">
        <v>150</v>
      </c>
      <c r="V11" s="103">
        <v>162</v>
      </c>
      <c r="W11" s="103">
        <v>151</v>
      </c>
      <c r="X11" s="103">
        <v>153</v>
      </c>
      <c r="Y11" s="103">
        <v>350</v>
      </c>
      <c r="Z11" s="179">
        <v>430</v>
      </c>
      <c r="AA11" s="103">
        <v>430</v>
      </c>
      <c r="AB11" s="103">
        <v>381</v>
      </c>
      <c r="AC11" s="103">
        <v>360</v>
      </c>
      <c r="AD11" s="103">
        <v>330</v>
      </c>
      <c r="AE11" s="103">
        <v>300</v>
      </c>
      <c r="AF11" s="127">
        <v>220</v>
      </c>
      <c r="AG11" s="54">
        <v>456</v>
      </c>
      <c r="AH11" s="21">
        <f>MAX(B11:AF11)</f>
        <v>430</v>
      </c>
      <c r="AI11" s="20">
        <f>MIN(B11:AF11)</f>
        <v>80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81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77">
        <v>27</v>
      </c>
      <c r="T12" s="77">
        <v>27</v>
      </c>
      <c r="U12" s="77">
        <v>27</v>
      </c>
      <c r="V12" s="77">
        <v>27</v>
      </c>
      <c r="W12" s="77">
        <v>27</v>
      </c>
      <c r="X12" s="77">
        <v>27</v>
      </c>
      <c r="Y12" s="77">
        <v>27</v>
      </c>
      <c r="Z12" s="77">
        <v>27</v>
      </c>
      <c r="AA12" s="77">
        <v>27</v>
      </c>
      <c r="AB12" s="77">
        <v>27</v>
      </c>
      <c r="AC12" s="77">
        <v>27</v>
      </c>
      <c r="AD12" s="77">
        <v>27</v>
      </c>
      <c r="AE12" s="77">
        <v>27</v>
      </c>
      <c r="AF12" s="77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19.399999999999999</v>
      </c>
      <c r="C13" s="127">
        <v>19.399999999999999</v>
      </c>
      <c r="D13" s="127">
        <v>20.04</v>
      </c>
      <c r="E13" s="127">
        <v>20.04</v>
      </c>
      <c r="F13" s="127">
        <v>20.04</v>
      </c>
      <c r="G13" s="127">
        <v>20.04</v>
      </c>
      <c r="H13" s="127">
        <v>20.04</v>
      </c>
      <c r="I13" s="127">
        <v>0</v>
      </c>
      <c r="J13" s="127">
        <v>23.1</v>
      </c>
      <c r="K13" s="127">
        <v>23.1</v>
      </c>
      <c r="L13" s="127">
        <v>23.1</v>
      </c>
      <c r="M13" s="181">
        <v>19.8</v>
      </c>
      <c r="N13" s="127">
        <v>19.8</v>
      </c>
      <c r="O13" s="127">
        <v>19.8</v>
      </c>
      <c r="P13" s="127">
        <v>18.3</v>
      </c>
      <c r="Q13" s="127">
        <v>18.399999999999999</v>
      </c>
      <c r="R13" s="127">
        <v>18.3</v>
      </c>
      <c r="S13" s="77">
        <v>8.3000000000000007</v>
      </c>
      <c r="T13" s="77">
        <v>8.3000000000000007</v>
      </c>
      <c r="U13" s="77">
        <v>8.3000000000000007</v>
      </c>
      <c r="V13" s="77">
        <v>8.3000000000000007</v>
      </c>
      <c r="W13" s="77">
        <v>8.3000000000000007</v>
      </c>
      <c r="X13" s="77">
        <v>8.3000000000000007</v>
      </c>
      <c r="Y13" s="77">
        <v>8.3000000000000007</v>
      </c>
      <c r="Z13" s="103">
        <v>21.5</v>
      </c>
      <c r="AA13" s="103">
        <v>8.3000000000000007</v>
      </c>
      <c r="AB13" s="103">
        <v>8.3000000000000007</v>
      </c>
      <c r="AC13" s="103">
        <v>8.3000000000000007</v>
      </c>
      <c r="AD13" s="103">
        <v>8.3000000000000007</v>
      </c>
      <c r="AE13" s="103">
        <v>8.3000000000000007</v>
      </c>
      <c r="AF13" s="103">
        <v>8.3000000000000007</v>
      </c>
      <c r="AG13" s="134">
        <v>52.4</v>
      </c>
      <c r="AH13" s="21">
        <f t="shared" si="2"/>
        <v>23.1</v>
      </c>
      <c r="AI13" s="20">
        <f t="shared" si="3"/>
        <v>0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0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7">
        <v>0</v>
      </c>
      <c r="I14" s="127">
        <v>0</v>
      </c>
      <c r="J14" s="127">
        <v>0</v>
      </c>
      <c r="K14" s="127">
        <v>0</v>
      </c>
      <c r="L14" s="127">
        <v>0</v>
      </c>
      <c r="M14" s="181">
        <v>0</v>
      </c>
      <c r="N14" s="181">
        <v>0</v>
      </c>
      <c r="O14" s="181">
        <v>0</v>
      </c>
      <c r="P14" s="181">
        <v>0</v>
      </c>
      <c r="Q14" s="181">
        <v>0</v>
      </c>
      <c r="R14" s="103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0</v>
      </c>
      <c r="AG14" s="134">
        <v>50</v>
      </c>
      <c r="AH14" s="21">
        <f t="shared" si="2"/>
        <v>0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22.9</v>
      </c>
      <c r="C15" s="123">
        <v>22.9</v>
      </c>
      <c r="D15" s="123">
        <v>22.9</v>
      </c>
      <c r="E15" s="123">
        <v>22.9</v>
      </c>
      <c r="F15" s="123">
        <v>22.9</v>
      </c>
      <c r="G15" s="123">
        <v>22.9</v>
      </c>
      <c r="H15" s="123">
        <v>22.9</v>
      </c>
      <c r="I15" s="123">
        <v>22.9</v>
      </c>
      <c r="J15" s="123">
        <v>22.9</v>
      </c>
      <c r="K15" s="123">
        <v>22.9</v>
      </c>
      <c r="L15" s="123">
        <v>22.9</v>
      </c>
      <c r="M15" s="181">
        <v>22.9</v>
      </c>
      <c r="N15" s="181">
        <v>22.9</v>
      </c>
      <c r="O15" s="181">
        <v>22.9</v>
      </c>
      <c r="P15" s="181">
        <v>22.9</v>
      </c>
      <c r="Q15" s="181">
        <v>22.9</v>
      </c>
      <c r="R15" s="103">
        <v>22.8</v>
      </c>
      <c r="S15" s="67">
        <v>22.8</v>
      </c>
      <c r="T15" s="67">
        <v>22.8</v>
      </c>
      <c r="U15" s="67">
        <v>22.8</v>
      </c>
      <c r="V15" s="67">
        <v>22.8</v>
      </c>
      <c r="W15" s="67">
        <v>22.8</v>
      </c>
      <c r="X15" s="67">
        <v>22.8</v>
      </c>
      <c r="Y15" s="67">
        <v>22.8</v>
      </c>
      <c r="Z15" s="103">
        <v>22.8</v>
      </c>
      <c r="AA15" s="103">
        <v>22.8</v>
      </c>
      <c r="AB15" s="103">
        <v>22.8</v>
      </c>
      <c r="AC15" s="103">
        <v>22.8</v>
      </c>
      <c r="AD15" s="103">
        <v>22.8</v>
      </c>
      <c r="AE15" s="103">
        <v>22.8</v>
      </c>
      <c r="AF15" s="103">
        <v>22.8</v>
      </c>
      <c r="AG15" s="108">
        <v>45</v>
      </c>
      <c r="AH15" s="21">
        <f t="shared" si="2"/>
        <v>22.9</v>
      </c>
      <c r="AI15" s="20">
        <f t="shared" si="3"/>
        <v>22.8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81">
        <v>14</v>
      </c>
      <c r="N16" s="181">
        <v>14</v>
      </c>
      <c r="O16" s="181">
        <v>14</v>
      </c>
      <c r="P16" s="181">
        <v>14</v>
      </c>
      <c r="Q16" s="181">
        <v>14</v>
      </c>
      <c r="R16" s="103">
        <v>14</v>
      </c>
      <c r="S16" s="70">
        <v>14</v>
      </c>
      <c r="T16" s="70">
        <v>14</v>
      </c>
      <c r="U16" s="70">
        <v>14</v>
      </c>
      <c r="V16" s="70">
        <v>14</v>
      </c>
      <c r="W16" s="70">
        <v>14</v>
      </c>
      <c r="X16" s="70">
        <v>14</v>
      </c>
      <c r="Y16" s="70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12.5</v>
      </c>
      <c r="C17" s="127">
        <v>12.5</v>
      </c>
      <c r="D17" s="127">
        <v>12.5</v>
      </c>
      <c r="E17" s="127">
        <v>12.5</v>
      </c>
      <c r="F17" s="127">
        <v>12.5</v>
      </c>
      <c r="G17" s="127">
        <v>12.5</v>
      </c>
      <c r="H17" s="127">
        <v>12.5</v>
      </c>
      <c r="I17" s="127">
        <v>12.5</v>
      </c>
      <c r="J17" s="127">
        <v>12.5</v>
      </c>
      <c r="K17" s="127">
        <v>12.5</v>
      </c>
      <c r="L17" s="127">
        <v>12.5</v>
      </c>
      <c r="M17" s="181">
        <v>12.5</v>
      </c>
      <c r="N17" s="181">
        <v>12.5</v>
      </c>
      <c r="O17" s="181">
        <v>12.5</v>
      </c>
      <c r="P17" s="181">
        <v>12.5</v>
      </c>
      <c r="Q17" s="181">
        <v>12.5</v>
      </c>
      <c r="R17" s="181">
        <v>12.5</v>
      </c>
      <c r="S17" s="67">
        <v>12.5</v>
      </c>
      <c r="T17" s="67">
        <v>12.5</v>
      </c>
      <c r="U17" s="67">
        <v>12.5</v>
      </c>
      <c r="V17" s="67">
        <v>12.5</v>
      </c>
      <c r="W17" s="67">
        <v>12.5</v>
      </c>
      <c r="X17" s="67">
        <v>12.5</v>
      </c>
      <c r="Y17" s="67">
        <v>12.5</v>
      </c>
      <c r="Z17" s="103">
        <v>12.5</v>
      </c>
      <c r="AA17" s="103">
        <v>12.5</v>
      </c>
      <c r="AB17" s="103">
        <v>12.5</v>
      </c>
      <c r="AC17" s="103">
        <v>12.5</v>
      </c>
      <c r="AD17" s="103">
        <v>12.5</v>
      </c>
      <c r="AE17" s="103">
        <v>12.5</v>
      </c>
      <c r="AF17" s="103">
        <v>12.5</v>
      </c>
      <c r="AG17" s="134">
        <v>42</v>
      </c>
      <c r="AH17" s="21">
        <f t="shared" si="2"/>
        <v>12.5</v>
      </c>
      <c r="AI17" s="20">
        <f t="shared" si="3"/>
        <v>12.5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81">
        <v>8</v>
      </c>
      <c r="N18" s="181">
        <v>8</v>
      </c>
      <c r="O18" s="181">
        <v>8</v>
      </c>
      <c r="P18" s="181">
        <v>8</v>
      </c>
      <c r="Q18" s="181">
        <v>8</v>
      </c>
      <c r="R18" s="181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13.3</v>
      </c>
      <c r="C19" s="127">
        <v>13.3</v>
      </c>
      <c r="D19" s="127">
        <v>13.3</v>
      </c>
      <c r="E19" s="127">
        <v>13.3</v>
      </c>
      <c r="F19" s="127">
        <v>13.3</v>
      </c>
      <c r="G19" s="127">
        <v>13.3</v>
      </c>
      <c r="H19" s="127">
        <v>13.3</v>
      </c>
      <c r="I19" s="127">
        <v>13.3</v>
      </c>
      <c r="J19" s="127">
        <v>13.3</v>
      </c>
      <c r="K19" s="127">
        <v>13.3</v>
      </c>
      <c r="L19" s="127">
        <v>13.3</v>
      </c>
      <c r="M19" s="181">
        <v>13.3</v>
      </c>
      <c r="N19" s="181">
        <v>13.3</v>
      </c>
      <c r="O19" s="181">
        <v>13.3</v>
      </c>
      <c r="P19" s="181">
        <v>13.3</v>
      </c>
      <c r="Q19" s="181">
        <v>13.3</v>
      </c>
      <c r="R19" s="181">
        <v>13.3</v>
      </c>
      <c r="S19" s="103">
        <v>12.1</v>
      </c>
      <c r="T19" s="103">
        <v>12.1</v>
      </c>
      <c r="U19" s="103">
        <v>12.1</v>
      </c>
      <c r="V19" s="103">
        <v>12.1</v>
      </c>
      <c r="W19" s="103">
        <v>12.1</v>
      </c>
      <c r="X19" s="103">
        <v>12.1</v>
      </c>
      <c r="Y19" s="103">
        <v>12.1</v>
      </c>
      <c r="Z19" s="103">
        <v>12.1</v>
      </c>
      <c r="AA19" s="103">
        <v>12.1</v>
      </c>
      <c r="AB19" s="103">
        <v>12.1</v>
      </c>
      <c r="AC19" s="103">
        <v>12.1</v>
      </c>
      <c r="AD19" s="103">
        <v>12.1</v>
      </c>
      <c r="AE19" s="103">
        <v>12.1</v>
      </c>
      <c r="AF19" s="103">
        <v>12.1</v>
      </c>
      <c r="AG19" s="134">
        <v>30</v>
      </c>
      <c r="AH19" s="21">
        <f t="shared" si="2"/>
        <v>13.3</v>
      </c>
      <c r="AI19" s="20">
        <f t="shared" si="3"/>
        <v>12.1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81">
        <v>6.2</v>
      </c>
      <c r="N20" s="181">
        <v>6.2</v>
      </c>
      <c r="O20" s="181">
        <v>6.2</v>
      </c>
      <c r="P20" s="181">
        <v>6.2</v>
      </c>
      <c r="Q20" s="181">
        <v>6.2</v>
      </c>
      <c r="R20" s="181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81">
        <v>3.5</v>
      </c>
      <c r="N21" s="181">
        <v>3.5</v>
      </c>
      <c r="O21" s="181">
        <v>3.5</v>
      </c>
      <c r="P21" s="181">
        <v>3.5</v>
      </c>
      <c r="Q21" s="181">
        <v>3.5</v>
      </c>
      <c r="R21" s="181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22.1</v>
      </c>
      <c r="C22" s="127">
        <v>22.1</v>
      </c>
      <c r="D22" s="127">
        <v>22.1</v>
      </c>
      <c r="E22" s="127">
        <v>22.1</v>
      </c>
      <c r="F22" s="127">
        <v>22.1</v>
      </c>
      <c r="G22" s="127">
        <v>22.1</v>
      </c>
      <c r="H22" s="127">
        <v>22.1</v>
      </c>
      <c r="I22" s="127">
        <v>22.1</v>
      </c>
      <c r="J22" s="127">
        <v>22.1</v>
      </c>
      <c r="K22" s="127">
        <v>22.1</v>
      </c>
      <c r="L22" s="127">
        <v>22.1</v>
      </c>
      <c r="M22" s="181">
        <v>22.1</v>
      </c>
      <c r="N22" s="181">
        <v>22.1</v>
      </c>
      <c r="O22" s="181">
        <v>22.1</v>
      </c>
      <c r="P22" s="181">
        <v>22.1</v>
      </c>
      <c r="Q22" s="181">
        <v>22.1</v>
      </c>
      <c r="R22" s="181">
        <v>22.1</v>
      </c>
      <c r="S22" s="103">
        <v>20</v>
      </c>
      <c r="T22" s="103">
        <v>20</v>
      </c>
      <c r="U22" s="103">
        <v>20</v>
      </c>
      <c r="V22" s="103">
        <v>22</v>
      </c>
      <c r="W22" s="103">
        <v>22</v>
      </c>
      <c r="X22" s="103">
        <v>22</v>
      </c>
      <c r="Y22" s="103">
        <v>22</v>
      </c>
      <c r="Z22" s="103">
        <v>22</v>
      </c>
      <c r="AA22" s="103">
        <v>22</v>
      </c>
      <c r="AB22" s="103">
        <v>22</v>
      </c>
      <c r="AC22" s="103">
        <v>22</v>
      </c>
      <c r="AD22" s="103">
        <v>22</v>
      </c>
      <c r="AE22" s="103">
        <v>22</v>
      </c>
      <c r="AF22" s="103">
        <v>22</v>
      </c>
      <c r="AG22" s="134">
        <v>25</v>
      </c>
      <c r="AH22" s="21">
        <f t="shared" si="2"/>
        <v>22.1</v>
      </c>
      <c r="AI22" s="20">
        <f t="shared" si="3"/>
        <v>20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7.9</v>
      </c>
      <c r="C23" s="127">
        <v>7.9</v>
      </c>
      <c r="D23" s="127">
        <v>7.9</v>
      </c>
      <c r="E23" s="127">
        <v>7.9</v>
      </c>
      <c r="F23" s="127">
        <v>7.9</v>
      </c>
      <c r="G23" s="127">
        <v>7.9</v>
      </c>
      <c r="H23" s="127">
        <v>7.9</v>
      </c>
      <c r="I23" s="127">
        <v>7.9</v>
      </c>
      <c r="J23" s="127">
        <v>7.9</v>
      </c>
      <c r="K23" s="127">
        <v>7.9</v>
      </c>
      <c r="L23" s="127">
        <v>7.9</v>
      </c>
      <c r="M23" s="181">
        <v>7.9</v>
      </c>
      <c r="N23" s="181">
        <v>7.9</v>
      </c>
      <c r="O23" s="181">
        <v>7.9</v>
      </c>
      <c r="P23" s="181">
        <v>7.9</v>
      </c>
      <c r="Q23" s="181">
        <v>7.9</v>
      </c>
      <c r="R23" s="181">
        <v>7.9</v>
      </c>
      <c r="S23" s="103">
        <v>7.9</v>
      </c>
      <c r="T23" s="103">
        <v>7.9</v>
      </c>
      <c r="U23" s="103">
        <v>7.9</v>
      </c>
      <c r="V23" s="103">
        <v>7.9</v>
      </c>
      <c r="W23" s="103">
        <v>7.9</v>
      </c>
      <c r="X23" s="103">
        <v>7.9</v>
      </c>
      <c r="Y23" s="103">
        <v>7.9</v>
      </c>
      <c r="Z23" s="103">
        <v>9</v>
      </c>
      <c r="AA23" s="103">
        <v>7.9</v>
      </c>
      <c r="AB23" s="103">
        <v>7.9</v>
      </c>
      <c r="AC23" s="103">
        <v>7.9</v>
      </c>
      <c r="AD23" s="103">
        <v>7.9</v>
      </c>
      <c r="AE23" s="103">
        <v>7.9</v>
      </c>
      <c r="AF23" s="103">
        <v>7.9</v>
      </c>
      <c r="AG23" s="134">
        <v>25</v>
      </c>
      <c r="AH23" s="21">
        <f t="shared" si="2"/>
        <v>9</v>
      </c>
      <c r="AI23" s="20">
        <f t="shared" si="3"/>
        <v>7.9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10.199999999999999</v>
      </c>
      <c r="C24" s="127">
        <v>10.199999999999999</v>
      </c>
      <c r="D24" s="127">
        <v>10.199999999999999</v>
      </c>
      <c r="E24" s="127">
        <v>10.199999999999999</v>
      </c>
      <c r="F24" s="127">
        <v>10.199999999999999</v>
      </c>
      <c r="G24" s="127">
        <v>10.199999999999999</v>
      </c>
      <c r="H24" s="127">
        <v>10.199999999999999</v>
      </c>
      <c r="I24" s="127">
        <v>10.199999999999999</v>
      </c>
      <c r="J24" s="127">
        <v>10.199999999999999</v>
      </c>
      <c r="K24" s="127">
        <v>10.199999999999999</v>
      </c>
      <c r="L24" s="127">
        <v>10.199999999999999</v>
      </c>
      <c r="M24" s="181">
        <v>10.199999999999999</v>
      </c>
      <c r="N24" s="181">
        <v>10.199999999999999</v>
      </c>
      <c r="O24" s="181">
        <v>10.199999999999999</v>
      </c>
      <c r="P24" s="181">
        <v>10.199999999999999</v>
      </c>
      <c r="Q24" s="181">
        <v>10.199999999999999</v>
      </c>
      <c r="R24" s="181">
        <v>10.199999999999999</v>
      </c>
      <c r="S24" s="103">
        <v>7</v>
      </c>
      <c r="T24" s="103">
        <v>7</v>
      </c>
      <c r="U24" s="103">
        <v>7</v>
      </c>
      <c r="V24" s="103">
        <v>7</v>
      </c>
      <c r="W24" s="103">
        <v>7</v>
      </c>
      <c r="X24" s="103">
        <v>7</v>
      </c>
      <c r="Y24" s="103">
        <v>7</v>
      </c>
      <c r="Z24" s="103">
        <v>7</v>
      </c>
      <c r="AA24" s="103">
        <v>7</v>
      </c>
      <c r="AB24" s="103">
        <v>7</v>
      </c>
      <c r="AC24" s="103">
        <v>7</v>
      </c>
      <c r="AD24" s="103">
        <v>7</v>
      </c>
      <c r="AE24" s="103">
        <v>7</v>
      </c>
      <c r="AF24" s="103">
        <v>7</v>
      </c>
      <c r="AG24" s="134">
        <v>25</v>
      </c>
      <c r="AH24" s="21">
        <f t="shared" si="2"/>
        <v>10.199999999999999</v>
      </c>
      <c r="AI24" s="20">
        <f t="shared" si="3"/>
        <v>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21</v>
      </c>
      <c r="C25" s="127">
        <v>21</v>
      </c>
      <c r="D25" s="127">
        <v>21</v>
      </c>
      <c r="E25" s="127">
        <v>21</v>
      </c>
      <c r="F25" s="127">
        <v>21</v>
      </c>
      <c r="G25" s="127">
        <v>21</v>
      </c>
      <c r="H25" s="127">
        <v>21</v>
      </c>
      <c r="I25" s="127">
        <v>21</v>
      </c>
      <c r="J25" s="127">
        <v>21</v>
      </c>
      <c r="K25" s="127">
        <v>21</v>
      </c>
      <c r="L25" s="127">
        <v>21</v>
      </c>
      <c r="M25" s="181">
        <v>21</v>
      </c>
      <c r="N25" s="181">
        <v>21</v>
      </c>
      <c r="O25" s="181">
        <v>21</v>
      </c>
      <c r="P25" s="181">
        <v>21</v>
      </c>
      <c r="Q25" s="181">
        <v>21</v>
      </c>
      <c r="R25" s="181">
        <v>21</v>
      </c>
      <c r="S25" s="103">
        <v>21</v>
      </c>
      <c r="T25" s="103">
        <v>21</v>
      </c>
      <c r="U25" s="103">
        <v>21</v>
      </c>
      <c r="V25" s="103">
        <v>21</v>
      </c>
      <c r="W25" s="103">
        <v>21</v>
      </c>
      <c r="X25" s="103">
        <v>21</v>
      </c>
      <c r="Y25" s="103">
        <v>21</v>
      </c>
      <c r="Z25" s="103">
        <v>21</v>
      </c>
      <c r="AA25" s="103">
        <v>21</v>
      </c>
      <c r="AB25" s="103">
        <v>21</v>
      </c>
      <c r="AC25" s="103">
        <v>21</v>
      </c>
      <c r="AD25" s="103">
        <v>21</v>
      </c>
      <c r="AE25" s="103">
        <v>21</v>
      </c>
      <c r="AF25" s="103">
        <v>21</v>
      </c>
      <c r="AG25" s="134">
        <v>24.2</v>
      </c>
      <c r="AH25" s="21">
        <f t="shared" si="2"/>
        <v>21</v>
      </c>
      <c r="AI25" s="20">
        <f t="shared" si="3"/>
        <v>21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11</v>
      </c>
      <c r="C26" s="127">
        <v>11</v>
      </c>
      <c r="D26" s="127">
        <v>11</v>
      </c>
      <c r="E26" s="127">
        <v>11</v>
      </c>
      <c r="F26" s="127">
        <v>11</v>
      </c>
      <c r="G26" s="127">
        <v>11</v>
      </c>
      <c r="H26" s="127">
        <v>11</v>
      </c>
      <c r="I26" s="127">
        <v>11</v>
      </c>
      <c r="J26" s="127">
        <v>11</v>
      </c>
      <c r="K26" s="127">
        <v>11</v>
      </c>
      <c r="L26" s="127">
        <v>11</v>
      </c>
      <c r="M26" s="181">
        <v>11</v>
      </c>
      <c r="N26" s="181">
        <v>11</v>
      </c>
      <c r="O26" s="181">
        <v>11</v>
      </c>
      <c r="P26" s="181">
        <v>11</v>
      </c>
      <c r="Q26" s="181">
        <v>11</v>
      </c>
      <c r="R26" s="181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3.9</v>
      </c>
      <c r="C27" s="127">
        <v>3.9</v>
      </c>
      <c r="D27" s="127">
        <v>3.9</v>
      </c>
      <c r="E27" s="127">
        <v>3.9</v>
      </c>
      <c r="F27" s="127">
        <v>3.9</v>
      </c>
      <c r="G27" s="127">
        <v>3.9</v>
      </c>
      <c r="H27" s="127">
        <v>3.9</v>
      </c>
      <c r="I27" s="127">
        <v>3.9</v>
      </c>
      <c r="J27" s="127">
        <v>3.9</v>
      </c>
      <c r="K27" s="127">
        <v>3.9</v>
      </c>
      <c r="L27" s="127">
        <v>3.9</v>
      </c>
      <c r="M27" s="181">
        <v>3.9</v>
      </c>
      <c r="N27" s="181">
        <v>3.9</v>
      </c>
      <c r="O27" s="181">
        <v>3.9</v>
      </c>
      <c r="P27" s="181">
        <v>3.9</v>
      </c>
      <c r="Q27" s="181">
        <v>3.9</v>
      </c>
      <c r="R27" s="181">
        <v>3.9</v>
      </c>
      <c r="S27" s="103">
        <v>3.9</v>
      </c>
      <c r="T27" s="103">
        <v>3.9</v>
      </c>
      <c r="U27" s="103">
        <v>3.9</v>
      </c>
      <c r="V27" s="103">
        <v>3.9</v>
      </c>
      <c r="W27" s="103">
        <v>3.9</v>
      </c>
      <c r="X27" s="103">
        <v>3.9</v>
      </c>
      <c r="Y27" s="103">
        <v>3.9</v>
      </c>
      <c r="Z27" s="103">
        <v>3.9</v>
      </c>
      <c r="AA27" s="103">
        <v>3.9</v>
      </c>
      <c r="AB27" s="103">
        <v>3.9</v>
      </c>
      <c r="AC27" s="103">
        <v>3.9</v>
      </c>
      <c r="AD27" s="103">
        <v>3.9</v>
      </c>
      <c r="AE27" s="103">
        <v>3.9</v>
      </c>
      <c r="AF27" s="103">
        <v>3.9</v>
      </c>
      <c r="AG27" s="134">
        <v>23.5</v>
      </c>
      <c r="AH27" s="21">
        <f t="shared" si="2"/>
        <v>3.9</v>
      </c>
      <c r="AI27" s="20">
        <f t="shared" si="3"/>
        <v>3.9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11</v>
      </c>
      <c r="C28" s="127">
        <v>11</v>
      </c>
      <c r="D28" s="127">
        <v>11</v>
      </c>
      <c r="E28" s="127">
        <v>11</v>
      </c>
      <c r="F28" s="127">
        <v>11</v>
      </c>
      <c r="G28" s="127">
        <v>11</v>
      </c>
      <c r="H28" s="127">
        <v>11</v>
      </c>
      <c r="I28" s="127">
        <v>11</v>
      </c>
      <c r="J28" s="127">
        <v>0</v>
      </c>
      <c r="K28" s="127">
        <v>0</v>
      </c>
      <c r="L28" s="127">
        <v>0</v>
      </c>
      <c r="M28" s="181">
        <v>0</v>
      </c>
      <c r="N28" s="181">
        <v>0</v>
      </c>
      <c r="O28" s="181">
        <v>0</v>
      </c>
      <c r="P28" s="181">
        <v>0</v>
      </c>
      <c r="Q28" s="181">
        <v>0</v>
      </c>
      <c r="R28" s="181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11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81">
        <v>4.5999999999999996</v>
      </c>
      <c r="N29" s="181">
        <v>4.5999999999999996</v>
      </c>
      <c r="O29" s="181">
        <v>4.5999999999999996</v>
      </c>
      <c r="P29" s="181">
        <v>4.5999999999999996</v>
      </c>
      <c r="Q29" s="181">
        <v>4.5999999999999996</v>
      </c>
      <c r="R29" s="181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81">
        <v>10</v>
      </c>
      <c r="N30" s="181">
        <v>10</v>
      </c>
      <c r="O30" s="181">
        <v>10</v>
      </c>
      <c r="P30" s="181">
        <v>10</v>
      </c>
      <c r="Q30" s="181">
        <v>10</v>
      </c>
      <c r="R30" s="181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82">
        <v>6</v>
      </c>
      <c r="N31" s="182">
        <v>6</v>
      </c>
      <c r="O31" s="182">
        <v>6</v>
      </c>
      <c r="P31" s="182">
        <v>6</v>
      </c>
      <c r="Q31" s="182">
        <v>6</v>
      </c>
      <c r="R31" s="182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82">
        <v>3.7</v>
      </c>
      <c r="N32" s="182">
        <v>3.7</v>
      </c>
      <c r="O32" s="182">
        <v>3.7</v>
      </c>
      <c r="P32" s="182">
        <v>3.7</v>
      </c>
      <c r="Q32" s="182">
        <v>3.7</v>
      </c>
      <c r="R32" s="182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82">
        <v>2.5</v>
      </c>
      <c r="N33" s="182">
        <v>2.5</v>
      </c>
      <c r="O33" s="182">
        <v>2.5</v>
      </c>
      <c r="P33" s="182">
        <v>2.5</v>
      </c>
      <c r="Q33" s="182">
        <v>2.5</v>
      </c>
      <c r="R33" s="182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82">
        <v>5</v>
      </c>
      <c r="N34" s="182">
        <v>5</v>
      </c>
      <c r="O34" s="182">
        <v>5</v>
      </c>
      <c r="P34" s="182">
        <v>5</v>
      </c>
      <c r="Q34" s="182">
        <v>5</v>
      </c>
      <c r="R34" s="182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82">
        <v>0</v>
      </c>
      <c r="N35" s="182">
        <v>0</v>
      </c>
      <c r="O35" s="182">
        <v>0</v>
      </c>
      <c r="P35" s="182">
        <v>0</v>
      </c>
      <c r="Q35" s="182">
        <v>0</v>
      </c>
      <c r="R35" s="182">
        <v>0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0</v>
      </c>
      <c r="AA35" s="103">
        <v>5</v>
      </c>
      <c r="AB35" s="103">
        <v>5</v>
      </c>
      <c r="AC35" s="103">
        <v>5</v>
      </c>
      <c r="AD35" s="103">
        <v>5</v>
      </c>
      <c r="AE35" s="103">
        <v>5</v>
      </c>
      <c r="AF35" s="103">
        <v>5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170</v>
      </c>
      <c r="C36" s="123">
        <v>170</v>
      </c>
      <c r="D36" s="123">
        <v>170</v>
      </c>
      <c r="E36" s="123">
        <v>170</v>
      </c>
      <c r="F36" s="123">
        <v>170</v>
      </c>
      <c r="G36" s="123">
        <v>170</v>
      </c>
      <c r="H36" s="123">
        <v>170</v>
      </c>
      <c r="I36" s="123">
        <v>170</v>
      </c>
      <c r="J36" s="123">
        <v>170</v>
      </c>
      <c r="K36" s="123">
        <v>170</v>
      </c>
      <c r="L36" s="123">
        <v>170</v>
      </c>
      <c r="M36" s="182">
        <v>170</v>
      </c>
      <c r="N36" s="182">
        <v>170</v>
      </c>
      <c r="O36" s="182">
        <v>170</v>
      </c>
      <c r="P36" s="182">
        <v>170</v>
      </c>
      <c r="Q36" s="182">
        <v>170</v>
      </c>
      <c r="R36" s="182">
        <v>170</v>
      </c>
      <c r="S36" s="123">
        <v>170</v>
      </c>
      <c r="T36" s="123">
        <v>170</v>
      </c>
      <c r="U36" s="123">
        <v>170</v>
      </c>
      <c r="V36" s="123">
        <v>170</v>
      </c>
      <c r="W36" s="123">
        <v>170</v>
      </c>
      <c r="X36" s="123">
        <v>170</v>
      </c>
      <c r="Y36" s="123">
        <v>170</v>
      </c>
      <c r="Z36" s="123">
        <v>160</v>
      </c>
      <c r="AA36" s="123">
        <v>170</v>
      </c>
      <c r="AB36" s="123">
        <v>170</v>
      </c>
      <c r="AC36" s="123">
        <v>170</v>
      </c>
      <c r="AD36" s="123">
        <v>170</v>
      </c>
      <c r="AE36" s="123">
        <v>170</v>
      </c>
      <c r="AF36" s="123">
        <v>170</v>
      </c>
      <c r="AG36" s="106">
        <v>85</v>
      </c>
      <c r="AH36" s="21">
        <f t="shared" si="2"/>
        <v>170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109</v>
      </c>
      <c r="C37" s="123">
        <v>103</v>
      </c>
      <c r="D37" s="123">
        <v>103</v>
      </c>
      <c r="E37" s="123">
        <f>44.1+60.4</f>
        <v>104.5</v>
      </c>
      <c r="F37" s="123">
        <f>44.4+59.2</f>
        <v>103.6</v>
      </c>
      <c r="G37" s="123">
        <f>45.8+57.6</f>
        <v>103.4</v>
      </c>
      <c r="H37" s="123">
        <f>44.2+56.4</f>
        <v>100.6</v>
      </c>
      <c r="I37" s="123">
        <f>44+56.7</f>
        <v>100.7</v>
      </c>
      <c r="J37" s="123">
        <f>43.9+56.1</f>
        <v>100</v>
      </c>
      <c r="K37" s="123">
        <f>42.2+54.8</f>
        <v>97</v>
      </c>
      <c r="L37" s="123">
        <f>42+54.5</f>
        <v>96.5</v>
      </c>
      <c r="M37" s="181">
        <v>81.8</v>
      </c>
      <c r="N37" s="128">
        <v>90.1</v>
      </c>
      <c r="O37" s="128">
        <v>86.4</v>
      </c>
      <c r="P37" s="128">
        <v>81.2</v>
      </c>
      <c r="Q37" s="128">
        <v>78.900000000000006</v>
      </c>
      <c r="R37" s="128">
        <v>80.3</v>
      </c>
      <c r="S37" s="128">
        <v>79.3</v>
      </c>
      <c r="T37" s="128">
        <f>33.7+43.2</f>
        <v>76.900000000000006</v>
      </c>
      <c r="U37" s="128">
        <f>34.4+28</f>
        <v>62.4</v>
      </c>
      <c r="V37" s="128">
        <f>33.4+26.2</f>
        <v>59.599999999999994</v>
      </c>
      <c r="W37" s="128">
        <f>33.4+31.4</f>
        <v>64.8</v>
      </c>
      <c r="X37" s="128">
        <f>33.2+32.5</f>
        <v>65.7</v>
      </c>
      <c r="Y37" s="128">
        <f>32.7+34.5</f>
        <v>67.2</v>
      </c>
      <c r="Z37" s="128">
        <v>48.8</v>
      </c>
      <c r="AA37" s="128">
        <v>67.2</v>
      </c>
      <c r="AB37" s="128">
        <v>67</v>
      </c>
      <c r="AC37" s="128">
        <v>64.3</v>
      </c>
      <c r="AD37" s="128">
        <v>70</v>
      </c>
      <c r="AE37" s="128">
        <v>59.3</v>
      </c>
      <c r="AF37" s="123">
        <v>65.5</v>
      </c>
      <c r="AG37" s="106">
        <v>240</v>
      </c>
      <c r="AH37" s="21">
        <f t="shared" si="2"/>
        <v>109</v>
      </c>
      <c r="AI37" s="20">
        <f t="shared" si="3"/>
        <v>48.8</v>
      </c>
      <c r="AK37" s="42"/>
    </row>
    <row r="38" spans="1:88" ht="15.75" thickBot="1" x14ac:dyDescent="0.3">
      <c r="A38" s="100" t="s">
        <v>173</v>
      </c>
      <c r="B38" s="99">
        <f>SUM(B11:B36)</f>
        <v>495.7</v>
      </c>
      <c r="C38" s="99">
        <f t="shared" ref="C38:AF38" si="4">SUM(C11:C36)</f>
        <v>625.69999999999993</v>
      </c>
      <c r="D38" s="99">
        <f t="shared" si="4"/>
        <v>596.33999999999992</v>
      </c>
      <c r="E38" s="99">
        <f t="shared" si="4"/>
        <v>596.33999999999992</v>
      </c>
      <c r="F38" s="99">
        <f t="shared" si="4"/>
        <v>576.33999999999992</v>
      </c>
      <c r="G38" s="99">
        <f t="shared" si="4"/>
        <v>616.33999999999992</v>
      </c>
      <c r="H38" s="99">
        <f t="shared" si="4"/>
        <v>596.33999999999992</v>
      </c>
      <c r="I38" s="99">
        <f t="shared" si="4"/>
        <v>546.29999999999995</v>
      </c>
      <c r="J38" s="99">
        <f t="shared" si="4"/>
        <v>608.4</v>
      </c>
      <c r="K38" s="99">
        <f t="shared" si="4"/>
        <v>578.4</v>
      </c>
      <c r="L38" s="99">
        <f t="shared" si="4"/>
        <v>553.4</v>
      </c>
      <c r="M38" s="99">
        <f t="shared" si="4"/>
        <v>505.09999999999997</v>
      </c>
      <c r="N38" s="99">
        <f t="shared" si="4"/>
        <v>505.09999999999997</v>
      </c>
      <c r="O38" s="99">
        <f t="shared" si="4"/>
        <v>515.09999999999991</v>
      </c>
      <c r="P38" s="99">
        <f t="shared" si="4"/>
        <v>503.6</v>
      </c>
      <c r="Q38" s="99">
        <f t="shared" si="4"/>
        <v>543.70000000000005</v>
      </c>
      <c r="R38" s="99">
        <f t="shared" si="4"/>
        <v>533.5</v>
      </c>
      <c r="S38" s="99">
        <f t="shared" si="4"/>
        <v>537</v>
      </c>
      <c r="T38" s="99">
        <f t="shared" si="4"/>
        <v>543</v>
      </c>
      <c r="U38" s="99">
        <f t="shared" si="4"/>
        <v>542</v>
      </c>
      <c r="V38" s="99">
        <f t="shared" si="4"/>
        <v>556</v>
      </c>
      <c r="W38" s="99">
        <f t="shared" si="4"/>
        <v>545</v>
      </c>
      <c r="X38" s="99">
        <f t="shared" si="4"/>
        <v>547</v>
      </c>
      <c r="Y38" s="99">
        <f t="shared" si="4"/>
        <v>744</v>
      </c>
      <c r="Z38" s="99">
        <f t="shared" si="4"/>
        <v>823.30000000000007</v>
      </c>
      <c r="AA38" s="99">
        <f t="shared" si="4"/>
        <v>824.00000000000011</v>
      </c>
      <c r="AB38" s="99">
        <f t="shared" si="4"/>
        <v>775.00000000000011</v>
      </c>
      <c r="AC38" s="99">
        <f t="shared" si="4"/>
        <v>754</v>
      </c>
      <c r="AD38" s="99">
        <f t="shared" si="4"/>
        <v>724</v>
      </c>
      <c r="AE38" s="99">
        <f t="shared" si="4"/>
        <v>694</v>
      </c>
      <c r="AF38" s="99">
        <f t="shared" si="4"/>
        <v>614</v>
      </c>
      <c r="AG38" s="106">
        <f>SUM(AG11:AG37)</f>
        <v>1492.8299999999997</v>
      </c>
      <c r="AH38" s="21">
        <f t="shared" si="2"/>
        <v>824.00000000000011</v>
      </c>
      <c r="AI38" s="20">
        <f t="shared" si="3"/>
        <v>495.7</v>
      </c>
      <c r="AK38" s="42"/>
    </row>
    <row r="39" spans="1:88" x14ac:dyDescent="0.25">
      <c r="A39" s="109" t="s">
        <v>172</v>
      </c>
      <c r="B39" s="127">
        <v>66</v>
      </c>
      <c r="C39" s="123">
        <v>97</v>
      </c>
      <c r="D39" s="123">
        <v>80</v>
      </c>
      <c r="E39" s="123">
        <v>70.400000000000006</v>
      </c>
      <c r="F39" s="123">
        <v>71</v>
      </c>
      <c r="G39" s="123">
        <v>71</v>
      </c>
      <c r="H39" s="123">
        <v>70.8</v>
      </c>
      <c r="I39" s="123">
        <v>71</v>
      </c>
      <c r="J39" s="123">
        <v>71.099999999999994</v>
      </c>
      <c r="K39" s="123">
        <v>82</v>
      </c>
      <c r="L39" s="123">
        <v>97.8</v>
      </c>
      <c r="M39" s="103">
        <v>145.5</v>
      </c>
      <c r="N39" s="103">
        <v>141.5</v>
      </c>
      <c r="O39" s="103">
        <v>131.4</v>
      </c>
      <c r="P39" s="103">
        <v>105.5</v>
      </c>
      <c r="Q39" s="103">
        <v>113.3</v>
      </c>
      <c r="R39" s="103">
        <v>113.6</v>
      </c>
      <c r="S39" s="103">
        <v>113.5</v>
      </c>
      <c r="T39" s="103">
        <v>120</v>
      </c>
      <c r="U39" s="103">
        <v>120</v>
      </c>
      <c r="V39" s="103">
        <v>111.5</v>
      </c>
      <c r="W39" s="103">
        <v>111.5</v>
      </c>
      <c r="X39" s="103">
        <v>100.6</v>
      </c>
      <c r="Y39" s="103">
        <v>145.4</v>
      </c>
      <c r="Z39" s="103">
        <v>145.30000000000001</v>
      </c>
      <c r="AA39" s="103">
        <v>145.4</v>
      </c>
      <c r="AB39" s="103">
        <v>145.4</v>
      </c>
      <c r="AC39" s="103">
        <v>145.4</v>
      </c>
      <c r="AD39" s="103">
        <v>117.6</v>
      </c>
      <c r="AE39" s="103">
        <v>106.2</v>
      </c>
      <c r="AF39" s="127">
        <v>101.5</v>
      </c>
      <c r="AG39" s="108">
        <v>144</v>
      </c>
      <c r="AH39" s="21">
        <f t="shared" si="2"/>
        <v>145.5</v>
      </c>
      <c r="AI39" s="20">
        <f t="shared" si="3"/>
        <v>66</v>
      </c>
      <c r="AK39" s="42"/>
    </row>
    <row r="40" spans="1:88" x14ac:dyDescent="0.25">
      <c r="A40" s="107" t="s">
        <v>171</v>
      </c>
      <c r="B40" s="123">
        <v>25</v>
      </c>
      <c r="C40" s="123">
        <v>35</v>
      </c>
      <c r="D40" s="123">
        <v>35</v>
      </c>
      <c r="E40" s="123">
        <v>34.799999999999997</v>
      </c>
      <c r="F40" s="123">
        <v>52.1</v>
      </c>
      <c r="G40" s="123">
        <v>60</v>
      </c>
      <c r="H40" s="123">
        <v>59.5</v>
      </c>
      <c r="I40" s="123">
        <v>68.900000000000006</v>
      </c>
      <c r="J40" s="123">
        <v>69.8</v>
      </c>
      <c r="K40" s="123">
        <v>68.8</v>
      </c>
      <c r="L40" s="123">
        <v>69.2</v>
      </c>
      <c r="M40" s="73">
        <v>69.5</v>
      </c>
      <c r="N40" s="73">
        <v>59.5</v>
      </c>
      <c r="O40" s="73">
        <v>61.1</v>
      </c>
      <c r="P40" s="73">
        <v>69.7</v>
      </c>
      <c r="Q40" s="73">
        <v>71.099999999999994</v>
      </c>
      <c r="R40" s="73">
        <v>61.4</v>
      </c>
      <c r="S40" s="73">
        <v>71.400000000000006</v>
      </c>
      <c r="T40" s="73">
        <v>63.4</v>
      </c>
      <c r="U40" s="73">
        <v>71.099999999999994</v>
      </c>
      <c r="V40" s="73">
        <v>62</v>
      </c>
      <c r="W40" s="73">
        <v>43.4</v>
      </c>
      <c r="X40" s="73">
        <v>46.8</v>
      </c>
      <c r="Y40" s="73">
        <v>71.400000000000006</v>
      </c>
      <c r="Z40" s="73">
        <v>70.900000000000006</v>
      </c>
      <c r="AA40" s="73">
        <v>71.400000000000006</v>
      </c>
      <c r="AB40" s="73">
        <v>71.400000000000006</v>
      </c>
      <c r="AC40" s="73">
        <v>71.400000000000006</v>
      </c>
      <c r="AD40" s="73">
        <v>71.7</v>
      </c>
      <c r="AE40" s="73">
        <v>71.8</v>
      </c>
      <c r="AF40" s="123">
        <v>59.3</v>
      </c>
      <c r="AG40" s="106">
        <v>70</v>
      </c>
      <c r="AH40" s="21">
        <f t="shared" si="2"/>
        <v>71.8</v>
      </c>
      <c r="AI40" s="20">
        <f t="shared" si="3"/>
        <v>25</v>
      </c>
      <c r="AK40" s="42"/>
    </row>
    <row r="41" spans="1:88" x14ac:dyDescent="0.25">
      <c r="A41" s="107" t="s">
        <v>170</v>
      </c>
      <c r="B41" s="123">
        <v>46</v>
      </c>
      <c r="C41" s="123">
        <v>46</v>
      </c>
      <c r="D41" s="123">
        <v>46.5</v>
      </c>
      <c r="E41" s="123">
        <v>46.7</v>
      </c>
      <c r="F41" s="123">
        <v>46.1</v>
      </c>
      <c r="G41" s="123">
        <v>40.4</v>
      </c>
      <c r="H41" s="123">
        <v>40.6</v>
      </c>
      <c r="I41" s="123">
        <v>51.3</v>
      </c>
      <c r="J41" s="123">
        <v>51.5</v>
      </c>
      <c r="K41" s="123">
        <v>67</v>
      </c>
      <c r="L41" s="123">
        <v>67.5</v>
      </c>
      <c r="M41" s="73">
        <v>56.9</v>
      </c>
      <c r="N41" s="73">
        <v>52.3</v>
      </c>
      <c r="O41" s="73">
        <v>46.7</v>
      </c>
      <c r="P41" s="73">
        <v>41.8</v>
      </c>
      <c r="Q41" s="73">
        <v>41.5</v>
      </c>
      <c r="R41" s="73">
        <v>47.1</v>
      </c>
      <c r="S41" s="73">
        <v>46.9</v>
      </c>
      <c r="T41" s="73">
        <v>47</v>
      </c>
      <c r="U41" s="73">
        <v>47</v>
      </c>
      <c r="V41" s="73">
        <v>63.3</v>
      </c>
      <c r="W41" s="73">
        <v>63.4</v>
      </c>
      <c r="X41" s="73">
        <v>56</v>
      </c>
      <c r="Y41" s="73">
        <v>66.900000000000006</v>
      </c>
      <c r="Z41" s="73">
        <v>67.2</v>
      </c>
      <c r="AA41" s="73">
        <v>66.900000000000006</v>
      </c>
      <c r="AB41" s="73">
        <v>66.900000000000006</v>
      </c>
      <c r="AC41" s="73">
        <v>49.5</v>
      </c>
      <c r="AD41" s="73">
        <v>46.3</v>
      </c>
      <c r="AE41" s="73">
        <v>68.099999999999994</v>
      </c>
      <c r="AF41" s="123">
        <v>63.2</v>
      </c>
      <c r="AG41" s="106">
        <v>69</v>
      </c>
      <c r="AH41" s="21">
        <f t="shared" si="2"/>
        <v>68.099999999999994</v>
      </c>
      <c r="AI41" s="20">
        <f t="shared" si="3"/>
        <v>40.4</v>
      </c>
      <c r="AK41" s="42"/>
    </row>
    <row r="42" spans="1:88" x14ac:dyDescent="0.25">
      <c r="A42" s="107" t="s">
        <v>169</v>
      </c>
      <c r="B42" s="123">
        <v>60.7</v>
      </c>
      <c r="C42" s="123">
        <v>60.7</v>
      </c>
      <c r="D42" s="123">
        <v>60.7</v>
      </c>
      <c r="E42" s="123">
        <v>60.7</v>
      </c>
      <c r="F42" s="123">
        <v>60.7</v>
      </c>
      <c r="G42" s="123">
        <v>60.7</v>
      </c>
      <c r="H42" s="123">
        <v>60.7</v>
      </c>
      <c r="I42" s="123">
        <v>60.7</v>
      </c>
      <c r="J42" s="123">
        <v>60.7</v>
      </c>
      <c r="K42" s="123">
        <v>60.7</v>
      </c>
      <c r="L42" s="123">
        <v>60.7</v>
      </c>
      <c r="M42" s="73">
        <v>60.7</v>
      </c>
      <c r="N42" s="73">
        <v>60.7</v>
      </c>
      <c r="O42" s="73">
        <v>60.4</v>
      </c>
      <c r="P42" s="73">
        <v>60.4</v>
      </c>
      <c r="Q42" s="73">
        <v>60.7</v>
      </c>
      <c r="R42" s="73">
        <v>60.7</v>
      </c>
      <c r="S42" s="73">
        <v>60.7</v>
      </c>
      <c r="T42" s="73">
        <v>60.7</v>
      </c>
      <c r="U42" s="73">
        <v>60.4</v>
      </c>
      <c r="V42" s="73">
        <v>60.7</v>
      </c>
      <c r="W42" s="73">
        <v>60.7</v>
      </c>
      <c r="X42" s="73">
        <v>60.7</v>
      </c>
      <c r="Y42" s="73">
        <v>60.7</v>
      </c>
      <c r="Z42" s="73">
        <v>60.7</v>
      </c>
      <c r="AA42" s="73">
        <v>60.7</v>
      </c>
      <c r="AB42" s="73">
        <v>60.7</v>
      </c>
      <c r="AC42" s="73">
        <v>60.7</v>
      </c>
      <c r="AD42" s="73">
        <v>60.7</v>
      </c>
      <c r="AE42" s="73">
        <v>60.7</v>
      </c>
      <c r="AF42" s="73">
        <v>60.7</v>
      </c>
      <c r="AG42" s="106">
        <v>60</v>
      </c>
      <c r="AH42" s="21">
        <f t="shared" si="2"/>
        <v>60.7</v>
      </c>
      <c r="AI42" s="20">
        <f t="shared" si="3"/>
        <v>60.4</v>
      </c>
      <c r="AK42" s="42"/>
    </row>
    <row r="43" spans="1:88" x14ac:dyDescent="0.25">
      <c r="A43" s="107" t="s">
        <v>168</v>
      </c>
      <c r="B43" s="123">
        <v>15</v>
      </c>
      <c r="C43" s="123">
        <v>10</v>
      </c>
      <c r="D43" s="123">
        <v>10</v>
      </c>
      <c r="E43" s="123">
        <v>10</v>
      </c>
      <c r="F43" s="123">
        <v>10</v>
      </c>
      <c r="G43" s="123">
        <v>10</v>
      </c>
      <c r="H43" s="123">
        <v>10</v>
      </c>
      <c r="I43" s="123">
        <v>10</v>
      </c>
      <c r="J43" s="123">
        <v>10</v>
      </c>
      <c r="K43" s="123">
        <v>10.1</v>
      </c>
      <c r="L43" s="123">
        <v>10.1</v>
      </c>
      <c r="M43" s="103">
        <v>15</v>
      </c>
      <c r="N43" s="103">
        <v>20.2</v>
      </c>
      <c r="O43" s="103">
        <v>20.100000000000001</v>
      </c>
      <c r="P43" s="103">
        <v>20</v>
      </c>
      <c r="Q43" s="103">
        <v>20</v>
      </c>
      <c r="R43" s="103">
        <v>20</v>
      </c>
      <c r="S43" s="103">
        <v>25</v>
      </c>
      <c r="T43" s="103">
        <v>0</v>
      </c>
      <c r="U43" s="103">
        <v>0</v>
      </c>
      <c r="V43" s="103">
        <v>0</v>
      </c>
      <c r="W43" s="103">
        <v>0</v>
      </c>
      <c r="X43" s="103">
        <v>0</v>
      </c>
      <c r="Y43" s="103">
        <v>0</v>
      </c>
      <c r="Z43" s="73">
        <v>30</v>
      </c>
      <c r="AA43" s="73">
        <v>0</v>
      </c>
      <c r="AB43" s="73">
        <v>30</v>
      </c>
      <c r="AC43" s="73">
        <v>20</v>
      </c>
      <c r="AD43" s="73">
        <v>18.899999999999999</v>
      </c>
      <c r="AE43" s="73">
        <v>15</v>
      </c>
      <c r="AF43" s="73">
        <v>15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23">
        <v>0</v>
      </c>
      <c r="C44" s="123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0</v>
      </c>
      <c r="O44" s="123">
        <v>0</v>
      </c>
      <c r="P44" s="123">
        <v>0</v>
      </c>
      <c r="Q44" s="123">
        <v>0</v>
      </c>
      <c r="R44" s="12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>
        <v>17.5</v>
      </c>
      <c r="C45" s="123">
        <v>17.5</v>
      </c>
      <c r="D45" s="123">
        <v>17.5</v>
      </c>
      <c r="E45" s="123">
        <v>17.5</v>
      </c>
      <c r="F45" s="123">
        <v>17.5</v>
      </c>
      <c r="G45" s="123">
        <v>17.5</v>
      </c>
      <c r="H45" s="123">
        <v>17.5</v>
      </c>
      <c r="I45" s="123">
        <v>17.5</v>
      </c>
      <c r="J45" s="123">
        <v>17.5</v>
      </c>
      <c r="K45" s="123">
        <v>17.5</v>
      </c>
      <c r="L45" s="123">
        <v>17.5</v>
      </c>
      <c r="M45" s="123">
        <v>17.5</v>
      </c>
      <c r="N45" s="123">
        <v>17.5</v>
      </c>
      <c r="O45" s="123">
        <v>17.5</v>
      </c>
      <c r="P45" s="123">
        <v>17.399999999999999</v>
      </c>
      <c r="Q45" s="123">
        <v>17.399999999999999</v>
      </c>
      <c r="R45" s="123">
        <v>17.399999999999999</v>
      </c>
      <c r="S45" s="103">
        <v>17.5</v>
      </c>
      <c r="T45" s="103">
        <v>17.5</v>
      </c>
      <c r="U45" s="103">
        <v>17.5</v>
      </c>
      <c r="V45" s="103">
        <v>17.5</v>
      </c>
      <c r="W45" s="103">
        <v>17.5</v>
      </c>
      <c r="X45" s="103">
        <v>17.5</v>
      </c>
      <c r="Y45" s="103">
        <v>17.5</v>
      </c>
      <c r="Z45" s="103">
        <v>17.5</v>
      </c>
      <c r="AA45" s="103">
        <v>17.5</v>
      </c>
      <c r="AB45" s="103">
        <v>17.5</v>
      </c>
      <c r="AC45" s="103">
        <v>17.5</v>
      </c>
      <c r="AD45" s="103">
        <v>17.5</v>
      </c>
      <c r="AE45" s="103">
        <v>17.5</v>
      </c>
      <c r="AF45" s="103">
        <v>17.5</v>
      </c>
      <c r="AG45" s="106">
        <v>24</v>
      </c>
      <c r="AH45" s="21">
        <f t="shared" si="2"/>
        <v>17.5</v>
      </c>
      <c r="AI45" s="20">
        <f t="shared" si="3"/>
        <v>17.399999999999999</v>
      </c>
      <c r="AK45" s="42"/>
    </row>
    <row r="46" spans="1:88" x14ac:dyDescent="0.25">
      <c r="A46" s="107" t="s">
        <v>165</v>
      </c>
      <c r="B46" s="123">
        <v>0</v>
      </c>
      <c r="C46" s="123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>
        <v>12</v>
      </c>
      <c r="C47" s="123">
        <v>12</v>
      </c>
      <c r="D47" s="123">
        <v>12</v>
      </c>
      <c r="E47" s="123">
        <v>12</v>
      </c>
      <c r="F47" s="123">
        <v>12</v>
      </c>
      <c r="G47" s="123">
        <v>12</v>
      </c>
      <c r="H47" s="123">
        <v>12</v>
      </c>
      <c r="I47" s="123">
        <v>12</v>
      </c>
      <c r="J47" s="123">
        <v>12</v>
      </c>
      <c r="K47" s="123">
        <v>12</v>
      </c>
      <c r="L47" s="123">
        <v>12</v>
      </c>
      <c r="M47" s="123">
        <v>12</v>
      </c>
      <c r="N47" s="123">
        <v>12</v>
      </c>
      <c r="O47" s="123">
        <v>12</v>
      </c>
      <c r="P47" s="123">
        <v>12</v>
      </c>
      <c r="Q47" s="123">
        <v>12</v>
      </c>
      <c r="R47" s="12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>
        <v>7.2</v>
      </c>
      <c r="C48" s="123">
        <v>7.2</v>
      </c>
      <c r="D48" s="123">
        <v>7.2</v>
      </c>
      <c r="E48" s="123">
        <v>7.2</v>
      </c>
      <c r="F48" s="123">
        <v>7.2</v>
      </c>
      <c r="G48" s="123">
        <v>7.2</v>
      </c>
      <c r="H48" s="123">
        <v>7.2</v>
      </c>
      <c r="I48" s="123">
        <v>7.2</v>
      </c>
      <c r="J48" s="123">
        <v>7.2</v>
      </c>
      <c r="K48" s="123">
        <v>7.2</v>
      </c>
      <c r="L48" s="123">
        <v>7.2</v>
      </c>
      <c r="M48" s="123">
        <v>7.2</v>
      </c>
      <c r="N48" s="123">
        <v>7.2</v>
      </c>
      <c r="O48" s="123">
        <v>7.2</v>
      </c>
      <c r="P48" s="123">
        <v>7.2</v>
      </c>
      <c r="Q48" s="123">
        <v>7.2</v>
      </c>
      <c r="R48" s="12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23">
        <v>8.6999999999999993</v>
      </c>
      <c r="C49" s="123">
        <v>8.6999999999999993</v>
      </c>
      <c r="D49" s="123">
        <v>8.6999999999999993</v>
      </c>
      <c r="E49" s="123">
        <v>8.6999999999999993</v>
      </c>
      <c r="F49" s="123">
        <v>8.6999999999999993</v>
      </c>
      <c r="G49" s="123">
        <v>8.6999999999999993</v>
      </c>
      <c r="H49" s="123">
        <v>8.6999999999999993</v>
      </c>
      <c r="I49" s="123">
        <v>8.6999999999999993</v>
      </c>
      <c r="J49" s="123">
        <v>8.6999999999999993</v>
      </c>
      <c r="K49" s="123">
        <v>8.6999999999999993</v>
      </c>
      <c r="L49" s="123">
        <v>8.6999999999999993</v>
      </c>
      <c r="M49" s="123">
        <v>8.6999999999999993</v>
      </c>
      <c r="N49" s="123">
        <v>8.6999999999999993</v>
      </c>
      <c r="O49" s="123">
        <v>8.6999999999999993</v>
      </c>
      <c r="P49" s="123">
        <v>8.6999999999999993</v>
      </c>
      <c r="Q49" s="123">
        <v>8.6999999999999993</v>
      </c>
      <c r="R49" s="123">
        <v>8.6999999999999993</v>
      </c>
      <c r="S49" s="103">
        <v>8.6999999999999993</v>
      </c>
      <c r="T49" s="103">
        <v>8.6999999999999993</v>
      </c>
      <c r="U49" s="103">
        <v>8.6999999999999993</v>
      </c>
      <c r="V49" s="103">
        <v>8.6999999999999993</v>
      </c>
      <c r="W49" s="103">
        <v>8.6999999999999993</v>
      </c>
      <c r="X49" s="103">
        <v>8.6999999999999993</v>
      </c>
      <c r="Y49" s="10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0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8.6999999999999993</v>
      </c>
      <c r="AK49" s="42"/>
    </row>
    <row r="50" spans="1:37" x14ac:dyDescent="0.25">
      <c r="A50" s="107" t="s">
        <v>161</v>
      </c>
      <c r="B50" s="123">
        <v>3</v>
      </c>
      <c r="C50" s="123">
        <v>3</v>
      </c>
      <c r="D50" s="123">
        <v>3</v>
      </c>
      <c r="E50" s="123">
        <v>3</v>
      </c>
      <c r="F50" s="123">
        <v>3</v>
      </c>
      <c r="G50" s="123">
        <v>3</v>
      </c>
      <c r="H50" s="123">
        <v>3</v>
      </c>
      <c r="I50" s="123">
        <v>3</v>
      </c>
      <c r="J50" s="123">
        <v>3</v>
      </c>
      <c r="K50" s="123">
        <v>3</v>
      </c>
      <c r="L50" s="123">
        <v>3</v>
      </c>
      <c r="M50" s="123">
        <v>3</v>
      </c>
      <c r="N50" s="123">
        <v>3</v>
      </c>
      <c r="O50" s="123">
        <v>3</v>
      </c>
      <c r="P50" s="123">
        <v>3</v>
      </c>
      <c r="Q50" s="123">
        <v>3</v>
      </c>
      <c r="R50" s="123">
        <v>3</v>
      </c>
      <c r="S50" s="103">
        <v>3</v>
      </c>
      <c r="T50" s="103">
        <v>3</v>
      </c>
      <c r="U50" s="103">
        <v>3</v>
      </c>
      <c r="V50" s="103">
        <v>3</v>
      </c>
      <c r="W50" s="103">
        <v>3</v>
      </c>
      <c r="X50" s="103">
        <v>3</v>
      </c>
      <c r="Y50" s="10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03">
        <v>3</v>
      </c>
      <c r="AG50" s="106">
        <v>6.2</v>
      </c>
      <c r="AH50" s="21">
        <f t="shared" si="2"/>
        <v>3</v>
      </c>
      <c r="AI50" s="20">
        <f t="shared" si="3"/>
        <v>3</v>
      </c>
      <c r="AK50" s="42"/>
    </row>
    <row r="51" spans="1:37" ht="15.75" thickBot="1" x14ac:dyDescent="0.3">
      <c r="A51" s="125" t="s">
        <v>17</v>
      </c>
      <c r="B51" s="124">
        <f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264.64</v>
      </c>
      <c r="C52" s="99">
        <f t="shared" ref="C52:AF52" si="6">SUM(C39:C51)</f>
        <v>300.64</v>
      </c>
      <c r="D52" s="99">
        <f t="shared" si="6"/>
        <v>284.14</v>
      </c>
      <c r="E52" s="99">
        <f t="shared" si="6"/>
        <v>274.54000000000002</v>
      </c>
      <c r="F52" s="99">
        <f t="shared" si="6"/>
        <v>291.83999999999997</v>
      </c>
      <c r="G52" s="99">
        <f t="shared" si="6"/>
        <v>294.04000000000002</v>
      </c>
      <c r="H52" s="99">
        <f t="shared" si="6"/>
        <v>293.54000000000002</v>
      </c>
      <c r="I52" s="99">
        <f t="shared" si="6"/>
        <v>313.83999999999997</v>
      </c>
      <c r="J52" s="99">
        <f t="shared" si="6"/>
        <v>315.03999999999996</v>
      </c>
      <c r="K52" s="99">
        <f t="shared" si="6"/>
        <v>340.54</v>
      </c>
      <c r="L52" s="99">
        <f t="shared" si="6"/>
        <v>357.24</v>
      </c>
      <c r="M52" s="99">
        <f t="shared" si="6"/>
        <v>399.53999999999996</v>
      </c>
      <c r="N52" s="99">
        <f t="shared" si="6"/>
        <v>386.14</v>
      </c>
      <c r="O52" s="99">
        <f t="shared" si="6"/>
        <v>371.64</v>
      </c>
      <c r="P52" s="99">
        <f t="shared" si="6"/>
        <v>349.23999999999995</v>
      </c>
      <c r="Q52" s="99">
        <f t="shared" si="6"/>
        <v>358.43999999999994</v>
      </c>
      <c r="R52" s="99">
        <f t="shared" si="6"/>
        <v>354.64</v>
      </c>
      <c r="S52" s="99">
        <f t="shared" si="6"/>
        <v>369.44</v>
      </c>
      <c r="T52" s="99">
        <f t="shared" si="6"/>
        <v>343.04</v>
      </c>
      <c r="U52" s="99">
        <f t="shared" si="6"/>
        <v>350.44</v>
      </c>
      <c r="V52" s="99">
        <f t="shared" si="6"/>
        <v>349.44</v>
      </c>
      <c r="W52" s="99">
        <f t="shared" si="6"/>
        <v>330.94</v>
      </c>
      <c r="X52" s="99">
        <f t="shared" si="6"/>
        <v>316.03999999999996</v>
      </c>
      <c r="Y52" s="99">
        <f t="shared" si="6"/>
        <v>396.34000000000003</v>
      </c>
      <c r="Z52" s="99">
        <f t="shared" si="6"/>
        <v>426.04</v>
      </c>
      <c r="AA52" s="99">
        <f t="shared" si="6"/>
        <v>396.34000000000003</v>
      </c>
      <c r="AB52" s="99">
        <f t="shared" si="6"/>
        <v>426.34000000000003</v>
      </c>
      <c r="AC52" s="99">
        <f t="shared" si="6"/>
        <v>398.94</v>
      </c>
      <c r="AD52" s="99">
        <f t="shared" si="6"/>
        <v>367.14</v>
      </c>
      <c r="AE52" s="99">
        <f t="shared" si="6"/>
        <v>373.74</v>
      </c>
      <c r="AF52" s="99">
        <f t="shared" si="6"/>
        <v>351.64</v>
      </c>
      <c r="AG52" s="98">
        <f>SUM(AG39:AG51)</f>
        <v>489.91</v>
      </c>
      <c r="AH52" s="21">
        <f t="shared" si="2"/>
        <v>426.34000000000003</v>
      </c>
      <c r="AI52" s="20">
        <f t="shared" si="3"/>
        <v>264.64</v>
      </c>
      <c r="AK52" s="42"/>
    </row>
    <row r="53" spans="1:37" x14ac:dyDescent="0.25">
      <c r="A53" s="109" t="s">
        <v>159</v>
      </c>
      <c r="B53" s="103">
        <v>0</v>
      </c>
      <c r="C53" s="103">
        <v>0</v>
      </c>
      <c r="D53" s="123">
        <v>14</v>
      </c>
      <c r="E53" s="123">
        <v>20</v>
      </c>
      <c r="F53" s="123">
        <v>14</v>
      </c>
      <c r="G53" s="123">
        <v>26.2</v>
      </c>
      <c r="H53" s="123">
        <v>26</v>
      </c>
      <c r="I53" s="123">
        <v>19.5</v>
      </c>
      <c r="J53" s="123">
        <v>30.1</v>
      </c>
      <c r="K53" s="123">
        <v>29.6</v>
      </c>
      <c r="L53" s="123">
        <v>20</v>
      </c>
      <c r="M53" s="122">
        <v>10.7</v>
      </c>
      <c r="N53" s="122">
        <v>14.3</v>
      </c>
      <c r="O53" s="122">
        <v>19.2</v>
      </c>
      <c r="P53" s="122">
        <v>25.4</v>
      </c>
      <c r="Q53" s="103">
        <v>20.5</v>
      </c>
      <c r="R53" s="103">
        <v>13.5</v>
      </c>
      <c r="S53" s="103">
        <v>13.8</v>
      </c>
      <c r="T53" s="103">
        <v>29.8</v>
      </c>
      <c r="U53" s="103">
        <v>50</v>
      </c>
      <c r="V53" s="103">
        <v>40.799999999999997</v>
      </c>
      <c r="W53" s="103">
        <v>40.5</v>
      </c>
      <c r="X53" s="103">
        <v>40.5</v>
      </c>
      <c r="Y53" s="103">
        <v>59</v>
      </c>
      <c r="Z53" s="103">
        <v>59.4</v>
      </c>
      <c r="AA53" s="103">
        <v>59.4</v>
      </c>
      <c r="AB53" s="103">
        <v>50.2</v>
      </c>
      <c r="AC53" s="103">
        <v>50</v>
      </c>
      <c r="AD53" s="103">
        <v>60</v>
      </c>
      <c r="AE53" s="103">
        <v>58.8</v>
      </c>
      <c r="AF53" s="103">
        <v>58.9</v>
      </c>
      <c r="AG53" s="108">
        <v>60</v>
      </c>
      <c r="AH53" s="21">
        <f t="shared" si="2"/>
        <v>60</v>
      </c>
      <c r="AI53" s="20">
        <f t="shared" si="3"/>
        <v>0</v>
      </c>
      <c r="AK53" s="42"/>
    </row>
    <row r="54" spans="1:37" x14ac:dyDescent="0.25">
      <c r="A54" s="107" t="s">
        <v>158</v>
      </c>
      <c r="B54" s="73">
        <v>0</v>
      </c>
      <c r="C54" s="73">
        <v>0</v>
      </c>
      <c r="D54" s="123">
        <v>6</v>
      </c>
      <c r="E54" s="123">
        <v>10.199999999999999</v>
      </c>
      <c r="F54" s="123">
        <v>5.9</v>
      </c>
      <c r="G54" s="123">
        <v>6.7</v>
      </c>
      <c r="H54" s="123">
        <v>10.3</v>
      </c>
      <c r="I54" s="123">
        <v>10.9</v>
      </c>
      <c r="J54" s="123">
        <v>9.3000000000000007</v>
      </c>
      <c r="K54" s="123">
        <v>15.1</v>
      </c>
      <c r="L54" s="123">
        <v>15</v>
      </c>
      <c r="M54" s="122">
        <v>5.2</v>
      </c>
      <c r="N54" s="122">
        <v>6.7</v>
      </c>
      <c r="O54" s="122">
        <v>4.7</v>
      </c>
      <c r="P54" s="122">
        <v>12.1</v>
      </c>
      <c r="Q54" s="73">
        <v>9.1999999999999993</v>
      </c>
      <c r="R54" s="73">
        <v>8.8000000000000007</v>
      </c>
      <c r="S54" s="103">
        <v>7.1</v>
      </c>
      <c r="T54" s="103">
        <v>14.1</v>
      </c>
      <c r="U54" s="103">
        <v>14.8</v>
      </c>
      <c r="V54" s="73">
        <v>17.2</v>
      </c>
      <c r="W54" s="73">
        <v>17.8</v>
      </c>
      <c r="X54" s="73">
        <v>18.3</v>
      </c>
      <c r="Y54" s="73">
        <v>29.2</v>
      </c>
      <c r="Z54" s="73">
        <v>29.3</v>
      </c>
      <c r="AA54" s="73">
        <v>29.2</v>
      </c>
      <c r="AB54" s="73">
        <v>29.2</v>
      </c>
      <c r="AC54" s="73">
        <v>18.600000000000001</v>
      </c>
      <c r="AD54" s="73">
        <v>29</v>
      </c>
      <c r="AE54" s="73">
        <v>29.2</v>
      </c>
      <c r="AF54" s="73">
        <v>28.9</v>
      </c>
      <c r="AG54" s="106">
        <v>32</v>
      </c>
      <c r="AH54" s="21">
        <f t="shared" si="2"/>
        <v>29.3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>
        <v>0</v>
      </c>
      <c r="C55" s="118">
        <v>0</v>
      </c>
      <c r="D55" s="120">
        <v>2</v>
      </c>
      <c r="E55" s="120">
        <v>3.7</v>
      </c>
      <c r="F55" s="120">
        <v>2.2000000000000002</v>
      </c>
      <c r="G55" s="120">
        <v>2.2999999999999998</v>
      </c>
      <c r="H55" s="120">
        <v>3.8</v>
      </c>
      <c r="I55" s="120">
        <v>4</v>
      </c>
      <c r="J55" s="120">
        <v>3.4</v>
      </c>
      <c r="K55" s="120">
        <v>5.5</v>
      </c>
      <c r="L55" s="120">
        <v>5.5</v>
      </c>
      <c r="M55" s="119">
        <v>1.9</v>
      </c>
      <c r="N55" s="119">
        <v>2.4</v>
      </c>
      <c r="O55" s="119">
        <v>1.7</v>
      </c>
      <c r="P55" s="119">
        <v>4.4000000000000004</v>
      </c>
      <c r="Q55" s="118">
        <v>3.4</v>
      </c>
      <c r="R55" s="118">
        <v>3.2</v>
      </c>
      <c r="S55" s="103">
        <v>2.6</v>
      </c>
      <c r="T55" s="103">
        <v>5.2</v>
      </c>
      <c r="U55" s="103">
        <v>5.4</v>
      </c>
      <c r="V55" s="118">
        <v>6.3</v>
      </c>
      <c r="W55" s="118">
        <v>6.5</v>
      </c>
      <c r="X55" s="118">
        <v>6.7</v>
      </c>
      <c r="Y55" s="118">
        <v>10.7</v>
      </c>
      <c r="Z55" s="118">
        <v>10.7</v>
      </c>
      <c r="AA55" s="118">
        <v>10.7</v>
      </c>
      <c r="AB55" s="118">
        <v>10.7</v>
      </c>
      <c r="AC55" s="118">
        <v>6.8</v>
      </c>
      <c r="AD55" s="118">
        <v>11</v>
      </c>
      <c r="AE55" s="118">
        <v>10.7</v>
      </c>
      <c r="AF55" s="118">
        <v>10.5</v>
      </c>
      <c r="AG55" s="117">
        <v>14</v>
      </c>
      <c r="AH55" s="21">
        <f t="shared" si="2"/>
        <v>11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0</v>
      </c>
      <c r="C56" s="99">
        <f>SUM(C53:C55)</f>
        <v>0</v>
      </c>
      <c r="D56" s="99">
        <f t="shared" ref="D56:AF56" si="7">SUM(D53:D55)</f>
        <v>22</v>
      </c>
      <c r="E56" s="99">
        <f t="shared" si="7"/>
        <v>33.9</v>
      </c>
      <c r="F56" s="99">
        <f t="shared" si="7"/>
        <v>22.099999999999998</v>
      </c>
      <c r="G56" s="99">
        <f t="shared" si="7"/>
        <v>35.199999999999996</v>
      </c>
      <c r="H56" s="99">
        <f t="shared" si="7"/>
        <v>40.099999999999994</v>
      </c>
      <c r="I56" s="99">
        <f t="shared" si="7"/>
        <v>34.4</v>
      </c>
      <c r="J56" s="99">
        <f t="shared" si="7"/>
        <v>42.800000000000004</v>
      </c>
      <c r="K56" s="99">
        <f t="shared" si="7"/>
        <v>50.2</v>
      </c>
      <c r="L56" s="99">
        <f t="shared" si="7"/>
        <v>40.5</v>
      </c>
      <c r="M56" s="99">
        <f t="shared" si="7"/>
        <v>17.799999999999997</v>
      </c>
      <c r="N56" s="99">
        <f t="shared" si="7"/>
        <v>23.4</v>
      </c>
      <c r="O56" s="99">
        <f t="shared" si="7"/>
        <v>25.599999999999998</v>
      </c>
      <c r="P56" s="99">
        <f t="shared" si="7"/>
        <v>41.9</v>
      </c>
      <c r="Q56" s="99">
        <f t="shared" si="7"/>
        <v>33.1</v>
      </c>
      <c r="R56" s="99">
        <f t="shared" si="7"/>
        <v>25.5</v>
      </c>
      <c r="S56" s="99">
        <f t="shared" si="7"/>
        <v>23.5</v>
      </c>
      <c r="T56" s="99">
        <f t="shared" si="7"/>
        <v>49.1</v>
      </c>
      <c r="U56" s="99">
        <f t="shared" si="7"/>
        <v>70.2</v>
      </c>
      <c r="V56" s="99">
        <f t="shared" si="7"/>
        <v>64.3</v>
      </c>
      <c r="W56" s="99">
        <f t="shared" si="7"/>
        <v>64.8</v>
      </c>
      <c r="X56" s="99">
        <f t="shared" si="7"/>
        <v>65.5</v>
      </c>
      <c r="Y56" s="99">
        <f t="shared" si="7"/>
        <v>98.9</v>
      </c>
      <c r="Z56" s="99">
        <f t="shared" si="7"/>
        <v>99.4</v>
      </c>
      <c r="AA56" s="99">
        <f t="shared" si="7"/>
        <v>99.3</v>
      </c>
      <c r="AB56" s="99">
        <f t="shared" si="7"/>
        <v>90.100000000000009</v>
      </c>
      <c r="AC56" s="99">
        <f t="shared" si="7"/>
        <v>75.399999999999991</v>
      </c>
      <c r="AD56" s="99">
        <f t="shared" si="7"/>
        <v>100</v>
      </c>
      <c r="AE56" s="99">
        <f t="shared" si="7"/>
        <v>98.7</v>
      </c>
      <c r="AF56" s="99">
        <f t="shared" si="7"/>
        <v>98.3</v>
      </c>
      <c r="AG56" s="98">
        <f>SUM(AG53:AG55)</f>
        <v>106</v>
      </c>
      <c r="AH56" s="21">
        <f t="shared" si="2"/>
        <v>100</v>
      </c>
      <c r="AI56" s="20">
        <f t="shared" si="3"/>
        <v>0</v>
      </c>
      <c r="AK56" s="42"/>
    </row>
    <row r="57" spans="1:37" x14ac:dyDescent="0.25">
      <c r="A57" s="109" t="s">
        <v>135</v>
      </c>
      <c r="B57" s="103">
        <v>40</v>
      </c>
      <c r="C57" s="103">
        <v>59</v>
      </c>
      <c r="D57" s="103">
        <v>58</v>
      </c>
      <c r="E57" s="103">
        <v>56.2</v>
      </c>
      <c r="F57" s="103">
        <v>54.2</v>
      </c>
      <c r="G57" s="103">
        <v>53.26</v>
      </c>
      <c r="H57" s="103">
        <v>53.7</v>
      </c>
      <c r="I57" s="103">
        <v>50</v>
      </c>
      <c r="J57" s="103">
        <v>46.4</v>
      </c>
      <c r="K57" s="103">
        <v>46.3</v>
      </c>
      <c r="L57" s="103">
        <v>45.1</v>
      </c>
      <c r="M57" s="103">
        <v>36.36</v>
      </c>
      <c r="N57" s="103">
        <v>34.049999999999997</v>
      </c>
      <c r="O57" s="103">
        <v>43.88</v>
      </c>
      <c r="P57" s="103">
        <v>44.8</v>
      </c>
      <c r="Q57" s="103">
        <v>49.9</v>
      </c>
      <c r="R57" s="103">
        <v>52.8</v>
      </c>
      <c r="S57" s="103">
        <v>51.3</v>
      </c>
      <c r="T57" s="103">
        <v>53.4</v>
      </c>
      <c r="U57" s="103">
        <v>60.1</v>
      </c>
      <c r="V57" s="103">
        <v>64.8</v>
      </c>
      <c r="W57" s="103">
        <v>70.8</v>
      </c>
      <c r="X57" s="103">
        <v>62.7</v>
      </c>
      <c r="Y57" s="103">
        <v>26.7</v>
      </c>
      <c r="Z57" s="103">
        <v>45</v>
      </c>
      <c r="AA57" s="103">
        <v>26.7</v>
      </c>
      <c r="AB57" s="103">
        <v>42.6</v>
      </c>
      <c r="AC57" s="103">
        <v>53.3</v>
      </c>
      <c r="AD57" s="103">
        <v>53.9</v>
      </c>
      <c r="AE57" s="103">
        <v>52.9</v>
      </c>
      <c r="AF57" s="103">
        <v>46.8</v>
      </c>
      <c r="AG57" s="108"/>
      <c r="AH57" s="21">
        <f t="shared" si="2"/>
        <v>70.8</v>
      </c>
      <c r="AI57" s="20">
        <f t="shared" si="3"/>
        <v>26.7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76.2</v>
      </c>
      <c r="L58" s="73">
        <v>83.5</v>
      </c>
      <c r="M58" s="103">
        <v>120</v>
      </c>
      <c r="N58" s="103">
        <v>82.4</v>
      </c>
      <c r="O58" s="103">
        <v>80.2</v>
      </c>
      <c r="P58" s="103">
        <v>88.8</v>
      </c>
      <c r="Q58" s="103">
        <v>83.6</v>
      </c>
      <c r="R58" s="103">
        <v>0</v>
      </c>
      <c r="S58" s="103">
        <f>14+83.3</f>
        <v>97.3</v>
      </c>
      <c r="T58" s="103">
        <f>103</f>
        <v>103</v>
      </c>
      <c r="U58" s="103">
        <v>164</v>
      </c>
      <c r="V58" s="103">
        <v>164</v>
      </c>
      <c r="W58" s="103">
        <v>165</v>
      </c>
      <c r="X58" s="116">
        <f>93.7+60</f>
        <v>153.69999999999999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165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150</v>
      </c>
      <c r="C59" s="73">
        <v>130</v>
      </c>
      <c r="D59" s="73">
        <v>135</v>
      </c>
      <c r="E59" s="73">
        <v>127.5</v>
      </c>
      <c r="F59" s="73">
        <v>128</v>
      </c>
      <c r="G59" s="73">
        <v>119.1</v>
      </c>
      <c r="H59" s="103">
        <v>168</v>
      </c>
      <c r="I59" s="103">
        <v>150.80000000000001</v>
      </c>
      <c r="J59" s="103">
        <v>130.5</v>
      </c>
      <c r="K59" s="103">
        <v>119.7</v>
      </c>
      <c r="L59" s="103">
        <v>146.80000000000001</v>
      </c>
      <c r="M59" s="73">
        <v>164.5</v>
      </c>
      <c r="N59" s="73">
        <v>192.4</v>
      </c>
      <c r="O59" s="73">
        <v>194.2</v>
      </c>
      <c r="P59" s="73">
        <v>224.1</v>
      </c>
      <c r="Q59" s="73">
        <v>212.5</v>
      </c>
      <c r="R59" s="73">
        <v>308</v>
      </c>
      <c r="S59" s="73">
        <v>204.8</v>
      </c>
      <c r="T59" s="73">
        <v>165</v>
      </c>
      <c r="U59" s="73">
        <v>145</v>
      </c>
      <c r="V59" s="73">
        <v>115</v>
      </c>
      <c r="W59" s="73">
        <v>115</v>
      </c>
      <c r="X59" s="115">
        <v>124</v>
      </c>
      <c r="Y59" s="115">
        <v>126</v>
      </c>
      <c r="Z59" s="115">
        <v>80</v>
      </c>
      <c r="AA59" s="115">
        <v>50</v>
      </c>
      <c r="AB59" s="73">
        <v>83.3</v>
      </c>
      <c r="AC59" s="73">
        <v>131.4</v>
      </c>
      <c r="AD59" s="73">
        <v>132.6</v>
      </c>
      <c r="AE59" s="73">
        <v>91</v>
      </c>
      <c r="AF59" s="73">
        <v>101.4</v>
      </c>
      <c r="AG59" s="113"/>
      <c r="AH59" s="21">
        <f t="shared" si="2"/>
        <v>308</v>
      </c>
      <c r="AI59" s="20">
        <f t="shared" si="3"/>
        <v>50</v>
      </c>
      <c r="AK59" s="42"/>
    </row>
    <row r="60" spans="1:37" x14ac:dyDescent="0.25">
      <c r="A60" s="107" t="s">
        <v>139</v>
      </c>
      <c r="B60" s="77">
        <v>47</v>
      </c>
      <c r="C60" s="77">
        <v>13</v>
      </c>
      <c r="D60" s="77">
        <v>45</v>
      </c>
      <c r="E60" s="77">
        <v>42</v>
      </c>
      <c r="F60" s="77">
        <v>45</v>
      </c>
      <c r="G60" s="77">
        <v>46</v>
      </c>
      <c r="H60" s="77">
        <v>43.2</v>
      </c>
      <c r="I60" s="77">
        <v>41</v>
      </c>
      <c r="J60" s="77">
        <v>40</v>
      </c>
      <c r="K60" s="77">
        <v>45.5</v>
      </c>
      <c r="L60" s="77">
        <v>47</v>
      </c>
      <c r="M60" s="73">
        <v>47</v>
      </c>
      <c r="N60" s="73">
        <v>45</v>
      </c>
      <c r="O60" s="73">
        <v>51.5</v>
      </c>
      <c r="P60" s="73">
        <v>47</v>
      </c>
      <c r="Q60" s="73">
        <v>43.2</v>
      </c>
      <c r="R60" s="73">
        <v>41</v>
      </c>
      <c r="S60" s="73">
        <v>45.3</v>
      </c>
      <c r="T60" s="73">
        <v>46.4</v>
      </c>
      <c r="U60" s="73">
        <v>45.4</v>
      </c>
      <c r="V60" s="73">
        <v>45</v>
      </c>
      <c r="W60" s="73">
        <v>45</v>
      </c>
      <c r="X60" s="73">
        <v>41.4</v>
      </c>
      <c r="Y60" s="73">
        <v>13</v>
      </c>
      <c r="Z60" s="73">
        <v>13.3</v>
      </c>
      <c r="AA60" s="73">
        <v>13</v>
      </c>
      <c r="AB60" s="73">
        <v>13.5</v>
      </c>
      <c r="AC60" s="73">
        <v>13.5</v>
      </c>
      <c r="AD60" s="73">
        <v>14.2</v>
      </c>
      <c r="AE60" s="73">
        <v>14.2</v>
      </c>
      <c r="AF60" s="77">
        <v>13.9</v>
      </c>
      <c r="AG60" s="113"/>
      <c r="AH60" s="21">
        <f t="shared" si="2"/>
        <v>51.5</v>
      </c>
      <c r="AI60" s="20">
        <f t="shared" si="3"/>
        <v>13</v>
      </c>
      <c r="AK60" s="42"/>
    </row>
    <row r="61" spans="1:37" x14ac:dyDescent="0.25">
      <c r="A61" s="107" t="s">
        <v>154</v>
      </c>
      <c r="B61" s="103">
        <v>83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73.3</v>
      </c>
      <c r="J61" s="77">
        <v>79.2</v>
      </c>
      <c r="K61" s="77">
        <v>73.7</v>
      </c>
      <c r="L61" s="77">
        <v>77.400000000000006</v>
      </c>
      <c r="M61" s="103">
        <v>80.5</v>
      </c>
      <c r="N61" s="103">
        <v>78.400000000000006</v>
      </c>
      <c r="O61" s="103">
        <v>72.2</v>
      </c>
      <c r="P61" s="103">
        <v>76.8</v>
      </c>
      <c r="Q61" s="103">
        <v>79.5</v>
      </c>
      <c r="R61" s="103">
        <v>74.400000000000006</v>
      </c>
      <c r="S61" s="103">
        <v>83</v>
      </c>
      <c r="T61" s="103">
        <v>45.3</v>
      </c>
      <c r="U61" s="103">
        <v>84.6</v>
      </c>
      <c r="V61" s="103">
        <v>44.5</v>
      </c>
      <c r="W61" s="103">
        <v>44.5</v>
      </c>
      <c r="X61" s="103">
        <v>57.7</v>
      </c>
      <c r="Y61" s="103">
        <v>22.7</v>
      </c>
      <c r="Z61" s="103">
        <v>23.7</v>
      </c>
      <c r="AA61" s="103">
        <v>22.7</v>
      </c>
      <c r="AB61" s="103">
        <v>25.8</v>
      </c>
      <c r="AC61" s="103">
        <v>27.3</v>
      </c>
      <c r="AD61" s="103">
        <v>0</v>
      </c>
      <c r="AE61" s="103">
        <v>0</v>
      </c>
      <c r="AF61" s="103">
        <v>0</v>
      </c>
      <c r="AG61" s="113"/>
      <c r="AH61" s="21">
        <f t="shared" si="2"/>
        <v>84.6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67">
        <v>8</v>
      </c>
      <c r="N62" s="67">
        <v>8</v>
      </c>
      <c r="O62" s="67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7</v>
      </c>
      <c r="C64" s="77">
        <v>7</v>
      </c>
      <c r="D64" s="77">
        <v>7</v>
      </c>
      <c r="E64" s="77">
        <v>7</v>
      </c>
      <c r="F64" s="77">
        <v>7</v>
      </c>
      <c r="G64" s="77">
        <v>7</v>
      </c>
      <c r="H64" s="77">
        <v>7</v>
      </c>
      <c r="I64" s="77">
        <v>7</v>
      </c>
      <c r="J64" s="77">
        <v>7</v>
      </c>
      <c r="K64" s="77">
        <v>7</v>
      </c>
      <c r="L64" s="77">
        <v>7</v>
      </c>
      <c r="M64" s="77">
        <v>7</v>
      </c>
      <c r="N64" s="77">
        <v>7</v>
      </c>
      <c r="O64" s="77">
        <v>7</v>
      </c>
      <c r="P64" s="77">
        <v>7</v>
      </c>
      <c r="Q64" s="77">
        <v>7</v>
      </c>
      <c r="R64" s="77">
        <v>7</v>
      </c>
      <c r="S64" s="77">
        <v>7</v>
      </c>
      <c r="T64" s="77">
        <v>7</v>
      </c>
      <c r="U64" s="77">
        <v>7</v>
      </c>
      <c r="V64" s="77">
        <v>7</v>
      </c>
      <c r="W64" s="77">
        <v>7</v>
      </c>
      <c r="X64" s="77">
        <v>7</v>
      </c>
      <c r="Y64" s="77">
        <v>7</v>
      </c>
      <c r="Z64" s="77">
        <v>7</v>
      </c>
      <c r="AA64" s="77">
        <v>7</v>
      </c>
      <c r="AB64" s="77">
        <v>7</v>
      </c>
      <c r="AC64" s="77">
        <v>7</v>
      </c>
      <c r="AD64" s="77">
        <v>7</v>
      </c>
      <c r="AE64" s="77">
        <v>7</v>
      </c>
      <c r="AF64" s="77">
        <v>7</v>
      </c>
      <c r="AG64" s="113"/>
      <c r="AH64" s="21">
        <f t="shared" si="2"/>
        <v>7</v>
      </c>
      <c r="AI64" s="20">
        <f t="shared" si="3"/>
        <v>7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7</v>
      </c>
      <c r="C66" s="70">
        <v>7</v>
      </c>
      <c r="D66" s="70">
        <v>7</v>
      </c>
      <c r="E66" s="70">
        <v>7</v>
      </c>
      <c r="F66" s="70">
        <v>7</v>
      </c>
      <c r="G66" s="70">
        <v>7</v>
      </c>
      <c r="H66" s="70">
        <v>7</v>
      </c>
      <c r="I66" s="70">
        <v>7</v>
      </c>
      <c r="J66" s="70">
        <v>7</v>
      </c>
      <c r="K66" s="70">
        <v>7</v>
      </c>
      <c r="L66" s="70">
        <v>7</v>
      </c>
      <c r="M66" s="70">
        <v>7</v>
      </c>
      <c r="N66" s="70">
        <v>7</v>
      </c>
      <c r="O66" s="70">
        <v>7</v>
      </c>
      <c r="P66" s="70">
        <v>7</v>
      </c>
      <c r="Q66" s="70">
        <v>7</v>
      </c>
      <c r="R66" s="70">
        <v>7</v>
      </c>
      <c r="S66" s="70">
        <v>7</v>
      </c>
      <c r="T66" s="70">
        <v>7</v>
      </c>
      <c r="U66" s="70">
        <v>7</v>
      </c>
      <c r="V66" s="70">
        <v>7</v>
      </c>
      <c r="W66" s="70">
        <v>7</v>
      </c>
      <c r="X66" s="70">
        <v>7</v>
      </c>
      <c r="Y66" s="70">
        <v>7</v>
      </c>
      <c r="Z66" s="70">
        <v>7</v>
      </c>
      <c r="AA66" s="70">
        <v>7</v>
      </c>
      <c r="AB66" s="70">
        <v>7</v>
      </c>
      <c r="AC66" s="70">
        <v>7</v>
      </c>
      <c r="AD66" s="70">
        <v>7</v>
      </c>
      <c r="AE66" s="70">
        <v>7</v>
      </c>
      <c r="AF66" s="70">
        <v>7</v>
      </c>
      <c r="AG66" s="102"/>
      <c r="AH66" s="21">
        <f t="shared" si="2"/>
        <v>7</v>
      </c>
      <c r="AI66" s="20">
        <f t="shared" si="3"/>
        <v>7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342</v>
      </c>
      <c r="C68" s="99">
        <f>SUM(C57:C67)</f>
        <v>224</v>
      </c>
      <c r="D68" s="99">
        <f t="shared" ref="D68:AF68" si="8">SUM(D57:D67)</f>
        <v>260</v>
      </c>
      <c r="E68" s="99">
        <f t="shared" si="8"/>
        <v>247.7</v>
      </c>
      <c r="F68" s="99">
        <f t="shared" si="8"/>
        <v>249.2</v>
      </c>
      <c r="G68" s="99">
        <f t="shared" si="8"/>
        <v>240.35999999999999</v>
      </c>
      <c r="H68" s="99">
        <f t="shared" si="8"/>
        <v>286.89999999999998</v>
      </c>
      <c r="I68" s="99">
        <f t="shared" si="8"/>
        <v>337.1</v>
      </c>
      <c r="J68" s="99">
        <f t="shared" si="8"/>
        <v>318.10000000000002</v>
      </c>
      <c r="K68" s="99">
        <f t="shared" si="8"/>
        <v>383.4</v>
      </c>
      <c r="L68" s="99">
        <f t="shared" si="8"/>
        <v>421.79999999999995</v>
      </c>
      <c r="M68" s="99">
        <f t="shared" si="8"/>
        <v>470.36</v>
      </c>
      <c r="N68" s="99">
        <f t="shared" si="8"/>
        <v>454.25</v>
      </c>
      <c r="O68" s="99">
        <f t="shared" si="8"/>
        <v>463.97999999999996</v>
      </c>
      <c r="P68" s="99">
        <f t="shared" si="8"/>
        <v>503.5</v>
      </c>
      <c r="Q68" s="99">
        <f t="shared" si="8"/>
        <v>490.7</v>
      </c>
      <c r="R68" s="99">
        <f t="shared" si="8"/>
        <v>498.20000000000005</v>
      </c>
      <c r="S68" s="99">
        <f t="shared" si="8"/>
        <v>503.7</v>
      </c>
      <c r="T68" s="99">
        <f t="shared" si="8"/>
        <v>435.09999999999997</v>
      </c>
      <c r="U68" s="99">
        <f t="shared" si="8"/>
        <v>521.1</v>
      </c>
      <c r="V68" s="99">
        <f t="shared" si="8"/>
        <v>455.3</v>
      </c>
      <c r="W68" s="99">
        <f t="shared" si="8"/>
        <v>462.3</v>
      </c>
      <c r="X68" s="99">
        <f t="shared" si="8"/>
        <v>461.49999999999994</v>
      </c>
      <c r="Y68" s="99">
        <f t="shared" si="8"/>
        <v>210.39999999999998</v>
      </c>
      <c r="Z68" s="99">
        <f t="shared" si="8"/>
        <v>184</v>
      </c>
      <c r="AA68" s="99">
        <f t="shared" si="8"/>
        <v>134.4</v>
      </c>
      <c r="AB68" s="99">
        <f t="shared" si="8"/>
        <v>187.20000000000002</v>
      </c>
      <c r="AC68" s="99">
        <f t="shared" si="8"/>
        <v>247.5</v>
      </c>
      <c r="AD68" s="99">
        <f t="shared" si="8"/>
        <v>222.7</v>
      </c>
      <c r="AE68" s="99">
        <f t="shared" si="8"/>
        <v>180.1</v>
      </c>
      <c r="AF68" s="99">
        <f t="shared" si="8"/>
        <v>184.1</v>
      </c>
      <c r="AG68" s="98">
        <f>SUM(AG57:AG67)</f>
        <v>0</v>
      </c>
      <c r="AH68" s="21">
        <f t="shared" si="2"/>
        <v>521.1</v>
      </c>
      <c r="AI68" s="20">
        <f t="shared" si="3"/>
        <v>134.4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v>0</v>
      </c>
      <c r="AA72" s="99"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1102.3399999999999</v>
      </c>
      <c r="C73" s="110">
        <f>C68+C56+C52+C38+C72</f>
        <v>1150.3399999999999</v>
      </c>
      <c r="D73" s="110">
        <f t="shared" ref="D73:AG73" si="10">D68+D56+D52+D38+D72</f>
        <v>1162.48</v>
      </c>
      <c r="E73" s="110">
        <f t="shared" si="10"/>
        <v>1152.48</v>
      </c>
      <c r="F73" s="110">
        <f t="shared" si="10"/>
        <v>1139.48</v>
      </c>
      <c r="G73" s="110">
        <f t="shared" si="10"/>
        <v>1185.94</v>
      </c>
      <c r="H73" s="110">
        <f t="shared" si="10"/>
        <v>1216.8799999999999</v>
      </c>
      <c r="I73" s="110">
        <f t="shared" si="10"/>
        <v>1231.6399999999999</v>
      </c>
      <c r="J73" s="110">
        <f t="shared" si="10"/>
        <v>1284.3400000000001</v>
      </c>
      <c r="K73" s="110">
        <f t="shared" si="10"/>
        <v>1352.54</v>
      </c>
      <c r="L73" s="110">
        <f t="shared" si="10"/>
        <v>1372.94</v>
      </c>
      <c r="M73" s="110">
        <f t="shared" si="10"/>
        <v>1392.8</v>
      </c>
      <c r="N73" s="110">
        <f t="shared" si="10"/>
        <v>1368.8899999999999</v>
      </c>
      <c r="O73" s="110">
        <f t="shared" si="10"/>
        <v>1376.32</v>
      </c>
      <c r="P73" s="110">
        <f t="shared" si="10"/>
        <v>1398.2399999999998</v>
      </c>
      <c r="Q73" s="110">
        <f t="shared" si="10"/>
        <v>1425.94</v>
      </c>
      <c r="R73" s="110">
        <f t="shared" si="10"/>
        <v>1411.8400000000001</v>
      </c>
      <c r="S73" s="110">
        <f t="shared" si="10"/>
        <v>1433.64</v>
      </c>
      <c r="T73" s="110">
        <f t="shared" si="10"/>
        <v>1370.24</v>
      </c>
      <c r="U73" s="110">
        <f t="shared" si="10"/>
        <v>1483.74</v>
      </c>
      <c r="V73" s="110">
        <f t="shared" si="10"/>
        <v>1425.04</v>
      </c>
      <c r="W73" s="110">
        <f t="shared" si="10"/>
        <v>1403.04</v>
      </c>
      <c r="X73" s="110">
        <f t="shared" si="10"/>
        <v>1390.04</v>
      </c>
      <c r="Y73" s="110">
        <f t="shared" si="10"/>
        <v>1449.6399999999999</v>
      </c>
      <c r="Z73" s="110">
        <f t="shared" si="10"/>
        <v>1532.7400000000002</v>
      </c>
      <c r="AA73" s="110">
        <v>1442.44</v>
      </c>
      <c r="AB73" s="110">
        <f t="shared" si="10"/>
        <v>1478.6400000000003</v>
      </c>
      <c r="AC73" s="110">
        <f t="shared" si="10"/>
        <v>1475.84</v>
      </c>
      <c r="AD73" s="110">
        <f t="shared" si="10"/>
        <v>1413.84</v>
      </c>
      <c r="AE73" s="110">
        <f t="shared" si="10"/>
        <v>1346.54</v>
      </c>
      <c r="AF73" s="110">
        <f t="shared" si="10"/>
        <v>1248.04</v>
      </c>
      <c r="AG73" s="110">
        <f t="shared" si="10"/>
        <v>2144.14</v>
      </c>
      <c r="AH73" s="21">
        <f t="shared" si="2"/>
        <v>1532.7400000000002</v>
      </c>
      <c r="AI73" s="20">
        <f t="shared" si="3"/>
        <v>1102.3399999999999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>
        <v>130</v>
      </c>
      <c r="AA74" s="111">
        <v>150</v>
      </c>
      <c r="AB74" s="111">
        <v>70</v>
      </c>
      <c r="AC74" s="111">
        <v>70</v>
      </c>
      <c r="AD74" s="111">
        <v>70</v>
      </c>
      <c r="AE74" s="111">
        <v>70</v>
      </c>
      <c r="AF74" s="111">
        <v>70</v>
      </c>
      <c r="AG74" s="98"/>
      <c r="AH74" s="21">
        <f t="shared" si="2"/>
        <v>150</v>
      </c>
      <c r="AI74" s="20">
        <f t="shared" si="3"/>
        <v>70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1102.3399999999999</v>
      </c>
      <c r="C75" s="110">
        <f>C73+C74</f>
        <v>1150.3399999999999</v>
      </c>
      <c r="D75" s="110">
        <f t="shared" ref="D75:AF75" si="11">D72+D68+D56+D52+D38+D74</f>
        <v>1162.48</v>
      </c>
      <c r="E75" s="110">
        <f t="shared" si="11"/>
        <v>1152.48</v>
      </c>
      <c r="F75" s="110">
        <f t="shared" si="11"/>
        <v>1139.48</v>
      </c>
      <c r="G75" s="110">
        <f t="shared" si="11"/>
        <v>1185.94</v>
      </c>
      <c r="H75" s="110">
        <f t="shared" si="11"/>
        <v>1216.8799999999999</v>
      </c>
      <c r="I75" s="110">
        <f t="shared" si="11"/>
        <v>1231.6399999999999</v>
      </c>
      <c r="J75" s="110">
        <f t="shared" si="11"/>
        <v>1284.3400000000001</v>
      </c>
      <c r="K75" s="110">
        <f t="shared" si="11"/>
        <v>1352.54</v>
      </c>
      <c r="L75" s="110">
        <f t="shared" si="11"/>
        <v>1372.94</v>
      </c>
      <c r="M75" s="110">
        <f t="shared" si="11"/>
        <v>1392.8</v>
      </c>
      <c r="N75" s="110">
        <f t="shared" si="11"/>
        <v>1368.8899999999999</v>
      </c>
      <c r="O75" s="110">
        <f t="shared" si="11"/>
        <v>1376.32</v>
      </c>
      <c r="P75" s="110">
        <f t="shared" si="11"/>
        <v>1398.2399999999998</v>
      </c>
      <c r="Q75" s="110">
        <f t="shared" si="11"/>
        <v>1425.94</v>
      </c>
      <c r="R75" s="110">
        <f t="shared" si="11"/>
        <v>1411.8400000000001</v>
      </c>
      <c r="S75" s="110">
        <f t="shared" si="11"/>
        <v>1433.64</v>
      </c>
      <c r="T75" s="110">
        <f t="shared" si="11"/>
        <v>1370.24</v>
      </c>
      <c r="U75" s="110">
        <f t="shared" si="11"/>
        <v>1483.74</v>
      </c>
      <c r="V75" s="110">
        <f t="shared" si="11"/>
        <v>1425.04</v>
      </c>
      <c r="W75" s="110">
        <f t="shared" si="11"/>
        <v>1403.04</v>
      </c>
      <c r="X75" s="110">
        <f t="shared" si="11"/>
        <v>1390.04</v>
      </c>
      <c r="Y75" s="110">
        <f t="shared" si="11"/>
        <v>1449.6399999999999</v>
      </c>
      <c r="Z75" s="110">
        <v>1662.7400000000002</v>
      </c>
      <c r="AA75" s="110">
        <f t="shared" si="11"/>
        <v>1604.04</v>
      </c>
      <c r="AB75" s="110">
        <f t="shared" si="11"/>
        <v>1548.6400000000003</v>
      </c>
      <c r="AC75" s="110">
        <f t="shared" si="11"/>
        <v>1545.84</v>
      </c>
      <c r="AD75" s="110">
        <f t="shared" si="11"/>
        <v>1483.84</v>
      </c>
      <c r="AE75" s="110">
        <f t="shared" si="11"/>
        <v>1416.54</v>
      </c>
      <c r="AF75" s="110">
        <f t="shared" si="11"/>
        <v>1318.04</v>
      </c>
      <c r="AG75" s="98">
        <f>AG72+AG68+AG56+AG52+AG38+AG74</f>
        <v>2144.14</v>
      </c>
      <c r="AH75" s="21">
        <f t="shared" si="2"/>
        <v>1662.7400000000002</v>
      </c>
      <c r="AI75" s="20">
        <f t="shared" si="3"/>
        <v>1102.3399999999999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/>
      <c r="AA76" s="77"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v>0</v>
      </c>
      <c r="AA77" s="77"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v>0</v>
      </c>
      <c r="AA78" s="77"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v>0</v>
      </c>
      <c r="AA79" s="77"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v>0</v>
      </c>
      <c r="AA80" s="77"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>
        <v>0</v>
      </c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v>0</v>
      </c>
      <c r="AA82" s="99"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2204.6799999999998</v>
      </c>
      <c r="C83" s="99">
        <f t="shared" ref="C83:AG83" si="20">SUM(C70:C82)</f>
        <v>2300.6799999999998</v>
      </c>
      <c r="D83" s="99">
        <f t="shared" si="20"/>
        <v>2324.96</v>
      </c>
      <c r="E83" s="99">
        <f t="shared" si="20"/>
        <v>2304.96</v>
      </c>
      <c r="F83" s="99">
        <f t="shared" si="20"/>
        <v>2278.96</v>
      </c>
      <c r="G83" s="99">
        <f t="shared" si="20"/>
        <v>2371.88</v>
      </c>
      <c r="H83" s="99">
        <f t="shared" si="20"/>
        <v>2433.7599999999998</v>
      </c>
      <c r="I83" s="99">
        <f t="shared" si="20"/>
        <v>2463.2799999999997</v>
      </c>
      <c r="J83" s="99">
        <f t="shared" si="20"/>
        <v>2568.6800000000003</v>
      </c>
      <c r="K83" s="99">
        <f t="shared" si="20"/>
        <v>2705.08</v>
      </c>
      <c r="L83" s="99">
        <f t="shared" si="20"/>
        <v>2745.88</v>
      </c>
      <c r="M83" s="99">
        <f t="shared" si="20"/>
        <v>2785.6</v>
      </c>
      <c r="N83" s="99">
        <f t="shared" si="20"/>
        <v>2737.7799999999997</v>
      </c>
      <c r="O83" s="99">
        <f t="shared" si="20"/>
        <v>2752.64</v>
      </c>
      <c r="P83" s="99">
        <f t="shared" si="20"/>
        <v>2796.4799999999996</v>
      </c>
      <c r="Q83" s="99">
        <f t="shared" si="20"/>
        <v>2851.88</v>
      </c>
      <c r="R83" s="99">
        <f t="shared" si="20"/>
        <v>2823.6800000000003</v>
      </c>
      <c r="S83" s="99">
        <f t="shared" si="20"/>
        <v>2867.28</v>
      </c>
      <c r="T83" s="99">
        <f t="shared" si="20"/>
        <v>2740.48</v>
      </c>
      <c r="U83" s="99">
        <f t="shared" si="20"/>
        <v>2967.48</v>
      </c>
      <c r="V83" s="99">
        <f t="shared" si="20"/>
        <v>2850.08</v>
      </c>
      <c r="W83" s="99">
        <f t="shared" si="20"/>
        <v>2806.08</v>
      </c>
      <c r="X83" s="99">
        <f t="shared" si="20"/>
        <v>2780.08</v>
      </c>
      <c r="Y83" s="99">
        <f t="shared" si="20"/>
        <v>2899.2799999999997</v>
      </c>
      <c r="Z83" s="99">
        <f t="shared" si="20"/>
        <v>3325.4800000000005</v>
      </c>
      <c r="AA83" s="99">
        <f t="shared" si="20"/>
        <v>3196.48</v>
      </c>
      <c r="AB83" s="99">
        <f t="shared" si="20"/>
        <v>3097.2800000000007</v>
      </c>
      <c r="AC83" s="99">
        <f t="shared" si="20"/>
        <v>3091.68</v>
      </c>
      <c r="AD83" s="99">
        <f t="shared" si="20"/>
        <v>2967.68</v>
      </c>
      <c r="AE83" s="99">
        <f t="shared" si="20"/>
        <v>2833.08</v>
      </c>
      <c r="AF83" s="99">
        <f t="shared" si="20"/>
        <v>2636.08</v>
      </c>
      <c r="AG83" s="98">
        <f t="shared" si="20"/>
        <v>4360.08</v>
      </c>
      <c r="AH83" s="21">
        <f t="shared" si="13"/>
        <v>3325.4800000000005</v>
      </c>
      <c r="AI83" s="20">
        <f t="shared" si="14"/>
        <v>2204.6799999999998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50.03</v>
      </c>
      <c r="C84" s="96">
        <v>50.02</v>
      </c>
      <c r="D84" s="96">
        <v>50.02</v>
      </c>
      <c r="E84" s="96">
        <v>50.030999999999999</v>
      </c>
      <c r="F84" s="96">
        <v>49.832999999999998</v>
      </c>
      <c r="G84" s="96">
        <v>50.034999999999997</v>
      </c>
      <c r="H84" s="96">
        <v>50.02</v>
      </c>
      <c r="I84" s="96">
        <v>50.021000000000001</v>
      </c>
      <c r="J84" s="96">
        <v>50.048000000000002</v>
      </c>
      <c r="K84" s="96">
        <v>50.051000000000002</v>
      </c>
      <c r="L84" s="96">
        <v>50.082999999999998</v>
      </c>
      <c r="M84" s="96">
        <v>50.054000000000002</v>
      </c>
      <c r="N84" s="96">
        <v>49.97</v>
      </c>
      <c r="O84" s="96">
        <v>49.901000000000003</v>
      </c>
      <c r="P84" s="96">
        <v>49.881</v>
      </c>
      <c r="Q84" s="96">
        <v>50.003999999999998</v>
      </c>
      <c r="R84" s="96">
        <v>50.005000000000003</v>
      </c>
      <c r="S84" s="96">
        <v>50.027999999999999</v>
      </c>
      <c r="T84" s="96">
        <v>49.73</v>
      </c>
      <c r="U84" s="96">
        <v>49.99</v>
      </c>
      <c r="V84" s="96">
        <v>49.62</v>
      </c>
      <c r="W84" s="96">
        <v>50.02</v>
      </c>
      <c r="X84" s="96">
        <v>49.84</v>
      </c>
      <c r="Y84" s="96">
        <v>49.8</v>
      </c>
      <c r="Z84" s="96">
        <v>49.55</v>
      </c>
      <c r="AA84" s="96">
        <v>49.47</v>
      </c>
      <c r="AB84" s="96">
        <v>49.938000000000002</v>
      </c>
      <c r="AC84" s="96">
        <v>49.993000000000002</v>
      </c>
      <c r="AD84" s="96">
        <v>49.88</v>
      </c>
      <c r="AE84" s="96">
        <v>49.954000000000001</v>
      </c>
      <c r="AF84" s="96">
        <v>49.970999999999997</v>
      </c>
      <c r="AG84" s="95"/>
      <c r="AH84" s="21">
        <f t="shared" si="13"/>
        <v>50.082999999999998</v>
      </c>
      <c r="AI84" s="20">
        <f t="shared" si="14"/>
        <v>49.47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125</v>
      </c>
      <c r="C85" s="73">
        <v>124</v>
      </c>
      <c r="D85" s="73">
        <v>124</v>
      </c>
      <c r="E85" s="73">
        <v>125.8</v>
      </c>
      <c r="F85" s="73">
        <v>126.1</v>
      </c>
      <c r="G85" s="73">
        <v>124.6</v>
      </c>
      <c r="H85" s="73">
        <v>124.6</v>
      </c>
      <c r="I85" s="73">
        <v>127.7</v>
      </c>
      <c r="J85" s="73">
        <v>126.2</v>
      </c>
      <c r="K85" s="73">
        <v>125.2</v>
      </c>
      <c r="L85" s="73">
        <v>124.9</v>
      </c>
      <c r="M85" s="73">
        <v>124.4</v>
      </c>
      <c r="N85" s="73">
        <v>123.1</v>
      </c>
      <c r="O85" s="73">
        <v>122.9</v>
      </c>
      <c r="P85" s="73">
        <v>122.5</v>
      </c>
      <c r="Q85" s="73">
        <v>122.9</v>
      </c>
      <c r="R85" s="73">
        <v>123.4</v>
      </c>
      <c r="S85" s="73">
        <v>123.2</v>
      </c>
      <c r="T85" s="73">
        <v>123.3</v>
      </c>
      <c r="U85" s="94">
        <v>122.8</v>
      </c>
      <c r="V85" s="94">
        <v>124.1</v>
      </c>
      <c r="W85" s="94">
        <v>126.1</v>
      </c>
      <c r="X85" s="94">
        <v>127</v>
      </c>
      <c r="Y85" s="94">
        <v>125.8</v>
      </c>
      <c r="Z85" s="94">
        <v>125.6</v>
      </c>
      <c r="AA85" s="94">
        <v>125.9</v>
      </c>
      <c r="AB85" s="73">
        <v>126.9</v>
      </c>
      <c r="AC85" s="73">
        <v>126.7</v>
      </c>
      <c r="AD85" s="73">
        <v>126.2</v>
      </c>
      <c r="AE85" s="73">
        <v>127.1</v>
      </c>
      <c r="AF85" s="73">
        <v>128.19999999999999</v>
      </c>
      <c r="AG85" s="89"/>
      <c r="AH85" s="21">
        <f t="shared" si="13"/>
        <v>128.19999999999999</v>
      </c>
      <c r="AI85" s="20">
        <f t="shared" si="14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129</v>
      </c>
      <c r="C86" s="73">
        <v>129</v>
      </c>
      <c r="D86" s="73">
        <v>129</v>
      </c>
      <c r="E86" s="73">
        <v>130.4</v>
      </c>
      <c r="F86" s="73">
        <v>130.6</v>
      </c>
      <c r="G86" s="73">
        <v>129.19999999999999</v>
      </c>
      <c r="H86" s="73">
        <v>128.80000000000001</v>
      </c>
      <c r="I86" s="73">
        <v>130.6</v>
      </c>
      <c r="J86" s="73">
        <v>129.19999999999999</v>
      </c>
      <c r="K86" s="73">
        <v>128.19999999999999</v>
      </c>
      <c r="L86" s="73">
        <v>127.7</v>
      </c>
      <c r="M86" s="73">
        <v>126.1</v>
      </c>
      <c r="N86" s="73">
        <v>125.6</v>
      </c>
      <c r="O86" s="73">
        <v>126.4</v>
      </c>
      <c r="P86" s="73">
        <v>126.3</v>
      </c>
      <c r="Q86" s="73">
        <v>126.8</v>
      </c>
      <c r="R86" s="73">
        <v>126.8</v>
      </c>
      <c r="S86" s="73">
        <v>126.6</v>
      </c>
      <c r="T86" s="73">
        <v>126.9</v>
      </c>
      <c r="U86" s="94">
        <v>126.1</v>
      </c>
      <c r="V86" s="94">
        <v>127.2</v>
      </c>
      <c r="W86" s="94">
        <v>129</v>
      </c>
      <c r="X86" s="94">
        <v>129.69999999999999</v>
      </c>
      <c r="Y86" s="94">
        <v>128.69999999999999</v>
      </c>
      <c r="Z86" s="94">
        <v>128.19999999999999</v>
      </c>
      <c r="AA86" s="94">
        <v>128.69999999999999</v>
      </c>
      <c r="AB86" s="73">
        <v>129.5</v>
      </c>
      <c r="AC86" s="73">
        <v>129.69999999999999</v>
      </c>
      <c r="AD86" s="73">
        <v>129.6</v>
      </c>
      <c r="AE86" s="73">
        <v>130.6</v>
      </c>
      <c r="AF86" s="73">
        <v>131.69999999999999</v>
      </c>
      <c r="AG86" s="89"/>
      <c r="AH86" s="21">
        <f t="shared" si="13"/>
        <v>131.69999999999999</v>
      </c>
      <c r="AI86" s="20">
        <f t="shared" si="14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130</v>
      </c>
      <c r="C87" s="73">
        <v>130</v>
      </c>
      <c r="D87" s="73">
        <v>130</v>
      </c>
      <c r="E87" s="73">
        <v>130.4</v>
      </c>
      <c r="F87" s="73">
        <v>130</v>
      </c>
      <c r="G87" s="73">
        <v>130.69999999999999</v>
      </c>
      <c r="H87" s="73">
        <v>129.30000000000001</v>
      </c>
      <c r="I87" s="73">
        <v>129</v>
      </c>
      <c r="J87" s="73">
        <v>126.9</v>
      </c>
      <c r="K87" s="73">
        <v>126.3</v>
      </c>
      <c r="L87" s="73">
        <v>128.69999999999999</v>
      </c>
      <c r="M87" s="73">
        <v>129.9</v>
      </c>
      <c r="N87" s="73">
        <v>130</v>
      </c>
      <c r="O87" s="73">
        <v>127.8</v>
      </c>
      <c r="P87" s="73">
        <v>129.4</v>
      </c>
      <c r="Q87" s="73">
        <v>131.4</v>
      </c>
      <c r="R87" s="73">
        <v>128.5</v>
      </c>
      <c r="S87" s="73">
        <v>130.9</v>
      </c>
      <c r="T87" s="73">
        <v>130.80000000000001</v>
      </c>
      <c r="U87" s="73">
        <v>130.6</v>
      </c>
      <c r="V87" s="73">
        <v>132</v>
      </c>
      <c r="W87" s="73">
        <v>130.6</v>
      </c>
      <c r="X87" s="94">
        <v>132.69999999999999</v>
      </c>
      <c r="Y87" s="94">
        <v>128.5</v>
      </c>
      <c r="Z87" s="94">
        <v>128.30000000000001</v>
      </c>
      <c r="AA87" s="94">
        <v>128.69999999999999</v>
      </c>
      <c r="AB87" s="73">
        <v>128.5</v>
      </c>
      <c r="AC87" s="73">
        <v>128.80000000000001</v>
      </c>
      <c r="AD87" s="73">
        <v>130</v>
      </c>
      <c r="AE87" s="73">
        <v>128.5</v>
      </c>
      <c r="AF87" s="73">
        <v>130</v>
      </c>
      <c r="AG87" s="89"/>
      <c r="AH87" s="21">
        <f t="shared" si="13"/>
        <v>132.69999999999999</v>
      </c>
      <c r="AI87" s="20">
        <f t="shared" si="14"/>
        <v>126.3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134</v>
      </c>
      <c r="C88" s="73">
        <v>134</v>
      </c>
      <c r="D88" s="73">
        <v>134</v>
      </c>
      <c r="E88" s="73">
        <v>134.9</v>
      </c>
      <c r="F88" s="73">
        <v>134.5</v>
      </c>
      <c r="G88" s="73">
        <v>134.80000000000001</v>
      </c>
      <c r="H88" s="73">
        <v>133.19999999999999</v>
      </c>
      <c r="I88" s="73">
        <v>132.80000000000001</v>
      </c>
      <c r="J88" s="73">
        <v>130.6</v>
      </c>
      <c r="K88" s="73">
        <v>133.30000000000001</v>
      </c>
      <c r="L88" s="73">
        <v>131.69999999999999</v>
      </c>
      <c r="M88" s="73">
        <v>132.80000000000001</v>
      </c>
      <c r="N88" s="73">
        <v>133.30000000000001</v>
      </c>
      <c r="O88" s="73">
        <v>130.30000000000001</v>
      </c>
      <c r="P88" s="73">
        <v>131.6</v>
      </c>
      <c r="Q88" s="73">
        <v>133.69999999999999</v>
      </c>
      <c r="R88" s="73">
        <v>131.19999999999999</v>
      </c>
      <c r="S88" s="73">
        <v>133.80000000000001</v>
      </c>
      <c r="T88" s="73">
        <v>132.69999999999999</v>
      </c>
      <c r="U88" s="73">
        <v>132.19999999999999</v>
      </c>
      <c r="V88" s="73">
        <v>133.30000000000001</v>
      </c>
      <c r="W88" s="73">
        <v>133.5</v>
      </c>
      <c r="X88" s="94">
        <v>133.4</v>
      </c>
      <c r="Y88" s="94">
        <v>130.6</v>
      </c>
      <c r="Z88" s="94">
        <v>130.80000000000001</v>
      </c>
      <c r="AA88" s="94">
        <v>131.69999999999999</v>
      </c>
      <c r="AB88" s="73">
        <v>132.6</v>
      </c>
      <c r="AC88" s="73">
        <v>132.80000000000001</v>
      </c>
      <c r="AD88" s="73">
        <v>134.30000000000001</v>
      </c>
      <c r="AE88" s="73">
        <v>133.80000000000001</v>
      </c>
      <c r="AF88" s="73">
        <v>135.1</v>
      </c>
      <c r="AG88" s="89"/>
      <c r="AH88" s="21">
        <f t="shared" si="13"/>
        <v>135.1</v>
      </c>
      <c r="AI88" s="20">
        <f t="shared" si="14"/>
        <v>130.30000000000001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130.6</v>
      </c>
      <c r="C89" s="66">
        <v>134</v>
      </c>
      <c r="D89" s="66">
        <v>134</v>
      </c>
      <c r="E89" s="66">
        <v>132.5</v>
      </c>
      <c r="F89" s="66">
        <v>133.30000000000001</v>
      </c>
      <c r="G89" s="66">
        <v>132.4</v>
      </c>
      <c r="H89" s="66">
        <v>131.5</v>
      </c>
      <c r="I89" s="66">
        <v>130.19999999999999</v>
      </c>
      <c r="J89" s="66">
        <v>128.30000000000001</v>
      </c>
      <c r="K89" s="66">
        <v>130.6</v>
      </c>
      <c r="L89" s="66">
        <v>136</v>
      </c>
      <c r="M89" s="66">
        <v>132.30000000000001</v>
      </c>
      <c r="N89" s="66">
        <v>130</v>
      </c>
      <c r="O89" s="66">
        <v>135</v>
      </c>
      <c r="P89" s="66">
        <v>128.69999999999999</v>
      </c>
      <c r="Q89" s="66">
        <v>133.80000000000001</v>
      </c>
      <c r="R89" s="66">
        <v>132.5</v>
      </c>
      <c r="S89" s="66">
        <v>134.4</v>
      </c>
      <c r="T89" s="66">
        <v>132.19999999999999</v>
      </c>
      <c r="U89" s="66">
        <v>132.30000000000001</v>
      </c>
      <c r="V89" s="66">
        <v>133.19999999999999</v>
      </c>
      <c r="W89" s="66">
        <v>135.80000000000001</v>
      </c>
      <c r="X89" s="94">
        <v>134.80000000000001</v>
      </c>
      <c r="Y89" s="94">
        <v>145</v>
      </c>
      <c r="Z89" s="94">
        <v>134.5</v>
      </c>
      <c r="AA89" s="94">
        <v>132.4</v>
      </c>
      <c r="AB89" s="66">
        <v>135.1</v>
      </c>
      <c r="AC89" s="66">
        <v>135.1</v>
      </c>
      <c r="AD89" s="66">
        <v>129.80000000000001</v>
      </c>
      <c r="AE89" s="66">
        <v>130.6</v>
      </c>
      <c r="AF89" s="66">
        <v>132.9</v>
      </c>
      <c r="AG89" s="91"/>
      <c r="AH89" s="21">
        <f t="shared" si="13"/>
        <v>145</v>
      </c>
      <c r="AI89" s="20">
        <f t="shared" si="14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128</v>
      </c>
      <c r="C90" s="73">
        <v>132</v>
      </c>
      <c r="D90" s="73">
        <v>132</v>
      </c>
      <c r="E90" s="73">
        <v>132</v>
      </c>
      <c r="F90" s="73">
        <v>132</v>
      </c>
      <c r="G90" s="73">
        <v>132</v>
      </c>
      <c r="H90" s="73">
        <v>132</v>
      </c>
      <c r="I90" s="73">
        <v>132</v>
      </c>
      <c r="J90" s="73">
        <v>132</v>
      </c>
      <c r="K90" s="73">
        <v>125</v>
      </c>
      <c r="L90" s="73">
        <v>129.69999999999999</v>
      </c>
      <c r="M90" s="73">
        <v>132.5</v>
      </c>
      <c r="N90" s="73">
        <v>130.19999999999999</v>
      </c>
      <c r="O90" s="73">
        <v>128.6</v>
      </c>
      <c r="P90" s="73">
        <v>130.69999999999999</v>
      </c>
      <c r="Q90" s="73">
        <v>129.80000000000001</v>
      </c>
      <c r="R90" s="73">
        <v>131.69999999999999</v>
      </c>
      <c r="S90" s="73">
        <v>129.4</v>
      </c>
      <c r="T90" s="73">
        <v>128</v>
      </c>
      <c r="U90" s="73">
        <v>130</v>
      </c>
      <c r="V90" s="73">
        <v>127.3</v>
      </c>
      <c r="W90" s="73">
        <v>131.6</v>
      </c>
      <c r="X90" s="94">
        <v>135</v>
      </c>
      <c r="Y90" s="94">
        <v>130.9</v>
      </c>
      <c r="Z90" s="94">
        <v>133</v>
      </c>
      <c r="AA90" s="94">
        <v>129.19999999999999</v>
      </c>
      <c r="AB90" s="73">
        <v>132</v>
      </c>
      <c r="AC90" s="73">
        <v>131.80000000000001</v>
      </c>
      <c r="AD90" s="73">
        <v>126.3</v>
      </c>
      <c r="AE90" s="73">
        <v>124.5</v>
      </c>
      <c r="AF90" s="73">
        <v>130.6</v>
      </c>
      <c r="AG90" s="89"/>
      <c r="AH90" s="21">
        <f t="shared" si="13"/>
        <v>135</v>
      </c>
      <c r="AI90" s="20">
        <f t="shared" si="14"/>
        <v>124.5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64.7</v>
      </c>
      <c r="C91" s="87">
        <v>64.7</v>
      </c>
      <c r="D91" s="87">
        <v>64.7</v>
      </c>
      <c r="E91" s="87">
        <v>66.400000000000006</v>
      </c>
      <c r="F91" s="87">
        <v>66.3</v>
      </c>
      <c r="G91" s="87">
        <v>65.599999999999994</v>
      </c>
      <c r="H91" s="87">
        <v>65.400000000000006</v>
      </c>
      <c r="I91" s="87">
        <v>66.2</v>
      </c>
      <c r="J91" s="87">
        <v>65.7</v>
      </c>
      <c r="K91" s="87">
        <v>64.7</v>
      </c>
      <c r="L91" s="87">
        <v>64.599999999999994</v>
      </c>
      <c r="M91" s="87">
        <v>62.5</v>
      </c>
      <c r="N91" s="87">
        <v>62.2</v>
      </c>
      <c r="O91" s="87">
        <v>63.5</v>
      </c>
      <c r="P91" s="87">
        <v>63.4</v>
      </c>
      <c r="Q91" s="87">
        <v>63.6</v>
      </c>
      <c r="R91" s="87">
        <v>63.6</v>
      </c>
      <c r="S91" s="87">
        <v>63.4</v>
      </c>
      <c r="T91" s="87">
        <v>63.7</v>
      </c>
      <c r="U91" s="87">
        <v>63.3</v>
      </c>
      <c r="V91" s="87">
        <v>64</v>
      </c>
      <c r="W91" s="87">
        <v>65</v>
      </c>
      <c r="X91" s="87">
        <v>65.5</v>
      </c>
      <c r="Y91" s="87">
        <v>64.8</v>
      </c>
      <c r="Z91" s="87">
        <v>63.7</v>
      </c>
      <c r="AA91" s="87">
        <v>65</v>
      </c>
      <c r="AB91" s="87">
        <v>65.5</v>
      </c>
      <c r="AC91" s="87">
        <v>65.599999999999994</v>
      </c>
      <c r="AD91" s="87">
        <v>65.599999999999994</v>
      </c>
      <c r="AE91" s="87">
        <v>65.8</v>
      </c>
      <c r="AF91" s="87">
        <v>66.400000000000006</v>
      </c>
      <c r="AG91" s="86"/>
      <c r="AH91" s="21">
        <f t="shared" si="13"/>
        <v>66.400000000000006</v>
      </c>
      <c r="AI91" s="20">
        <f t="shared" si="14"/>
        <v>62.2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239.23999999999995</v>
      </c>
      <c r="C93" s="82">
        <f t="shared" si="21"/>
        <v>167.23999999999995</v>
      </c>
      <c r="D93" s="82">
        <f t="shared" si="21"/>
        <v>162.23999999999995</v>
      </c>
      <c r="E93" s="82">
        <f t="shared" si="21"/>
        <v>166.73999999999995</v>
      </c>
      <c r="F93" s="82">
        <f t="shared" si="21"/>
        <v>164.23999999999995</v>
      </c>
      <c r="G93" s="80">
        <f t="shared" si="21"/>
        <v>197.03999999999996</v>
      </c>
      <c r="H93" s="80">
        <f t="shared" si="21"/>
        <v>219.03999999999994</v>
      </c>
      <c r="I93" s="80">
        <f t="shared" si="21"/>
        <v>251.23999999999995</v>
      </c>
      <c r="J93" s="80">
        <f t="shared" si="21"/>
        <v>281.64</v>
      </c>
      <c r="K93" s="80">
        <f t="shared" si="21"/>
        <v>313.64</v>
      </c>
      <c r="L93" s="80">
        <f t="shared" si="21"/>
        <v>319.34000000000003</v>
      </c>
      <c r="M93" s="80">
        <f t="shared" si="21"/>
        <v>321.94</v>
      </c>
      <c r="N93" s="80">
        <f t="shared" si="21"/>
        <v>297.14</v>
      </c>
      <c r="O93" s="80">
        <f t="shared" si="21"/>
        <v>311.84000000000003</v>
      </c>
      <c r="P93" s="80">
        <f t="shared" si="21"/>
        <v>307.14000000000004</v>
      </c>
      <c r="Q93" s="80">
        <f t="shared" si="21"/>
        <v>261.04000000000002</v>
      </c>
      <c r="R93" s="80">
        <f t="shared" si="21"/>
        <v>300.74</v>
      </c>
      <c r="S93" s="80">
        <f t="shared" si="21"/>
        <v>306.24</v>
      </c>
      <c r="T93" s="80">
        <f t="shared" si="21"/>
        <v>304.44</v>
      </c>
      <c r="U93" s="80">
        <f t="shared" si="21"/>
        <v>320.14000000000004</v>
      </c>
      <c r="V93" s="80">
        <f t="shared" si="21"/>
        <v>284.01</v>
      </c>
      <c r="W93" s="80">
        <f t="shared" si="21"/>
        <v>316.14</v>
      </c>
      <c r="X93" s="80">
        <f t="shared" si="21"/>
        <v>318.24</v>
      </c>
      <c r="Y93" s="80">
        <f t="shared" si="21"/>
        <v>357.24</v>
      </c>
      <c r="Z93" s="80">
        <f t="shared" si="21"/>
        <v>393.34000000000003</v>
      </c>
      <c r="AA93" s="80">
        <f t="shared" si="21"/>
        <v>382.64000000000004</v>
      </c>
      <c r="AB93" s="80">
        <f t="shared" si="21"/>
        <v>351.74</v>
      </c>
      <c r="AC93" s="80">
        <f t="shared" si="21"/>
        <v>342.14000000000004</v>
      </c>
      <c r="AD93" s="80">
        <f t="shared" si="21"/>
        <v>309.74</v>
      </c>
      <c r="AE93" s="80">
        <f t="shared" si="21"/>
        <v>247.03999999999996</v>
      </c>
      <c r="AF93" s="80">
        <f t="shared" si="21"/>
        <v>203.83999999999997</v>
      </c>
      <c r="AG93" s="79"/>
      <c r="AH93" s="21">
        <f>MAX(C93:AF93)</f>
        <v>393.34000000000003</v>
      </c>
      <c r="AI93" s="20">
        <f>MIN(C93:AF93)</f>
        <v>162.23999999999995</v>
      </c>
    </row>
    <row r="94" spans="1:88" x14ac:dyDescent="0.25">
      <c r="A94" s="48" t="s">
        <v>122</v>
      </c>
      <c r="B94" s="78">
        <v>31</v>
      </c>
      <c r="C94" s="77">
        <v>-26</v>
      </c>
      <c r="D94" s="77">
        <v>-15</v>
      </c>
      <c r="E94" s="77">
        <v>-16</v>
      </c>
      <c r="F94" s="77">
        <v>-6.4</v>
      </c>
      <c r="G94" s="76">
        <v>-8.5</v>
      </c>
      <c r="H94" s="76">
        <v>-11.3</v>
      </c>
      <c r="I94" s="76">
        <v>2.2999999999999998</v>
      </c>
      <c r="J94" s="76">
        <v>-4</v>
      </c>
      <c r="K94" s="76">
        <v>-3.1</v>
      </c>
      <c r="L94" s="76">
        <v>17</v>
      </c>
      <c r="M94" s="75">
        <v>21.8</v>
      </c>
      <c r="N94" s="76">
        <v>10.7</v>
      </c>
      <c r="O94" s="76">
        <v>5.5</v>
      </c>
      <c r="P94" s="76">
        <v>3.8</v>
      </c>
      <c r="Q94" s="76">
        <v>-8.1999999999999993</v>
      </c>
      <c r="R94" s="76">
        <v>-9.3000000000000007</v>
      </c>
      <c r="S94" s="76">
        <v>-5.8</v>
      </c>
      <c r="T94" s="76">
        <v>-5.3</v>
      </c>
      <c r="U94" s="75">
        <v>-56.6</v>
      </c>
      <c r="V94" s="75">
        <v>-40.200000000000003</v>
      </c>
      <c r="W94" s="75">
        <v>-16.600000000000001</v>
      </c>
      <c r="X94" s="76">
        <v>-8.8000000000000007</v>
      </c>
      <c r="Y94" s="76">
        <v>-4.8</v>
      </c>
      <c r="Z94" s="76">
        <v>-1.9</v>
      </c>
      <c r="AA94" s="76">
        <v>0</v>
      </c>
      <c r="AB94" s="75">
        <v>5.7</v>
      </c>
      <c r="AC94" s="75">
        <v>-2.7</v>
      </c>
      <c r="AD94" s="75">
        <v>-12.4</v>
      </c>
      <c r="AE94" s="75">
        <v>-8.1999999999999993</v>
      </c>
      <c r="AF94" s="75">
        <v>-9.9</v>
      </c>
      <c r="AG94" s="3">
        <v>75</v>
      </c>
      <c r="AH94" s="21">
        <f t="shared" ref="AH94:AH100" si="22">IF(ABS(MAX(C94:AF94))&gt;ABS(MIN(C94:AF94)),MAX(C94:AF94),MIN(C94:AF94))</f>
        <v>-56.6</v>
      </c>
      <c r="AI94" s="64">
        <f t="shared" ref="AI94:AI100" si="23">INDEX($C$9:$AF$9,1,MATCH(AH94,C94:AF94,0))</f>
        <v>0.66666666666666696</v>
      </c>
    </row>
    <row r="95" spans="1:88" x14ac:dyDescent="0.25">
      <c r="A95" s="45" t="s">
        <v>121</v>
      </c>
      <c r="B95" s="74">
        <v>-60</v>
      </c>
      <c r="C95" s="67">
        <v>-72</v>
      </c>
      <c r="D95" s="67">
        <v>-85</v>
      </c>
      <c r="E95" s="67">
        <v>-73.400000000000006</v>
      </c>
      <c r="F95" s="67">
        <v>-74.8</v>
      </c>
      <c r="G95" s="67">
        <v>-62</v>
      </c>
      <c r="H95" s="67">
        <v>-50.2</v>
      </c>
      <c r="I95" s="67">
        <v>-22.6</v>
      </c>
      <c r="J95" s="67">
        <v>-12.3</v>
      </c>
      <c r="K95" s="67">
        <v>3.6</v>
      </c>
      <c r="L95" s="67">
        <v>2.1</v>
      </c>
      <c r="M95" s="67">
        <v>19.7</v>
      </c>
      <c r="N95" s="67">
        <v>24.1</v>
      </c>
      <c r="O95" s="67">
        <v>-1.9</v>
      </c>
      <c r="P95" s="67">
        <v>-4.9000000000000004</v>
      </c>
      <c r="Q95" s="67">
        <v>-44</v>
      </c>
      <c r="R95" s="67">
        <v>-2.9</v>
      </c>
      <c r="S95" s="67">
        <v>-2</v>
      </c>
      <c r="T95" s="67">
        <f>2.4-1.7</f>
        <v>0.7</v>
      </c>
      <c r="U95" s="67">
        <f>23.1+19.1</f>
        <v>42.2</v>
      </c>
      <c r="V95" s="67">
        <f>16.27+13.9</f>
        <v>30.17</v>
      </c>
      <c r="W95" s="67">
        <f>7.6+3.3</f>
        <v>10.899999999999999</v>
      </c>
      <c r="X95" s="67">
        <f>9.5+3.7</f>
        <v>13.2</v>
      </c>
      <c r="Y95" s="67">
        <v>42.6</v>
      </c>
      <c r="Z95" s="67">
        <v>43.3</v>
      </c>
      <c r="AA95" s="67">
        <f>21.7+15.7</f>
        <v>37.4</v>
      </c>
      <c r="AB95" s="73">
        <v>11</v>
      </c>
      <c r="AC95" s="73">
        <v>3</v>
      </c>
      <c r="AD95" s="73">
        <v>-8.8000000000000007</v>
      </c>
      <c r="AE95" s="73">
        <v>-36.9</v>
      </c>
      <c r="AF95" s="73">
        <v>-51.6</v>
      </c>
      <c r="AG95" s="3">
        <v>240</v>
      </c>
      <c r="AH95" s="21">
        <f t="shared" si="22"/>
        <v>-85</v>
      </c>
      <c r="AI95" s="64">
        <f t="shared" si="23"/>
        <v>8.3333333333333301E-2</v>
      </c>
    </row>
    <row r="96" spans="1:88" x14ac:dyDescent="0.25">
      <c r="A96" s="45" t="s">
        <v>120</v>
      </c>
      <c r="B96" s="74">
        <v>0</v>
      </c>
      <c r="C96" s="67">
        <v>0</v>
      </c>
      <c r="D96" s="67">
        <v>0</v>
      </c>
      <c r="E96" s="67">
        <v>-3.3</v>
      </c>
      <c r="F96" s="67">
        <v>-7.5</v>
      </c>
      <c r="G96" s="67">
        <v>-1.6</v>
      </c>
      <c r="H96" s="67">
        <v>2.5</v>
      </c>
      <c r="I96" s="67">
        <v>5</v>
      </c>
      <c r="J96" s="67">
        <v>14.7</v>
      </c>
      <c r="K96" s="67">
        <v>23.7</v>
      </c>
      <c r="L96" s="67">
        <v>15.6</v>
      </c>
      <c r="M96" s="67">
        <v>0</v>
      </c>
      <c r="N96" s="67">
        <v>0</v>
      </c>
      <c r="O96" s="67">
        <v>17.600000000000001</v>
      </c>
      <c r="P96" s="67">
        <v>18.8</v>
      </c>
      <c r="Q96" s="67">
        <v>13.4</v>
      </c>
      <c r="R96" s="67">
        <v>12</v>
      </c>
      <c r="S96" s="67">
        <v>12.6</v>
      </c>
      <c r="T96" s="67">
        <v>19</v>
      </c>
      <c r="U96" s="67">
        <v>35.799999999999997</v>
      </c>
      <c r="V96" s="67" t="s">
        <v>235</v>
      </c>
      <c r="W96" s="67">
        <v>23.2</v>
      </c>
      <c r="X96" s="67">
        <v>36</v>
      </c>
      <c r="Y96" s="67">
        <f>22.1+15.8</f>
        <v>37.900000000000006</v>
      </c>
      <c r="Z96" s="67">
        <v>48.3</v>
      </c>
      <c r="AA96" s="67">
        <v>47</v>
      </c>
      <c r="AB96" s="73">
        <v>33</v>
      </c>
      <c r="AC96" s="73">
        <v>33.799999999999997</v>
      </c>
      <c r="AD96" s="73">
        <v>34.6</v>
      </c>
      <c r="AE96" s="73">
        <v>26.3</v>
      </c>
      <c r="AF96" s="73">
        <v>25.3</v>
      </c>
      <c r="AG96" s="3">
        <v>60</v>
      </c>
      <c r="AH96" s="21">
        <f t="shared" si="22"/>
        <v>48.3</v>
      </c>
      <c r="AI96" s="64">
        <f t="shared" si="23"/>
        <v>0.79166666666666663</v>
      </c>
    </row>
    <row r="97" spans="1:37" x14ac:dyDescent="0.25">
      <c r="A97" s="41" t="s">
        <v>119</v>
      </c>
      <c r="B97" s="71">
        <v>78</v>
      </c>
      <c r="C97" s="70">
        <v>75</v>
      </c>
      <c r="D97" s="70">
        <v>72</v>
      </c>
      <c r="E97" s="70">
        <v>69.2</v>
      </c>
      <c r="F97" s="70">
        <v>62.7</v>
      </c>
      <c r="G97" s="70">
        <v>78.900000000000006</v>
      </c>
      <c r="H97" s="70">
        <v>87.8</v>
      </c>
      <c r="I97" s="70">
        <v>76.3</v>
      </c>
      <c r="J97" s="70">
        <v>93</v>
      </c>
      <c r="K97" s="70">
        <v>99.2</v>
      </c>
      <c r="L97" s="70">
        <v>94.4</v>
      </c>
      <c r="M97" s="70">
        <v>90.2</v>
      </c>
      <c r="N97" s="70">
        <v>72.099999999999994</v>
      </c>
      <c r="O97" s="70">
        <v>100.7</v>
      </c>
      <c r="P97" s="70">
        <v>99.6</v>
      </c>
      <c r="Q97" s="70">
        <v>109.7</v>
      </c>
      <c r="R97" s="70">
        <v>110.9</v>
      </c>
      <c r="S97" s="70">
        <v>113.4</v>
      </c>
      <c r="T97" s="70">
        <v>102</v>
      </c>
      <c r="U97" s="70">
        <v>111</v>
      </c>
      <c r="V97" s="70">
        <v>104</v>
      </c>
      <c r="W97" s="70">
        <v>108.6</v>
      </c>
      <c r="X97" s="70">
        <v>87.8</v>
      </c>
      <c r="Y97" s="70">
        <v>91.5</v>
      </c>
      <c r="Z97" s="70">
        <v>113.6</v>
      </c>
      <c r="AA97" s="70">
        <v>108.2</v>
      </c>
      <c r="AB97" s="69">
        <v>112</v>
      </c>
      <c r="AC97" s="69">
        <v>118</v>
      </c>
      <c r="AD97" s="69">
        <v>106.3</v>
      </c>
      <c r="AE97" s="69">
        <v>75.8</v>
      </c>
      <c r="AF97" s="69">
        <v>50</v>
      </c>
      <c r="AG97" s="72">
        <v>120</v>
      </c>
      <c r="AH97" s="21">
        <f t="shared" si="22"/>
        <v>118</v>
      </c>
      <c r="AI97" s="64">
        <f t="shared" si="23"/>
        <v>0.85416666666666663</v>
      </c>
    </row>
    <row r="98" spans="1:37" x14ac:dyDescent="0.25">
      <c r="A98" s="41" t="s">
        <v>118</v>
      </c>
      <c r="B98" s="71">
        <v>80</v>
      </c>
      <c r="C98" s="70">
        <v>87</v>
      </c>
      <c r="D98" s="70">
        <v>81</v>
      </c>
      <c r="E98" s="70">
        <v>81.900000000000006</v>
      </c>
      <c r="F98" s="70">
        <v>74.400000000000006</v>
      </c>
      <c r="G98" s="70">
        <v>86.4</v>
      </c>
      <c r="H98" s="70">
        <v>93.1</v>
      </c>
      <c r="I98" s="70">
        <v>67.099999999999994</v>
      </c>
      <c r="J98" s="70">
        <v>75.599999999999994</v>
      </c>
      <c r="K98" s="70">
        <v>84.1</v>
      </c>
      <c r="L98" s="70">
        <v>80</v>
      </c>
      <c r="M98" s="70">
        <v>92.7</v>
      </c>
      <c r="N98" s="70">
        <v>100.8</v>
      </c>
      <c r="O98" s="70">
        <v>90.4</v>
      </c>
      <c r="P98" s="70">
        <v>90.9</v>
      </c>
      <c r="Q98" s="70">
        <v>99.9</v>
      </c>
      <c r="R98" s="70">
        <v>101.3</v>
      </c>
      <c r="S98" s="70">
        <v>105.5</v>
      </c>
      <c r="T98" s="70">
        <v>22.2</v>
      </c>
      <c r="U98" s="70">
        <v>95.6</v>
      </c>
      <c r="V98" s="70">
        <v>87.9</v>
      </c>
      <c r="W98" s="70">
        <v>97.5</v>
      </c>
      <c r="X98" s="70">
        <v>75</v>
      </c>
      <c r="Y98" s="70">
        <v>111</v>
      </c>
      <c r="Z98" s="70">
        <v>95</v>
      </c>
      <c r="AA98" s="70">
        <v>97.1</v>
      </c>
      <c r="AB98" s="69">
        <v>84.2</v>
      </c>
      <c r="AC98" s="69">
        <v>93.2</v>
      </c>
      <c r="AD98" s="69">
        <v>91.2</v>
      </c>
      <c r="AE98" s="69">
        <v>69.7</v>
      </c>
      <c r="AF98" s="69">
        <v>54.3</v>
      </c>
      <c r="AG98" s="72"/>
      <c r="AH98" s="21">
        <f t="shared" si="22"/>
        <v>111</v>
      </c>
      <c r="AI98" s="64">
        <f t="shared" si="23"/>
        <v>0.77083333333333337</v>
      </c>
    </row>
    <row r="99" spans="1:37" x14ac:dyDescent="0.25">
      <c r="A99" s="41" t="s">
        <v>117</v>
      </c>
      <c r="B99" s="71">
        <v>78</v>
      </c>
      <c r="C99" s="70">
        <v>78</v>
      </c>
      <c r="D99" s="70">
        <v>69</v>
      </c>
      <c r="E99" s="70">
        <v>69.400000000000006</v>
      </c>
      <c r="F99" s="70">
        <v>66.3</v>
      </c>
      <c r="G99" s="70">
        <v>66.900000000000006</v>
      </c>
      <c r="H99" s="70">
        <v>71.900000000000006</v>
      </c>
      <c r="I99" s="70">
        <v>67.599999999999994</v>
      </c>
      <c r="J99" s="70">
        <v>71.8</v>
      </c>
      <c r="K99" s="70">
        <v>75.8</v>
      </c>
      <c r="L99" s="70">
        <v>53.5</v>
      </c>
      <c r="M99" s="70">
        <v>49.7</v>
      </c>
      <c r="N99" s="70">
        <v>51.9</v>
      </c>
      <c r="O99" s="70">
        <v>53.5</v>
      </c>
      <c r="P99" s="70">
        <v>51.3</v>
      </c>
      <c r="Q99" s="70">
        <v>76.599999999999994</v>
      </c>
      <c r="R99" s="70">
        <v>76.599999999999994</v>
      </c>
      <c r="S99" s="70">
        <v>74.8</v>
      </c>
      <c r="T99" s="70">
        <v>68.3</v>
      </c>
      <c r="U99" s="70">
        <v>73.7</v>
      </c>
      <c r="V99" s="70">
        <v>70.8</v>
      </c>
      <c r="W99" s="70">
        <v>71</v>
      </c>
      <c r="X99" s="70">
        <v>64.2</v>
      </c>
      <c r="Y99" s="70">
        <v>79.8</v>
      </c>
      <c r="Z99" s="70">
        <v>71.099999999999994</v>
      </c>
      <c r="AA99" s="70">
        <v>73.099999999999994</v>
      </c>
      <c r="AB99" s="69">
        <v>64.5</v>
      </c>
      <c r="AC99" s="69">
        <v>65</v>
      </c>
      <c r="AD99" s="69">
        <v>77.5</v>
      </c>
      <c r="AE99" s="69">
        <v>84</v>
      </c>
      <c r="AF99" s="69">
        <v>76.7</v>
      </c>
      <c r="AG99" s="65"/>
      <c r="AH99" s="21">
        <f t="shared" si="22"/>
        <v>84</v>
      </c>
      <c r="AI99" s="64">
        <f t="shared" si="23"/>
        <v>0.91666666666666696</v>
      </c>
    </row>
    <row r="100" spans="1:37" ht="15.75" thickBot="1" x14ac:dyDescent="0.3">
      <c r="A100" s="68" t="s">
        <v>116</v>
      </c>
      <c r="B100" s="66">
        <v>45</v>
      </c>
      <c r="C100" s="67">
        <v>45</v>
      </c>
      <c r="D100" s="67">
        <v>46</v>
      </c>
      <c r="E100" s="67">
        <v>40.299999999999997</v>
      </c>
      <c r="F100" s="67">
        <v>39.799999999999997</v>
      </c>
      <c r="G100" s="67">
        <v>39.799999999999997</v>
      </c>
      <c r="H100" s="67">
        <v>47.2</v>
      </c>
      <c r="I100" s="67">
        <v>48.1</v>
      </c>
      <c r="J100" s="67">
        <v>56.8</v>
      </c>
      <c r="K100" s="67">
        <v>20.8</v>
      </c>
      <c r="L100" s="67">
        <v>21.4</v>
      </c>
      <c r="M100" s="67">
        <v>93.1</v>
      </c>
      <c r="N100" s="67">
        <v>45.2</v>
      </c>
      <c r="O100" s="67">
        <v>32.700000000000003</v>
      </c>
      <c r="P100" s="67">
        <v>33.6</v>
      </c>
      <c r="Q100" s="67">
        <v>35.299999999999997</v>
      </c>
      <c r="R100" s="67">
        <v>76.5</v>
      </c>
      <c r="S100" s="67">
        <v>27.8</v>
      </c>
      <c r="T100" s="67">
        <v>21.8</v>
      </c>
      <c r="U100" s="67">
        <v>0</v>
      </c>
      <c r="V100" s="67">
        <v>0</v>
      </c>
      <c r="W100" s="67">
        <v>0</v>
      </c>
      <c r="X100" s="67">
        <v>0</v>
      </c>
      <c r="Y100" s="67">
        <v>90</v>
      </c>
      <c r="Z100" s="67">
        <v>97.9</v>
      </c>
      <c r="AA100" s="67">
        <v>89.7</v>
      </c>
      <c r="AB100" s="66">
        <v>90.3</v>
      </c>
      <c r="AC100" s="66">
        <v>92</v>
      </c>
      <c r="AD100" s="66">
        <v>87</v>
      </c>
      <c r="AE100" s="66">
        <v>83.4</v>
      </c>
      <c r="AF100" s="66">
        <v>77.7</v>
      </c>
      <c r="AG100" s="65"/>
      <c r="AH100" s="21">
        <f t="shared" si="22"/>
        <v>97.9</v>
      </c>
      <c r="AI100" s="64">
        <f t="shared" si="23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4">AF102</f>
        <v>9.9</v>
      </c>
      <c r="C102" s="54">
        <v>9.9</v>
      </c>
      <c r="D102" s="58">
        <f t="shared" ref="D102:S107" si="25">C102</f>
        <v>9.9</v>
      </c>
      <c r="E102" s="58">
        <f t="shared" si="25"/>
        <v>9.9</v>
      </c>
      <c r="F102" s="58">
        <f t="shared" si="25"/>
        <v>9.9</v>
      </c>
      <c r="G102" s="58">
        <f t="shared" si="25"/>
        <v>9.9</v>
      </c>
      <c r="H102" s="58">
        <f t="shared" si="25"/>
        <v>9.9</v>
      </c>
      <c r="I102" s="58">
        <f t="shared" si="25"/>
        <v>9.9</v>
      </c>
      <c r="J102" s="58">
        <f t="shared" si="25"/>
        <v>9.9</v>
      </c>
      <c r="K102" s="58">
        <f t="shared" si="25"/>
        <v>9.9</v>
      </c>
      <c r="L102" s="58">
        <f t="shared" si="25"/>
        <v>9.9</v>
      </c>
      <c r="M102" s="58">
        <f t="shared" si="25"/>
        <v>9.9</v>
      </c>
      <c r="N102" s="58">
        <f t="shared" si="25"/>
        <v>9.9</v>
      </c>
      <c r="O102" s="58">
        <f t="shared" si="25"/>
        <v>9.9</v>
      </c>
      <c r="P102" s="58">
        <f t="shared" si="25"/>
        <v>9.9</v>
      </c>
      <c r="Q102" s="58">
        <f t="shared" si="25"/>
        <v>9.9</v>
      </c>
      <c r="R102" s="58">
        <f t="shared" si="25"/>
        <v>9.9</v>
      </c>
      <c r="S102" s="58">
        <f t="shared" si="25"/>
        <v>9.9</v>
      </c>
      <c r="T102" s="58">
        <f t="shared" ref="T102:AF107" si="26">S102</f>
        <v>9.9</v>
      </c>
      <c r="U102" s="58">
        <f t="shared" si="26"/>
        <v>9.9</v>
      </c>
      <c r="V102" s="58">
        <f t="shared" si="26"/>
        <v>9.9</v>
      </c>
      <c r="W102" s="58">
        <f t="shared" si="26"/>
        <v>9.9</v>
      </c>
      <c r="X102" s="58">
        <f t="shared" si="26"/>
        <v>9.9</v>
      </c>
      <c r="Y102" s="58">
        <f t="shared" si="26"/>
        <v>9.9</v>
      </c>
      <c r="Z102" s="58">
        <f t="shared" si="26"/>
        <v>9.9</v>
      </c>
      <c r="AA102" s="58">
        <f t="shared" si="26"/>
        <v>9.9</v>
      </c>
      <c r="AB102" s="58">
        <f t="shared" si="26"/>
        <v>9.9</v>
      </c>
      <c r="AC102" s="58">
        <f t="shared" si="26"/>
        <v>9.9</v>
      </c>
      <c r="AD102" s="58">
        <f t="shared" si="26"/>
        <v>9.9</v>
      </c>
      <c r="AE102" s="58">
        <f t="shared" si="26"/>
        <v>9.9</v>
      </c>
      <c r="AF102" s="58">
        <f t="shared" si="26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4"/>
        <v>9.6</v>
      </c>
      <c r="C103" s="55">
        <v>9.6</v>
      </c>
      <c r="D103" s="44">
        <f t="shared" si="25"/>
        <v>9.6</v>
      </c>
      <c r="E103" s="44">
        <f t="shared" si="25"/>
        <v>9.6</v>
      </c>
      <c r="F103" s="44">
        <f t="shared" si="25"/>
        <v>9.6</v>
      </c>
      <c r="G103" s="44">
        <f t="shared" si="25"/>
        <v>9.6</v>
      </c>
      <c r="H103" s="44">
        <f t="shared" si="25"/>
        <v>9.6</v>
      </c>
      <c r="I103" s="44">
        <f t="shared" si="25"/>
        <v>9.6</v>
      </c>
      <c r="J103" s="44">
        <f t="shared" si="25"/>
        <v>9.6</v>
      </c>
      <c r="K103" s="44">
        <f t="shared" si="25"/>
        <v>9.6</v>
      </c>
      <c r="L103" s="44">
        <f t="shared" si="25"/>
        <v>9.6</v>
      </c>
      <c r="M103" s="44">
        <f t="shared" si="25"/>
        <v>9.6</v>
      </c>
      <c r="N103" s="44">
        <f t="shared" si="25"/>
        <v>9.6</v>
      </c>
      <c r="O103" s="44">
        <f t="shared" si="25"/>
        <v>9.6</v>
      </c>
      <c r="P103" s="44">
        <f t="shared" si="25"/>
        <v>9.6</v>
      </c>
      <c r="Q103" s="44">
        <f t="shared" si="25"/>
        <v>9.6</v>
      </c>
      <c r="R103" s="44">
        <f t="shared" si="25"/>
        <v>9.6</v>
      </c>
      <c r="S103" s="44">
        <f t="shared" si="25"/>
        <v>9.6</v>
      </c>
      <c r="T103" s="44">
        <f t="shared" si="26"/>
        <v>9.6</v>
      </c>
      <c r="U103" s="44">
        <f t="shared" si="26"/>
        <v>9.6</v>
      </c>
      <c r="V103" s="44">
        <f t="shared" si="26"/>
        <v>9.6</v>
      </c>
      <c r="W103" s="44">
        <f t="shared" si="26"/>
        <v>9.6</v>
      </c>
      <c r="X103" s="44">
        <f t="shared" si="26"/>
        <v>9.6</v>
      </c>
      <c r="Y103" s="44">
        <f t="shared" si="26"/>
        <v>9.6</v>
      </c>
      <c r="Z103" s="44">
        <f t="shared" si="26"/>
        <v>9.6</v>
      </c>
      <c r="AA103" s="44">
        <f t="shared" si="26"/>
        <v>9.6</v>
      </c>
      <c r="AB103" s="44">
        <f t="shared" si="26"/>
        <v>9.6</v>
      </c>
      <c r="AC103" s="44">
        <f t="shared" si="26"/>
        <v>9.6</v>
      </c>
      <c r="AD103" s="44">
        <f t="shared" si="26"/>
        <v>9.6</v>
      </c>
      <c r="AE103" s="44">
        <f t="shared" si="26"/>
        <v>9.6</v>
      </c>
      <c r="AF103" s="44">
        <f t="shared" si="26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4"/>
        <v>9.98</v>
      </c>
      <c r="C104" s="55">
        <v>9.98</v>
      </c>
      <c r="D104" s="44">
        <f t="shared" si="25"/>
        <v>9.98</v>
      </c>
      <c r="E104" s="44">
        <f t="shared" si="25"/>
        <v>9.98</v>
      </c>
      <c r="F104" s="44">
        <f t="shared" si="25"/>
        <v>9.98</v>
      </c>
      <c r="G104" s="44">
        <f t="shared" si="25"/>
        <v>9.98</v>
      </c>
      <c r="H104" s="44">
        <f t="shared" si="25"/>
        <v>9.98</v>
      </c>
      <c r="I104" s="44">
        <f t="shared" si="25"/>
        <v>9.98</v>
      </c>
      <c r="J104" s="44">
        <f t="shared" si="25"/>
        <v>9.98</v>
      </c>
      <c r="K104" s="44">
        <f t="shared" si="25"/>
        <v>9.98</v>
      </c>
      <c r="L104" s="44">
        <f t="shared" si="25"/>
        <v>9.98</v>
      </c>
      <c r="M104" s="44">
        <f t="shared" si="25"/>
        <v>9.98</v>
      </c>
      <c r="N104" s="44">
        <f t="shared" si="25"/>
        <v>9.98</v>
      </c>
      <c r="O104" s="44">
        <f t="shared" si="25"/>
        <v>9.98</v>
      </c>
      <c r="P104" s="44">
        <f t="shared" si="25"/>
        <v>9.98</v>
      </c>
      <c r="Q104" s="44">
        <f t="shared" si="25"/>
        <v>9.98</v>
      </c>
      <c r="R104" s="44">
        <f t="shared" si="25"/>
        <v>9.98</v>
      </c>
      <c r="S104" s="44">
        <f t="shared" si="25"/>
        <v>9.98</v>
      </c>
      <c r="T104" s="44">
        <f t="shared" si="26"/>
        <v>9.98</v>
      </c>
      <c r="U104" s="44">
        <f t="shared" si="26"/>
        <v>9.98</v>
      </c>
      <c r="V104" s="44">
        <f t="shared" si="26"/>
        <v>9.98</v>
      </c>
      <c r="W104" s="44">
        <f t="shared" si="26"/>
        <v>9.98</v>
      </c>
      <c r="X104" s="44">
        <f t="shared" si="26"/>
        <v>9.98</v>
      </c>
      <c r="Y104" s="44">
        <f t="shared" si="26"/>
        <v>9.98</v>
      </c>
      <c r="Z104" s="44">
        <f t="shared" si="26"/>
        <v>9.98</v>
      </c>
      <c r="AA104" s="44">
        <f t="shared" si="26"/>
        <v>9.98</v>
      </c>
      <c r="AB104" s="44">
        <f t="shared" si="26"/>
        <v>9.98</v>
      </c>
      <c r="AC104" s="44">
        <f t="shared" si="26"/>
        <v>9.98</v>
      </c>
      <c r="AD104" s="44">
        <f t="shared" si="26"/>
        <v>9.98</v>
      </c>
      <c r="AE104" s="44">
        <f t="shared" si="26"/>
        <v>9.98</v>
      </c>
      <c r="AF104" s="44">
        <f t="shared" si="26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4"/>
        <v>9.1</v>
      </c>
      <c r="C105" s="55">
        <v>9.1</v>
      </c>
      <c r="D105" s="44">
        <f t="shared" si="25"/>
        <v>9.1</v>
      </c>
      <c r="E105" s="44">
        <f t="shared" si="25"/>
        <v>9.1</v>
      </c>
      <c r="F105" s="44">
        <f t="shared" si="25"/>
        <v>9.1</v>
      </c>
      <c r="G105" s="44">
        <f t="shared" si="25"/>
        <v>9.1</v>
      </c>
      <c r="H105" s="44">
        <f t="shared" si="25"/>
        <v>9.1</v>
      </c>
      <c r="I105" s="44">
        <f t="shared" si="25"/>
        <v>9.1</v>
      </c>
      <c r="J105" s="44">
        <f t="shared" si="25"/>
        <v>9.1</v>
      </c>
      <c r="K105" s="44">
        <f t="shared" si="25"/>
        <v>9.1</v>
      </c>
      <c r="L105" s="44">
        <f t="shared" si="25"/>
        <v>9.1</v>
      </c>
      <c r="M105" s="44">
        <f t="shared" si="25"/>
        <v>9.1</v>
      </c>
      <c r="N105" s="44">
        <f t="shared" si="25"/>
        <v>9.1</v>
      </c>
      <c r="O105" s="44">
        <f t="shared" si="25"/>
        <v>9.1</v>
      </c>
      <c r="P105" s="44">
        <f t="shared" si="25"/>
        <v>9.1</v>
      </c>
      <c r="Q105" s="44">
        <f t="shared" si="25"/>
        <v>9.1</v>
      </c>
      <c r="R105" s="44">
        <f t="shared" si="25"/>
        <v>9.1</v>
      </c>
      <c r="S105" s="44">
        <f t="shared" si="25"/>
        <v>9.1</v>
      </c>
      <c r="T105" s="44">
        <f t="shared" si="26"/>
        <v>9.1</v>
      </c>
      <c r="U105" s="44">
        <f t="shared" si="26"/>
        <v>9.1</v>
      </c>
      <c r="V105" s="44">
        <f t="shared" si="26"/>
        <v>9.1</v>
      </c>
      <c r="W105" s="44">
        <f t="shared" si="26"/>
        <v>9.1</v>
      </c>
      <c r="X105" s="44">
        <f t="shared" si="26"/>
        <v>9.1</v>
      </c>
      <c r="Y105" s="44">
        <f t="shared" si="26"/>
        <v>9.1</v>
      </c>
      <c r="Z105" s="44">
        <f t="shared" si="26"/>
        <v>9.1</v>
      </c>
      <c r="AA105" s="44">
        <f t="shared" si="26"/>
        <v>9.1</v>
      </c>
      <c r="AB105" s="44">
        <f t="shared" si="26"/>
        <v>9.1</v>
      </c>
      <c r="AC105" s="44">
        <f t="shared" si="26"/>
        <v>9.1</v>
      </c>
      <c r="AD105" s="44">
        <f t="shared" si="26"/>
        <v>9.1</v>
      </c>
      <c r="AE105" s="44">
        <f t="shared" si="26"/>
        <v>9.1</v>
      </c>
      <c r="AF105" s="44">
        <f t="shared" si="26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4"/>
        <v>9.18</v>
      </c>
      <c r="C106" s="55">
        <v>9.18</v>
      </c>
      <c r="D106" s="44">
        <f t="shared" si="25"/>
        <v>9.18</v>
      </c>
      <c r="E106" s="44">
        <f t="shared" si="25"/>
        <v>9.18</v>
      </c>
      <c r="F106" s="44">
        <f t="shared" si="25"/>
        <v>9.18</v>
      </c>
      <c r="G106" s="44">
        <f t="shared" si="25"/>
        <v>9.18</v>
      </c>
      <c r="H106" s="44">
        <f t="shared" si="25"/>
        <v>9.18</v>
      </c>
      <c r="I106" s="44">
        <f t="shared" si="25"/>
        <v>9.18</v>
      </c>
      <c r="J106" s="44">
        <f t="shared" si="25"/>
        <v>9.18</v>
      </c>
      <c r="K106" s="44">
        <f t="shared" si="25"/>
        <v>9.18</v>
      </c>
      <c r="L106" s="44">
        <f t="shared" si="25"/>
        <v>9.18</v>
      </c>
      <c r="M106" s="44">
        <f t="shared" si="25"/>
        <v>9.18</v>
      </c>
      <c r="N106" s="44">
        <f t="shared" si="25"/>
        <v>9.18</v>
      </c>
      <c r="O106" s="44">
        <f t="shared" si="25"/>
        <v>9.18</v>
      </c>
      <c r="P106" s="44">
        <f t="shared" si="25"/>
        <v>9.18</v>
      </c>
      <c r="Q106" s="44">
        <f t="shared" si="25"/>
        <v>9.18</v>
      </c>
      <c r="R106" s="44">
        <f t="shared" si="25"/>
        <v>9.18</v>
      </c>
      <c r="S106" s="44">
        <f t="shared" si="25"/>
        <v>9.18</v>
      </c>
      <c r="T106" s="44">
        <f t="shared" si="26"/>
        <v>9.18</v>
      </c>
      <c r="U106" s="44">
        <f t="shared" si="26"/>
        <v>9.18</v>
      </c>
      <c r="V106" s="44">
        <f t="shared" si="26"/>
        <v>9.18</v>
      </c>
      <c r="W106" s="44">
        <f t="shared" si="26"/>
        <v>9.18</v>
      </c>
      <c r="X106" s="44">
        <f t="shared" si="26"/>
        <v>9.18</v>
      </c>
      <c r="Y106" s="44">
        <f t="shared" si="26"/>
        <v>9.18</v>
      </c>
      <c r="Z106" s="44">
        <f t="shared" si="26"/>
        <v>9.18</v>
      </c>
      <c r="AA106" s="44">
        <f t="shared" si="26"/>
        <v>9.18</v>
      </c>
      <c r="AB106" s="44">
        <f t="shared" si="26"/>
        <v>9.18</v>
      </c>
      <c r="AC106" s="44">
        <f t="shared" si="26"/>
        <v>9.18</v>
      </c>
      <c r="AD106" s="44">
        <f t="shared" si="26"/>
        <v>9.18</v>
      </c>
      <c r="AE106" s="44">
        <f t="shared" si="26"/>
        <v>9.18</v>
      </c>
      <c r="AF106" s="44">
        <f t="shared" si="26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4"/>
        <v>7</v>
      </c>
      <c r="C107" s="55">
        <v>7</v>
      </c>
      <c r="D107" s="44">
        <f t="shared" si="25"/>
        <v>7</v>
      </c>
      <c r="E107" s="44">
        <f t="shared" si="25"/>
        <v>7</v>
      </c>
      <c r="F107" s="44">
        <f t="shared" si="25"/>
        <v>7</v>
      </c>
      <c r="G107" s="44">
        <f t="shared" si="25"/>
        <v>7</v>
      </c>
      <c r="H107" s="44">
        <f t="shared" si="25"/>
        <v>7</v>
      </c>
      <c r="I107" s="44">
        <f t="shared" si="25"/>
        <v>7</v>
      </c>
      <c r="J107" s="44">
        <f t="shared" si="25"/>
        <v>7</v>
      </c>
      <c r="K107" s="44">
        <f t="shared" si="25"/>
        <v>7</v>
      </c>
      <c r="L107" s="44">
        <f t="shared" si="25"/>
        <v>7</v>
      </c>
      <c r="M107" s="44">
        <f t="shared" si="25"/>
        <v>7</v>
      </c>
      <c r="N107" s="44">
        <f t="shared" si="25"/>
        <v>7</v>
      </c>
      <c r="O107" s="44">
        <f t="shared" si="25"/>
        <v>7</v>
      </c>
      <c r="P107" s="44">
        <f t="shared" si="25"/>
        <v>7</v>
      </c>
      <c r="Q107" s="44">
        <f t="shared" si="25"/>
        <v>7</v>
      </c>
      <c r="R107" s="44">
        <f t="shared" si="25"/>
        <v>7</v>
      </c>
      <c r="S107" s="44">
        <f t="shared" si="25"/>
        <v>7</v>
      </c>
      <c r="T107" s="44">
        <f t="shared" si="26"/>
        <v>7</v>
      </c>
      <c r="U107" s="44">
        <f t="shared" si="26"/>
        <v>7</v>
      </c>
      <c r="V107" s="44">
        <f t="shared" si="26"/>
        <v>7</v>
      </c>
      <c r="W107" s="44">
        <f t="shared" si="26"/>
        <v>7</v>
      </c>
      <c r="X107" s="44">
        <f t="shared" si="26"/>
        <v>7</v>
      </c>
      <c r="Y107" s="44">
        <f t="shared" si="26"/>
        <v>7</v>
      </c>
      <c r="Z107" s="44">
        <f t="shared" si="26"/>
        <v>7</v>
      </c>
      <c r="AA107" s="44">
        <f t="shared" si="26"/>
        <v>7</v>
      </c>
      <c r="AB107" s="44">
        <f t="shared" si="26"/>
        <v>7</v>
      </c>
      <c r="AC107" s="44">
        <f t="shared" si="26"/>
        <v>7</v>
      </c>
      <c r="AD107" s="44">
        <f t="shared" si="26"/>
        <v>7</v>
      </c>
      <c r="AE107" s="44">
        <f t="shared" si="26"/>
        <v>7</v>
      </c>
      <c r="AF107" s="44">
        <f t="shared" si="26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7">C109</f>
        <v>2.25</v>
      </c>
      <c r="E109" s="44">
        <f t="shared" si="27"/>
        <v>2.25</v>
      </c>
      <c r="F109" s="44">
        <f t="shared" si="27"/>
        <v>2.25</v>
      </c>
      <c r="G109" s="44">
        <f t="shared" si="27"/>
        <v>2.25</v>
      </c>
      <c r="H109" s="44">
        <f t="shared" si="27"/>
        <v>2.25</v>
      </c>
      <c r="I109" s="44">
        <f t="shared" si="27"/>
        <v>2.25</v>
      </c>
      <c r="J109" s="44">
        <f t="shared" si="27"/>
        <v>2.25</v>
      </c>
      <c r="K109" s="44">
        <f t="shared" si="27"/>
        <v>2.25</v>
      </c>
      <c r="L109" s="44">
        <f t="shared" si="27"/>
        <v>2.25</v>
      </c>
      <c r="M109" s="44">
        <f t="shared" si="27"/>
        <v>2.25</v>
      </c>
      <c r="N109" s="44">
        <f t="shared" si="27"/>
        <v>2.25</v>
      </c>
      <c r="O109" s="44">
        <f t="shared" si="27"/>
        <v>2.25</v>
      </c>
      <c r="P109" s="44">
        <f t="shared" si="27"/>
        <v>2.25</v>
      </c>
      <c r="Q109" s="44">
        <f t="shared" si="27"/>
        <v>2.25</v>
      </c>
      <c r="R109" s="44">
        <f t="shared" si="27"/>
        <v>2.25</v>
      </c>
      <c r="S109" s="44">
        <f t="shared" si="27"/>
        <v>2.25</v>
      </c>
      <c r="T109" s="44">
        <f t="shared" ref="T109:AF110" si="28">S109</f>
        <v>2.25</v>
      </c>
      <c r="U109" s="44">
        <f t="shared" si="28"/>
        <v>2.25</v>
      </c>
      <c r="V109" s="44">
        <f t="shared" si="28"/>
        <v>2.25</v>
      </c>
      <c r="W109" s="44">
        <f t="shared" si="28"/>
        <v>2.25</v>
      </c>
      <c r="X109" s="44">
        <f t="shared" si="28"/>
        <v>2.25</v>
      </c>
      <c r="Y109" s="44">
        <f t="shared" si="28"/>
        <v>2.25</v>
      </c>
      <c r="Z109" s="44">
        <f t="shared" si="28"/>
        <v>2.25</v>
      </c>
      <c r="AA109" s="44">
        <f t="shared" si="28"/>
        <v>2.25</v>
      </c>
      <c r="AB109" s="44">
        <f t="shared" si="28"/>
        <v>2.25</v>
      </c>
      <c r="AC109" s="44">
        <f t="shared" si="28"/>
        <v>2.25</v>
      </c>
      <c r="AD109" s="44">
        <f t="shared" si="28"/>
        <v>2.25</v>
      </c>
      <c r="AE109" s="44">
        <f t="shared" si="28"/>
        <v>2.25</v>
      </c>
      <c r="AF109" s="44">
        <f t="shared" si="28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7"/>
        <v>1.64</v>
      </c>
      <c r="E110" s="44">
        <f t="shared" si="27"/>
        <v>1.64</v>
      </c>
      <c r="F110" s="44">
        <f t="shared" si="27"/>
        <v>1.64</v>
      </c>
      <c r="G110" s="44">
        <f t="shared" si="27"/>
        <v>1.64</v>
      </c>
      <c r="H110" s="44">
        <f t="shared" si="27"/>
        <v>1.64</v>
      </c>
      <c r="I110" s="44">
        <f t="shared" si="27"/>
        <v>1.64</v>
      </c>
      <c r="J110" s="44">
        <f t="shared" si="27"/>
        <v>1.64</v>
      </c>
      <c r="K110" s="44">
        <f t="shared" si="27"/>
        <v>1.64</v>
      </c>
      <c r="L110" s="44">
        <f t="shared" si="27"/>
        <v>1.64</v>
      </c>
      <c r="M110" s="44">
        <f t="shared" si="27"/>
        <v>1.64</v>
      </c>
      <c r="N110" s="44">
        <f t="shared" si="27"/>
        <v>1.64</v>
      </c>
      <c r="O110" s="44">
        <f t="shared" si="27"/>
        <v>1.64</v>
      </c>
      <c r="P110" s="44">
        <f t="shared" si="27"/>
        <v>1.64</v>
      </c>
      <c r="Q110" s="44">
        <f t="shared" si="27"/>
        <v>1.64</v>
      </c>
      <c r="R110" s="44">
        <f t="shared" si="27"/>
        <v>1.64</v>
      </c>
      <c r="S110" s="44">
        <f t="shared" si="27"/>
        <v>1.64</v>
      </c>
      <c r="T110" s="44">
        <f t="shared" si="28"/>
        <v>1.64</v>
      </c>
      <c r="U110" s="44">
        <f t="shared" si="28"/>
        <v>1.64</v>
      </c>
      <c r="V110" s="44">
        <f t="shared" si="28"/>
        <v>1.64</v>
      </c>
      <c r="W110" s="44">
        <f t="shared" si="28"/>
        <v>1.64</v>
      </c>
      <c r="X110" s="44">
        <f t="shared" si="28"/>
        <v>1.64</v>
      </c>
      <c r="Y110" s="44">
        <f t="shared" si="28"/>
        <v>1.64</v>
      </c>
      <c r="Z110" s="44">
        <f t="shared" si="28"/>
        <v>1.64</v>
      </c>
      <c r="AA110" s="44">
        <f t="shared" si="28"/>
        <v>1.64</v>
      </c>
      <c r="AB110" s="44">
        <f t="shared" si="28"/>
        <v>1.64</v>
      </c>
      <c r="AC110" s="44">
        <f t="shared" si="28"/>
        <v>1.64</v>
      </c>
      <c r="AD110" s="44">
        <f t="shared" si="28"/>
        <v>1.64</v>
      </c>
      <c r="AE110" s="44">
        <f t="shared" si="28"/>
        <v>1.64</v>
      </c>
      <c r="AF110" s="44">
        <f t="shared" si="28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9">AF112</f>
        <v>1.62</v>
      </c>
      <c r="C112" s="55">
        <v>1.62</v>
      </c>
      <c r="D112" s="44">
        <f t="shared" ref="D112:S119" si="30">C112</f>
        <v>1.62</v>
      </c>
      <c r="E112" s="44">
        <f t="shared" si="30"/>
        <v>1.62</v>
      </c>
      <c r="F112" s="44">
        <f t="shared" si="30"/>
        <v>1.62</v>
      </c>
      <c r="G112" s="44">
        <f t="shared" si="30"/>
        <v>1.62</v>
      </c>
      <c r="H112" s="44">
        <f t="shared" si="30"/>
        <v>1.62</v>
      </c>
      <c r="I112" s="44">
        <f t="shared" si="30"/>
        <v>1.62</v>
      </c>
      <c r="J112" s="44">
        <f t="shared" si="30"/>
        <v>1.62</v>
      </c>
      <c r="K112" s="44">
        <f t="shared" si="30"/>
        <v>1.62</v>
      </c>
      <c r="L112" s="44">
        <f t="shared" si="30"/>
        <v>1.62</v>
      </c>
      <c r="M112" s="44">
        <f t="shared" si="30"/>
        <v>1.62</v>
      </c>
      <c r="N112" s="44">
        <f t="shared" si="30"/>
        <v>1.62</v>
      </c>
      <c r="O112" s="44">
        <f t="shared" si="30"/>
        <v>1.62</v>
      </c>
      <c r="P112" s="44">
        <f t="shared" si="30"/>
        <v>1.62</v>
      </c>
      <c r="Q112" s="44">
        <f t="shared" si="30"/>
        <v>1.62</v>
      </c>
      <c r="R112" s="44">
        <f t="shared" si="30"/>
        <v>1.62</v>
      </c>
      <c r="S112" s="44">
        <f t="shared" si="30"/>
        <v>1.62</v>
      </c>
      <c r="T112" s="44">
        <f t="shared" ref="T112:AF127" si="31">S112</f>
        <v>1.62</v>
      </c>
      <c r="U112" s="44">
        <f t="shared" si="31"/>
        <v>1.62</v>
      </c>
      <c r="V112" s="44">
        <f t="shared" si="31"/>
        <v>1.62</v>
      </c>
      <c r="W112" s="44">
        <f t="shared" si="31"/>
        <v>1.62</v>
      </c>
      <c r="X112" s="44">
        <f t="shared" si="31"/>
        <v>1.62</v>
      </c>
      <c r="Y112" s="44">
        <f t="shared" si="31"/>
        <v>1.62</v>
      </c>
      <c r="Z112" s="44">
        <f t="shared" si="31"/>
        <v>1.62</v>
      </c>
      <c r="AA112" s="44">
        <f t="shared" si="31"/>
        <v>1.62</v>
      </c>
      <c r="AB112" s="44">
        <f t="shared" si="31"/>
        <v>1.62</v>
      </c>
      <c r="AC112" s="44">
        <f t="shared" si="31"/>
        <v>1.62</v>
      </c>
      <c r="AD112" s="44">
        <f t="shared" si="31"/>
        <v>1.62</v>
      </c>
      <c r="AE112" s="44">
        <f t="shared" si="31"/>
        <v>1.62</v>
      </c>
      <c r="AF112" s="44">
        <f t="shared" si="31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9"/>
        <v>8.36</v>
      </c>
      <c r="C113" s="55">
        <v>8.36</v>
      </c>
      <c r="D113" s="44">
        <f t="shared" si="30"/>
        <v>8.36</v>
      </c>
      <c r="E113" s="44">
        <f t="shared" si="30"/>
        <v>8.36</v>
      </c>
      <c r="F113" s="44">
        <f t="shared" si="30"/>
        <v>8.36</v>
      </c>
      <c r="G113" s="44">
        <f t="shared" si="30"/>
        <v>8.36</v>
      </c>
      <c r="H113" s="44">
        <f t="shared" si="30"/>
        <v>8.36</v>
      </c>
      <c r="I113" s="44">
        <f t="shared" si="30"/>
        <v>8.36</v>
      </c>
      <c r="J113" s="44">
        <f t="shared" si="30"/>
        <v>8.36</v>
      </c>
      <c r="K113" s="44">
        <f t="shared" si="30"/>
        <v>8.36</v>
      </c>
      <c r="L113" s="44">
        <f t="shared" si="30"/>
        <v>8.36</v>
      </c>
      <c r="M113" s="44">
        <f t="shared" si="30"/>
        <v>8.36</v>
      </c>
      <c r="N113" s="44">
        <f t="shared" si="30"/>
        <v>8.36</v>
      </c>
      <c r="O113" s="44">
        <f t="shared" si="30"/>
        <v>8.36</v>
      </c>
      <c r="P113" s="44">
        <f t="shared" si="30"/>
        <v>8.36</v>
      </c>
      <c r="Q113" s="44">
        <f t="shared" si="30"/>
        <v>8.36</v>
      </c>
      <c r="R113" s="44">
        <f t="shared" si="30"/>
        <v>8.36</v>
      </c>
      <c r="S113" s="44">
        <f t="shared" si="30"/>
        <v>8.36</v>
      </c>
      <c r="T113" s="44">
        <f t="shared" si="31"/>
        <v>8.36</v>
      </c>
      <c r="U113" s="44">
        <f t="shared" si="31"/>
        <v>8.36</v>
      </c>
      <c r="V113" s="44">
        <f t="shared" si="31"/>
        <v>8.36</v>
      </c>
      <c r="W113" s="44">
        <f t="shared" si="31"/>
        <v>8.36</v>
      </c>
      <c r="X113" s="44">
        <f t="shared" si="31"/>
        <v>8.36</v>
      </c>
      <c r="Y113" s="44">
        <f t="shared" si="31"/>
        <v>8.36</v>
      </c>
      <c r="Z113" s="44">
        <f t="shared" si="31"/>
        <v>8.36</v>
      </c>
      <c r="AA113" s="44">
        <f t="shared" si="31"/>
        <v>8.36</v>
      </c>
      <c r="AB113" s="44">
        <f t="shared" si="31"/>
        <v>8.36</v>
      </c>
      <c r="AC113" s="44">
        <f t="shared" si="31"/>
        <v>8.36</v>
      </c>
      <c r="AD113" s="44">
        <f t="shared" si="31"/>
        <v>8.36</v>
      </c>
      <c r="AE113" s="44">
        <f t="shared" si="31"/>
        <v>8.36</v>
      </c>
      <c r="AF113" s="44">
        <f t="shared" si="31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9"/>
        <v>5.4</v>
      </c>
      <c r="C114" s="55">
        <v>8</v>
      </c>
      <c r="D114" s="44">
        <f t="shared" si="30"/>
        <v>8</v>
      </c>
      <c r="E114" s="44">
        <f t="shared" si="30"/>
        <v>8</v>
      </c>
      <c r="F114" s="44">
        <f t="shared" si="30"/>
        <v>8</v>
      </c>
      <c r="G114" s="44">
        <f t="shared" si="30"/>
        <v>8</v>
      </c>
      <c r="H114" s="44">
        <f t="shared" si="30"/>
        <v>8</v>
      </c>
      <c r="I114" s="44">
        <f t="shared" si="30"/>
        <v>8</v>
      </c>
      <c r="J114" s="44">
        <v>5.4</v>
      </c>
      <c r="K114" s="44">
        <f t="shared" si="30"/>
        <v>5.4</v>
      </c>
      <c r="L114" s="44">
        <f t="shared" si="30"/>
        <v>5.4</v>
      </c>
      <c r="M114" s="44">
        <f t="shared" si="30"/>
        <v>5.4</v>
      </c>
      <c r="N114" s="44">
        <f t="shared" si="30"/>
        <v>5.4</v>
      </c>
      <c r="O114" s="44">
        <f t="shared" si="30"/>
        <v>5.4</v>
      </c>
      <c r="P114" s="44">
        <f t="shared" si="30"/>
        <v>5.4</v>
      </c>
      <c r="Q114" s="44">
        <f t="shared" si="30"/>
        <v>5.4</v>
      </c>
      <c r="R114" s="44">
        <f t="shared" si="30"/>
        <v>5.4</v>
      </c>
      <c r="S114" s="44">
        <f t="shared" si="30"/>
        <v>5.4</v>
      </c>
      <c r="T114" s="44">
        <f t="shared" si="31"/>
        <v>5.4</v>
      </c>
      <c r="U114" s="44">
        <f t="shared" si="31"/>
        <v>5.4</v>
      </c>
      <c r="V114" s="44">
        <f t="shared" si="31"/>
        <v>5.4</v>
      </c>
      <c r="W114" s="44">
        <f t="shared" si="31"/>
        <v>5.4</v>
      </c>
      <c r="X114" s="44">
        <f t="shared" si="31"/>
        <v>5.4</v>
      </c>
      <c r="Y114" s="44">
        <f t="shared" si="31"/>
        <v>5.4</v>
      </c>
      <c r="Z114" s="44">
        <f t="shared" si="31"/>
        <v>5.4</v>
      </c>
      <c r="AA114" s="44">
        <f t="shared" si="31"/>
        <v>5.4</v>
      </c>
      <c r="AB114" s="44">
        <f t="shared" si="31"/>
        <v>5.4</v>
      </c>
      <c r="AC114" s="44">
        <f t="shared" si="31"/>
        <v>5.4</v>
      </c>
      <c r="AD114" s="44">
        <f t="shared" si="31"/>
        <v>5.4</v>
      </c>
      <c r="AE114" s="44">
        <f t="shared" si="31"/>
        <v>5.4</v>
      </c>
      <c r="AF114" s="44">
        <f t="shared" si="31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9"/>
        <v>6.57</v>
      </c>
      <c r="C115" s="55">
        <v>6.57</v>
      </c>
      <c r="D115" s="44">
        <f t="shared" si="30"/>
        <v>6.57</v>
      </c>
      <c r="E115" s="44">
        <f t="shared" si="30"/>
        <v>6.57</v>
      </c>
      <c r="F115" s="44">
        <f t="shared" si="30"/>
        <v>6.57</v>
      </c>
      <c r="G115" s="44">
        <f t="shared" si="30"/>
        <v>6.57</v>
      </c>
      <c r="H115" s="44">
        <f t="shared" si="30"/>
        <v>6.57</v>
      </c>
      <c r="I115" s="44">
        <f t="shared" si="30"/>
        <v>6.57</v>
      </c>
      <c r="J115" s="44">
        <f t="shared" si="30"/>
        <v>6.57</v>
      </c>
      <c r="K115" s="44">
        <f t="shared" si="30"/>
        <v>6.57</v>
      </c>
      <c r="L115" s="44">
        <f t="shared" si="30"/>
        <v>6.57</v>
      </c>
      <c r="M115" s="44">
        <f t="shared" si="30"/>
        <v>6.57</v>
      </c>
      <c r="N115" s="44">
        <f t="shared" si="30"/>
        <v>6.57</v>
      </c>
      <c r="O115" s="44">
        <f t="shared" si="30"/>
        <v>6.57</v>
      </c>
      <c r="P115" s="44">
        <f t="shared" si="30"/>
        <v>6.57</v>
      </c>
      <c r="Q115" s="44">
        <f t="shared" si="30"/>
        <v>6.57</v>
      </c>
      <c r="R115" s="44">
        <f t="shared" si="30"/>
        <v>6.57</v>
      </c>
      <c r="S115" s="44">
        <f t="shared" si="30"/>
        <v>6.57</v>
      </c>
      <c r="T115" s="44">
        <f t="shared" si="31"/>
        <v>6.57</v>
      </c>
      <c r="U115" s="44">
        <f t="shared" si="31"/>
        <v>6.57</v>
      </c>
      <c r="V115" s="44">
        <f t="shared" si="31"/>
        <v>6.57</v>
      </c>
      <c r="W115" s="44">
        <f t="shared" si="31"/>
        <v>6.57</v>
      </c>
      <c r="X115" s="44">
        <f t="shared" si="31"/>
        <v>6.57</v>
      </c>
      <c r="Y115" s="44">
        <f t="shared" si="31"/>
        <v>6.57</v>
      </c>
      <c r="Z115" s="44">
        <f t="shared" si="31"/>
        <v>6.57</v>
      </c>
      <c r="AA115" s="44">
        <f t="shared" si="31"/>
        <v>6.57</v>
      </c>
      <c r="AB115" s="44">
        <f t="shared" si="31"/>
        <v>6.57</v>
      </c>
      <c r="AC115" s="44">
        <f t="shared" si="31"/>
        <v>6.57</v>
      </c>
      <c r="AD115" s="44">
        <f t="shared" si="31"/>
        <v>6.57</v>
      </c>
      <c r="AE115" s="44">
        <f t="shared" si="31"/>
        <v>6.57</v>
      </c>
      <c r="AF115" s="44">
        <f t="shared" si="31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9"/>
        <v>3.43</v>
      </c>
      <c r="C116" s="55">
        <v>3.43</v>
      </c>
      <c r="D116" s="44">
        <f t="shared" si="30"/>
        <v>3.43</v>
      </c>
      <c r="E116" s="44">
        <f t="shared" si="30"/>
        <v>3.43</v>
      </c>
      <c r="F116" s="44">
        <f t="shared" si="30"/>
        <v>3.43</v>
      </c>
      <c r="G116" s="44">
        <f t="shared" si="30"/>
        <v>3.43</v>
      </c>
      <c r="H116" s="44">
        <f t="shared" si="30"/>
        <v>3.43</v>
      </c>
      <c r="I116" s="44">
        <f t="shared" si="30"/>
        <v>3.43</v>
      </c>
      <c r="J116" s="44">
        <f t="shared" si="30"/>
        <v>3.43</v>
      </c>
      <c r="K116" s="44">
        <f t="shared" si="30"/>
        <v>3.43</v>
      </c>
      <c r="L116" s="44">
        <f t="shared" si="30"/>
        <v>3.43</v>
      </c>
      <c r="M116" s="44">
        <f t="shared" si="30"/>
        <v>3.43</v>
      </c>
      <c r="N116" s="44">
        <f t="shared" si="30"/>
        <v>3.43</v>
      </c>
      <c r="O116" s="44">
        <f t="shared" si="30"/>
        <v>3.43</v>
      </c>
      <c r="P116" s="44">
        <f t="shared" si="30"/>
        <v>3.43</v>
      </c>
      <c r="Q116" s="44">
        <f t="shared" si="30"/>
        <v>3.43</v>
      </c>
      <c r="R116" s="44">
        <f t="shared" si="30"/>
        <v>3.43</v>
      </c>
      <c r="S116" s="44">
        <f t="shared" si="30"/>
        <v>3.43</v>
      </c>
      <c r="T116" s="44">
        <f t="shared" si="31"/>
        <v>3.43</v>
      </c>
      <c r="U116" s="44">
        <f t="shared" si="31"/>
        <v>3.43</v>
      </c>
      <c r="V116" s="44">
        <f t="shared" si="31"/>
        <v>3.43</v>
      </c>
      <c r="W116" s="44">
        <f t="shared" si="31"/>
        <v>3.43</v>
      </c>
      <c r="X116" s="44">
        <f t="shared" si="31"/>
        <v>3.43</v>
      </c>
      <c r="Y116" s="44">
        <f t="shared" si="31"/>
        <v>3.43</v>
      </c>
      <c r="Z116" s="44">
        <f t="shared" si="31"/>
        <v>3.43</v>
      </c>
      <c r="AA116" s="44">
        <f t="shared" si="31"/>
        <v>3.43</v>
      </c>
      <c r="AB116" s="44">
        <f t="shared" si="31"/>
        <v>3.43</v>
      </c>
      <c r="AC116" s="44">
        <f t="shared" si="31"/>
        <v>3.43</v>
      </c>
      <c r="AD116" s="44">
        <f t="shared" si="31"/>
        <v>3.43</v>
      </c>
      <c r="AE116" s="44">
        <f t="shared" si="31"/>
        <v>3.43</v>
      </c>
      <c r="AF116" s="44">
        <f t="shared" si="31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9"/>
        <v>2.96</v>
      </c>
      <c r="C117" s="55">
        <v>2.96</v>
      </c>
      <c r="D117" s="44">
        <f t="shared" si="30"/>
        <v>2.96</v>
      </c>
      <c r="E117" s="44">
        <f t="shared" si="30"/>
        <v>2.96</v>
      </c>
      <c r="F117" s="44">
        <f t="shared" si="30"/>
        <v>2.96</v>
      </c>
      <c r="G117" s="44">
        <f t="shared" si="30"/>
        <v>2.96</v>
      </c>
      <c r="H117" s="44">
        <f t="shared" si="30"/>
        <v>2.96</v>
      </c>
      <c r="I117" s="44">
        <f t="shared" si="30"/>
        <v>2.96</v>
      </c>
      <c r="J117" s="44">
        <f t="shared" si="30"/>
        <v>2.96</v>
      </c>
      <c r="K117" s="44">
        <f t="shared" si="30"/>
        <v>2.96</v>
      </c>
      <c r="L117" s="44">
        <f t="shared" si="30"/>
        <v>2.96</v>
      </c>
      <c r="M117" s="44">
        <f t="shared" si="30"/>
        <v>2.96</v>
      </c>
      <c r="N117" s="44">
        <f t="shared" si="30"/>
        <v>2.96</v>
      </c>
      <c r="O117" s="44">
        <f t="shared" si="30"/>
        <v>2.96</v>
      </c>
      <c r="P117" s="44">
        <f t="shared" si="30"/>
        <v>2.96</v>
      </c>
      <c r="Q117" s="44">
        <f t="shared" si="30"/>
        <v>2.96</v>
      </c>
      <c r="R117" s="44">
        <f t="shared" si="30"/>
        <v>2.96</v>
      </c>
      <c r="S117" s="44">
        <f t="shared" si="30"/>
        <v>2.96</v>
      </c>
      <c r="T117" s="44">
        <f t="shared" si="31"/>
        <v>2.96</v>
      </c>
      <c r="U117" s="44">
        <f t="shared" si="31"/>
        <v>2.96</v>
      </c>
      <c r="V117" s="44">
        <f t="shared" si="31"/>
        <v>2.96</v>
      </c>
      <c r="W117" s="44">
        <f t="shared" si="31"/>
        <v>2.96</v>
      </c>
      <c r="X117" s="44">
        <f t="shared" si="31"/>
        <v>2.96</v>
      </c>
      <c r="Y117" s="44">
        <f t="shared" si="31"/>
        <v>2.96</v>
      </c>
      <c r="Z117" s="44">
        <f t="shared" si="31"/>
        <v>2.96</v>
      </c>
      <c r="AA117" s="44">
        <f t="shared" si="31"/>
        <v>2.96</v>
      </c>
      <c r="AB117" s="44">
        <f t="shared" si="31"/>
        <v>2.96</v>
      </c>
      <c r="AC117" s="44">
        <f t="shared" si="31"/>
        <v>2.96</v>
      </c>
      <c r="AD117" s="44">
        <f t="shared" si="31"/>
        <v>2.96</v>
      </c>
      <c r="AE117" s="44">
        <f t="shared" si="31"/>
        <v>2.96</v>
      </c>
      <c r="AF117" s="44">
        <f t="shared" si="31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9"/>
        <v>8</v>
      </c>
      <c r="C118" s="55">
        <v>8</v>
      </c>
      <c r="D118" s="44">
        <f t="shared" si="30"/>
        <v>8</v>
      </c>
      <c r="E118" s="44">
        <f t="shared" si="30"/>
        <v>8</v>
      </c>
      <c r="F118" s="44">
        <f t="shared" si="30"/>
        <v>8</v>
      </c>
      <c r="G118" s="44">
        <f t="shared" si="30"/>
        <v>8</v>
      </c>
      <c r="H118" s="44">
        <f t="shared" si="30"/>
        <v>8</v>
      </c>
      <c r="I118" s="44">
        <f t="shared" si="30"/>
        <v>8</v>
      </c>
      <c r="J118" s="44">
        <f t="shared" si="30"/>
        <v>8</v>
      </c>
      <c r="K118" s="44">
        <f t="shared" si="30"/>
        <v>8</v>
      </c>
      <c r="L118" s="44">
        <f t="shared" si="30"/>
        <v>8</v>
      </c>
      <c r="M118" s="44">
        <f t="shared" si="30"/>
        <v>8</v>
      </c>
      <c r="N118" s="44">
        <f t="shared" si="30"/>
        <v>8</v>
      </c>
      <c r="O118" s="44">
        <f t="shared" si="30"/>
        <v>8</v>
      </c>
      <c r="P118" s="44">
        <f t="shared" si="30"/>
        <v>8</v>
      </c>
      <c r="Q118" s="44">
        <f t="shared" si="30"/>
        <v>8</v>
      </c>
      <c r="R118" s="44">
        <f t="shared" si="30"/>
        <v>8</v>
      </c>
      <c r="S118" s="44">
        <f t="shared" si="30"/>
        <v>8</v>
      </c>
      <c r="T118" s="44">
        <f t="shared" si="31"/>
        <v>8</v>
      </c>
      <c r="U118" s="44">
        <f t="shared" si="31"/>
        <v>8</v>
      </c>
      <c r="V118" s="44">
        <f t="shared" si="31"/>
        <v>8</v>
      </c>
      <c r="W118" s="44">
        <f t="shared" si="31"/>
        <v>8</v>
      </c>
      <c r="X118" s="44">
        <f t="shared" si="31"/>
        <v>8</v>
      </c>
      <c r="Y118" s="44">
        <f t="shared" si="31"/>
        <v>8</v>
      </c>
      <c r="Z118" s="44">
        <f t="shared" si="31"/>
        <v>8</v>
      </c>
      <c r="AA118" s="44">
        <f t="shared" si="31"/>
        <v>8</v>
      </c>
      <c r="AB118" s="44">
        <f t="shared" si="31"/>
        <v>8</v>
      </c>
      <c r="AC118" s="44">
        <f t="shared" si="31"/>
        <v>8</v>
      </c>
      <c r="AD118" s="44">
        <f t="shared" si="31"/>
        <v>8</v>
      </c>
      <c r="AE118" s="44">
        <f t="shared" si="31"/>
        <v>8</v>
      </c>
      <c r="AF118" s="44">
        <f t="shared" si="31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9"/>
        <v>7</v>
      </c>
      <c r="C119" s="55">
        <v>7</v>
      </c>
      <c r="D119" s="44">
        <f>C119</f>
        <v>7</v>
      </c>
      <c r="E119" s="44">
        <f t="shared" si="30"/>
        <v>7</v>
      </c>
      <c r="F119" s="44">
        <f t="shared" si="30"/>
        <v>7</v>
      </c>
      <c r="G119" s="44">
        <f t="shared" si="30"/>
        <v>7</v>
      </c>
      <c r="H119" s="44">
        <f t="shared" si="30"/>
        <v>7</v>
      </c>
      <c r="I119" s="44">
        <f t="shared" si="30"/>
        <v>7</v>
      </c>
      <c r="J119" s="44">
        <f t="shared" si="30"/>
        <v>7</v>
      </c>
      <c r="K119" s="44">
        <f t="shared" si="30"/>
        <v>7</v>
      </c>
      <c r="L119" s="44">
        <f t="shared" si="30"/>
        <v>7</v>
      </c>
      <c r="M119" s="44">
        <f t="shared" si="30"/>
        <v>7</v>
      </c>
      <c r="N119" s="44">
        <f t="shared" si="30"/>
        <v>7</v>
      </c>
      <c r="O119" s="44">
        <f t="shared" si="30"/>
        <v>7</v>
      </c>
      <c r="P119" s="44">
        <f t="shared" si="30"/>
        <v>7</v>
      </c>
      <c r="Q119" s="44">
        <f t="shared" si="30"/>
        <v>7</v>
      </c>
      <c r="R119" s="44">
        <f t="shared" si="30"/>
        <v>7</v>
      </c>
      <c r="S119" s="44">
        <f t="shared" si="30"/>
        <v>7</v>
      </c>
      <c r="T119" s="44">
        <f t="shared" si="31"/>
        <v>7</v>
      </c>
      <c r="U119" s="44">
        <f t="shared" si="31"/>
        <v>7</v>
      </c>
      <c r="V119" s="44">
        <f t="shared" si="31"/>
        <v>7</v>
      </c>
      <c r="W119" s="44">
        <f t="shared" si="31"/>
        <v>7</v>
      </c>
      <c r="X119" s="44">
        <f t="shared" si="31"/>
        <v>7</v>
      </c>
      <c r="Y119" s="44">
        <f t="shared" si="31"/>
        <v>7</v>
      </c>
      <c r="Z119" s="44">
        <f t="shared" si="31"/>
        <v>7</v>
      </c>
      <c r="AA119" s="44">
        <f t="shared" si="31"/>
        <v>7</v>
      </c>
      <c r="AB119" s="44">
        <f t="shared" si="31"/>
        <v>7</v>
      </c>
      <c r="AC119" s="44">
        <f t="shared" si="31"/>
        <v>7</v>
      </c>
      <c r="AD119" s="44">
        <f t="shared" si="31"/>
        <v>7</v>
      </c>
      <c r="AE119" s="44">
        <f t="shared" si="31"/>
        <v>7</v>
      </c>
      <c r="AF119" s="44">
        <f t="shared" si="31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9"/>
        <v>3.47</v>
      </c>
      <c r="C120" s="55">
        <v>3.47</v>
      </c>
      <c r="D120" s="44">
        <f t="shared" ref="D120:S129" si="32">C120</f>
        <v>3.47</v>
      </c>
      <c r="E120" s="44">
        <f t="shared" si="32"/>
        <v>3.47</v>
      </c>
      <c r="F120" s="44">
        <f t="shared" si="32"/>
        <v>3.47</v>
      </c>
      <c r="G120" s="44">
        <f t="shared" si="32"/>
        <v>3.47</v>
      </c>
      <c r="H120" s="44">
        <f t="shared" si="32"/>
        <v>3.47</v>
      </c>
      <c r="I120" s="44">
        <f t="shared" si="32"/>
        <v>3.47</v>
      </c>
      <c r="J120" s="44">
        <f t="shared" si="32"/>
        <v>3.47</v>
      </c>
      <c r="K120" s="44">
        <f t="shared" si="32"/>
        <v>3.47</v>
      </c>
      <c r="L120" s="44">
        <f t="shared" si="32"/>
        <v>3.47</v>
      </c>
      <c r="M120" s="44">
        <f t="shared" si="32"/>
        <v>3.47</v>
      </c>
      <c r="N120" s="44">
        <f t="shared" si="32"/>
        <v>3.47</v>
      </c>
      <c r="O120" s="44">
        <f t="shared" si="32"/>
        <v>3.47</v>
      </c>
      <c r="P120" s="44">
        <f t="shared" si="32"/>
        <v>3.47</v>
      </c>
      <c r="Q120" s="44">
        <f t="shared" si="32"/>
        <v>3.47</v>
      </c>
      <c r="R120" s="44">
        <f t="shared" si="32"/>
        <v>3.47</v>
      </c>
      <c r="S120" s="44">
        <f t="shared" si="32"/>
        <v>3.47</v>
      </c>
      <c r="T120" s="44">
        <f t="shared" si="31"/>
        <v>3.47</v>
      </c>
      <c r="U120" s="44">
        <f t="shared" si="31"/>
        <v>3.47</v>
      </c>
      <c r="V120" s="44">
        <f t="shared" si="31"/>
        <v>3.47</v>
      </c>
      <c r="W120" s="44">
        <f t="shared" si="31"/>
        <v>3.47</v>
      </c>
      <c r="X120" s="44">
        <f t="shared" si="31"/>
        <v>3.47</v>
      </c>
      <c r="Y120" s="44">
        <f t="shared" si="31"/>
        <v>3.47</v>
      </c>
      <c r="Z120" s="44">
        <f t="shared" si="31"/>
        <v>3.47</v>
      </c>
      <c r="AA120" s="44">
        <f t="shared" si="31"/>
        <v>3.47</v>
      </c>
      <c r="AB120" s="44">
        <f t="shared" si="31"/>
        <v>3.47</v>
      </c>
      <c r="AC120" s="44">
        <f t="shared" si="31"/>
        <v>3.47</v>
      </c>
      <c r="AD120" s="44">
        <f t="shared" si="31"/>
        <v>3.47</v>
      </c>
      <c r="AE120" s="44">
        <f t="shared" si="31"/>
        <v>3.47</v>
      </c>
      <c r="AF120" s="44">
        <f t="shared" si="31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9"/>
        <v>2.1</v>
      </c>
      <c r="C121" s="55">
        <v>2.1</v>
      </c>
      <c r="D121" s="44">
        <f t="shared" si="32"/>
        <v>2.1</v>
      </c>
      <c r="E121" s="44">
        <f t="shared" si="32"/>
        <v>2.1</v>
      </c>
      <c r="F121" s="44">
        <f t="shared" si="32"/>
        <v>2.1</v>
      </c>
      <c r="G121" s="44">
        <f t="shared" si="32"/>
        <v>2.1</v>
      </c>
      <c r="H121" s="44">
        <f t="shared" si="32"/>
        <v>2.1</v>
      </c>
      <c r="I121" s="44">
        <f t="shared" si="32"/>
        <v>2.1</v>
      </c>
      <c r="J121" s="44">
        <f t="shared" si="32"/>
        <v>2.1</v>
      </c>
      <c r="K121" s="44">
        <f t="shared" si="32"/>
        <v>2.1</v>
      </c>
      <c r="L121" s="44">
        <f t="shared" si="32"/>
        <v>2.1</v>
      </c>
      <c r="M121" s="44">
        <f t="shared" si="32"/>
        <v>2.1</v>
      </c>
      <c r="N121" s="44">
        <f t="shared" si="32"/>
        <v>2.1</v>
      </c>
      <c r="O121" s="44">
        <f t="shared" si="32"/>
        <v>2.1</v>
      </c>
      <c r="P121" s="44">
        <f t="shared" si="32"/>
        <v>2.1</v>
      </c>
      <c r="Q121" s="44">
        <f t="shared" si="32"/>
        <v>2.1</v>
      </c>
      <c r="R121" s="44">
        <f t="shared" si="32"/>
        <v>2.1</v>
      </c>
      <c r="S121" s="44">
        <f t="shared" si="32"/>
        <v>2.1</v>
      </c>
      <c r="T121" s="44">
        <f t="shared" si="31"/>
        <v>2.1</v>
      </c>
      <c r="U121" s="44">
        <f t="shared" si="31"/>
        <v>2.1</v>
      </c>
      <c r="V121" s="44">
        <f t="shared" si="31"/>
        <v>2.1</v>
      </c>
      <c r="W121" s="44">
        <f t="shared" si="31"/>
        <v>2.1</v>
      </c>
      <c r="X121" s="44">
        <f t="shared" si="31"/>
        <v>2.1</v>
      </c>
      <c r="Y121" s="44">
        <f t="shared" si="31"/>
        <v>2.1</v>
      </c>
      <c r="Z121" s="44">
        <f t="shared" si="31"/>
        <v>2.1</v>
      </c>
      <c r="AA121" s="44">
        <f t="shared" si="31"/>
        <v>2.1</v>
      </c>
      <c r="AB121" s="44">
        <f t="shared" si="31"/>
        <v>2.1</v>
      </c>
      <c r="AC121" s="44">
        <f t="shared" si="31"/>
        <v>2.1</v>
      </c>
      <c r="AD121" s="44">
        <f t="shared" si="31"/>
        <v>2.1</v>
      </c>
      <c r="AE121" s="44">
        <f t="shared" si="31"/>
        <v>2.1</v>
      </c>
      <c r="AF121" s="44">
        <f t="shared" si="31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9"/>
        <v>9.3000000000000007</v>
      </c>
      <c r="C122" s="55">
        <v>9.3000000000000007</v>
      </c>
      <c r="D122" s="44">
        <f t="shared" si="32"/>
        <v>9.3000000000000007</v>
      </c>
      <c r="E122" s="44">
        <f t="shared" si="32"/>
        <v>9.3000000000000007</v>
      </c>
      <c r="F122" s="44">
        <f t="shared" si="32"/>
        <v>9.3000000000000007</v>
      </c>
      <c r="G122" s="44">
        <f t="shared" si="32"/>
        <v>9.3000000000000007</v>
      </c>
      <c r="H122" s="44">
        <f t="shared" si="32"/>
        <v>9.3000000000000007</v>
      </c>
      <c r="I122" s="44">
        <f t="shared" si="32"/>
        <v>9.3000000000000007</v>
      </c>
      <c r="J122" s="44">
        <f t="shared" si="32"/>
        <v>9.3000000000000007</v>
      </c>
      <c r="K122" s="44">
        <f t="shared" si="32"/>
        <v>9.3000000000000007</v>
      </c>
      <c r="L122" s="44">
        <f t="shared" si="32"/>
        <v>9.3000000000000007</v>
      </c>
      <c r="M122" s="44">
        <f t="shared" si="32"/>
        <v>9.3000000000000007</v>
      </c>
      <c r="N122" s="44">
        <f t="shared" si="32"/>
        <v>9.3000000000000007</v>
      </c>
      <c r="O122" s="44">
        <f t="shared" si="32"/>
        <v>9.3000000000000007</v>
      </c>
      <c r="P122" s="44">
        <f t="shared" si="32"/>
        <v>9.3000000000000007</v>
      </c>
      <c r="Q122" s="44">
        <f t="shared" si="32"/>
        <v>9.3000000000000007</v>
      </c>
      <c r="R122" s="44">
        <f t="shared" si="32"/>
        <v>9.3000000000000007</v>
      </c>
      <c r="S122" s="44">
        <f t="shared" si="32"/>
        <v>9.3000000000000007</v>
      </c>
      <c r="T122" s="44">
        <f t="shared" si="31"/>
        <v>9.3000000000000007</v>
      </c>
      <c r="U122" s="44">
        <f t="shared" si="31"/>
        <v>9.3000000000000007</v>
      </c>
      <c r="V122" s="44">
        <f t="shared" si="31"/>
        <v>9.3000000000000007</v>
      </c>
      <c r="W122" s="44">
        <f t="shared" si="31"/>
        <v>9.3000000000000007</v>
      </c>
      <c r="X122" s="44">
        <f t="shared" si="31"/>
        <v>9.3000000000000007</v>
      </c>
      <c r="Y122" s="44">
        <f t="shared" si="31"/>
        <v>9.3000000000000007</v>
      </c>
      <c r="Z122" s="44">
        <f t="shared" si="31"/>
        <v>9.3000000000000007</v>
      </c>
      <c r="AA122" s="44">
        <f t="shared" si="31"/>
        <v>9.3000000000000007</v>
      </c>
      <c r="AB122" s="44">
        <f t="shared" si="31"/>
        <v>9.3000000000000007</v>
      </c>
      <c r="AC122" s="44">
        <f t="shared" si="31"/>
        <v>9.3000000000000007</v>
      </c>
      <c r="AD122" s="44">
        <f t="shared" si="31"/>
        <v>9.3000000000000007</v>
      </c>
      <c r="AE122" s="44">
        <f t="shared" si="31"/>
        <v>9.3000000000000007</v>
      </c>
      <c r="AF122" s="44">
        <f t="shared" si="31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9"/>
        <v>0</v>
      </c>
      <c r="C123" s="55">
        <v>0</v>
      </c>
      <c r="D123" s="44">
        <f t="shared" si="32"/>
        <v>0</v>
      </c>
      <c r="E123" s="44">
        <f t="shared" si="32"/>
        <v>0</v>
      </c>
      <c r="F123" s="44">
        <f t="shared" si="32"/>
        <v>0</v>
      </c>
      <c r="G123" s="44">
        <f t="shared" si="32"/>
        <v>0</v>
      </c>
      <c r="H123" s="44">
        <f t="shared" si="32"/>
        <v>0</v>
      </c>
      <c r="I123" s="44">
        <f t="shared" si="32"/>
        <v>0</v>
      </c>
      <c r="J123" s="44">
        <f t="shared" si="32"/>
        <v>0</v>
      </c>
      <c r="K123" s="44">
        <f t="shared" si="32"/>
        <v>0</v>
      </c>
      <c r="L123" s="44">
        <f t="shared" si="32"/>
        <v>0</v>
      </c>
      <c r="M123" s="44">
        <f t="shared" si="32"/>
        <v>0</v>
      </c>
      <c r="N123" s="44">
        <f t="shared" si="32"/>
        <v>0</v>
      </c>
      <c r="O123" s="44">
        <f t="shared" si="32"/>
        <v>0</v>
      </c>
      <c r="P123" s="44">
        <f t="shared" si="32"/>
        <v>0</v>
      </c>
      <c r="Q123" s="44">
        <f t="shared" si="32"/>
        <v>0</v>
      </c>
      <c r="R123" s="44">
        <f t="shared" si="32"/>
        <v>0</v>
      </c>
      <c r="S123" s="44">
        <f t="shared" si="32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1"/>
        <v>0</v>
      </c>
      <c r="Y123" s="44">
        <f t="shared" si="31"/>
        <v>0</v>
      </c>
      <c r="Z123" s="44">
        <f t="shared" si="31"/>
        <v>0</v>
      </c>
      <c r="AA123" s="44">
        <f t="shared" si="31"/>
        <v>0</v>
      </c>
      <c r="AB123" s="44">
        <f t="shared" si="31"/>
        <v>0</v>
      </c>
      <c r="AC123" s="44">
        <f t="shared" si="31"/>
        <v>0</v>
      </c>
      <c r="AD123" s="44">
        <f t="shared" si="31"/>
        <v>0</v>
      </c>
      <c r="AE123" s="44">
        <f t="shared" si="31"/>
        <v>0</v>
      </c>
      <c r="AF123" s="44">
        <f t="shared" si="31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9"/>
        <v>0</v>
      </c>
      <c r="C124" s="55">
        <v>0</v>
      </c>
      <c r="D124" s="44">
        <f t="shared" si="32"/>
        <v>0</v>
      </c>
      <c r="E124" s="44">
        <f t="shared" si="32"/>
        <v>0</v>
      </c>
      <c r="F124" s="44">
        <f t="shared" si="32"/>
        <v>0</v>
      </c>
      <c r="G124" s="44">
        <f t="shared" si="32"/>
        <v>0</v>
      </c>
      <c r="H124" s="44">
        <f t="shared" si="32"/>
        <v>0</v>
      </c>
      <c r="I124" s="44">
        <f t="shared" si="32"/>
        <v>0</v>
      </c>
      <c r="J124" s="44">
        <f t="shared" si="32"/>
        <v>0</v>
      </c>
      <c r="K124" s="44">
        <f t="shared" si="32"/>
        <v>0</v>
      </c>
      <c r="L124" s="44">
        <f t="shared" si="32"/>
        <v>0</v>
      </c>
      <c r="M124" s="44">
        <f t="shared" si="32"/>
        <v>0</v>
      </c>
      <c r="N124" s="44">
        <f t="shared" si="32"/>
        <v>0</v>
      </c>
      <c r="O124" s="44">
        <f t="shared" si="32"/>
        <v>0</v>
      </c>
      <c r="P124" s="44">
        <f t="shared" si="32"/>
        <v>0</v>
      </c>
      <c r="Q124" s="44">
        <f t="shared" si="32"/>
        <v>0</v>
      </c>
      <c r="R124" s="44">
        <f t="shared" si="32"/>
        <v>0</v>
      </c>
      <c r="S124" s="44">
        <f t="shared" si="32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1"/>
        <v>0</v>
      </c>
      <c r="Y124" s="44">
        <f t="shared" si="31"/>
        <v>0</v>
      </c>
      <c r="Z124" s="44">
        <f t="shared" si="31"/>
        <v>0</v>
      </c>
      <c r="AA124" s="44">
        <f t="shared" si="31"/>
        <v>0</v>
      </c>
      <c r="AB124" s="44">
        <f t="shared" si="31"/>
        <v>0</v>
      </c>
      <c r="AC124" s="44">
        <f t="shared" si="31"/>
        <v>0</v>
      </c>
      <c r="AD124" s="44">
        <f t="shared" si="31"/>
        <v>0</v>
      </c>
      <c r="AE124" s="44">
        <f t="shared" si="31"/>
        <v>0</v>
      </c>
      <c r="AF124" s="44">
        <f t="shared" si="31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9"/>
        <v>5</v>
      </c>
      <c r="C125" s="55">
        <v>5</v>
      </c>
      <c r="D125" s="44">
        <f t="shared" si="32"/>
        <v>5</v>
      </c>
      <c r="E125" s="44">
        <f t="shared" si="32"/>
        <v>5</v>
      </c>
      <c r="F125" s="44">
        <f t="shared" si="32"/>
        <v>5</v>
      </c>
      <c r="G125" s="44">
        <f t="shared" si="32"/>
        <v>5</v>
      </c>
      <c r="H125" s="44">
        <f t="shared" si="32"/>
        <v>5</v>
      </c>
      <c r="I125" s="44">
        <f t="shared" si="32"/>
        <v>5</v>
      </c>
      <c r="J125" s="44">
        <f t="shared" si="32"/>
        <v>5</v>
      </c>
      <c r="K125" s="44">
        <f t="shared" si="32"/>
        <v>5</v>
      </c>
      <c r="L125" s="44">
        <f t="shared" si="32"/>
        <v>5</v>
      </c>
      <c r="M125" s="44">
        <f t="shared" si="32"/>
        <v>5</v>
      </c>
      <c r="N125" s="44">
        <f t="shared" si="32"/>
        <v>5</v>
      </c>
      <c r="O125" s="44">
        <f t="shared" si="32"/>
        <v>5</v>
      </c>
      <c r="P125" s="44">
        <f t="shared" si="32"/>
        <v>5</v>
      </c>
      <c r="Q125" s="44">
        <f t="shared" si="32"/>
        <v>5</v>
      </c>
      <c r="R125" s="44">
        <f t="shared" si="32"/>
        <v>5</v>
      </c>
      <c r="S125" s="44">
        <f t="shared" si="32"/>
        <v>5</v>
      </c>
      <c r="T125" s="44">
        <f t="shared" si="31"/>
        <v>5</v>
      </c>
      <c r="U125" s="44">
        <f t="shared" si="31"/>
        <v>5</v>
      </c>
      <c r="V125" s="44">
        <f t="shared" si="31"/>
        <v>5</v>
      </c>
      <c r="W125" s="44">
        <f t="shared" si="31"/>
        <v>5</v>
      </c>
      <c r="X125" s="44">
        <f t="shared" si="31"/>
        <v>5</v>
      </c>
      <c r="Y125" s="44">
        <f t="shared" si="31"/>
        <v>5</v>
      </c>
      <c r="Z125" s="44">
        <f t="shared" si="31"/>
        <v>5</v>
      </c>
      <c r="AA125" s="44">
        <f t="shared" si="31"/>
        <v>5</v>
      </c>
      <c r="AB125" s="44">
        <f t="shared" si="31"/>
        <v>5</v>
      </c>
      <c r="AC125" s="44">
        <f t="shared" si="31"/>
        <v>5</v>
      </c>
      <c r="AD125" s="44">
        <f t="shared" si="31"/>
        <v>5</v>
      </c>
      <c r="AE125" s="44">
        <f t="shared" si="31"/>
        <v>5</v>
      </c>
      <c r="AF125" s="44">
        <f t="shared" si="31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9"/>
        <v>1</v>
      </c>
      <c r="C126" s="55">
        <v>1</v>
      </c>
      <c r="D126" s="44">
        <f t="shared" si="32"/>
        <v>1</v>
      </c>
      <c r="E126" s="44">
        <f t="shared" si="32"/>
        <v>1</v>
      </c>
      <c r="F126" s="44">
        <f t="shared" si="32"/>
        <v>1</v>
      </c>
      <c r="G126" s="44">
        <f t="shared" si="32"/>
        <v>1</v>
      </c>
      <c r="H126" s="44">
        <f t="shared" si="32"/>
        <v>1</v>
      </c>
      <c r="I126" s="44">
        <f t="shared" si="32"/>
        <v>1</v>
      </c>
      <c r="J126" s="44">
        <f t="shared" si="32"/>
        <v>1</v>
      </c>
      <c r="K126" s="44">
        <f t="shared" si="32"/>
        <v>1</v>
      </c>
      <c r="L126" s="44">
        <f t="shared" si="32"/>
        <v>1</v>
      </c>
      <c r="M126" s="44">
        <f t="shared" si="32"/>
        <v>1</v>
      </c>
      <c r="N126" s="44">
        <f t="shared" si="32"/>
        <v>1</v>
      </c>
      <c r="O126" s="44">
        <f t="shared" si="32"/>
        <v>1</v>
      </c>
      <c r="P126" s="44">
        <f t="shared" si="32"/>
        <v>1</v>
      </c>
      <c r="Q126" s="44">
        <f t="shared" si="32"/>
        <v>1</v>
      </c>
      <c r="R126" s="44">
        <f t="shared" si="32"/>
        <v>1</v>
      </c>
      <c r="S126" s="44">
        <f t="shared" si="32"/>
        <v>1</v>
      </c>
      <c r="T126" s="44">
        <f t="shared" si="31"/>
        <v>1</v>
      </c>
      <c r="U126" s="44">
        <f t="shared" si="31"/>
        <v>1</v>
      </c>
      <c r="V126" s="44">
        <f t="shared" si="31"/>
        <v>1</v>
      </c>
      <c r="W126" s="44">
        <f t="shared" si="31"/>
        <v>1</v>
      </c>
      <c r="X126" s="44">
        <f t="shared" si="31"/>
        <v>1</v>
      </c>
      <c r="Y126" s="44">
        <f t="shared" si="31"/>
        <v>1</v>
      </c>
      <c r="Z126" s="44">
        <f t="shared" si="31"/>
        <v>1</v>
      </c>
      <c r="AA126" s="44">
        <f t="shared" si="31"/>
        <v>1</v>
      </c>
      <c r="AB126" s="44">
        <f t="shared" si="31"/>
        <v>1</v>
      </c>
      <c r="AC126" s="44">
        <f t="shared" si="31"/>
        <v>1</v>
      </c>
      <c r="AD126" s="44">
        <f t="shared" si="31"/>
        <v>1</v>
      </c>
      <c r="AE126" s="44">
        <f t="shared" si="31"/>
        <v>1</v>
      </c>
      <c r="AF126" s="44">
        <f t="shared" si="31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9"/>
        <v>1.58</v>
      </c>
      <c r="C127" s="55">
        <v>1.58</v>
      </c>
      <c r="D127" s="44">
        <f t="shared" si="32"/>
        <v>1.58</v>
      </c>
      <c r="E127" s="44">
        <f t="shared" si="32"/>
        <v>1.58</v>
      </c>
      <c r="F127" s="44">
        <f t="shared" si="32"/>
        <v>1.58</v>
      </c>
      <c r="G127" s="44">
        <f t="shared" si="32"/>
        <v>1.58</v>
      </c>
      <c r="H127" s="44">
        <f t="shared" si="32"/>
        <v>1.58</v>
      </c>
      <c r="I127" s="44">
        <f t="shared" si="32"/>
        <v>1.58</v>
      </c>
      <c r="J127" s="44">
        <f t="shared" si="32"/>
        <v>1.58</v>
      </c>
      <c r="K127" s="44">
        <f t="shared" si="32"/>
        <v>1.58</v>
      </c>
      <c r="L127" s="44">
        <f t="shared" si="32"/>
        <v>1.58</v>
      </c>
      <c r="M127" s="44">
        <f t="shared" si="32"/>
        <v>1.58</v>
      </c>
      <c r="N127" s="44">
        <f t="shared" si="32"/>
        <v>1.58</v>
      </c>
      <c r="O127" s="44">
        <f t="shared" si="32"/>
        <v>1.58</v>
      </c>
      <c r="P127" s="44">
        <f t="shared" si="32"/>
        <v>1.58</v>
      </c>
      <c r="Q127" s="44">
        <f t="shared" si="32"/>
        <v>1.58</v>
      </c>
      <c r="R127" s="44">
        <f t="shared" si="32"/>
        <v>1.58</v>
      </c>
      <c r="S127" s="44">
        <f t="shared" si="32"/>
        <v>1.58</v>
      </c>
      <c r="T127" s="44">
        <f t="shared" si="31"/>
        <v>1.58</v>
      </c>
      <c r="U127" s="44">
        <f t="shared" si="31"/>
        <v>1.58</v>
      </c>
      <c r="V127" s="44">
        <f t="shared" si="31"/>
        <v>1.58</v>
      </c>
      <c r="W127" s="44">
        <f t="shared" si="31"/>
        <v>1.58</v>
      </c>
      <c r="X127" s="44">
        <f t="shared" si="31"/>
        <v>1.58</v>
      </c>
      <c r="Y127" s="44">
        <f t="shared" si="31"/>
        <v>1.58</v>
      </c>
      <c r="Z127" s="44">
        <f t="shared" si="31"/>
        <v>1.58</v>
      </c>
      <c r="AA127" s="44">
        <f t="shared" si="31"/>
        <v>1.58</v>
      </c>
      <c r="AB127" s="44">
        <f t="shared" si="31"/>
        <v>1.58</v>
      </c>
      <c r="AC127" s="44">
        <f t="shared" si="31"/>
        <v>1.58</v>
      </c>
      <c r="AD127" s="44">
        <f t="shared" si="31"/>
        <v>1.58</v>
      </c>
      <c r="AE127" s="44">
        <f t="shared" si="31"/>
        <v>1.58</v>
      </c>
      <c r="AF127" s="44">
        <f t="shared" si="31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9"/>
        <v>1.46</v>
      </c>
      <c r="C128" s="55">
        <v>1.46</v>
      </c>
      <c r="D128" s="44">
        <f t="shared" si="32"/>
        <v>1.46</v>
      </c>
      <c r="E128" s="44">
        <f t="shared" si="32"/>
        <v>1.46</v>
      </c>
      <c r="F128" s="44">
        <f t="shared" si="32"/>
        <v>1.46</v>
      </c>
      <c r="G128" s="44">
        <f t="shared" si="32"/>
        <v>1.46</v>
      </c>
      <c r="H128" s="44">
        <f t="shared" si="32"/>
        <v>1.46</v>
      </c>
      <c r="I128" s="44">
        <f t="shared" si="32"/>
        <v>1.46</v>
      </c>
      <c r="J128" s="44">
        <f t="shared" si="32"/>
        <v>1.46</v>
      </c>
      <c r="K128" s="44">
        <f t="shared" si="32"/>
        <v>1.46</v>
      </c>
      <c r="L128" s="44">
        <f t="shared" si="32"/>
        <v>1.46</v>
      </c>
      <c r="M128" s="44">
        <f t="shared" si="32"/>
        <v>1.46</v>
      </c>
      <c r="N128" s="44">
        <f t="shared" si="32"/>
        <v>1.46</v>
      </c>
      <c r="O128" s="44">
        <f t="shared" si="32"/>
        <v>1.46</v>
      </c>
      <c r="P128" s="44">
        <f t="shared" si="32"/>
        <v>1.46</v>
      </c>
      <c r="Q128" s="44">
        <f t="shared" si="32"/>
        <v>1.46</v>
      </c>
      <c r="R128" s="44">
        <f t="shared" si="32"/>
        <v>1.46</v>
      </c>
      <c r="S128" s="44">
        <f t="shared" si="32"/>
        <v>1.46</v>
      </c>
      <c r="T128" s="44">
        <f t="shared" ref="T128:AF129" si="33">S128</f>
        <v>1.46</v>
      </c>
      <c r="U128" s="44">
        <f t="shared" si="33"/>
        <v>1.46</v>
      </c>
      <c r="V128" s="44">
        <f t="shared" si="33"/>
        <v>1.46</v>
      </c>
      <c r="W128" s="44">
        <f t="shared" si="33"/>
        <v>1.46</v>
      </c>
      <c r="X128" s="44">
        <f t="shared" si="33"/>
        <v>1.46</v>
      </c>
      <c r="Y128" s="44">
        <f t="shared" si="33"/>
        <v>1.46</v>
      </c>
      <c r="Z128" s="44">
        <f t="shared" si="33"/>
        <v>1.46</v>
      </c>
      <c r="AA128" s="44">
        <f t="shared" si="33"/>
        <v>1.46</v>
      </c>
      <c r="AB128" s="44">
        <f t="shared" si="33"/>
        <v>1.46</v>
      </c>
      <c r="AC128" s="44">
        <f t="shared" si="33"/>
        <v>1.46</v>
      </c>
      <c r="AD128" s="44">
        <f t="shared" si="33"/>
        <v>1.46</v>
      </c>
      <c r="AE128" s="44">
        <f t="shared" si="33"/>
        <v>1.46</v>
      </c>
      <c r="AF128" s="44">
        <f t="shared" si="33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9"/>
        <v>1.48</v>
      </c>
      <c r="C129" s="55">
        <v>1.48</v>
      </c>
      <c r="D129" s="44">
        <f t="shared" si="32"/>
        <v>1.48</v>
      </c>
      <c r="E129" s="44">
        <f t="shared" si="32"/>
        <v>1.48</v>
      </c>
      <c r="F129" s="44">
        <f t="shared" si="32"/>
        <v>1.48</v>
      </c>
      <c r="G129" s="44">
        <f t="shared" si="32"/>
        <v>1.48</v>
      </c>
      <c r="H129" s="44">
        <f t="shared" si="32"/>
        <v>1.48</v>
      </c>
      <c r="I129" s="44">
        <f t="shared" si="32"/>
        <v>1.48</v>
      </c>
      <c r="J129" s="44">
        <f t="shared" si="32"/>
        <v>1.48</v>
      </c>
      <c r="K129" s="44">
        <f t="shared" si="32"/>
        <v>1.48</v>
      </c>
      <c r="L129" s="44">
        <f t="shared" si="32"/>
        <v>1.48</v>
      </c>
      <c r="M129" s="44">
        <f t="shared" si="32"/>
        <v>1.48</v>
      </c>
      <c r="N129" s="44">
        <f t="shared" si="32"/>
        <v>1.48</v>
      </c>
      <c r="O129" s="44">
        <f t="shared" si="32"/>
        <v>1.48</v>
      </c>
      <c r="P129" s="44">
        <f t="shared" si="32"/>
        <v>1.48</v>
      </c>
      <c r="Q129" s="44">
        <f t="shared" si="32"/>
        <v>1.48</v>
      </c>
      <c r="R129" s="44">
        <f t="shared" si="32"/>
        <v>1.48</v>
      </c>
      <c r="S129" s="44">
        <f t="shared" si="32"/>
        <v>1.48</v>
      </c>
      <c r="T129" s="44">
        <f t="shared" si="33"/>
        <v>1.48</v>
      </c>
      <c r="U129" s="44">
        <f t="shared" si="33"/>
        <v>1.48</v>
      </c>
      <c r="V129" s="44">
        <f t="shared" si="33"/>
        <v>1.48</v>
      </c>
      <c r="W129" s="44">
        <f t="shared" si="33"/>
        <v>1.48</v>
      </c>
      <c r="X129" s="44">
        <f t="shared" si="33"/>
        <v>1.48</v>
      </c>
      <c r="Y129" s="44">
        <f t="shared" si="33"/>
        <v>1.48</v>
      </c>
      <c r="Z129" s="44">
        <f t="shared" si="33"/>
        <v>1.48</v>
      </c>
      <c r="AA129" s="44">
        <f t="shared" si="33"/>
        <v>1.48</v>
      </c>
      <c r="AB129" s="44">
        <f t="shared" si="33"/>
        <v>1.48</v>
      </c>
      <c r="AC129" s="44">
        <f t="shared" si="33"/>
        <v>1.48</v>
      </c>
      <c r="AD129" s="44">
        <f t="shared" si="33"/>
        <v>1.48</v>
      </c>
      <c r="AE129" s="44">
        <f t="shared" si="33"/>
        <v>1.48</v>
      </c>
      <c r="AF129" s="44">
        <f t="shared" si="33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4">AF131</f>
        <v>2.2000000000000002</v>
      </c>
      <c r="C131" s="55">
        <v>2.2000000000000002</v>
      </c>
      <c r="D131" s="44">
        <f t="shared" ref="D131:S138" si="35">C131</f>
        <v>2.2000000000000002</v>
      </c>
      <c r="E131" s="44">
        <f t="shared" si="35"/>
        <v>2.2000000000000002</v>
      </c>
      <c r="F131" s="44">
        <f t="shared" si="35"/>
        <v>2.2000000000000002</v>
      </c>
      <c r="G131" s="44">
        <f t="shared" si="35"/>
        <v>2.2000000000000002</v>
      </c>
      <c r="H131" s="44">
        <f t="shared" si="35"/>
        <v>2.2000000000000002</v>
      </c>
      <c r="I131" s="44">
        <f t="shared" si="35"/>
        <v>2.2000000000000002</v>
      </c>
      <c r="J131" s="44">
        <f t="shared" si="35"/>
        <v>2.2000000000000002</v>
      </c>
      <c r="K131" s="44">
        <f t="shared" si="35"/>
        <v>2.2000000000000002</v>
      </c>
      <c r="L131" s="44">
        <f t="shared" si="35"/>
        <v>2.2000000000000002</v>
      </c>
      <c r="M131" s="44">
        <f t="shared" si="35"/>
        <v>2.2000000000000002</v>
      </c>
      <c r="N131" s="44">
        <f t="shared" si="35"/>
        <v>2.2000000000000002</v>
      </c>
      <c r="O131" s="44">
        <f t="shared" si="35"/>
        <v>2.2000000000000002</v>
      </c>
      <c r="P131" s="44">
        <f t="shared" si="35"/>
        <v>2.2000000000000002</v>
      </c>
      <c r="Q131" s="44">
        <f t="shared" si="35"/>
        <v>2.2000000000000002</v>
      </c>
      <c r="R131" s="44">
        <f t="shared" si="35"/>
        <v>2.2000000000000002</v>
      </c>
      <c r="S131" s="44">
        <f t="shared" si="35"/>
        <v>2.2000000000000002</v>
      </c>
      <c r="T131" s="44">
        <f t="shared" ref="T131:AF138" si="36">S131</f>
        <v>2.2000000000000002</v>
      </c>
      <c r="U131" s="44">
        <f t="shared" si="36"/>
        <v>2.2000000000000002</v>
      </c>
      <c r="V131" s="44">
        <f t="shared" si="36"/>
        <v>2.2000000000000002</v>
      </c>
      <c r="W131" s="44">
        <f t="shared" si="36"/>
        <v>2.2000000000000002</v>
      </c>
      <c r="X131" s="44">
        <f t="shared" si="36"/>
        <v>2.2000000000000002</v>
      </c>
      <c r="Y131" s="44">
        <f t="shared" si="36"/>
        <v>2.2000000000000002</v>
      </c>
      <c r="Z131" s="44">
        <f t="shared" si="36"/>
        <v>2.2000000000000002</v>
      </c>
      <c r="AA131" s="44">
        <f t="shared" si="36"/>
        <v>2.2000000000000002</v>
      </c>
      <c r="AB131" s="44">
        <f t="shared" si="36"/>
        <v>2.2000000000000002</v>
      </c>
      <c r="AC131" s="44">
        <f t="shared" si="36"/>
        <v>2.2000000000000002</v>
      </c>
      <c r="AD131" s="44">
        <f t="shared" si="36"/>
        <v>2.2000000000000002</v>
      </c>
      <c r="AE131" s="44">
        <f t="shared" si="36"/>
        <v>2.2000000000000002</v>
      </c>
      <c r="AF131" s="44">
        <f t="shared" si="36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4"/>
        <v>2</v>
      </c>
      <c r="C132" s="55">
        <v>2</v>
      </c>
      <c r="D132" s="44">
        <f t="shared" si="35"/>
        <v>2</v>
      </c>
      <c r="E132" s="44">
        <f t="shared" si="35"/>
        <v>2</v>
      </c>
      <c r="F132" s="44">
        <f t="shared" si="35"/>
        <v>2</v>
      </c>
      <c r="G132" s="44">
        <f t="shared" si="35"/>
        <v>2</v>
      </c>
      <c r="H132" s="44">
        <f t="shared" si="35"/>
        <v>2</v>
      </c>
      <c r="I132" s="44">
        <f t="shared" si="35"/>
        <v>2</v>
      </c>
      <c r="J132" s="44">
        <f t="shared" si="35"/>
        <v>2</v>
      </c>
      <c r="K132" s="44">
        <f t="shared" si="35"/>
        <v>2</v>
      </c>
      <c r="L132" s="44">
        <f t="shared" si="35"/>
        <v>2</v>
      </c>
      <c r="M132" s="44">
        <f t="shared" si="35"/>
        <v>2</v>
      </c>
      <c r="N132" s="44">
        <f t="shared" si="35"/>
        <v>2</v>
      </c>
      <c r="O132" s="44">
        <f t="shared" si="35"/>
        <v>2</v>
      </c>
      <c r="P132" s="44">
        <f t="shared" si="35"/>
        <v>2</v>
      </c>
      <c r="Q132" s="44">
        <f t="shared" si="35"/>
        <v>2</v>
      </c>
      <c r="R132" s="44">
        <f t="shared" si="35"/>
        <v>2</v>
      </c>
      <c r="S132" s="44">
        <f t="shared" si="35"/>
        <v>2</v>
      </c>
      <c r="T132" s="44">
        <f t="shared" si="36"/>
        <v>2</v>
      </c>
      <c r="U132" s="44">
        <f t="shared" si="36"/>
        <v>2</v>
      </c>
      <c r="V132" s="44">
        <f t="shared" si="36"/>
        <v>2</v>
      </c>
      <c r="W132" s="44">
        <f t="shared" si="36"/>
        <v>2</v>
      </c>
      <c r="X132" s="44">
        <f t="shared" si="36"/>
        <v>2</v>
      </c>
      <c r="Y132" s="44">
        <f t="shared" si="36"/>
        <v>2</v>
      </c>
      <c r="Z132" s="44">
        <f t="shared" si="36"/>
        <v>2</v>
      </c>
      <c r="AA132" s="44">
        <f t="shared" si="36"/>
        <v>2</v>
      </c>
      <c r="AB132" s="44">
        <f t="shared" si="36"/>
        <v>2</v>
      </c>
      <c r="AC132" s="44">
        <f t="shared" si="36"/>
        <v>2</v>
      </c>
      <c r="AD132" s="44">
        <f t="shared" si="36"/>
        <v>2</v>
      </c>
      <c r="AE132" s="44">
        <f t="shared" si="36"/>
        <v>2</v>
      </c>
      <c r="AF132" s="44">
        <f t="shared" si="36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4"/>
        <v>1.25</v>
      </c>
      <c r="C133" s="55">
        <v>1.25</v>
      </c>
      <c r="D133" s="44">
        <f t="shared" si="35"/>
        <v>1.25</v>
      </c>
      <c r="E133" s="44">
        <f t="shared" si="35"/>
        <v>1.25</v>
      </c>
      <c r="F133" s="44">
        <f t="shared" si="35"/>
        <v>1.25</v>
      </c>
      <c r="G133" s="44">
        <f t="shared" si="35"/>
        <v>1.25</v>
      </c>
      <c r="H133" s="44">
        <f t="shared" si="35"/>
        <v>1.25</v>
      </c>
      <c r="I133" s="44">
        <f t="shared" si="35"/>
        <v>1.25</v>
      </c>
      <c r="J133" s="44">
        <f t="shared" si="35"/>
        <v>1.25</v>
      </c>
      <c r="K133" s="44">
        <f t="shared" si="35"/>
        <v>1.25</v>
      </c>
      <c r="L133" s="44">
        <f t="shared" si="35"/>
        <v>1.25</v>
      </c>
      <c r="M133" s="44">
        <f t="shared" si="35"/>
        <v>1.25</v>
      </c>
      <c r="N133" s="44">
        <f t="shared" si="35"/>
        <v>1.25</v>
      </c>
      <c r="O133" s="44">
        <f t="shared" si="35"/>
        <v>1.25</v>
      </c>
      <c r="P133" s="44">
        <f t="shared" si="35"/>
        <v>1.25</v>
      </c>
      <c r="Q133" s="44">
        <f t="shared" si="35"/>
        <v>1.25</v>
      </c>
      <c r="R133" s="44">
        <f t="shared" si="35"/>
        <v>1.25</v>
      </c>
      <c r="S133" s="44">
        <f t="shared" si="35"/>
        <v>1.25</v>
      </c>
      <c r="T133" s="44">
        <f t="shared" si="36"/>
        <v>1.25</v>
      </c>
      <c r="U133" s="44">
        <f t="shared" si="36"/>
        <v>1.25</v>
      </c>
      <c r="V133" s="44">
        <f t="shared" si="36"/>
        <v>1.25</v>
      </c>
      <c r="W133" s="44">
        <f t="shared" si="36"/>
        <v>1.25</v>
      </c>
      <c r="X133" s="44">
        <f t="shared" si="36"/>
        <v>1.25</v>
      </c>
      <c r="Y133" s="44">
        <f t="shared" si="36"/>
        <v>1.25</v>
      </c>
      <c r="Z133" s="44">
        <f t="shared" si="36"/>
        <v>1.25</v>
      </c>
      <c r="AA133" s="44">
        <f t="shared" si="36"/>
        <v>1.25</v>
      </c>
      <c r="AB133" s="44">
        <f t="shared" si="36"/>
        <v>1.25</v>
      </c>
      <c r="AC133" s="44">
        <f t="shared" si="36"/>
        <v>1.25</v>
      </c>
      <c r="AD133" s="44">
        <f t="shared" si="36"/>
        <v>1.25</v>
      </c>
      <c r="AE133" s="44">
        <f t="shared" si="36"/>
        <v>1.25</v>
      </c>
      <c r="AF133" s="44">
        <f t="shared" si="36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4"/>
        <v>1.1499999999999999</v>
      </c>
      <c r="C134" s="55">
        <v>1.1499999999999999</v>
      </c>
      <c r="D134" s="44">
        <f t="shared" si="35"/>
        <v>1.1499999999999999</v>
      </c>
      <c r="E134" s="44">
        <f t="shared" si="35"/>
        <v>1.1499999999999999</v>
      </c>
      <c r="F134" s="44">
        <f t="shared" si="35"/>
        <v>1.1499999999999999</v>
      </c>
      <c r="G134" s="44">
        <f t="shared" si="35"/>
        <v>1.1499999999999999</v>
      </c>
      <c r="H134" s="44">
        <f t="shared" si="35"/>
        <v>1.1499999999999999</v>
      </c>
      <c r="I134" s="44">
        <f t="shared" si="35"/>
        <v>1.1499999999999999</v>
      </c>
      <c r="J134" s="44">
        <f t="shared" si="35"/>
        <v>1.1499999999999999</v>
      </c>
      <c r="K134" s="44">
        <f t="shared" si="35"/>
        <v>1.1499999999999999</v>
      </c>
      <c r="L134" s="44">
        <f t="shared" si="35"/>
        <v>1.1499999999999999</v>
      </c>
      <c r="M134" s="44">
        <f t="shared" si="35"/>
        <v>1.1499999999999999</v>
      </c>
      <c r="N134" s="44">
        <f t="shared" si="35"/>
        <v>1.1499999999999999</v>
      </c>
      <c r="O134" s="44">
        <f t="shared" si="35"/>
        <v>1.1499999999999999</v>
      </c>
      <c r="P134" s="44">
        <f t="shared" si="35"/>
        <v>1.1499999999999999</v>
      </c>
      <c r="Q134" s="44">
        <f t="shared" si="35"/>
        <v>1.1499999999999999</v>
      </c>
      <c r="R134" s="44">
        <f t="shared" si="35"/>
        <v>1.1499999999999999</v>
      </c>
      <c r="S134" s="44">
        <f t="shared" si="35"/>
        <v>1.1499999999999999</v>
      </c>
      <c r="T134" s="44">
        <f t="shared" si="36"/>
        <v>1.1499999999999999</v>
      </c>
      <c r="U134" s="44">
        <f t="shared" si="36"/>
        <v>1.1499999999999999</v>
      </c>
      <c r="V134" s="44">
        <f t="shared" si="36"/>
        <v>1.1499999999999999</v>
      </c>
      <c r="W134" s="44">
        <f t="shared" si="36"/>
        <v>1.1499999999999999</v>
      </c>
      <c r="X134" s="44">
        <f t="shared" si="36"/>
        <v>1.1499999999999999</v>
      </c>
      <c r="Y134" s="44">
        <f t="shared" si="36"/>
        <v>1.1499999999999999</v>
      </c>
      <c r="Z134" s="44">
        <f t="shared" si="36"/>
        <v>1.1499999999999999</v>
      </c>
      <c r="AA134" s="44">
        <f t="shared" si="36"/>
        <v>1.1499999999999999</v>
      </c>
      <c r="AB134" s="44">
        <f t="shared" si="36"/>
        <v>1.1499999999999999</v>
      </c>
      <c r="AC134" s="44">
        <f t="shared" si="36"/>
        <v>1.1499999999999999</v>
      </c>
      <c r="AD134" s="44">
        <f t="shared" si="36"/>
        <v>1.1499999999999999</v>
      </c>
      <c r="AE134" s="44">
        <f t="shared" si="36"/>
        <v>1.1499999999999999</v>
      </c>
      <c r="AF134" s="44">
        <f t="shared" si="36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4"/>
        <v>2.133</v>
      </c>
      <c r="C135" s="55">
        <v>2.133</v>
      </c>
      <c r="D135" s="44">
        <f t="shared" si="35"/>
        <v>2.133</v>
      </c>
      <c r="E135" s="44">
        <f t="shared" si="35"/>
        <v>2.133</v>
      </c>
      <c r="F135" s="44">
        <f t="shared" si="35"/>
        <v>2.133</v>
      </c>
      <c r="G135" s="44">
        <f t="shared" si="35"/>
        <v>2.133</v>
      </c>
      <c r="H135" s="44">
        <f t="shared" si="35"/>
        <v>2.133</v>
      </c>
      <c r="I135" s="44">
        <f t="shared" si="35"/>
        <v>2.133</v>
      </c>
      <c r="J135" s="44">
        <f t="shared" si="35"/>
        <v>2.133</v>
      </c>
      <c r="K135" s="44">
        <f t="shared" si="35"/>
        <v>2.133</v>
      </c>
      <c r="L135" s="44">
        <f t="shared" si="35"/>
        <v>2.133</v>
      </c>
      <c r="M135" s="44">
        <f t="shared" si="35"/>
        <v>2.133</v>
      </c>
      <c r="N135" s="44">
        <f t="shared" si="35"/>
        <v>2.133</v>
      </c>
      <c r="O135" s="44">
        <f t="shared" si="35"/>
        <v>2.133</v>
      </c>
      <c r="P135" s="44">
        <f t="shared" si="35"/>
        <v>2.133</v>
      </c>
      <c r="Q135" s="44">
        <f t="shared" si="35"/>
        <v>2.133</v>
      </c>
      <c r="R135" s="44">
        <f t="shared" si="35"/>
        <v>2.133</v>
      </c>
      <c r="S135" s="44">
        <f t="shared" si="35"/>
        <v>2.133</v>
      </c>
      <c r="T135" s="44">
        <f t="shared" si="36"/>
        <v>2.133</v>
      </c>
      <c r="U135" s="44">
        <f t="shared" si="36"/>
        <v>2.133</v>
      </c>
      <c r="V135" s="44">
        <f t="shared" si="36"/>
        <v>2.133</v>
      </c>
      <c r="W135" s="44">
        <f t="shared" si="36"/>
        <v>2.133</v>
      </c>
      <c r="X135" s="44">
        <f t="shared" si="36"/>
        <v>2.133</v>
      </c>
      <c r="Y135" s="44">
        <f t="shared" si="36"/>
        <v>2.133</v>
      </c>
      <c r="Z135" s="44">
        <f t="shared" si="36"/>
        <v>2.133</v>
      </c>
      <c r="AA135" s="44">
        <f t="shared" si="36"/>
        <v>2.133</v>
      </c>
      <c r="AB135" s="44">
        <f t="shared" si="36"/>
        <v>2.133</v>
      </c>
      <c r="AC135" s="44">
        <f t="shared" si="36"/>
        <v>2.133</v>
      </c>
      <c r="AD135" s="44">
        <f t="shared" si="36"/>
        <v>2.133</v>
      </c>
      <c r="AE135" s="44">
        <f t="shared" si="36"/>
        <v>2.133</v>
      </c>
      <c r="AF135" s="44">
        <f t="shared" si="36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4"/>
        <v>2.09</v>
      </c>
      <c r="C136" s="55">
        <v>2.09</v>
      </c>
      <c r="D136" s="44">
        <f t="shared" si="35"/>
        <v>2.09</v>
      </c>
      <c r="E136" s="44">
        <f t="shared" si="35"/>
        <v>2.09</v>
      </c>
      <c r="F136" s="44">
        <f t="shared" si="35"/>
        <v>2.09</v>
      </c>
      <c r="G136" s="44">
        <f t="shared" si="35"/>
        <v>2.09</v>
      </c>
      <c r="H136" s="44">
        <f t="shared" si="35"/>
        <v>2.09</v>
      </c>
      <c r="I136" s="44">
        <f t="shared" si="35"/>
        <v>2.09</v>
      </c>
      <c r="J136" s="44">
        <f t="shared" si="35"/>
        <v>2.09</v>
      </c>
      <c r="K136" s="44">
        <f t="shared" si="35"/>
        <v>2.09</v>
      </c>
      <c r="L136" s="44">
        <f t="shared" si="35"/>
        <v>2.09</v>
      </c>
      <c r="M136" s="44">
        <f t="shared" si="35"/>
        <v>2.09</v>
      </c>
      <c r="N136" s="44">
        <f t="shared" si="35"/>
        <v>2.09</v>
      </c>
      <c r="O136" s="44">
        <f t="shared" si="35"/>
        <v>2.09</v>
      </c>
      <c r="P136" s="44">
        <f t="shared" si="35"/>
        <v>2.09</v>
      </c>
      <c r="Q136" s="44">
        <f t="shared" si="35"/>
        <v>2.09</v>
      </c>
      <c r="R136" s="44">
        <f t="shared" si="35"/>
        <v>2.09</v>
      </c>
      <c r="S136" s="44">
        <f t="shared" si="35"/>
        <v>2.09</v>
      </c>
      <c r="T136" s="44">
        <f t="shared" si="36"/>
        <v>2.09</v>
      </c>
      <c r="U136" s="44">
        <f t="shared" si="36"/>
        <v>2.09</v>
      </c>
      <c r="V136" s="44">
        <f t="shared" si="36"/>
        <v>2.09</v>
      </c>
      <c r="W136" s="44">
        <f t="shared" si="36"/>
        <v>2.09</v>
      </c>
      <c r="X136" s="44">
        <f t="shared" si="36"/>
        <v>2.09</v>
      </c>
      <c r="Y136" s="44">
        <f t="shared" si="36"/>
        <v>2.09</v>
      </c>
      <c r="Z136" s="44">
        <f t="shared" si="36"/>
        <v>2.09</v>
      </c>
      <c r="AA136" s="44">
        <f t="shared" si="36"/>
        <v>2.09</v>
      </c>
      <c r="AB136" s="44">
        <f t="shared" si="36"/>
        <v>2.09</v>
      </c>
      <c r="AC136" s="44">
        <f t="shared" si="36"/>
        <v>2.09</v>
      </c>
      <c r="AD136" s="44">
        <f t="shared" si="36"/>
        <v>2.09</v>
      </c>
      <c r="AE136" s="44">
        <f t="shared" si="36"/>
        <v>2.09</v>
      </c>
      <c r="AF136" s="44">
        <f t="shared" si="36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4"/>
        <v>1.1399999999999999</v>
      </c>
      <c r="C137" s="55">
        <v>1.1399999999999999</v>
      </c>
      <c r="D137" s="44">
        <f t="shared" si="35"/>
        <v>1.1399999999999999</v>
      </c>
      <c r="E137" s="44">
        <f t="shared" si="35"/>
        <v>1.1399999999999999</v>
      </c>
      <c r="F137" s="44">
        <f t="shared" si="35"/>
        <v>1.1399999999999999</v>
      </c>
      <c r="G137" s="44">
        <f t="shared" si="35"/>
        <v>1.1399999999999999</v>
      </c>
      <c r="H137" s="44">
        <f t="shared" si="35"/>
        <v>1.1399999999999999</v>
      </c>
      <c r="I137" s="44">
        <f t="shared" si="35"/>
        <v>1.1399999999999999</v>
      </c>
      <c r="J137" s="44">
        <f t="shared" si="35"/>
        <v>1.1399999999999999</v>
      </c>
      <c r="K137" s="44">
        <f t="shared" si="35"/>
        <v>1.1399999999999999</v>
      </c>
      <c r="L137" s="44">
        <f t="shared" si="35"/>
        <v>1.1399999999999999</v>
      </c>
      <c r="M137" s="44">
        <f t="shared" si="35"/>
        <v>1.1399999999999999</v>
      </c>
      <c r="N137" s="44">
        <f t="shared" si="35"/>
        <v>1.1399999999999999</v>
      </c>
      <c r="O137" s="44">
        <f t="shared" si="35"/>
        <v>1.1399999999999999</v>
      </c>
      <c r="P137" s="44">
        <f t="shared" si="35"/>
        <v>1.1399999999999999</v>
      </c>
      <c r="Q137" s="44">
        <f t="shared" si="35"/>
        <v>1.1399999999999999</v>
      </c>
      <c r="R137" s="44">
        <f t="shared" si="35"/>
        <v>1.1399999999999999</v>
      </c>
      <c r="S137" s="44">
        <f t="shared" si="35"/>
        <v>1.1399999999999999</v>
      </c>
      <c r="T137" s="44">
        <f t="shared" si="36"/>
        <v>1.1399999999999999</v>
      </c>
      <c r="U137" s="44">
        <f t="shared" si="36"/>
        <v>1.1399999999999999</v>
      </c>
      <c r="V137" s="44">
        <f t="shared" si="36"/>
        <v>1.1399999999999999</v>
      </c>
      <c r="W137" s="44">
        <f t="shared" si="36"/>
        <v>1.1399999999999999</v>
      </c>
      <c r="X137" s="44">
        <f t="shared" si="36"/>
        <v>1.1399999999999999</v>
      </c>
      <c r="Y137" s="44">
        <f t="shared" si="36"/>
        <v>1.1399999999999999</v>
      </c>
      <c r="Z137" s="44">
        <f t="shared" si="36"/>
        <v>1.1399999999999999</v>
      </c>
      <c r="AA137" s="44">
        <f t="shared" si="36"/>
        <v>1.1399999999999999</v>
      </c>
      <c r="AB137" s="44">
        <f t="shared" si="36"/>
        <v>1.1399999999999999</v>
      </c>
      <c r="AC137" s="44">
        <f t="shared" si="36"/>
        <v>1.1399999999999999</v>
      </c>
      <c r="AD137" s="44">
        <f t="shared" si="36"/>
        <v>1.1399999999999999</v>
      </c>
      <c r="AE137" s="44">
        <f t="shared" si="36"/>
        <v>1.1399999999999999</v>
      </c>
      <c r="AF137" s="44">
        <f t="shared" si="36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4"/>
        <v>0.82</v>
      </c>
      <c r="C138" s="55">
        <v>0.82</v>
      </c>
      <c r="D138" s="44">
        <f t="shared" si="35"/>
        <v>0.82</v>
      </c>
      <c r="E138" s="44">
        <f t="shared" si="35"/>
        <v>0.82</v>
      </c>
      <c r="F138" s="44">
        <f t="shared" si="35"/>
        <v>0.82</v>
      </c>
      <c r="G138" s="44">
        <f t="shared" si="35"/>
        <v>0.82</v>
      </c>
      <c r="H138" s="44">
        <f t="shared" si="35"/>
        <v>0.82</v>
      </c>
      <c r="I138" s="44">
        <f t="shared" si="35"/>
        <v>0.82</v>
      </c>
      <c r="J138" s="44">
        <f t="shared" si="35"/>
        <v>0.82</v>
      </c>
      <c r="K138" s="44">
        <f t="shared" si="35"/>
        <v>0.82</v>
      </c>
      <c r="L138" s="44">
        <f t="shared" si="35"/>
        <v>0.82</v>
      </c>
      <c r="M138" s="44">
        <f t="shared" si="35"/>
        <v>0.82</v>
      </c>
      <c r="N138" s="44">
        <f t="shared" si="35"/>
        <v>0.82</v>
      </c>
      <c r="O138" s="44">
        <f t="shared" si="35"/>
        <v>0.82</v>
      </c>
      <c r="P138" s="44">
        <f t="shared" si="35"/>
        <v>0.82</v>
      </c>
      <c r="Q138" s="44">
        <f t="shared" si="35"/>
        <v>0.82</v>
      </c>
      <c r="R138" s="44">
        <f t="shared" si="35"/>
        <v>0.82</v>
      </c>
      <c r="S138" s="44">
        <f t="shared" si="35"/>
        <v>0.82</v>
      </c>
      <c r="T138" s="44">
        <f t="shared" si="36"/>
        <v>0.82</v>
      </c>
      <c r="U138" s="44">
        <f t="shared" si="36"/>
        <v>0.82</v>
      </c>
      <c r="V138" s="44">
        <f t="shared" si="36"/>
        <v>0.82</v>
      </c>
      <c r="W138" s="44">
        <f t="shared" si="36"/>
        <v>0.82</v>
      </c>
      <c r="X138" s="44">
        <f t="shared" si="36"/>
        <v>0.82</v>
      </c>
      <c r="Y138" s="44">
        <f t="shared" si="36"/>
        <v>0.82</v>
      </c>
      <c r="Z138" s="44">
        <f t="shared" si="36"/>
        <v>0.82</v>
      </c>
      <c r="AA138" s="44">
        <f t="shared" si="36"/>
        <v>0.82</v>
      </c>
      <c r="AB138" s="44">
        <f t="shared" si="36"/>
        <v>0.82</v>
      </c>
      <c r="AC138" s="44">
        <f t="shared" si="36"/>
        <v>0.82</v>
      </c>
      <c r="AD138" s="44">
        <f t="shared" si="36"/>
        <v>0.82</v>
      </c>
      <c r="AE138" s="44">
        <f t="shared" si="36"/>
        <v>0.82</v>
      </c>
      <c r="AF138" s="44">
        <f t="shared" si="36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7">AF140</f>
        <v>2</v>
      </c>
      <c r="C140" s="55">
        <v>2</v>
      </c>
      <c r="D140" s="44">
        <f t="shared" ref="D140:S146" si="38">C140</f>
        <v>2</v>
      </c>
      <c r="E140" s="44">
        <f t="shared" si="38"/>
        <v>2</v>
      </c>
      <c r="F140" s="44">
        <f t="shared" si="38"/>
        <v>2</v>
      </c>
      <c r="G140" s="44">
        <f t="shared" si="38"/>
        <v>2</v>
      </c>
      <c r="H140" s="44">
        <f t="shared" si="38"/>
        <v>2</v>
      </c>
      <c r="I140" s="44">
        <f t="shared" si="38"/>
        <v>2</v>
      </c>
      <c r="J140" s="44">
        <f t="shared" si="38"/>
        <v>2</v>
      </c>
      <c r="K140" s="44">
        <f t="shared" si="38"/>
        <v>2</v>
      </c>
      <c r="L140" s="44">
        <f t="shared" si="38"/>
        <v>2</v>
      </c>
      <c r="M140" s="44">
        <f t="shared" si="38"/>
        <v>2</v>
      </c>
      <c r="N140" s="44">
        <f t="shared" si="38"/>
        <v>2</v>
      </c>
      <c r="O140" s="44">
        <f t="shared" si="38"/>
        <v>2</v>
      </c>
      <c r="P140" s="44">
        <f t="shared" si="38"/>
        <v>2</v>
      </c>
      <c r="Q140" s="44">
        <f t="shared" si="38"/>
        <v>2</v>
      </c>
      <c r="R140" s="44">
        <f t="shared" si="38"/>
        <v>2</v>
      </c>
      <c r="S140" s="44">
        <f t="shared" si="38"/>
        <v>2</v>
      </c>
      <c r="T140" s="44">
        <f t="shared" ref="T140:AF146" si="39">S140</f>
        <v>2</v>
      </c>
      <c r="U140" s="44">
        <f t="shared" si="39"/>
        <v>2</v>
      </c>
      <c r="V140" s="44">
        <f t="shared" si="39"/>
        <v>2</v>
      </c>
      <c r="W140" s="44">
        <f t="shared" si="39"/>
        <v>2</v>
      </c>
      <c r="X140" s="44">
        <f t="shared" si="39"/>
        <v>2</v>
      </c>
      <c r="Y140" s="44">
        <f t="shared" si="39"/>
        <v>2</v>
      </c>
      <c r="Z140" s="44">
        <f t="shared" si="39"/>
        <v>2</v>
      </c>
      <c r="AA140" s="44">
        <f t="shared" si="39"/>
        <v>2</v>
      </c>
      <c r="AB140" s="44">
        <f t="shared" si="39"/>
        <v>2</v>
      </c>
      <c r="AC140" s="44">
        <f t="shared" si="39"/>
        <v>2</v>
      </c>
      <c r="AD140" s="44">
        <f t="shared" si="39"/>
        <v>2</v>
      </c>
      <c r="AE140" s="44">
        <f t="shared" si="39"/>
        <v>2</v>
      </c>
      <c r="AF140" s="44">
        <f t="shared" si="39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7"/>
        <v>5.61</v>
      </c>
      <c r="C141" s="55">
        <v>5.61</v>
      </c>
      <c r="D141" s="44">
        <f t="shared" si="38"/>
        <v>5.61</v>
      </c>
      <c r="E141" s="44">
        <f t="shared" si="38"/>
        <v>5.61</v>
      </c>
      <c r="F141" s="44">
        <f t="shared" si="38"/>
        <v>5.61</v>
      </c>
      <c r="G141" s="44">
        <f t="shared" si="38"/>
        <v>5.61</v>
      </c>
      <c r="H141" s="44">
        <f t="shared" si="38"/>
        <v>5.61</v>
      </c>
      <c r="I141" s="44">
        <f t="shared" si="38"/>
        <v>5.61</v>
      </c>
      <c r="J141" s="44">
        <f t="shared" si="38"/>
        <v>5.61</v>
      </c>
      <c r="K141" s="44">
        <f t="shared" si="38"/>
        <v>5.61</v>
      </c>
      <c r="L141" s="44">
        <f t="shared" si="38"/>
        <v>5.61</v>
      </c>
      <c r="M141" s="44">
        <f t="shared" si="38"/>
        <v>5.61</v>
      </c>
      <c r="N141" s="44">
        <f t="shared" si="38"/>
        <v>5.61</v>
      </c>
      <c r="O141" s="44">
        <f t="shared" si="38"/>
        <v>5.61</v>
      </c>
      <c r="P141" s="44">
        <f t="shared" si="38"/>
        <v>5.61</v>
      </c>
      <c r="Q141" s="44">
        <f t="shared" si="38"/>
        <v>5.61</v>
      </c>
      <c r="R141" s="44">
        <f t="shared" si="38"/>
        <v>5.61</v>
      </c>
      <c r="S141" s="44">
        <f t="shared" si="38"/>
        <v>5.61</v>
      </c>
      <c r="T141" s="44">
        <f t="shared" si="39"/>
        <v>5.61</v>
      </c>
      <c r="U141" s="44">
        <f t="shared" si="39"/>
        <v>5.61</v>
      </c>
      <c r="V141" s="44">
        <f t="shared" si="39"/>
        <v>5.61</v>
      </c>
      <c r="W141" s="44">
        <f t="shared" si="39"/>
        <v>5.61</v>
      </c>
      <c r="X141" s="44">
        <f t="shared" si="39"/>
        <v>5.61</v>
      </c>
      <c r="Y141" s="44">
        <f t="shared" si="39"/>
        <v>5.61</v>
      </c>
      <c r="Z141" s="44">
        <f t="shared" si="39"/>
        <v>5.61</v>
      </c>
      <c r="AA141" s="44">
        <f t="shared" si="39"/>
        <v>5.61</v>
      </c>
      <c r="AB141" s="44">
        <f t="shared" si="39"/>
        <v>5.61</v>
      </c>
      <c r="AC141" s="44">
        <f t="shared" si="39"/>
        <v>5.61</v>
      </c>
      <c r="AD141" s="44">
        <f t="shared" si="39"/>
        <v>5.61</v>
      </c>
      <c r="AE141" s="44">
        <f t="shared" si="39"/>
        <v>5.61</v>
      </c>
      <c r="AF141" s="44">
        <f t="shared" si="39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7"/>
        <v>1.25</v>
      </c>
      <c r="C142" s="55">
        <v>1.25</v>
      </c>
      <c r="D142" s="44">
        <f t="shared" si="38"/>
        <v>1.25</v>
      </c>
      <c r="E142" s="44">
        <f t="shared" si="38"/>
        <v>1.25</v>
      </c>
      <c r="F142" s="44">
        <f t="shared" si="38"/>
        <v>1.25</v>
      </c>
      <c r="G142" s="44">
        <f t="shared" si="38"/>
        <v>1.25</v>
      </c>
      <c r="H142" s="44">
        <f t="shared" si="38"/>
        <v>1.25</v>
      </c>
      <c r="I142" s="44">
        <f t="shared" si="38"/>
        <v>1.25</v>
      </c>
      <c r="J142" s="44">
        <f t="shared" si="38"/>
        <v>1.25</v>
      </c>
      <c r="K142" s="44">
        <f t="shared" si="38"/>
        <v>1.25</v>
      </c>
      <c r="L142" s="44">
        <f t="shared" si="38"/>
        <v>1.25</v>
      </c>
      <c r="M142" s="44">
        <f t="shared" si="38"/>
        <v>1.25</v>
      </c>
      <c r="N142" s="44">
        <f t="shared" si="38"/>
        <v>1.25</v>
      </c>
      <c r="O142" s="44">
        <f t="shared" si="38"/>
        <v>1.25</v>
      </c>
      <c r="P142" s="44">
        <f t="shared" si="38"/>
        <v>1.25</v>
      </c>
      <c r="Q142" s="44">
        <f t="shared" si="38"/>
        <v>1.25</v>
      </c>
      <c r="R142" s="44">
        <f t="shared" si="38"/>
        <v>1.25</v>
      </c>
      <c r="S142" s="44">
        <f t="shared" si="38"/>
        <v>1.25</v>
      </c>
      <c r="T142" s="44">
        <f t="shared" si="39"/>
        <v>1.25</v>
      </c>
      <c r="U142" s="44">
        <f t="shared" si="39"/>
        <v>1.25</v>
      </c>
      <c r="V142" s="44">
        <f t="shared" si="39"/>
        <v>1.25</v>
      </c>
      <c r="W142" s="44">
        <f t="shared" si="39"/>
        <v>1.25</v>
      </c>
      <c r="X142" s="44">
        <f t="shared" si="39"/>
        <v>1.25</v>
      </c>
      <c r="Y142" s="44">
        <f t="shared" si="39"/>
        <v>1.25</v>
      </c>
      <c r="Z142" s="44">
        <f t="shared" si="39"/>
        <v>1.25</v>
      </c>
      <c r="AA142" s="44">
        <f t="shared" si="39"/>
        <v>1.25</v>
      </c>
      <c r="AB142" s="44">
        <f t="shared" si="39"/>
        <v>1.25</v>
      </c>
      <c r="AC142" s="44">
        <f t="shared" si="39"/>
        <v>1.25</v>
      </c>
      <c r="AD142" s="44">
        <f t="shared" si="39"/>
        <v>1.25</v>
      </c>
      <c r="AE142" s="44">
        <f t="shared" si="39"/>
        <v>1.25</v>
      </c>
      <c r="AF142" s="44">
        <f t="shared" si="39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7"/>
        <v>1.25</v>
      </c>
      <c r="C143" s="55">
        <v>1.25</v>
      </c>
      <c r="D143" s="44">
        <f t="shared" si="38"/>
        <v>1.25</v>
      </c>
      <c r="E143" s="44">
        <f t="shared" si="38"/>
        <v>1.25</v>
      </c>
      <c r="F143" s="44">
        <f t="shared" si="38"/>
        <v>1.25</v>
      </c>
      <c r="G143" s="44">
        <f t="shared" si="38"/>
        <v>1.25</v>
      </c>
      <c r="H143" s="44">
        <f t="shared" si="38"/>
        <v>1.25</v>
      </c>
      <c r="I143" s="44">
        <f t="shared" si="38"/>
        <v>1.25</v>
      </c>
      <c r="J143" s="44">
        <f t="shared" si="38"/>
        <v>1.25</v>
      </c>
      <c r="K143" s="44">
        <f t="shared" si="38"/>
        <v>1.25</v>
      </c>
      <c r="L143" s="44">
        <f t="shared" si="38"/>
        <v>1.25</v>
      </c>
      <c r="M143" s="44">
        <f t="shared" si="38"/>
        <v>1.25</v>
      </c>
      <c r="N143" s="44">
        <f t="shared" si="38"/>
        <v>1.25</v>
      </c>
      <c r="O143" s="44">
        <f t="shared" si="38"/>
        <v>1.25</v>
      </c>
      <c r="P143" s="44">
        <f t="shared" si="38"/>
        <v>1.25</v>
      </c>
      <c r="Q143" s="44">
        <f t="shared" si="38"/>
        <v>1.25</v>
      </c>
      <c r="R143" s="44">
        <f t="shared" si="38"/>
        <v>1.25</v>
      </c>
      <c r="S143" s="44">
        <f t="shared" si="38"/>
        <v>1.25</v>
      </c>
      <c r="T143" s="44">
        <f t="shared" si="39"/>
        <v>1.25</v>
      </c>
      <c r="U143" s="44">
        <f t="shared" si="39"/>
        <v>1.25</v>
      </c>
      <c r="V143" s="44">
        <f t="shared" si="39"/>
        <v>1.25</v>
      </c>
      <c r="W143" s="44">
        <f t="shared" si="39"/>
        <v>1.25</v>
      </c>
      <c r="X143" s="44">
        <f t="shared" si="39"/>
        <v>1.25</v>
      </c>
      <c r="Y143" s="44">
        <f t="shared" si="39"/>
        <v>1.25</v>
      </c>
      <c r="Z143" s="44">
        <f t="shared" si="39"/>
        <v>1.25</v>
      </c>
      <c r="AA143" s="44">
        <f t="shared" si="39"/>
        <v>1.25</v>
      </c>
      <c r="AB143" s="44">
        <f t="shared" si="39"/>
        <v>1.25</v>
      </c>
      <c r="AC143" s="44">
        <f t="shared" si="39"/>
        <v>1.25</v>
      </c>
      <c r="AD143" s="44">
        <f t="shared" si="39"/>
        <v>1.25</v>
      </c>
      <c r="AE143" s="44">
        <f t="shared" si="39"/>
        <v>1.25</v>
      </c>
      <c r="AF143" s="44">
        <f t="shared" si="39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7"/>
        <v>1.46</v>
      </c>
      <c r="C144" s="55">
        <v>1.46</v>
      </c>
      <c r="D144" s="44">
        <f t="shared" si="38"/>
        <v>1.46</v>
      </c>
      <c r="E144" s="44">
        <f t="shared" si="38"/>
        <v>1.46</v>
      </c>
      <c r="F144" s="44">
        <f t="shared" si="38"/>
        <v>1.46</v>
      </c>
      <c r="G144" s="44">
        <f t="shared" si="38"/>
        <v>1.46</v>
      </c>
      <c r="H144" s="44">
        <f t="shared" si="38"/>
        <v>1.46</v>
      </c>
      <c r="I144" s="44">
        <f t="shared" si="38"/>
        <v>1.46</v>
      </c>
      <c r="J144" s="44">
        <f t="shared" si="38"/>
        <v>1.46</v>
      </c>
      <c r="K144" s="44">
        <f t="shared" si="38"/>
        <v>1.46</v>
      </c>
      <c r="L144" s="44">
        <f t="shared" si="38"/>
        <v>1.46</v>
      </c>
      <c r="M144" s="44">
        <f t="shared" si="38"/>
        <v>1.46</v>
      </c>
      <c r="N144" s="44">
        <f t="shared" si="38"/>
        <v>1.46</v>
      </c>
      <c r="O144" s="44">
        <f t="shared" si="38"/>
        <v>1.46</v>
      </c>
      <c r="P144" s="44">
        <f t="shared" si="38"/>
        <v>1.46</v>
      </c>
      <c r="Q144" s="44">
        <f t="shared" si="38"/>
        <v>1.46</v>
      </c>
      <c r="R144" s="44">
        <f t="shared" si="38"/>
        <v>1.46</v>
      </c>
      <c r="S144" s="44">
        <f t="shared" si="38"/>
        <v>1.46</v>
      </c>
      <c r="T144" s="44">
        <f t="shared" si="39"/>
        <v>1.46</v>
      </c>
      <c r="U144" s="44">
        <f t="shared" si="39"/>
        <v>1.46</v>
      </c>
      <c r="V144" s="44">
        <f t="shared" si="39"/>
        <v>1.46</v>
      </c>
      <c r="W144" s="44">
        <f t="shared" si="39"/>
        <v>1.46</v>
      </c>
      <c r="X144" s="44">
        <f t="shared" si="39"/>
        <v>1.46</v>
      </c>
      <c r="Y144" s="44">
        <f t="shared" si="39"/>
        <v>1.46</v>
      </c>
      <c r="Z144" s="44">
        <f t="shared" si="39"/>
        <v>1.46</v>
      </c>
      <c r="AA144" s="44">
        <f t="shared" si="39"/>
        <v>1.46</v>
      </c>
      <c r="AB144" s="44">
        <f t="shared" si="39"/>
        <v>1.46</v>
      </c>
      <c r="AC144" s="44">
        <f t="shared" si="39"/>
        <v>1.46</v>
      </c>
      <c r="AD144" s="44">
        <f t="shared" si="39"/>
        <v>1.46</v>
      </c>
      <c r="AE144" s="44">
        <f t="shared" si="39"/>
        <v>1.46</v>
      </c>
      <c r="AF144" s="44">
        <f t="shared" si="39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7"/>
        <v>3</v>
      </c>
      <c r="C145" s="55">
        <v>3</v>
      </c>
      <c r="D145" s="44">
        <f t="shared" si="38"/>
        <v>3</v>
      </c>
      <c r="E145" s="44">
        <f t="shared" si="38"/>
        <v>3</v>
      </c>
      <c r="F145" s="44">
        <f t="shared" si="38"/>
        <v>3</v>
      </c>
      <c r="G145" s="44">
        <f t="shared" si="38"/>
        <v>3</v>
      </c>
      <c r="H145" s="44">
        <f t="shared" si="38"/>
        <v>3</v>
      </c>
      <c r="I145" s="44">
        <f t="shared" si="38"/>
        <v>3</v>
      </c>
      <c r="J145" s="44">
        <f t="shared" si="38"/>
        <v>3</v>
      </c>
      <c r="K145" s="44">
        <f t="shared" si="38"/>
        <v>3</v>
      </c>
      <c r="L145" s="44">
        <f t="shared" si="38"/>
        <v>3</v>
      </c>
      <c r="M145" s="44">
        <f t="shared" si="38"/>
        <v>3</v>
      </c>
      <c r="N145" s="44">
        <f t="shared" si="38"/>
        <v>3</v>
      </c>
      <c r="O145" s="44">
        <f t="shared" si="38"/>
        <v>3</v>
      </c>
      <c r="P145" s="44">
        <f t="shared" si="38"/>
        <v>3</v>
      </c>
      <c r="Q145" s="44">
        <f t="shared" si="38"/>
        <v>3</v>
      </c>
      <c r="R145" s="44">
        <f t="shared" si="38"/>
        <v>3</v>
      </c>
      <c r="S145" s="44">
        <f t="shared" si="38"/>
        <v>3</v>
      </c>
      <c r="T145" s="44">
        <f t="shared" si="39"/>
        <v>3</v>
      </c>
      <c r="U145" s="44">
        <f t="shared" si="39"/>
        <v>3</v>
      </c>
      <c r="V145" s="44">
        <f t="shared" si="39"/>
        <v>3</v>
      </c>
      <c r="W145" s="44">
        <f t="shared" si="39"/>
        <v>3</v>
      </c>
      <c r="X145" s="44">
        <f t="shared" si="39"/>
        <v>3</v>
      </c>
      <c r="Y145" s="44">
        <f t="shared" si="39"/>
        <v>3</v>
      </c>
      <c r="Z145" s="44">
        <f t="shared" si="39"/>
        <v>3</v>
      </c>
      <c r="AA145" s="44">
        <f t="shared" si="39"/>
        <v>3</v>
      </c>
      <c r="AB145" s="44">
        <f t="shared" si="39"/>
        <v>3</v>
      </c>
      <c r="AC145" s="44">
        <f t="shared" si="39"/>
        <v>3</v>
      </c>
      <c r="AD145" s="44">
        <f t="shared" si="39"/>
        <v>3</v>
      </c>
      <c r="AE145" s="44">
        <f t="shared" si="39"/>
        <v>3</v>
      </c>
      <c r="AF145" s="44">
        <f t="shared" si="39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7"/>
        <v>3.3</v>
      </c>
      <c r="C146" s="55">
        <v>3.3</v>
      </c>
      <c r="D146" s="44">
        <f t="shared" si="38"/>
        <v>3.3</v>
      </c>
      <c r="E146" s="44">
        <f t="shared" si="38"/>
        <v>3.3</v>
      </c>
      <c r="F146" s="44">
        <f t="shared" si="38"/>
        <v>3.3</v>
      </c>
      <c r="G146" s="44">
        <f t="shared" si="38"/>
        <v>3.3</v>
      </c>
      <c r="H146" s="44">
        <f t="shared" si="38"/>
        <v>3.3</v>
      </c>
      <c r="I146" s="44">
        <f t="shared" si="38"/>
        <v>3.3</v>
      </c>
      <c r="J146" s="44">
        <f t="shared" si="38"/>
        <v>3.3</v>
      </c>
      <c r="K146" s="44">
        <f t="shared" si="38"/>
        <v>3.3</v>
      </c>
      <c r="L146" s="44">
        <f t="shared" si="38"/>
        <v>3.3</v>
      </c>
      <c r="M146" s="44">
        <f t="shared" si="38"/>
        <v>3.3</v>
      </c>
      <c r="N146" s="44">
        <f t="shared" si="38"/>
        <v>3.3</v>
      </c>
      <c r="O146" s="44">
        <f t="shared" si="38"/>
        <v>3.3</v>
      </c>
      <c r="P146" s="44">
        <f t="shared" si="38"/>
        <v>3.3</v>
      </c>
      <c r="Q146" s="44">
        <f t="shared" si="38"/>
        <v>3.3</v>
      </c>
      <c r="R146" s="44">
        <f t="shared" si="38"/>
        <v>3.3</v>
      </c>
      <c r="S146" s="44">
        <f t="shared" si="38"/>
        <v>3.3</v>
      </c>
      <c r="T146" s="44">
        <f t="shared" si="39"/>
        <v>3.3</v>
      </c>
      <c r="U146" s="44">
        <f t="shared" si="39"/>
        <v>3.3</v>
      </c>
      <c r="V146" s="44">
        <f t="shared" si="39"/>
        <v>3.3</v>
      </c>
      <c r="W146" s="44">
        <f t="shared" si="39"/>
        <v>3.3</v>
      </c>
      <c r="X146" s="44">
        <f t="shared" si="39"/>
        <v>3.3</v>
      </c>
      <c r="Y146" s="44">
        <f t="shared" si="39"/>
        <v>3.3</v>
      </c>
      <c r="Z146" s="44">
        <f t="shared" si="39"/>
        <v>3.3</v>
      </c>
      <c r="AA146" s="44">
        <f t="shared" si="39"/>
        <v>3.3</v>
      </c>
      <c r="AB146" s="44">
        <f t="shared" si="39"/>
        <v>3.3</v>
      </c>
      <c r="AC146" s="44">
        <f t="shared" si="39"/>
        <v>3.3</v>
      </c>
      <c r="AD146" s="44">
        <f t="shared" si="39"/>
        <v>3.3</v>
      </c>
      <c r="AE146" s="44">
        <f t="shared" si="39"/>
        <v>3.3</v>
      </c>
      <c r="AF146" s="44">
        <f t="shared" si="39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0">C148</f>
        <v>1.76</v>
      </c>
      <c r="E148" s="44">
        <f t="shared" si="40"/>
        <v>1.76</v>
      </c>
      <c r="F148" s="44">
        <f t="shared" si="40"/>
        <v>1.76</v>
      </c>
      <c r="G148" s="44">
        <f t="shared" si="40"/>
        <v>1.76</v>
      </c>
      <c r="H148" s="44">
        <f t="shared" si="40"/>
        <v>1.76</v>
      </c>
      <c r="I148" s="44">
        <f t="shared" si="40"/>
        <v>1.76</v>
      </c>
      <c r="J148" s="44">
        <f t="shared" si="40"/>
        <v>1.76</v>
      </c>
      <c r="K148" s="44">
        <f t="shared" si="40"/>
        <v>1.76</v>
      </c>
      <c r="L148" s="44">
        <f t="shared" si="40"/>
        <v>1.76</v>
      </c>
      <c r="M148" s="44">
        <f t="shared" si="40"/>
        <v>1.76</v>
      </c>
      <c r="N148" s="44">
        <f t="shared" si="40"/>
        <v>1.76</v>
      </c>
      <c r="O148" s="44">
        <f t="shared" si="40"/>
        <v>1.76</v>
      </c>
      <c r="P148" s="44">
        <f t="shared" si="40"/>
        <v>1.76</v>
      </c>
      <c r="Q148" s="44">
        <f t="shared" si="40"/>
        <v>1.76</v>
      </c>
      <c r="R148" s="44">
        <f t="shared" si="40"/>
        <v>1.76</v>
      </c>
      <c r="S148" s="44">
        <f t="shared" si="40"/>
        <v>1.76</v>
      </c>
      <c r="T148" s="44">
        <f t="shared" ref="T148:AF149" si="41">S148</f>
        <v>1.76</v>
      </c>
      <c r="U148" s="44">
        <f t="shared" si="41"/>
        <v>1.76</v>
      </c>
      <c r="V148" s="44">
        <f t="shared" si="41"/>
        <v>1.76</v>
      </c>
      <c r="W148" s="44">
        <f t="shared" si="41"/>
        <v>1.76</v>
      </c>
      <c r="X148" s="44">
        <f t="shared" si="41"/>
        <v>1.76</v>
      </c>
      <c r="Y148" s="44">
        <f t="shared" si="41"/>
        <v>1.76</v>
      </c>
      <c r="Z148" s="44">
        <f t="shared" si="41"/>
        <v>1.76</v>
      </c>
      <c r="AA148" s="44">
        <f t="shared" si="41"/>
        <v>1.76</v>
      </c>
      <c r="AB148" s="44">
        <f t="shared" si="41"/>
        <v>1.76</v>
      </c>
      <c r="AC148" s="44">
        <f t="shared" si="41"/>
        <v>1.76</v>
      </c>
      <c r="AD148" s="44">
        <f t="shared" si="41"/>
        <v>1.76</v>
      </c>
      <c r="AE148" s="44">
        <f t="shared" si="41"/>
        <v>1.76</v>
      </c>
      <c r="AF148" s="44">
        <f t="shared" si="41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0"/>
        <v>0</v>
      </c>
      <c r="E149" s="44">
        <f t="shared" si="40"/>
        <v>0</v>
      </c>
      <c r="F149" s="44">
        <f t="shared" si="40"/>
        <v>0</v>
      </c>
      <c r="G149" s="44">
        <f t="shared" si="40"/>
        <v>0</v>
      </c>
      <c r="H149" s="44">
        <f t="shared" si="40"/>
        <v>0</v>
      </c>
      <c r="I149" s="44">
        <f t="shared" si="40"/>
        <v>0</v>
      </c>
      <c r="J149" s="44">
        <f t="shared" si="40"/>
        <v>0</v>
      </c>
      <c r="K149" s="44">
        <f t="shared" si="40"/>
        <v>0</v>
      </c>
      <c r="L149" s="44">
        <f t="shared" si="40"/>
        <v>0</v>
      </c>
      <c r="M149" s="44">
        <f t="shared" si="40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1"/>
        <v>0</v>
      </c>
      <c r="U149" s="44">
        <f t="shared" si="41"/>
        <v>0</v>
      </c>
      <c r="V149" s="44">
        <f t="shared" si="41"/>
        <v>0</v>
      </c>
      <c r="W149" s="44">
        <f t="shared" si="41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  <c r="AF149" s="44">
        <f t="shared" si="41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2">C151</f>
        <v>0.1</v>
      </c>
      <c r="E151" s="44">
        <f t="shared" si="42"/>
        <v>0.1</v>
      </c>
      <c r="F151" s="44">
        <f t="shared" si="42"/>
        <v>0.1</v>
      </c>
      <c r="G151" s="44">
        <f t="shared" si="42"/>
        <v>0.1</v>
      </c>
      <c r="H151" s="44">
        <f t="shared" si="42"/>
        <v>0.1</v>
      </c>
      <c r="I151" s="44">
        <f t="shared" si="42"/>
        <v>0.1</v>
      </c>
      <c r="J151" s="44">
        <f t="shared" si="42"/>
        <v>0.1</v>
      </c>
      <c r="K151" s="44">
        <f t="shared" si="42"/>
        <v>0.1</v>
      </c>
      <c r="L151" s="44">
        <f t="shared" si="42"/>
        <v>0.1</v>
      </c>
      <c r="M151" s="44">
        <f t="shared" si="42"/>
        <v>0.1</v>
      </c>
      <c r="N151" s="44">
        <f t="shared" si="42"/>
        <v>0.1</v>
      </c>
      <c r="O151" s="44">
        <f t="shared" si="42"/>
        <v>0.1</v>
      </c>
      <c r="P151" s="44">
        <f t="shared" si="42"/>
        <v>0.1</v>
      </c>
      <c r="Q151" s="44">
        <f t="shared" si="42"/>
        <v>0.1</v>
      </c>
      <c r="R151" s="44">
        <f t="shared" si="42"/>
        <v>0.1</v>
      </c>
      <c r="S151" s="44">
        <f t="shared" si="42"/>
        <v>0.1</v>
      </c>
      <c r="T151" s="44">
        <f t="shared" ref="T151:AF154" si="43">S151</f>
        <v>0.1</v>
      </c>
      <c r="U151" s="44">
        <f t="shared" si="43"/>
        <v>0.1</v>
      </c>
      <c r="V151" s="44">
        <f t="shared" si="43"/>
        <v>0.1</v>
      </c>
      <c r="W151" s="44">
        <f t="shared" si="43"/>
        <v>0.1</v>
      </c>
      <c r="X151" s="44">
        <f t="shared" si="43"/>
        <v>0.1</v>
      </c>
      <c r="Y151" s="44">
        <f t="shared" si="43"/>
        <v>0.1</v>
      </c>
      <c r="Z151" s="44">
        <f t="shared" si="43"/>
        <v>0.1</v>
      </c>
      <c r="AA151" s="44">
        <f t="shared" si="43"/>
        <v>0.1</v>
      </c>
      <c r="AB151" s="44">
        <f t="shared" si="43"/>
        <v>0.1</v>
      </c>
      <c r="AC151" s="44">
        <f t="shared" si="43"/>
        <v>0.1</v>
      </c>
      <c r="AD151" s="44">
        <f t="shared" si="43"/>
        <v>0.1</v>
      </c>
      <c r="AE151" s="44">
        <f t="shared" si="43"/>
        <v>0.1</v>
      </c>
      <c r="AF151" s="44">
        <f t="shared" si="43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2"/>
        <v>2.0499999999999998</v>
      </c>
      <c r="E152" s="44">
        <f t="shared" si="42"/>
        <v>2.0499999999999998</v>
      </c>
      <c r="F152" s="44">
        <f t="shared" si="42"/>
        <v>2.0499999999999998</v>
      </c>
      <c r="G152" s="44">
        <f t="shared" si="42"/>
        <v>2.0499999999999998</v>
      </c>
      <c r="H152" s="44">
        <f t="shared" si="42"/>
        <v>2.0499999999999998</v>
      </c>
      <c r="I152" s="44">
        <f t="shared" si="42"/>
        <v>2.0499999999999998</v>
      </c>
      <c r="J152" s="44">
        <f t="shared" si="42"/>
        <v>2.0499999999999998</v>
      </c>
      <c r="K152" s="44">
        <f t="shared" si="42"/>
        <v>2.0499999999999998</v>
      </c>
      <c r="L152" s="44">
        <f t="shared" si="42"/>
        <v>2.0499999999999998</v>
      </c>
      <c r="M152" s="44">
        <f t="shared" si="42"/>
        <v>2.0499999999999998</v>
      </c>
      <c r="N152" s="44">
        <f t="shared" si="42"/>
        <v>2.0499999999999998</v>
      </c>
      <c r="O152" s="44">
        <f t="shared" si="42"/>
        <v>2.0499999999999998</v>
      </c>
      <c r="P152" s="44">
        <f t="shared" si="42"/>
        <v>2.0499999999999998</v>
      </c>
      <c r="Q152" s="44">
        <f t="shared" si="42"/>
        <v>2.0499999999999998</v>
      </c>
      <c r="R152" s="44">
        <f t="shared" si="42"/>
        <v>2.0499999999999998</v>
      </c>
      <c r="S152" s="44">
        <f t="shared" si="42"/>
        <v>2.0499999999999998</v>
      </c>
      <c r="T152" s="44">
        <f t="shared" si="43"/>
        <v>2.0499999999999998</v>
      </c>
      <c r="U152" s="44">
        <f t="shared" si="43"/>
        <v>2.0499999999999998</v>
      </c>
      <c r="V152" s="44">
        <f t="shared" si="43"/>
        <v>2.0499999999999998</v>
      </c>
      <c r="W152" s="44">
        <f t="shared" si="43"/>
        <v>2.0499999999999998</v>
      </c>
      <c r="X152" s="44">
        <f t="shared" si="43"/>
        <v>2.0499999999999998</v>
      </c>
      <c r="Y152" s="44">
        <f t="shared" si="43"/>
        <v>2.0499999999999998</v>
      </c>
      <c r="Z152" s="44">
        <f t="shared" si="43"/>
        <v>2.0499999999999998</v>
      </c>
      <c r="AA152" s="44">
        <f t="shared" si="43"/>
        <v>2.0499999999999998</v>
      </c>
      <c r="AB152" s="44">
        <f t="shared" si="43"/>
        <v>2.0499999999999998</v>
      </c>
      <c r="AC152" s="44">
        <f t="shared" si="43"/>
        <v>2.0499999999999998</v>
      </c>
      <c r="AD152" s="44">
        <f t="shared" si="43"/>
        <v>2.0499999999999998</v>
      </c>
      <c r="AE152" s="44">
        <f t="shared" si="43"/>
        <v>2.0499999999999998</v>
      </c>
      <c r="AF152" s="44">
        <f t="shared" si="43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2"/>
        <v>2.7</v>
      </c>
      <c r="E153" s="44">
        <f t="shared" si="42"/>
        <v>2.7</v>
      </c>
      <c r="F153" s="44">
        <f t="shared" si="42"/>
        <v>2.7</v>
      </c>
      <c r="G153" s="44">
        <f t="shared" si="42"/>
        <v>2.7</v>
      </c>
      <c r="H153" s="44">
        <f t="shared" si="42"/>
        <v>2.7</v>
      </c>
      <c r="I153" s="44">
        <f t="shared" si="42"/>
        <v>2.7</v>
      </c>
      <c r="J153" s="44">
        <f t="shared" si="42"/>
        <v>2.7</v>
      </c>
      <c r="K153" s="44">
        <f t="shared" si="42"/>
        <v>2.7</v>
      </c>
      <c r="L153" s="44">
        <f t="shared" si="42"/>
        <v>2.7</v>
      </c>
      <c r="M153" s="44">
        <f t="shared" si="42"/>
        <v>2.7</v>
      </c>
      <c r="N153" s="44">
        <f t="shared" si="42"/>
        <v>2.7</v>
      </c>
      <c r="O153" s="44">
        <f t="shared" si="42"/>
        <v>2.7</v>
      </c>
      <c r="P153" s="44">
        <f t="shared" si="42"/>
        <v>2.7</v>
      </c>
      <c r="Q153" s="44">
        <f t="shared" si="42"/>
        <v>2.7</v>
      </c>
      <c r="R153" s="44">
        <f t="shared" si="42"/>
        <v>2.7</v>
      </c>
      <c r="S153" s="44">
        <f t="shared" si="42"/>
        <v>2.7</v>
      </c>
      <c r="T153" s="44">
        <f t="shared" si="43"/>
        <v>2.7</v>
      </c>
      <c r="U153" s="44">
        <f t="shared" si="43"/>
        <v>2.7</v>
      </c>
      <c r="V153" s="44">
        <f t="shared" si="43"/>
        <v>2.7</v>
      </c>
      <c r="W153" s="44">
        <f t="shared" si="43"/>
        <v>2.7</v>
      </c>
      <c r="X153" s="44">
        <f t="shared" si="43"/>
        <v>2.7</v>
      </c>
      <c r="Y153" s="44">
        <f t="shared" si="43"/>
        <v>2.7</v>
      </c>
      <c r="Z153" s="44">
        <f t="shared" si="43"/>
        <v>2.7</v>
      </c>
      <c r="AA153" s="44">
        <f t="shared" si="43"/>
        <v>2.7</v>
      </c>
      <c r="AB153" s="44">
        <f t="shared" si="43"/>
        <v>2.7</v>
      </c>
      <c r="AC153" s="44">
        <f t="shared" si="43"/>
        <v>2.7</v>
      </c>
      <c r="AD153" s="44">
        <f t="shared" si="43"/>
        <v>2.7</v>
      </c>
      <c r="AE153" s="44">
        <f t="shared" si="43"/>
        <v>2.7</v>
      </c>
      <c r="AF153" s="44">
        <f t="shared" si="43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2"/>
        <v>2.15</v>
      </c>
      <c r="E154" s="44">
        <f t="shared" si="42"/>
        <v>2.15</v>
      </c>
      <c r="F154" s="44">
        <f t="shared" si="42"/>
        <v>2.15</v>
      </c>
      <c r="G154" s="44">
        <f t="shared" si="42"/>
        <v>2.15</v>
      </c>
      <c r="H154" s="44">
        <f t="shared" si="42"/>
        <v>2.15</v>
      </c>
      <c r="I154" s="44">
        <f t="shared" si="42"/>
        <v>2.15</v>
      </c>
      <c r="J154" s="44">
        <f t="shared" si="42"/>
        <v>2.15</v>
      </c>
      <c r="K154" s="44">
        <f t="shared" si="42"/>
        <v>2.15</v>
      </c>
      <c r="L154" s="44">
        <f t="shared" si="42"/>
        <v>2.15</v>
      </c>
      <c r="M154" s="44">
        <f t="shared" si="42"/>
        <v>2.15</v>
      </c>
      <c r="N154" s="44">
        <f t="shared" si="42"/>
        <v>2.15</v>
      </c>
      <c r="O154" s="44">
        <f t="shared" si="42"/>
        <v>2.15</v>
      </c>
      <c r="P154" s="44">
        <f t="shared" si="42"/>
        <v>2.15</v>
      </c>
      <c r="Q154" s="44">
        <f t="shared" si="42"/>
        <v>2.15</v>
      </c>
      <c r="R154" s="44">
        <f t="shared" si="42"/>
        <v>2.15</v>
      </c>
      <c r="S154" s="44">
        <f t="shared" si="42"/>
        <v>2.15</v>
      </c>
      <c r="T154" s="44">
        <f t="shared" si="43"/>
        <v>2.15</v>
      </c>
      <c r="U154" s="44">
        <f t="shared" si="43"/>
        <v>2.15</v>
      </c>
      <c r="V154" s="44">
        <f t="shared" si="43"/>
        <v>2.15</v>
      </c>
      <c r="W154" s="44">
        <f t="shared" si="43"/>
        <v>2.15</v>
      </c>
      <c r="X154" s="44">
        <f t="shared" si="43"/>
        <v>2.15</v>
      </c>
      <c r="Y154" s="44">
        <f t="shared" si="43"/>
        <v>2.15</v>
      </c>
      <c r="Z154" s="44">
        <f t="shared" si="43"/>
        <v>2.15</v>
      </c>
      <c r="AA154" s="44">
        <f t="shared" si="43"/>
        <v>2.15</v>
      </c>
      <c r="AB154" s="44">
        <f t="shared" si="43"/>
        <v>2.15</v>
      </c>
      <c r="AC154" s="44">
        <f t="shared" si="43"/>
        <v>2.15</v>
      </c>
      <c r="AD154" s="44">
        <f t="shared" si="43"/>
        <v>2.15</v>
      </c>
      <c r="AE154" s="44">
        <f t="shared" si="43"/>
        <v>2.15</v>
      </c>
      <c r="AF154" s="44">
        <f t="shared" si="43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4">AF156</f>
        <v>0.9</v>
      </c>
      <c r="C156" s="55">
        <v>0.9</v>
      </c>
      <c r="D156" s="44">
        <f t="shared" ref="D156:S168" si="45">C156</f>
        <v>0.9</v>
      </c>
      <c r="E156" s="44">
        <f t="shared" si="45"/>
        <v>0.9</v>
      </c>
      <c r="F156" s="44">
        <f t="shared" si="45"/>
        <v>0.9</v>
      </c>
      <c r="G156" s="44">
        <f t="shared" si="45"/>
        <v>0.9</v>
      </c>
      <c r="H156" s="44">
        <f t="shared" si="45"/>
        <v>0.9</v>
      </c>
      <c r="I156" s="44">
        <f t="shared" si="45"/>
        <v>0.9</v>
      </c>
      <c r="J156" s="44">
        <f t="shared" si="45"/>
        <v>0.9</v>
      </c>
      <c r="K156" s="44">
        <f t="shared" si="45"/>
        <v>0.9</v>
      </c>
      <c r="L156" s="44">
        <f t="shared" si="45"/>
        <v>0.9</v>
      </c>
      <c r="M156" s="44">
        <f t="shared" si="45"/>
        <v>0.9</v>
      </c>
      <c r="N156" s="44">
        <f t="shared" si="45"/>
        <v>0.9</v>
      </c>
      <c r="O156" s="44">
        <f t="shared" si="45"/>
        <v>0.9</v>
      </c>
      <c r="P156" s="44">
        <f t="shared" si="45"/>
        <v>0.9</v>
      </c>
      <c r="Q156" s="44">
        <f t="shared" si="45"/>
        <v>0.9</v>
      </c>
      <c r="R156" s="44">
        <f t="shared" si="45"/>
        <v>0.9</v>
      </c>
      <c r="S156" s="44">
        <f t="shared" si="45"/>
        <v>0.9</v>
      </c>
      <c r="T156" s="44">
        <f t="shared" ref="S156:AF168" si="46">S156</f>
        <v>0.9</v>
      </c>
      <c r="U156" s="44">
        <f t="shared" si="46"/>
        <v>0.9</v>
      </c>
      <c r="V156" s="44">
        <f t="shared" si="46"/>
        <v>0.9</v>
      </c>
      <c r="W156" s="44">
        <f t="shared" si="46"/>
        <v>0.9</v>
      </c>
      <c r="X156" s="44">
        <f t="shared" si="46"/>
        <v>0.9</v>
      </c>
      <c r="Y156" s="44">
        <f t="shared" si="46"/>
        <v>0.9</v>
      </c>
      <c r="Z156" s="44">
        <f t="shared" si="46"/>
        <v>0.9</v>
      </c>
      <c r="AA156" s="44">
        <f t="shared" si="46"/>
        <v>0.9</v>
      </c>
      <c r="AB156" s="44">
        <f t="shared" si="46"/>
        <v>0.9</v>
      </c>
      <c r="AC156" s="44">
        <f t="shared" si="46"/>
        <v>0.9</v>
      </c>
      <c r="AD156" s="44">
        <f t="shared" si="46"/>
        <v>0.9</v>
      </c>
      <c r="AE156" s="44">
        <f t="shared" si="46"/>
        <v>0.9</v>
      </c>
      <c r="AF156" s="44">
        <f t="shared" si="46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4"/>
        <v>1.08</v>
      </c>
      <c r="C157" s="55">
        <v>1.08</v>
      </c>
      <c r="D157" s="44">
        <f t="shared" si="45"/>
        <v>1.08</v>
      </c>
      <c r="E157" s="44">
        <f t="shared" si="45"/>
        <v>1.08</v>
      </c>
      <c r="F157" s="44">
        <f t="shared" si="45"/>
        <v>1.08</v>
      </c>
      <c r="G157" s="44">
        <f t="shared" si="45"/>
        <v>1.08</v>
      </c>
      <c r="H157" s="44">
        <f t="shared" si="45"/>
        <v>1.08</v>
      </c>
      <c r="I157" s="44">
        <f t="shared" si="45"/>
        <v>1.08</v>
      </c>
      <c r="J157" s="44">
        <f t="shared" si="45"/>
        <v>1.08</v>
      </c>
      <c r="K157" s="44">
        <f t="shared" si="45"/>
        <v>1.08</v>
      </c>
      <c r="L157" s="44">
        <f t="shared" si="45"/>
        <v>1.08</v>
      </c>
      <c r="M157" s="44">
        <f t="shared" si="45"/>
        <v>1.08</v>
      </c>
      <c r="N157" s="44">
        <f t="shared" si="45"/>
        <v>1.08</v>
      </c>
      <c r="O157" s="44">
        <f t="shared" si="45"/>
        <v>1.08</v>
      </c>
      <c r="P157" s="44">
        <f t="shared" si="45"/>
        <v>1.08</v>
      </c>
      <c r="Q157" s="44">
        <f t="shared" si="45"/>
        <v>1.08</v>
      </c>
      <c r="R157" s="44">
        <f t="shared" si="45"/>
        <v>1.08</v>
      </c>
      <c r="S157" s="44">
        <f t="shared" si="45"/>
        <v>1.08</v>
      </c>
      <c r="T157" s="44">
        <f t="shared" si="46"/>
        <v>1.08</v>
      </c>
      <c r="U157" s="44">
        <f t="shared" si="46"/>
        <v>1.08</v>
      </c>
      <c r="V157" s="44">
        <f t="shared" si="46"/>
        <v>1.08</v>
      </c>
      <c r="W157" s="44">
        <f t="shared" si="46"/>
        <v>1.08</v>
      </c>
      <c r="X157" s="44">
        <f t="shared" si="46"/>
        <v>1.08</v>
      </c>
      <c r="Y157" s="44">
        <f t="shared" si="46"/>
        <v>1.08</v>
      </c>
      <c r="Z157" s="44">
        <f t="shared" si="46"/>
        <v>1.08</v>
      </c>
      <c r="AA157" s="44">
        <f t="shared" si="46"/>
        <v>1.08</v>
      </c>
      <c r="AB157" s="44">
        <f t="shared" si="46"/>
        <v>1.08</v>
      </c>
      <c r="AC157" s="44">
        <f t="shared" si="46"/>
        <v>1.08</v>
      </c>
      <c r="AD157" s="44">
        <f t="shared" si="46"/>
        <v>1.08</v>
      </c>
      <c r="AE157" s="44">
        <f t="shared" si="46"/>
        <v>1.08</v>
      </c>
      <c r="AF157" s="44">
        <f t="shared" si="46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4"/>
        <v>2.37</v>
      </c>
      <c r="C158" s="55">
        <v>2.37</v>
      </c>
      <c r="D158" s="44">
        <f t="shared" si="45"/>
        <v>2.37</v>
      </c>
      <c r="E158" s="44">
        <f t="shared" si="45"/>
        <v>2.37</v>
      </c>
      <c r="F158" s="44">
        <f t="shared" si="45"/>
        <v>2.37</v>
      </c>
      <c r="G158" s="44">
        <f t="shared" si="45"/>
        <v>2.37</v>
      </c>
      <c r="H158" s="44">
        <f t="shared" si="45"/>
        <v>2.37</v>
      </c>
      <c r="I158" s="44">
        <f t="shared" si="45"/>
        <v>2.37</v>
      </c>
      <c r="J158" s="44">
        <f t="shared" si="45"/>
        <v>2.37</v>
      </c>
      <c r="K158" s="44">
        <f t="shared" si="45"/>
        <v>2.37</v>
      </c>
      <c r="L158" s="44">
        <f t="shared" si="45"/>
        <v>2.37</v>
      </c>
      <c r="M158" s="44">
        <f t="shared" si="45"/>
        <v>2.37</v>
      </c>
      <c r="N158" s="44">
        <f t="shared" si="45"/>
        <v>2.37</v>
      </c>
      <c r="O158" s="44">
        <f t="shared" si="45"/>
        <v>2.37</v>
      </c>
      <c r="P158" s="44">
        <f t="shared" si="45"/>
        <v>2.37</v>
      </c>
      <c r="Q158" s="44">
        <f t="shared" si="45"/>
        <v>2.37</v>
      </c>
      <c r="R158" s="44">
        <f t="shared" si="45"/>
        <v>2.37</v>
      </c>
      <c r="S158" s="44">
        <f t="shared" si="45"/>
        <v>2.37</v>
      </c>
      <c r="T158" s="44">
        <f t="shared" si="46"/>
        <v>2.37</v>
      </c>
      <c r="U158" s="44">
        <f t="shared" si="46"/>
        <v>2.37</v>
      </c>
      <c r="V158" s="44">
        <f t="shared" si="46"/>
        <v>2.37</v>
      </c>
      <c r="W158" s="44">
        <f t="shared" si="46"/>
        <v>2.37</v>
      </c>
      <c r="X158" s="44">
        <f t="shared" si="46"/>
        <v>2.37</v>
      </c>
      <c r="Y158" s="44">
        <f t="shared" si="46"/>
        <v>2.37</v>
      </c>
      <c r="Z158" s="44">
        <f t="shared" si="46"/>
        <v>2.37</v>
      </c>
      <c r="AA158" s="44">
        <f t="shared" si="46"/>
        <v>2.37</v>
      </c>
      <c r="AB158" s="44">
        <f t="shared" si="46"/>
        <v>2.37</v>
      </c>
      <c r="AC158" s="44">
        <f t="shared" si="46"/>
        <v>2.37</v>
      </c>
      <c r="AD158" s="44">
        <f t="shared" si="46"/>
        <v>2.37</v>
      </c>
      <c r="AE158" s="44">
        <f t="shared" si="46"/>
        <v>2.37</v>
      </c>
      <c r="AF158" s="44">
        <f t="shared" si="46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4"/>
        <v>1.81</v>
      </c>
      <c r="C159" s="55">
        <v>1.81</v>
      </c>
      <c r="D159" s="44">
        <f t="shared" si="45"/>
        <v>1.81</v>
      </c>
      <c r="E159" s="44">
        <f t="shared" si="45"/>
        <v>1.81</v>
      </c>
      <c r="F159" s="44">
        <f t="shared" si="45"/>
        <v>1.81</v>
      </c>
      <c r="G159" s="44">
        <f t="shared" si="45"/>
        <v>1.81</v>
      </c>
      <c r="H159" s="44">
        <f t="shared" si="45"/>
        <v>1.81</v>
      </c>
      <c r="I159" s="44">
        <f t="shared" si="45"/>
        <v>1.81</v>
      </c>
      <c r="J159" s="44">
        <f t="shared" si="45"/>
        <v>1.81</v>
      </c>
      <c r="K159" s="44">
        <f t="shared" si="45"/>
        <v>1.81</v>
      </c>
      <c r="L159" s="44">
        <f t="shared" si="45"/>
        <v>1.81</v>
      </c>
      <c r="M159" s="44">
        <f t="shared" si="45"/>
        <v>1.81</v>
      </c>
      <c r="N159" s="44">
        <f t="shared" si="45"/>
        <v>1.81</v>
      </c>
      <c r="O159" s="44">
        <f t="shared" si="45"/>
        <v>1.81</v>
      </c>
      <c r="P159" s="44">
        <f t="shared" si="45"/>
        <v>1.81</v>
      </c>
      <c r="Q159" s="44">
        <f t="shared" si="45"/>
        <v>1.81</v>
      </c>
      <c r="R159" s="44">
        <f t="shared" si="45"/>
        <v>1.81</v>
      </c>
      <c r="S159" s="44">
        <f t="shared" si="45"/>
        <v>1.81</v>
      </c>
      <c r="T159" s="44">
        <f t="shared" si="46"/>
        <v>1.81</v>
      </c>
      <c r="U159" s="44">
        <f t="shared" si="46"/>
        <v>1.81</v>
      </c>
      <c r="V159" s="44">
        <f t="shared" si="46"/>
        <v>1.81</v>
      </c>
      <c r="W159" s="44">
        <f t="shared" si="46"/>
        <v>1.81</v>
      </c>
      <c r="X159" s="44">
        <f t="shared" si="46"/>
        <v>1.81</v>
      </c>
      <c r="Y159" s="44">
        <f t="shared" si="46"/>
        <v>1.81</v>
      </c>
      <c r="Z159" s="44">
        <f t="shared" si="46"/>
        <v>1.81</v>
      </c>
      <c r="AA159" s="44">
        <f t="shared" si="46"/>
        <v>1.81</v>
      </c>
      <c r="AB159" s="44">
        <f t="shared" si="46"/>
        <v>1.81</v>
      </c>
      <c r="AC159" s="44">
        <f t="shared" si="46"/>
        <v>1.81</v>
      </c>
      <c r="AD159" s="44">
        <f t="shared" si="46"/>
        <v>1.81</v>
      </c>
      <c r="AE159" s="44">
        <f t="shared" si="46"/>
        <v>1.81</v>
      </c>
      <c r="AF159" s="44">
        <f t="shared" si="46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4"/>
        <v>1.0900000000000001</v>
      </c>
      <c r="C160" s="55">
        <v>1.0900000000000001</v>
      </c>
      <c r="D160" s="44">
        <f t="shared" si="45"/>
        <v>1.0900000000000001</v>
      </c>
      <c r="E160" s="44">
        <f t="shared" si="45"/>
        <v>1.0900000000000001</v>
      </c>
      <c r="F160" s="44">
        <f t="shared" si="45"/>
        <v>1.0900000000000001</v>
      </c>
      <c r="G160" s="44">
        <f t="shared" si="45"/>
        <v>1.0900000000000001</v>
      </c>
      <c r="H160" s="44">
        <f t="shared" si="45"/>
        <v>1.0900000000000001</v>
      </c>
      <c r="I160" s="44">
        <f t="shared" si="45"/>
        <v>1.0900000000000001</v>
      </c>
      <c r="J160" s="44">
        <f t="shared" si="45"/>
        <v>1.0900000000000001</v>
      </c>
      <c r="K160" s="44">
        <f t="shared" si="45"/>
        <v>1.0900000000000001</v>
      </c>
      <c r="L160" s="44">
        <f t="shared" si="45"/>
        <v>1.0900000000000001</v>
      </c>
      <c r="M160" s="44">
        <f t="shared" si="45"/>
        <v>1.0900000000000001</v>
      </c>
      <c r="N160" s="44">
        <f t="shared" si="45"/>
        <v>1.0900000000000001</v>
      </c>
      <c r="O160" s="44">
        <f t="shared" si="45"/>
        <v>1.0900000000000001</v>
      </c>
      <c r="P160" s="44">
        <f t="shared" si="45"/>
        <v>1.0900000000000001</v>
      </c>
      <c r="Q160" s="44">
        <f t="shared" si="45"/>
        <v>1.0900000000000001</v>
      </c>
      <c r="R160" s="44">
        <f t="shared" si="45"/>
        <v>1.0900000000000001</v>
      </c>
      <c r="S160" s="44">
        <f t="shared" si="45"/>
        <v>1.0900000000000001</v>
      </c>
      <c r="T160" s="44">
        <f t="shared" si="46"/>
        <v>1.0900000000000001</v>
      </c>
      <c r="U160" s="44">
        <f t="shared" si="46"/>
        <v>1.0900000000000001</v>
      </c>
      <c r="V160" s="44">
        <f t="shared" si="46"/>
        <v>1.0900000000000001</v>
      </c>
      <c r="W160" s="44">
        <f t="shared" si="46"/>
        <v>1.0900000000000001</v>
      </c>
      <c r="X160" s="44">
        <f t="shared" si="46"/>
        <v>1.0900000000000001</v>
      </c>
      <c r="Y160" s="44">
        <f t="shared" si="46"/>
        <v>1.0900000000000001</v>
      </c>
      <c r="Z160" s="44">
        <f t="shared" si="46"/>
        <v>1.0900000000000001</v>
      </c>
      <c r="AA160" s="44">
        <f t="shared" si="46"/>
        <v>1.0900000000000001</v>
      </c>
      <c r="AB160" s="44">
        <f t="shared" si="46"/>
        <v>1.0900000000000001</v>
      </c>
      <c r="AC160" s="44">
        <f t="shared" si="46"/>
        <v>1.0900000000000001</v>
      </c>
      <c r="AD160" s="44">
        <f t="shared" si="46"/>
        <v>1.0900000000000001</v>
      </c>
      <c r="AE160" s="44">
        <f t="shared" si="46"/>
        <v>1.0900000000000001</v>
      </c>
      <c r="AF160" s="44">
        <f t="shared" si="46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4"/>
        <v>1.58</v>
      </c>
      <c r="C161" s="55">
        <v>1.58</v>
      </c>
      <c r="D161" s="44">
        <f t="shared" si="45"/>
        <v>1.58</v>
      </c>
      <c r="E161" s="44">
        <f t="shared" si="45"/>
        <v>1.58</v>
      </c>
      <c r="F161" s="44">
        <f t="shared" si="45"/>
        <v>1.58</v>
      </c>
      <c r="G161" s="44">
        <f t="shared" si="45"/>
        <v>1.58</v>
      </c>
      <c r="H161" s="44">
        <f t="shared" si="45"/>
        <v>1.58</v>
      </c>
      <c r="I161" s="44">
        <f t="shared" si="45"/>
        <v>1.58</v>
      </c>
      <c r="J161" s="44">
        <f t="shared" si="45"/>
        <v>1.58</v>
      </c>
      <c r="K161" s="44">
        <f t="shared" si="45"/>
        <v>1.58</v>
      </c>
      <c r="L161" s="44">
        <f t="shared" si="45"/>
        <v>1.58</v>
      </c>
      <c r="M161" s="44">
        <f t="shared" si="45"/>
        <v>1.58</v>
      </c>
      <c r="N161" s="44">
        <f t="shared" si="45"/>
        <v>1.58</v>
      </c>
      <c r="O161" s="44">
        <f t="shared" si="45"/>
        <v>1.58</v>
      </c>
      <c r="P161" s="44">
        <f t="shared" si="45"/>
        <v>1.58</v>
      </c>
      <c r="Q161" s="44">
        <f t="shared" si="45"/>
        <v>1.58</v>
      </c>
      <c r="R161" s="44">
        <f t="shared" si="45"/>
        <v>1.58</v>
      </c>
      <c r="S161" s="44">
        <f t="shared" si="45"/>
        <v>1.58</v>
      </c>
      <c r="T161" s="44">
        <f t="shared" si="46"/>
        <v>1.58</v>
      </c>
      <c r="U161" s="44">
        <f t="shared" si="46"/>
        <v>1.58</v>
      </c>
      <c r="V161" s="44">
        <f t="shared" si="46"/>
        <v>1.58</v>
      </c>
      <c r="W161" s="44">
        <f t="shared" si="46"/>
        <v>1.58</v>
      </c>
      <c r="X161" s="44">
        <f t="shared" si="46"/>
        <v>1.58</v>
      </c>
      <c r="Y161" s="44">
        <f t="shared" si="46"/>
        <v>1.58</v>
      </c>
      <c r="Z161" s="44">
        <f t="shared" si="46"/>
        <v>1.58</v>
      </c>
      <c r="AA161" s="44">
        <f t="shared" si="46"/>
        <v>1.58</v>
      </c>
      <c r="AB161" s="44">
        <f t="shared" si="46"/>
        <v>1.58</v>
      </c>
      <c r="AC161" s="44">
        <f t="shared" si="46"/>
        <v>1.58</v>
      </c>
      <c r="AD161" s="44">
        <f t="shared" si="46"/>
        <v>1.58</v>
      </c>
      <c r="AE161" s="44">
        <f t="shared" si="46"/>
        <v>1.58</v>
      </c>
      <c r="AF161" s="44">
        <f t="shared" si="46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4"/>
        <v>2</v>
      </c>
      <c r="C162" s="55">
        <v>2</v>
      </c>
      <c r="D162" s="44">
        <f t="shared" si="45"/>
        <v>2</v>
      </c>
      <c r="E162" s="44">
        <f t="shared" si="45"/>
        <v>2</v>
      </c>
      <c r="F162" s="44">
        <f t="shared" si="45"/>
        <v>2</v>
      </c>
      <c r="G162" s="44">
        <f t="shared" si="45"/>
        <v>2</v>
      </c>
      <c r="H162" s="44">
        <f t="shared" si="45"/>
        <v>2</v>
      </c>
      <c r="I162" s="44">
        <f t="shared" si="45"/>
        <v>2</v>
      </c>
      <c r="J162" s="44">
        <f t="shared" si="45"/>
        <v>2</v>
      </c>
      <c r="K162" s="44">
        <f t="shared" si="45"/>
        <v>2</v>
      </c>
      <c r="L162" s="44">
        <f t="shared" si="45"/>
        <v>2</v>
      </c>
      <c r="M162" s="44">
        <f t="shared" si="45"/>
        <v>2</v>
      </c>
      <c r="N162" s="44">
        <f t="shared" si="45"/>
        <v>2</v>
      </c>
      <c r="O162" s="44">
        <f t="shared" si="45"/>
        <v>2</v>
      </c>
      <c r="P162" s="44">
        <f t="shared" si="45"/>
        <v>2</v>
      </c>
      <c r="Q162" s="44">
        <f t="shared" si="45"/>
        <v>2</v>
      </c>
      <c r="R162" s="44">
        <f t="shared" si="45"/>
        <v>2</v>
      </c>
      <c r="S162" s="44">
        <f t="shared" si="45"/>
        <v>2</v>
      </c>
      <c r="T162" s="44">
        <f t="shared" si="46"/>
        <v>2</v>
      </c>
      <c r="U162" s="44">
        <f t="shared" si="46"/>
        <v>2</v>
      </c>
      <c r="V162" s="44">
        <f t="shared" si="46"/>
        <v>2</v>
      </c>
      <c r="W162" s="44">
        <f t="shared" si="46"/>
        <v>2</v>
      </c>
      <c r="X162" s="44">
        <f t="shared" si="46"/>
        <v>2</v>
      </c>
      <c r="Y162" s="44">
        <f t="shared" si="46"/>
        <v>2</v>
      </c>
      <c r="Z162" s="44">
        <f t="shared" si="46"/>
        <v>2</v>
      </c>
      <c r="AA162" s="44">
        <f t="shared" si="46"/>
        <v>2</v>
      </c>
      <c r="AB162" s="44">
        <f t="shared" si="46"/>
        <v>2</v>
      </c>
      <c r="AC162" s="44">
        <f t="shared" si="46"/>
        <v>2</v>
      </c>
      <c r="AD162" s="44">
        <f t="shared" si="46"/>
        <v>2</v>
      </c>
      <c r="AE162" s="44">
        <f t="shared" si="46"/>
        <v>2</v>
      </c>
      <c r="AF162" s="44">
        <f t="shared" si="46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4"/>
        <v>0.47</v>
      </c>
      <c r="C163" s="55">
        <v>0.47</v>
      </c>
      <c r="D163" s="44">
        <f t="shared" si="45"/>
        <v>0.47</v>
      </c>
      <c r="E163" s="44">
        <f t="shared" si="45"/>
        <v>0.47</v>
      </c>
      <c r="F163" s="44">
        <f t="shared" si="45"/>
        <v>0.47</v>
      </c>
      <c r="G163" s="44">
        <f t="shared" si="45"/>
        <v>0.47</v>
      </c>
      <c r="H163" s="44">
        <f t="shared" si="45"/>
        <v>0.47</v>
      </c>
      <c r="I163" s="44">
        <f t="shared" si="45"/>
        <v>0.47</v>
      </c>
      <c r="J163" s="44">
        <f t="shared" si="45"/>
        <v>0.47</v>
      </c>
      <c r="K163" s="44">
        <f t="shared" si="45"/>
        <v>0.47</v>
      </c>
      <c r="L163" s="44">
        <f t="shared" si="45"/>
        <v>0.47</v>
      </c>
      <c r="M163" s="44">
        <f t="shared" si="45"/>
        <v>0.47</v>
      </c>
      <c r="N163" s="44">
        <f t="shared" si="45"/>
        <v>0.47</v>
      </c>
      <c r="O163" s="44">
        <f t="shared" si="45"/>
        <v>0.47</v>
      </c>
      <c r="P163" s="44">
        <f t="shared" si="45"/>
        <v>0.47</v>
      </c>
      <c r="Q163" s="44">
        <f t="shared" si="45"/>
        <v>0.47</v>
      </c>
      <c r="R163" s="44">
        <f t="shared" si="45"/>
        <v>0.47</v>
      </c>
      <c r="S163" s="44">
        <f t="shared" si="45"/>
        <v>0.47</v>
      </c>
      <c r="T163" s="44">
        <f t="shared" si="46"/>
        <v>0.47</v>
      </c>
      <c r="U163" s="44">
        <f t="shared" si="46"/>
        <v>0.47</v>
      </c>
      <c r="V163" s="44">
        <f t="shared" si="46"/>
        <v>0.47</v>
      </c>
      <c r="W163" s="44">
        <f t="shared" si="46"/>
        <v>0.47</v>
      </c>
      <c r="X163" s="44">
        <f t="shared" si="46"/>
        <v>0.47</v>
      </c>
      <c r="Y163" s="44">
        <f t="shared" si="46"/>
        <v>0.47</v>
      </c>
      <c r="Z163" s="44">
        <f t="shared" si="46"/>
        <v>0.47</v>
      </c>
      <c r="AA163" s="44">
        <f t="shared" si="46"/>
        <v>0.47</v>
      </c>
      <c r="AB163" s="44">
        <f t="shared" si="46"/>
        <v>0.47</v>
      </c>
      <c r="AC163" s="44">
        <f t="shared" si="46"/>
        <v>0.47</v>
      </c>
      <c r="AD163" s="44">
        <f t="shared" si="46"/>
        <v>0.47</v>
      </c>
      <c r="AE163" s="44">
        <f t="shared" si="46"/>
        <v>0.47</v>
      </c>
      <c r="AF163" s="44">
        <f t="shared" si="46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4"/>
        <v>0</v>
      </c>
      <c r="C164" s="55">
        <v>0</v>
      </c>
      <c r="D164" s="44">
        <f t="shared" si="45"/>
        <v>0</v>
      </c>
      <c r="E164" s="44">
        <f t="shared" si="45"/>
        <v>0</v>
      </c>
      <c r="F164" s="44">
        <f t="shared" si="45"/>
        <v>0</v>
      </c>
      <c r="G164" s="44">
        <f t="shared" si="45"/>
        <v>0</v>
      </c>
      <c r="H164" s="44">
        <f t="shared" si="45"/>
        <v>0</v>
      </c>
      <c r="I164" s="44">
        <f t="shared" si="45"/>
        <v>0</v>
      </c>
      <c r="J164" s="44">
        <f t="shared" si="45"/>
        <v>0</v>
      </c>
      <c r="K164" s="44">
        <f t="shared" si="45"/>
        <v>0</v>
      </c>
      <c r="L164" s="44">
        <f t="shared" si="45"/>
        <v>0</v>
      </c>
      <c r="M164" s="44">
        <f t="shared" si="45"/>
        <v>0</v>
      </c>
      <c r="N164" s="44">
        <f t="shared" si="45"/>
        <v>0</v>
      </c>
      <c r="O164" s="44">
        <f t="shared" si="45"/>
        <v>0</v>
      </c>
      <c r="P164" s="44">
        <f t="shared" si="45"/>
        <v>0</v>
      </c>
      <c r="Q164" s="44">
        <f t="shared" si="45"/>
        <v>0</v>
      </c>
      <c r="R164" s="44">
        <f t="shared" si="45"/>
        <v>0</v>
      </c>
      <c r="S164" s="44">
        <f t="shared" si="45"/>
        <v>0</v>
      </c>
      <c r="T164" s="44">
        <f t="shared" si="46"/>
        <v>0</v>
      </c>
      <c r="U164" s="44">
        <f t="shared" si="46"/>
        <v>0</v>
      </c>
      <c r="V164" s="44">
        <f t="shared" si="46"/>
        <v>0</v>
      </c>
      <c r="W164" s="44">
        <f t="shared" si="46"/>
        <v>0</v>
      </c>
      <c r="X164" s="44">
        <f t="shared" si="46"/>
        <v>0</v>
      </c>
      <c r="Y164" s="44">
        <f t="shared" si="46"/>
        <v>0</v>
      </c>
      <c r="Z164" s="44">
        <f t="shared" si="46"/>
        <v>0</v>
      </c>
      <c r="AA164" s="44">
        <f t="shared" si="46"/>
        <v>0</v>
      </c>
      <c r="AB164" s="44">
        <f t="shared" si="46"/>
        <v>0</v>
      </c>
      <c r="AC164" s="44">
        <f t="shared" si="46"/>
        <v>0</v>
      </c>
      <c r="AD164" s="44">
        <f t="shared" si="46"/>
        <v>0</v>
      </c>
      <c r="AE164" s="44">
        <f t="shared" si="46"/>
        <v>0</v>
      </c>
      <c r="AF164" s="44">
        <f t="shared" si="46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4"/>
        <v>0</v>
      </c>
      <c r="C165" s="55">
        <v>0</v>
      </c>
      <c r="D165" s="44">
        <f t="shared" si="45"/>
        <v>0</v>
      </c>
      <c r="E165" s="44">
        <f t="shared" si="45"/>
        <v>0</v>
      </c>
      <c r="F165" s="44">
        <f t="shared" si="45"/>
        <v>0</v>
      </c>
      <c r="G165" s="44">
        <f t="shared" si="45"/>
        <v>0</v>
      </c>
      <c r="H165" s="44">
        <f t="shared" si="45"/>
        <v>0</v>
      </c>
      <c r="I165" s="44">
        <f t="shared" si="45"/>
        <v>0</v>
      </c>
      <c r="J165" s="44">
        <f t="shared" si="45"/>
        <v>0</v>
      </c>
      <c r="K165" s="44">
        <f t="shared" si="45"/>
        <v>0</v>
      </c>
      <c r="L165" s="44">
        <f t="shared" si="45"/>
        <v>0</v>
      </c>
      <c r="M165" s="44">
        <f t="shared" si="45"/>
        <v>0</v>
      </c>
      <c r="N165" s="44">
        <f t="shared" si="45"/>
        <v>0</v>
      </c>
      <c r="O165" s="44">
        <f t="shared" si="45"/>
        <v>0</v>
      </c>
      <c r="P165" s="44">
        <f t="shared" si="45"/>
        <v>0</v>
      </c>
      <c r="Q165" s="44">
        <f t="shared" si="45"/>
        <v>0</v>
      </c>
      <c r="R165" s="44">
        <f t="shared" si="45"/>
        <v>0</v>
      </c>
      <c r="S165" s="44">
        <f t="shared" si="46"/>
        <v>0</v>
      </c>
      <c r="T165" s="44">
        <f t="shared" si="46"/>
        <v>0</v>
      </c>
      <c r="U165" s="44">
        <f t="shared" si="46"/>
        <v>0</v>
      </c>
      <c r="V165" s="44">
        <f t="shared" si="46"/>
        <v>0</v>
      </c>
      <c r="W165" s="44">
        <f t="shared" si="46"/>
        <v>0</v>
      </c>
      <c r="X165" s="44">
        <f t="shared" si="46"/>
        <v>0</v>
      </c>
      <c r="Y165" s="44">
        <f t="shared" si="46"/>
        <v>0</v>
      </c>
      <c r="Z165" s="44">
        <f t="shared" si="46"/>
        <v>0</v>
      </c>
      <c r="AA165" s="44">
        <f t="shared" si="46"/>
        <v>0</v>
      </c>
      <c r="AB165" s="44">
        <f t="shared" si="46"/>
        <v>0</v>
      </c>
      <c r="AC165" s="44">
        <f t="shared" si="46"/>
        <v>0</v>
      </c>
      <c r="AD165" s="44">
        <f t="shared" si="46"/>
        <v>0</v>
      </c>
      <c r="AE165" s="44">
        <f t="shared" si="46"/>
        <v>0</v>
      </c>
      <c r="AF165" s="44">
        <f t="shared" si="46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4"/>
        <v>0.8</v>
      </c>
      <c r="C166" s="55">
        <v>0.8</v>
      </c>
      <c r="D166" s="44">
        <f t="shared" si="45"/>
        <v>0.8</v>
      </c>
      <c r="E166" s="44">
        <f t="shared" si="45"/>
        <v>0.8</v>
      </c>
      <c r="F166" s="44">
        <f t="shared" si="45"/>
        <v>0.8</v>
      </c>
      <c r="G166" s="44">
        <f t="shared" si="45"/>
        <v>0.8</v>
      </c>
      <c r="H166" s="44">
        <f t="shared" si="45"/>
        <v>0.8</v>
      </c>
      <c r="I166" s="44">
        <f t="shared" si="45"/>
        <v>0.8</v>
      </c>
      <c r="J166" s="44">
        <f t="shared" si="45"/>
        <v>0.8</v>
      </c>
      <c r="K166" s="44">
        <f t="shared" si="45"/>
        <v>0.8</v>
      </c>
      <c r="L166" s="44">
        <f t="shared" si="45"/>
        <v>0.8</v>
      </c>
      <c r="M166" s="44">
        <f t="shared" si="45"/>
        <v>0.8</v>
      </c>
      <c r="N166" s="44">
        <f t="shared" si="45"/>
        <v>0.8</v>
      </c>
      <c r="O166" s="44">
        <f t="shared" si="45"/>
        <v>0.8</v>
      </c>
      <c r="P166" s="44">
        <f t="shared" si="45"/>
        <v>0.8</v>
      </c>
      <c r="Q166" s="44">
        <f t="shared" si="45"/>
        <v>0.8</v>
      </c>
      <c r="R166" s="44">
        <f t="shared" si="45"/>
        <v>0.8</v>
      </c>
      <c r="S166" s="44">
        <f t="shared" si="46"/>
        <v>0.8</v>
      </c>
      <c r="T166" s="44">
        <f t="shared" si="46"/>
        <v>0.8</v>
      </c>
      <c r="U166" s="44">
        <f t="shared" si="46"/>
        <v>0.8</v>
      </c>
      <c r="V166" s="44">
        <f t="shared" si="46"/>
        <v>0.8</v>
      </c>
      <c r="W166" s="44">
        <f t="shared" si="46"/>
        <v>0.8</v>
      </c>
      <c r="X166" s="44">
        <f t="shared" si="46"/>
        <v>0.8</v>
      </c>
      <c r="Y166" s="44">
        <f t="shared" si="46"/>
        <v>0.8</v>
      </c>
      <c r="Z166" s="44">
        <f t="shared" si="46"/>
        <v>0.8</v>
      </c>
      <c r="AA166" s="44">
        <f t="shared" si="46"/>
        <v>0.8</v>
      </c>
      <c r="AB166" s="44">
        <f t="shared" si="46"/>
        <v>0.8</v>
      </c>
      <c r="AC166" s="44">
        <f t="shared" si="46"/>
        <v>0.8</v>
      </c>
      <c r="AD166" s="44">
        <f t="shared" si="46"/>
        <v>0.8</v>
      </c>
      <c r="AE166" s="44">
        <f t="shared" si="46"/>
        <v>0.8</v>
      </c>
      <c r="AF166" s="44">
        <f t="shared" si="46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4"/>
        <v>1.5</v>
      </c>
      <c r="C167" s="55">
        <v>1.5</v>
      </c>
      <c r="D167" s="44">
        <f t="shared" si="45"/>
        <v>1.5</v>
      </c>
      <c r="E167" s="44">
        <f t="shared" si="45"/>
        <v>1.5</v>
      </c>
      <c r="F167" s="44">
        <f t="shared" si="45"/>
        <v>1.5</v>
      </c>
      <c r="G167" s="44">
        <f t="shared" si="45"/>
        <v>1.5</v>
      </c>
      <c r="H167" s="44">
        <f t="shared" si="45"/>
        <v>1.5</v>
      </c>
      <c r="I167" s="44">
        <f t="shared" si="45"/>
        <v>1.5</v>
      </c>
      <c r="J167" s="44">
        <f t="shared" si="45"/>
        <v>1.5</v>
      </c>
      <c r="K167" s="44">
        <f t="shared" si="45"/>
        <v>1.5</v>
      </c>
      <c r="L167" s="44">
        <f t="shared" si="45"/>
        <v>1.5</v>
      </c>
      <c r="M167" s="44">
        <f t="shared" si="45"/>
        <v>1.5</v>
      </c>
      <c r="N167" s="44">
        <f t="shared" si="45"/>
        <v>1.5</v>
      </c>
      <c r="O167" s="44">
        <f t="shared" si="45"/>
        <v>1.5</v>
      </c>
      <c r="P167" s="44">
        <f t="shared" si="45"/>
        <v>1.5</v>
      </c>
      <c r="Q167" s="44">
        <f t="shared" si="45"/>
        <v>1.5</v>
      </c>
      <c r="R167" s="44">
        <f t="shared" si="45"/>
        <v>1.5</v>
      </c>
      <c r="S167" s="44">
        <f t="shared" si="46"/>
        <v>1.5</v>
      </c>
      <c r="T167" s="44">
        <f t="shared" si="46"/>
        <v>1.5</v>
      </c>
      <c r="U167" s="44">
        <f t="shared" si="46"/>
        <v>1.5</v>
      </c>
      <c r="V167" s="44">
        <f t="shared" si="46"/>
        <v>1.5</v>
      </c>
      <c r="W167" s="44">
        <f t="shared" si="46"/>
        <v>1.5</v>
      </c>
      <c r="X167" s="44">
        <f t="shared" si="46"/>
        <v>1.5</v>
      </c>
      <c r="Y167" s="44">
        <f t="shared" si="46"/>
        <v>1.5</v>
      </c>
      <c r="Z167" s="44">
        <f t="shared" si="46"/>
        <v>1.5</v>
      </c>
      <c r="AA167" s="44">
        <f t="shared" si="46"/>
        <v>1.5</v>
      </c>
      <c r="AB167" s="44">
        <f t="shared" si="46"/>
        <v>1.5</v>
      </c>
      <c r="AC167" s="44">
        <f t="shared" si="46"/>
        <v>1.5</v>
      </c>
      <c r="AD167" s="44">
        <f t="shared" si="46"/>
        <v>1.5</v>
      </c>
      <c r="AE167" s="44">
        <f t="shared" si="46"/>
        <v>1.5</v>
      </c>
      <c r="AF167" s="44">
        <f t="shared" si="46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4"/>
        <v>1</v>
      </c>
      <c r="C168" s="55">
        <v>1</v>
      </c>
      <c r="D168" s="44">
        <f t="shared" si="45"/>
        <v>1</v>
      </c>
      <c r="E168" s="44">
        <f t="shared" si="45"/>
        <v>1</v>
      </c>
      <c r="F168" s="44">
        <f t="shared" si="45"/>
        <v>1</v>
      </c>
      <c r="G168" s="44">
        <f t="shared" si="45"/>
        <v>1</v>
      </c>
      <c r="H168" s="44">
        <f t="shared" si="45"/>
        <v>1</v>
      </c>
      <c r="I168" s="44">
        <f t="shared" si="45"/>
        <v>1</v>
      </c>
      <c r="J168" s="44">
        <f t="shared" si="45"/>
        <v>1</v>
      </c>
      <c r="K168" s="44">
        <f t="shared" si="45"/>
        <v>1</v>
      </c>
      <c r="L168" s="44">
        <f t="shared" si="45"/>
        <v>1</v>
      </c>
      <c r="M168" s="44">
        <f t="shared" si="45"/>
        <v>1</v>
      </c>
      <c r="N168" s="44">
        <f t="shared" si="45"/>
        <v>1</v>
      </c>
      <c r="O168" s="44">
        <f t="shared" si="45"/>
        <v>1</v>
      </c>
      <c r="P168" s="44">
        <f t="shared" si="45"/>
        <v>1</v>
      </c>
      <c r="Q168" s="44">
        <f t="shared" si="45"/>
        <v>1</v>
      </c>
      <c r="R168" s="44">
        <f t="shared" si="45"/>
        <v>1</v>
      </c>
      <c r="S168" s="44">
        <f t="shared" si="46"/>
        <v>1</v>
      </c>
      <c r="T168" s="44">
        <f t="shared" si="46"/>
        <v>1</v>
      </c>
      <c r="U168" s="44">
        <f t="shared" si="46"/>
        <v>1</v>
      </c>
      <c r="V168" s="44">
        <f t="shared" si="46"/>
        <v>1</v>
      </c>
      <c r="W168" s="44">
        <f t="shared" si="46"/>
        <v>1</v>
      </c>
      <c r="X168" s="44">
        <f t="shared" si="46"/>
        <v>1</v>
      </c>
      <c r="Y168" s="44">
        <f t="shared" si="46"/>
        <v>1</v>
      </c>
      <c r="Z168" s="44">
        <f t="shared" si="46"/>
        <v>1</v>
      </c>
      <c r="AA168" s="44">
        <f t="shared" si="46"/>
        <v>1</v>
      </c>
      <c r="AB168" s="44">
        <f t="shared" si="46"/>
        <v>1</v>
      </c>
      <c r="AC168" s="44">
        <f t="shared" si="46"/>
        <v>1</v>
      </c>
      <c r="AD168" s="44">
        <f t="shared" si="46"/>
        <v>1</v>
      </c>
      <c r="AE168" s="44">
        <f t="shared" si="46"/>
        <v>1</v>
      </c>
      <c r="AF168" s="44">
        <f t="shared" si="46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7">AF170</f>
        <v>1</v>
      </c>
      <c r="C170" s="55">
        <v>1</v>
      </c>
      <c r="D170" s="44">
        <f t="shared" ref="D170:S177" si="48">C170</f>
        <v>1</v>
      </c>
      <c r="E170" s="44">
        <f t="shared" si="48"/>
        <v>1</v>
      </c>
      <c r="F170" s="44">
        <f t="shared" si="48"/>
        <v>1</v>
      </c>
      <c r="G170" s="44">
        <f t="shared" si="48"/>
        <v>1</v>
      </c>
      <c r="H170" s="44">
        <f t="shared" si="48"/>
        <v>1</v>
      </c>
      <c r="I170" s="44">
        <f t="shared" si="48"/>
        <v>1</v>
      </c>
      <c r="J170" s="44">
        <f t="shared" si="48"/>
        <v>1</v>
      </c>
      <c r="K170" s="44">
        <f t="shared" si="48"/>
        <v>1</v>
      </c>
      <c r="L170" s="44">
        <f t="shared" si="48"/>
        <v>1</v>
      </c>
      <c r="M170" s="44">
        <f t="shared" si="48"/>
        <v>1</v>
      </c>
      <c r="N170" s="44">
        <f t="shared" si="48"/>
        <v>1</v>
      </c>
      <c r="O170" s="44">
        <f t="shared" si="48"/>
        <v>1</v>
      </c>
      <c r="P170" s="44">
        <f t="shared" si="48"/>
        <v>1</v>
      </c>
      <c r="Q170" s="44">
        <f t="shared" si="48"/>
        <v>1</v>
      </c>
      <c r="R170" s="44">
        <f t="shared" si="48"/>
        <v>1</v>
      </c>
      <c r="S170" s="44">
        <f t="shared" si="48"/>
        <v>1</v>
      </c>
      <c r="T170" s="44">
        <f t="shared" ref="S170:AF177" si="49">S170</f>
        <v>1</v>
      </c>
      <c r="U170" s="44">
        <f t="shared" si="49"/>
        <v>1</v>
      </c>
      <c r="V170" s="44">
        <f t="shared" si="49"/>
        <v>1</v>
      </c>
      <c r="W170" s="44">
        <f t="shared" si="49"/>
        <v>1</v>
      </c>
      <c r="X170" s="44">
        <f t="shared" si="49"/>
        <v>1</v>
      </c>
      <c r="Y170" s="44">
        <f t="shared" si="49"/>
        <v>1</v>
      </c>
      <c r="Z170" s="44">
        <f t="shared" si="49"/>
        <v>1</v>
      </c>
      <c r="AA170" s="44">
        <f t="shared" si="49"/>
        <v>1</v>
      </c>
      <c r="AB170" s="44">
        <f t="shared" si="49"/>
        <v>1</v>
      </c>
      <c r="AC170" s="44">
        <f t="shared" si="49"/>
        <v>1</v>
      </c>
      <c r="AD170" s="44">
        <f t="shared" si="49"/>
        <v>1</v>
      </c>
      <c r="AE170" s="44">
        <f t="shared" si="49"/>
        <v>1</v>
      </c>
      <c r="AF170" s="44">
        <f t="shared" si="49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7"/>
        <v>0.42</v>
      </c>
      <c r="C171" s="55">
        <v>0.42</v>
      </c>
      <c r="D171" s="44">
        <f t="shared" si="48"/>
        <v>0.42</v>
      </c>
      <c r="E171" s="44">
        <f t="shared" si="48"/>
        <v>0.42</v>
      </c>
      <c r="F171" s="44">
        <f t="shared" si="48"/>
        <v>0.42</v>
      </c>
      <c r="G171" s="44">
        <f t="shared" si="48"/>
        <v>0.42</v>
      </c>
      <c r="H171" s="44">
        <f t="shared" si="48"/>
        <v>0.42</v>
      </c>
      <c r="I171" s="44">
        <f t="shared" si="48"/>
        <v>0.42</v>
      </c>
      <c r="J171" s="44">
        <f t="shared" si="48"/>
        <v>0.42</v>
      </c>
      <c r="K171" s="44">
        <f t="shared" si="48"/>
        <v>0.42</v>
      </c>
      <c r="L171" s="44">
        <f t="shared" si="48"/>
        <v>0.42</v>
      </c>
      <c r="M171" s="44">
        <f t="shared" si="48"/>
        <v>0.42</v>
      </c>
      <c r="N171" s="44">
        <f t="shared" si="48"/>
        <v>0.42</v>
      </c>
      <c r="O171" s="44">
        <f t="shared" si="48"/>
        <v>0.42</v>
      </c>
      <c r="P171" s="44">
        <f t="shared" si="48"/>
        <v>0.42</v>
      </c>
      <c r="Q171" s="44">
        <f t="shared" si="48"/>
        <v>0.42</v>
      </c>
      <c r="R171" s="44">
        <f t="shared" si="48"/>
        <v>0.42</v>
      </c>
      <c r="S171" s="44">
        <f t="shared" si="49"/>
        <v>0.42</v>
      </c>
      <c r="T171" s="44">
        <f t="shared" si="49"/>
        <v>0.42</v>
      </c>
      <c r="U171" s="44">
        <f t="shared" si="49"/>
        <v>0.42</v>
      </c>
      <c r="V171" s="44">
        <f t="shared" si="49"/>
        <v>0.42</v>
      </c>
      <c r="W171" s="44">
        <f t="shared" si="49"/>
        <v>0.42</v>
      </c>
      <c r="X171" s="44">
        <f t="shared" si="49"/>
        <v>0.42</v>
      </c>
      <c r="Y171" s="44">
        <f t="shared" si="49"/>
        <v>0.42</v>
      </c>
      <c r="Z171" s="44">
        <f t="shared" si="49"/>
        <v>0.42</v>
      </c>
      <c r="AA171" s="44">
        <f t="shared" si="49"/>
        <v>0.42</v>
      </c>
      <c r="AB171" s="44">
        <f t="shared" si="49"/>
        <v>0.42</v>
      </c>
      <c r="AC171" s="44">
        <f t="shared" si="49"/>
        <v>0.42</v>
      </c>
      <c r="AD171" s="44">
        <f t="shared" si="49"/>
        <v>0.42</v>
      </c>
      <c r="AE171" s="44">
        <f t="shared" si="49"/>
        <v>0.42</v>
      </c>
      <c r="AF171" s="44">
        <f t="shared" si="49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7"/>
        <v>0.46</v>
      </c>
      <c r="C172" s="55">
        <v>0.46</v>
      </c>
      <c r="D172" s="44">
        <f t="shared" si="48"/>
        <v>0.46</v>
      </c>
      <c r="E172" s="44">
        <f t="shared" si="48"/>
        <v>0.46</v>
      </c>
      <c r="F172" s="44">
        <f t="shared" si="48"/>
        <v>0.46</v>
      </c>
      <c r="G172" s="44">
        <f t="shared" si="48"/>
        <v>0.46</v>
      </c>
      <c r="H172" s="44">
        <f t="shared" si="48"/>
        <v>0.46</v>
      </c>
      <c r="I172" s="44">
        <f t="shared" si="48"/>
        <v>0.46</v>
      </c>
      <c r="J172" s="44">
        <f t="shared" si="48"/>
        <v>0.46</v>
      </c>
      <c r="K172" s="44">
        <f t="shared" si="48"/>
        <v>0.46</v>
      </c>
      <c r="L172" s="44">
        <f t="shared" si="48"/>
        <v>0.46</v>
      </c>
      <c r="M172" s="44">
        <f t="shared" si="48"/>
        <v>0.46</v>
      </c>
      <c r="N172" s="44">
        <f t="shared" si="48"/>
        <v>0.46</v>
      </c>
      <c r="O172" s="44">
        <f t="shared" si="48"/>
        <v>0.46</v>
      </c>
      <c r="P172" s="44">
        <f t="shared" si="48"/>
        <v>0.46</v>
      </c>
      <c r="Q172" s="44">
        <f t="shared" si="48"/>
        <v>0.46</v>
      </c>
      <c r="R172" s="44">
        <f t="shared" si="48"/>
        <v>0.46</v>
      </c>
      <c r="S172" s="44">
        <f t="shared" si="49"/>
        <v>0.46</v>
      </c>
      <c r="T172" s="44">
        <f t="shared" si="49"/>
        <v>0.46</v>
      </c>
      <c r="U172" s="44">
        <f t="shared" si="49"/>
        <v>0.46</v>
      </c>
      <c r="V172" s="44">
        <f t="shared" si="49"/>
        <v>0.46</v>
      </c>
      <c r="W172" s="44">
        <f t="shared" si="49"/>
        <v>0.46</v>
      </c>
      <c r="X172" s="44">
        <f t="shared" si="49"/>
        <v>0.46</v>
      </c>
      <c r="Y172" s="44">
        <f t="shared" si="49"/>
        <v>0.46</v>
      </c>
      <c r="Z172" s="44">
        <f t="shared" si="49"/>
        <v>0.46</v>
      </c>
      <c r="AA172" s="44">
        <f t="shared" si="49"/>
        <v>0.46</v>
      </c>
      <c r="AB172" s="44">
        <f t="shared" si="49"/>
        <v>0.46</v>
      </c>
      <c r="AC172" s="44">
        <f t="shared" si="49"/>
        <v>0.46</v>
      </c>
      <c r="AD172" s="44">
        <f t="shared" si="49"/>
        <v>0.46</v>
      </c>
      <c r="AE172" s="44">
        <f t="shared" si="49"/>
        <v>0.46</v>
      </c>
      <c r="AF172" s="44">
        <f t="shared" si="49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7"/>
        <v>0.85</v>
      </c>
      <c r="C173" s="55">
        <v>0.85</v>
      </c>
      <c r="D173" s="44">
        <f t="shared" si="48"/>
        <v>0.85</v>
      </c>
      <c r="E173" s="44">
        <f t="shared" si="48"/>
        <v>0.85</v>
      </c>
      <c r="F173" s="44">
        <f t="shared" si="48"/>
        <v>0.85</v>
      </c>
      <c r="G173" s="44">
        <f t="shared" si="48"/>
        <v>0.85</v>
      </c>
      <c r="H173" s="44">
        <f t="shared" si="48"/>
        <v>0.85</v>
      </c>
      <c r="I173" s="44">
        <f t="shared" si="48"/>
        <v>0.85</v>
      </c>
      <c r="J173" s="44">
        <f t="shared" si="48"/>
        <v>0.85</v>
      </c>
      <c r="K173" s="44">
        <f t="shared" si="48"/>
        <v>0.85</v>
      </c>
      <c r="L173" s="44">
        <f t="shared" si="48"/>
        <v>0.85</v>
      </c>
      <c r="M173" s="44">
        <f t="shared" si="48"/>
        <v>0.85</v>
      </c>
      <c r="N173" s="44">
        <f t="shared" si="48"/>
        <v>0.85</v>
      </c>
      <c r="O173" s="44">
        <f t="shared" si="48"/>
        <v>0.85</v>
      </c>
      <c r="P173" s="44">
        <f t="shared" si="48"/>
        <v>0.85</v>
      </c>
      <c r="Q173" s="44">
        <f t="shared" si="48"/>
        <v>0.85</v>
      </c>
      <c r="R173" s="44">
        <f t="shared" si="48"/>
        <v>0.85</v>
      </c>
      <c r="S173" s="44">
        <f t="shared" si="49"/>
        <v>0.85</v>
      </c>
      <c r="T173" s="44">
        <f t="shared" si="49"/>
        <v>0.85</v>
      </c>
      <c r="U173" s="44">
        <f t="shared" si="49"/>
        <v>0.85</v>
      </c>
      <c r="V173" s="44">
        <f t="shared" si="49"/>
        <v>0.85</v>
      </c>
      <c r="W173" s="44">
        <f t="shared" si="49"/>
        <v>0.85</v>
      </c>
      <c r="X173" s="44">
        <f t="shared" si="49"/>
        <v>0.85</v>
      </c>
      <c r="Y173" s="44">
        <f t="shared" si="49"/>
        <v>0.85</v>
      </c>
      <c r="Z173" s="44">
        <f t="shared" si="49"/>
        <v>0.85</v>
      </c>
      <c r="AA173" s="44">
        <f t="shared" si="49"/>
        <v>0.85</v>
      </c>
      <c r="AB173" s="44">
        <f t="shared" si="49"/>
        <v>0.85</v>
      </c>
      <c r="AC173" s="44">
        <f t="shared" si="49"/>
        <v>0.85</v>
      </c>
      <c r="AD173" s="44">
        <f t="shared" si="49"/>
        <v>0.85</v>
      </c>
      <c r="AE173" s="44">
        <f t="shared" si="49"/>
        <v>0.85</v>
      </c>
      <c r="AF173" s="44">
        <f t="shared" si="49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7"/>
        <v>0.9</v>
      </c>
      <c r="C174" s="55">
        <v>0.9</v>
      </c>
      <c r="D174" s="44">
        <f t="shared" si="48"/>
        <v>0.9</v>
      </c>
      <c r="E174" s="44">
        <f t="shared" si="48"/>
        <v>0.9</v>
      </c>
      <c r="F174" s="44">
        <f t="shared" si="48"/>
        <v>0.9</v>
      </c>
      <c r="G174" s="44">
        <f t="shared" si="48"/>
        <v>0.9</v>
      </c>
      <c r="H174" s="44">
        <f t="shared" si="48"/>
        <v>0.9</v>
      </c>
      <c r="I174" s="44">
        <f t="shared" si="48"/>
        <v>0.9</v>
      </c>
      <c r="J174" s="44">
        <f t="shared" si="48"/>
        <v>0.9</v>
      </c>
      <c r="K174" s="44">
        <f t="shared" si="48"/>
        <v>0.9</v>
      </c>
      <c r="L174" s="44">
        <f t="shared" si="48"/>
        <v>0.9</v>
      </c>
      <c r="M174" s="44">
        <f t="shared" si="48"/>
        <v>0.9</v>
      </c>
      <c r="N174" s="44">
        <f t="shared" si="48"/>
        <v>0.9</v>
      </c>
      <c r="O174" s="44">
        <f t="shared" si="48"/>
        <v>0.9</v>
      </c>
      <c r="P174" s="44">
        <f t="shared" si="48"/>
        <v>0.9</v>
      </c>
      <c r="Q174" s="44">
        <f t="shared" si="48"/>
        <v>0.9</v>
      </c>
      <c r="R174" s="44">
        <f t="shared" si="48"/>
        <v>0.9</v>
      </c>
      <c r="S174" s="44">
        <f t="shared" si="49"/>
        <v>0.9</v>
      </c>
      <c r="T174" s="44">
        <f t="shared" si="49"/>
        <v>0.9</v>
      </c>
      <c r="U174" s="44">
        <f t="shared" si="49"/>
        <v>0.9</v>
      </c>
      <c r="V174" s="44">
        <f t="shared" si="49"/>
        <v>0.9</v>
      </c>
      <c r="W174" s="44">
        <f t="shared" si="49"/>
        <v>0.9</v>
      </c>
      <c r="X174" s="44">
        <f t="shared" si="49"/>
        <v>0.9</v>
      </c>
      <c r="Y174" s="44">
        <f t="shared" si="49"/>
        <v>0.9</v>
      </c>
      <c r="Z174" s="44">
        <f t="shared" si="49"/>
        <v>0.9</v>
      </c>
      <c r="AA174" s="44">
        <f t="shared" si="49"/>
        <v>0.9</v>
      </c>
      <c r="AB174" s="44">
        <f t="shared" si="49"/>
        <v>0.9</v>
      </c>
      <c r="AC174" s="44">
        <f t="shared" si="49"/>
        <v>0.9</v>
      </c>
      <c r="AD174" s="44">
        <f t="shared" si="49"/>
        <v>0.9</v>
      </c>
      <c r="AE174" s="44">
        <f t="shared" si="49"/>
        <v>0.9</v>
      </c>
      <c r="AF174" s="44">
        <f t="shared" si="49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7"/>
        <v>0.44</v>
      </c>
      <c r="C175" s="55">
        <v>0.44</v>
      </c>
      <c r="D175" s="44">
        <f t="shared" si="48"/>
        <v>0.44</v>
      </c>
      <c r="E175" s="44">
        <f t="shared" si="48"/>
        <v>0.44</v>
      </c>
      <c r="F175" s="44">
        <f t="shared" si="48"/>
        <v>0.44</v>
      </c>
      <c r="G175" s="44">
        <f t="shared" si="48"/>
        <v>0.44</v>
      </c>
      <c r="H175" s="44">
        <f t="shared" si="48"/>
        <v>0.44</v>
      </c>
      <c r="I175" s="44">
        <f t="shared" si="48"/>
        <v>0.44</v>
      </c>
      <c r="J175" s="44">
        <f t="shared" si="48"/>
        <v>0.44</v>
      </c>
      <c r="K175" s="44">
        <f t="shared" si="48"/>
        <v>0.44</v>
      </c>
      <c r="L175" s="44">
        <f t="shared" si="48"/>
        <v>0.44</v>
      </c>
      <c r="M175" s="44">
        <f t="shared" si="48"/>
        <v>0.44</v>
      </c>
      <c r="N175" s="44">
        <f t="shared" si="48"/>
        <v>0.44</v>
      </c>
      <c r="O175" s="44">
        <f t="shared" si="48"/>
        <v>0.44</v>
      </c>
      <c r="P175" s="44">
        <f t="shared" si="48"/>
        <v>0.44</v>
      </c>
      <c r="Q175" s="44">
        <f t="shared" si="48"/>
        <v>0.44</v>
      </c>
      <c r="R175" s="44">
        <f t="shared" si="48"/>
        <v>0.44</v>
      </c>
      <c r="S175" s="44">
        <f t="shared" si="49"/>
        <v>0.44</v>
      </c>
      <c r="T175" s="44">
        <f t="shared" si="49"/>
        <v>0.44</v>
      </c>
      <c r="U175" s="44">
        <f t="shared" si="49"/>
        <v>0.44</v>
      </c>
      <c r="V175" s="44">
        <f t="shared" si="49"/>
        <v>0.44</v>
      </c>
      <c r="W175" s="44">
        <f t="shared" si="49"/>
        <v>0.44</v>
      </c>
      <c r="X175" s="44">
        <f t="shared" si="49"/>
        <v>0.44</v>
      </c>
      <c r="Y175" s="44">
        <f t="shared" si="49"/>
        <v>0.44</v>
      </c>
      <c r="Z175" s="44">
        <f t="shared" si="49"/>
        <v>0.44</v>
      </c>
      <c r="AA175" s="44">
        <f t="shared" si="49"/>
        <v>0.44</v>
      </c>
      <c r="AB175" s="44">
        <f t="shared" si="49"/>
        <v>0.44</v>
      </c>
      <c r="AC175" s="44">
        <f t="shared" si="49"/>
        <v>0.44</v>
      </c>
      <c r="AD175" s="44">
        <f t="shared" si="49"/>
        <v>0.44</v>
      </c>
      <c r="AE175" s="44">
        <f t="shared" si="49"/>
        <v>0.44</v>
      </c>
      <c r="AF175" s="44">
        <f t="shared" si="49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7"/>
        <v>2.1</v>
      </c>
      <c r="C176" s="55">
        <v>2.1</v>
      </c>
      <c r="D176" s="44">
        <f t="shared" si="48"/>
        <v>2.1</v>
      </c>
      <c r="E176" s="44">
        <f t="shared" si="48"/>
        <v>2.1</v>
      </c>
      <c r="F176" s="44">
        <f t="shared" si="48"/>
        <v>2.1</v>
      </c>
      <c r="G176" s="44">
        <f t="shared" si="48"/>
        <v>2.1</v>
      </c>
      <c r="H176" s="44">
        <f t="shared" si="48"/>
        <v>2.1</v>
      </c>
      <c r="I176" s="44">
        <f t="shared" si="48"/>
        <v>2.1</v>
      </c>
      <c r="J176" s="44">
        <f t="shared" si="48"/>
        <v>2.1</v>
      </c>
      <c r="K176" s="44">
        <f t="shared" si="48"/>
        <v>2.1</v>
      </c>
      <c r="L176" s="44">
        <f t="shared" si="48"/>
        <v>2.1</v>
      </c>
      <c r="M176" s="44">
        <f t="shared" si="48"/>
        <v>2.1</v>
      </c>
      <c r="N176" s="44">
        <f t="shared" si="48"/>
        <v>2.1</v>
      </c>
      <c r="O176" s="44">
        <f t="shared" si="48"/>
        <v>2.1</v>
      </c>
      <c r="P176" s="44">
        <f t="shared" si="48"/>
        <v>2.1</v>
      </c>
      <c r="Q176" s="44">
        <f t="shared" si="48"/>
        <v>2.1</v>
      </c>
      <c r="R176" s="44">
        <f t="shared" si="48"/>
        <v>2.1</v>
      </c>
      <c r="S176" s="44">
        <f t="shared" si="49"/>
        <v>2.1</v>
      </c>
      <c r="T176" s="44">
        <f t="shared" si="49"/>
        <v>2.1</v>
      </c>
      <c r="U176" s="44">
        <f t="shared" si="49"/>
        <v>2.1</v>
      </c>
      <c r="V176" s="44">
        <f t="shared" si="49"/>
        <v>2.1</v>
      </c>
      <c r="W176" s="44">
        <f t="shared" si="49"/>
        <v>2.1</v>
      </c>
      <c r="X176" s="44">
        <f t="shared" si="49"/>
        <v>2.1</v>
      </c>
      <c r="Y176" s="44">
        <f t="shared" si="49"/>
        <v>2.1</v>
      </c>
      <c r="Z176" s="44">
        <f t="shared" si="49"/>
        <v>2.1</v>
      </c>
      <c r="AA176" s="44">
        <f t="shared" si="49"/>
        <v>2.1</v>
      </c>
      <c r="AB176" s="44">
        <f t="shared" si="49"/>
        <v>2.1</v>
      </c>
      <c r="AC176" s="44">
        <f t="shared" si="49"/>
        <v>2.1</v>
      </c>
      <c r="AD176" s="44">
        <f t="shared" si="49"/>
        <v>2.1</v>
      </c>
      <c r="AE176" s="44">
        <f t="shared" si="49"/>
        <v>2.1</v>
      </c>
      <c r="AF176" s="44">
        <f t="shared" si="49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7"/>
        <v>0.9</v>
      </c>
      <c r="C177" s="55">
        <v>0.9</v>
      </c>
      <c r="D177" s="44">
        <f t="shared" si="48"/>
        <v>0.9</v>
      </c>
      <c r="E177" s="44">
        <f t="shared" si="48"/>
        <v>0.9</v>
      </c>
      <c r="F177" s="44">
        <f t="shared" si="48"/>
        <v>0.9</v>
      </c>
      <c r="G177" s="44">
        <f t="shared" si="48"/>
        <v>0.9</v>
      </c>
      <c r="H177" s="44">
        <f t="shared" si="48"/>
        <v>0.9</v>
      </c>
      <c r="I177" s="44">
        <f t="shared" si="48"/>
        <v>0.9</v>
      </c>
      <c r="J177" s="44">
        <f t="shared" si="48"/>
        <v>0.9</v>
      </c>
      <c r="K177" s="44">
        <f t="shared" si="48"/>
        <v>0.9</v>
      </c>
      <c r="L177" s="44">
        <f t="shared" si="48"/>
        <v>0.9</v>
      </c>
      <c r="M177" s="44">
        <f t="shared" si="48"/>
        <v>0.9</v>
      </c>
      <c r="N177" s="44">
        <f t="shared" si="48"/>
        <v>0.9</v>
      </c>
      <c r="O177" s="44">
        <f t="shared" si="48"/>
        <v>0.9</v>
      </c>
      <c r="P177" s="44">
        <f t="shared" si="48"/>
        <v>0.9</v>
      </c>
      <c r="Q177" s="44">
        <f t="shared" si="48"/>
        <v>0.9</v>
      </c>
      <c r="R177" s="44">
        <f t="shared" si="48"/>
        <v>0.9</v>
      </c>
      <c r="S177" s="44">
        <f t="shared" si="49"/>
        <v>0.9</v>
      </c>
      <c r="T177" s="44">
        <f t="shared" si="49"/>
        <v>0.9</v>
      </c>
      <c r="U177" s="44">
        <f t="shared" si="49"/>
        <v>0.9</v>
      </c>
      <c r="V177" s="44">
        <f t="shared" si="49"/>
        <v>0.9</v>
      </c>
      <c r="W177" s="44">
        <f t="shared" si="49"/>
        <v>0.9</v>
      </c>
      <c r="X177" s="44">
        <f t="shared" si="49"/>
        <v>0.9</v>
      </c>
      <c r="Y177" s="44">
        <f t="shared" si="49"/>
        <v>0.9</v>
      </c>
      <c r="Z177" s="44">
        <f t="shared" si="49"/>
        <v>0.9</v>
      </c>
      <c r="AA177" s="44">
        <f t="shared" si="49"/>
        <v>0.9</v>
      </c>
      <c r="AB177" s="44">
        <f t="shared" si="49"/>
        <v>0.9</v>
      </c>
      <c r="AC177" s="44">
        <f t="shared" si="49"/>
        <v>0.9</v>
      </c>
      <c r="AD177" s="44">
        <f t="shared" si="49"/>
        <v>0.9</v>
      </c>
      <c r="AE177" s="44">
        <f t="shared" si="49"/>
        <v>0.9</v>
      </c>
      <c r="AF177" s="44">
        <f t="shared" si="49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0">AF179</f>
        <v>0.57999999999999996</v>
      </c>
      <c r="C179" s="55">
        <v>0.57999999999999996</v>
      </c>
      <c r="D179" s="44">
        <f t="shared" ref="D179:S191" si="51">C179</f>
        <v>0.57999999999999996</v>
      </c>
      <c r="E179" s="44">
        <f t="shared" si="51"/>
        <v>0.57999999999999996</v>
      </c>
      <c r="F179" s="44">
        <f t="shared" si="51"/>
        <v>0.57999999999999996</v>
      </c>
      <c r="G179" s="44">
        <f t="shared" si="51"/>
        <v>0.57999999999999996</v>
      </c>
      <c r="H179" s="44">
        <f t="shared" si="51"/>
        <v>0.57999999999999996</v>
      </c>
      <c r="I179" s="44">
        <f t="shared" si="51"/>
        <v>0.57999999999999996</v>
      </c>
      <c r="J179" s="44">
        <f t="shared" si="51"/>
        <v>0.57999999999999996</v>
      </c>
      <c r="K179" s="44">
        <f t="shared" si="51"/>
        <v>0.57999999999999996</v>
      </c>
      <c r="L179" s="44">
        <f t="shared" si="51"/>
        <v>0.57999999999999996</v>
      </c>
      <c r="M179" s="44">
        <f t="shared" si="51"/>
        <v>0.57999999999999996</v>
      </c>
      <c r="N179" s="44">
        <f t="shared" si="51"/>
        <v>0.57999999999999996</v>
      </c>
      <c r="O179" s="44">
        <f t="shared" si="51"/>
        <v>0.57999999999999996</v>
      </c>
      <c r="P179" s="44">
        <f t="shared" si="51"/>
        <v>0.57999999999999996</v>
      </c>
      <c r="Q179" s="44">
        <f t="shared" si="51"/>
        <v>0.57999999999999996</v>
      </c>
      <c r="R179" s="44">
        <f t="shared" si="51"/>
        <v>0.57999999999999996</v>
      </c>
      <c r="S179" s="44">
        <f t="shared" si="51"/>
        <v>0.57999999999999996</v>
      </c>
      <c r="T179" s="44">
        <f t="shared" ref="S179:AF191" si="52">S179</f>
        <v>0.57999999999999996</v>
      </c>
      <c r="U179" s="44">
        <f t="shared" si="52"/>
        <v>0.57999999999999996</v>
      </c>
      <c r="V179" s="44">
        <f t="shared" si="52"/>
        <v>0.57999999999999996</v>
      </c>
      <c r="W179" s="44">
        <f t="shared" si="52"/>
        <v>0.57999999999999996</v>
      </c>
      <c r="X179" s="44">
        <f t="shared" si="52"/>
        <v>0.57999999999999996</v>
      </c>
      <c r="Y179" s="44">
        <f t="shared" si="52"/>
        <v>0.57999999999999996</v>
      </c>
      <c r="Z179" s="44">
        <f t="shared" si="52"/>
        <v>0.57999999999999996</v>
      </c>
      <c r="AA179" s="44">
        <f t="shared" si="52"/>
        <v>0.57999999999999996</v>
      </c>
      <c r="AB179" s="44">
        <f t="shared" si="52"/>
        <v>0.57999999999999996</v>
      </c>
      <c r="AC179" s="44">
        <f t="shared" si="52"/>
        <v>0.57999999999999996</v>
      </c>
      <c r="AD179" s="44">
        <f t="shared" si="52"/>
        <v>0.57999999999999996</v>
      </c>
      <c r="AE179" s="44">
        <f t="shared" si="52"/>
        <v>0.57999999999999996</v>
      </c>
      <c r="AF179" s="44">
        <f t="shared" si="52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0"/>
        <v>0.8</v>
      </c>
      <c r="C180" s="55">
        <v>0.8</v>
      </c>
      <c r="D180" s="44">
        <f t="shared" si="51"/>
        <v>0.8</v>
      </c>
      <c r="E180" s="44">
        <f t="shared" si="51"/>
        <v>0.8</v>
      </c>
      <c r="F180" s="44">
        <f t="shared" si="51"/>
        <v>0.8</v>
      </c>
      <c r="G180" s="44">
        <f t="shared" si="51"/>
        <v>0.8</v>
      </c>
      <c r="H180" s="44">
        <f t="shared" si="51"/>
        <v>0.8</v>
      </c>
      <c r="I180" s="44">
        <f t="shared" si="51"/>
        <v>0.8</v>
      </c>
      <c r="J180" s="44">
        <f t="shared" si="51"/>
        <v>0.8</v>
      </c>
      <c r="K180" s="44">
        <f t="shared" si="51"/>
        <v>0.8</v>
      </c>
      <c r="L180" s="44">
        <f t="shared" si="51"/>
        <v>0.8</v>
      </c>
      <c r="M180" s="44">
        <f t="shared" si="51"/>
        <v>0.8</v>
      </c>
      <c r="N180" s="44">
        <f t="shared" si="51"/>
        <v>0.8</v>
      </c>
      <c r="O180" s="44">
        <f t="shared" si="51"/>
        <v>0.8</v>
      </c>
      <c r="P180" s="44">
        <f t="shared" si="51"/>
        <v>0.8</v>
      </c>
      <c r="Q180" s="44">
        <f t="shared" si="51"/>
        <v>0.8</v>
      </c>
      <c r="R180" s="44">
        <f t="shared" si="51"/>
        <v>0.8</v>
      </c>
      <c r="S180" s="44">
        <f t="shared" si="51"/>
        <v>0.8</v>
      </c>
      <c r="T180" s="44">
        <f t="shared" si="52"/>
        <v>0.8</v>
      </c>
      <c r="U180" s="44">
        <f t="shared" si="52"/>
        <v>0.8</v>
      </c>
      <c r="V180" s="44">
        <f t="shared" si="52"/>
        <v>0.8</v>
      </c>
      <c r="W180" s="44">
        <f t="shared" si="52"/>
        <v>0.8</v>
      </c>
      <c r="X180" s="44">
        <f t="shared" si="52"/>
        <v>0.8</v>
      </c>
      <c r="Y180" s="44">
        <f t="shared" si="52"/>
        <v>0.8</v>
      </c>
      <c r="Z180" s="44">
        <f t="shared" si="52"/>
        <v>0.8</v>
      </c>
      <c r="AA180" s="44">
        <f t="shared" si="52"/>
        <v>0.8</v>
      </c>
      <c r="AB180" s="44">
        <f t="shared" si="52"/>
        <v>0.8</v>
      </c>
      <c r="AC180" s="44">
        <f t="shared" si="52"/>
        <v>0.8</v>
      </c>
      <c r="AD180" s="44">
        <f t="shared" si="52"/>
        <v>0.8</v>
      </c>
      <c r="AE180" s="44">
        <f t="shared" si="52"/>
        <v>0.8</v>
      </c>
      <c r="AF180" s="44">
        <f t="shared" si="52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0"/>
        <v>0</v>
      </c>
      <c r="C181" s="55">
        <v>0</v>
      </c>
      <c r="D181" s="44">
        <f t="shared" si="51"/>
        <v>0</v>
      </c>
      <c r="E181" s="44">
        <f t="shared" si="51"/>
        <v>0</v>
      </c>
      <c r="F181" s="44">
        <f t="shared" si="51"/>
        <v>0</v>
      </c>
      <c r="G181" s="44">
        <f t="shared" si="51"/>
        <v>0</v>
      </c>
      <c r="H181" s="44">
        <f t="shared" si="51"/>
        <v>0</v>
      </c>
      <c r="I181" s="44">
        <f t="shared" si="51"/>
        <v>0</v>
      </c>
      <c r="J181" s="44">
        <f t="shared" si="51"/>
        <v>0</v>
      </c>
      <c r="K181" s="44">
        <f t="shared" si="51"/>
        <v>0</v>
      </c>
      <c r="L181" s="44">
        <f t="shared" si="51"/>
        <v>0</v>
      </c>
      <c r="M181" s="44">
        <f t="shared" si="51"/>
        <v>0</v>
      </c>
      <c r="N181" s="44">
        <f t="shared" si="51"/>
        <v>0</v>
      </c>
      <c r="O181" s="44">
        <f t="shared" si="51"/>
        <v>0</v>
      </c>
      <c r="P181" s="44">
        <f t="shared" si="51"/>
        <v>0</v>
      </c>
      <c r="Q181" s="44">
        <f t="shared" si="51"/>
        <v>0</v>
      </c>
      <c r="R181" s="44">
        <f t="shared" si="51"/>
        <v>0</v>
      </c>
      <c r="S181" s="44">
        <f t="shared" si="51"/>
        <v>0</v>
      </c>
      <c r="T181" s="44">
        <f t="shared" si="52"/>
        <v>0</v>
      </c>
      <c r="U181" s="44">
        <f t="shared" si="52"/>
        <v>0</v>
      </c>
      <c r="V181" s="44">
        <f t="shared" si="52"/>
        <v>0</v>
      </c>
      <c r="W181" s="44">
        <f t="shared" si="52"/>
        <v>0</v>
      </c>
      <c r="X181" s="44">
        <f t="shared" si="52"/>
        <v>0</v>
      </c>
      <c r="Y181" s="44">
        <f t="shared" si="52"/>
        <v>0</v>
      </c>
      <c r="Z181" s="44">
        <f t="shared" si="52"/>
        <v>0</v>
      </c>
      <c r="AA181" s="44">
        <f t="shared" si="52"/>
        <v>0</v>
      </c>
      <c r="AB181" s="44">
        <f t="shared" si="52"/>
        <v>0</v>
      </c>
      <c r="AC181" s="44">
        <f t="shared" si="52"/>
        <v>0</v>
      </c>
      <c r="AD181" s="44">
        <f t="shared" si="52"/>
        <v>0</v>
      </c>
      <c r="AE181" s="44">
        <f t="shared" si="52"/>
        <v>0</v>
      </c>
      <c r="AF181" s="44">
        <f t="shared" si="52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0"/>
        <v>0.6</v>
      </c>
      <c r="C182" s="55">
        <v>0.6</v>
      </c>
      <c r="D182" s="44">
        <f t="shared" si="51"/>
        <v>0.6</v>
      </c>
      <c r="E182" s="44">
        <f t="shared" si="51"/>
        <v>0.6</v>
      </c>
      <c r="F182" s="44">
        <f t="shared" si="51"/>
        <v>0.6</v>
      </c>
      <c r="G182" s="44">
        <f t="shared" si="51"/>
        <v>0.6</v>
      </c>
      <c r="H182" s="44">
        <f t="shared" si="51"/>
        <v>0.6</v>
      </c>
      <c r="I182" s="44">
        <f t="shared" si="51"/>
        <v>0.6</v>
      </c>
      <c r="J182" s="44">
        <f t="shared" si="51"/>
        <v>0.6</v>
      </c>
      <c r="K182" s="44">
        <f t="shared" si="51"/>
        <v>0.6</v>
      </c>
      <c r="L182" s="44">
        <f t="shared" si="51"/>
        <v>0.6</v>
      </c>
      <c r="M182" s="44">
        <f t="shared" si="51"/>
        <v>0.6</v>
      </c>
      <c r="N182" s="44">
        <f t="shared" si="51"/>
        <v>0.6</v>
      </c>
      <c r="O182" s="44">
        <f t="shared" si="51"/>
        <v>0.6</v>
      </c>
      <c r="P182" s="44">
        <f t="shared" si="51"/>
        <v>0.6</v>
      </c>
      <c r="Q182" s="44">
        <f t="shared" si="51"/>
        <v>0.6</v>
      </c>
      <c r="R182" s="44">
        <f t="shared" si="51"/>
        <v>0.6</v>
      </c>
      <c r="S182" s="44">
        <f t="shared" si="51"/>
        <v>0.6</v>
      </c>
      <c r="T182" s="44">
        <f t="shared" si="52"/>
        <v>0.6</v>
      </c>
      <c r="U182" s="44">
        <f t="shared" si="52"/>
        <v>0.6</v>
      </c>
      <c r="V182" s="44">
        <f t="shared" si="52"/>
        <v>0.6</v>
      </c>
      <c r="W182" s="44">
        <f t="shared" si="52"/>
        <v>0.6</v>
      </c>
      <c r="X182" s="44">
        <f t="shared" si="52"/>
        <v>0.6</v>
      </c>
      <c r="Y182" s="44">
        <f t="shared" si="52"/>
        <v>0.6</v>
      </c>
      <c r="Z182" s="44">
        <f t="shared" si="52"/>
        <v>0.6</v>
      </c>
      <c r="AA182" s="44">
        <f t="shared" si="52"/>
        <v>0.6</v>
      </c>
      <c r="AB182" s="44">
        <f t="shared" si="52"/>
        <v>0.6</v>
      </c>
      <c r="AC182" s="44">
        <f t="shared" si="52"/>
        <v>0.6</v>
      </c>
      <c r="AD182" s="44">
        <f t="shared" si="52"/>
        <v>0.6</v>
      </c>
      <c r="AE182" s="44">
        <f t="shared" si="52"/>
        <v>0.6</v>
      </c>
      <c r="AF182" s="44">
        <f t="shared" si="52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0"/>
        <v>0.6</v>
      </c>
      <c r="C183" s="55">
        <v>0.6</v>
      </c>
      <c r="D183" s="44">
        <f t="shared" si="51"/>
        <v>0.6</v>
      </c>
      <c r="E183" s="44">
        <f t="shared" si="51"/>
        <v>0.6</v>
      </c>
      <c r="F183" s="44">
        <f t="shared" si="51"/>
        <v>0.6</v>
      </c>
      <c r="G183" s="44">
        <f t="shared" si="51"/>
        <v>0.6</v>
      </c>
      <c r="H183" s="44">
        <f t="shared" si="51"/>
        <v>0.6</v>
      </c>
      <c r="I183" s="44">
        <f t="shared" si="51"/>
        <v>0.6</v>
      </c>
      <c r="J183" s="44">
        <f t="shared" si="51"/>
        <v>0.6</v>
      </c>
      <c r="K183" s="44">
        <f t="shared" si="51"/>
        <v>0.6</v>
      </c>
      <c r="L183" s="44">
        <f t="shared" si="51"/>
        <v>0.6</v>
      </c>
      <c r="M183" s="44">
        <f t="shared" si="51"/>
        <v>0.6</v>
      </c>
      <c r="N183" s="44">
        <f t="shared" si="51"/>
        <v>0.6</v>
      </c>
      <c r="O183" s="44">
        <f t="shared" si="51"/>
        <v>0.6</v>
      </c>
      <c r="P183" s="44">
        <f t="shared" si="51"/>
        <v>0.6</v>
      </c>
      <c r="Q183" s="44">
        <f t="shared" si="51"/>
        <v>0.6</v>
      </c>
      <c r="R183" s="44">
        <f t="shared" si="51"/>
        <v>0.6</v>
      </c>
      <c r="S183" s="44">
        <f t="shared" si="51"/>
        <v>0.6</v>
      </c>
      <c r="T183" s="44">
        <f t="shared" si="52"/>
        <v>0.6</v>
      </c>
      <c r="U183" s="44">
        <f t="shared" si="52"/>
        <v>0.6</v>
      </c>
      <c r="V183" s="44">
        <f t="shared" si="52"/>
        <v>0.6</v>
      </c>
      <c r="W183" s="44">
        <f t="shared" si="52"/>
        <v>0.6</v>
      </c>
      <c r="X183" s="44">
        <f t="shared" si="52"/>
        <v>0.6</v>
      </c>
      <c r="Y183" s="44">
        <f t="shared" si="52"/>
        <v>0.6</v>
      </c>
      <c r="Z183" s="44">
        <f t="shared" si="52"/>
        <v>0.6</v>
      </c>
      <c r="AA183" s="44">
        <f t="shared" si="52"/>
        <v>0.6</v>
      </c>
      <c r="AB183" s="44">
        <f t="shared" si="52"/>
        <v>0.6</v>
      </c>
      <c r="AC183" s="44">
        <f t="shared" si="52"/>
        <v>0.6</v>
      </c>
      <c r="AD183" s="44">
        <f t="shared" si="52"/>
        <v>0.6</v>
      </c>
      <c r="AE183" s="44">
        <f t="shared" si="52"/>
        <v>0.6</v>
      </c>
      <c r="AF183" s="44">
        <f t="shared" si="52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0"/>
        <v>0.35</v>
      </c>
      <c r="C184" s="55">
        <v>0.35</v>
      </c>
      <c r="D184" s="44">
        <f t="shared" si="51"/>
        <v>0.35</v>
      </c>
      <c r="E184" s="44">
        <f t="shared" si="51"/>
        <v>0.35</v>
      </c>
      <c r="F184" s="44">
        <f t="shared" si="51"/>
        <v>0.35</v>
      </c>
      <c r="G184" s="44">
        <f t="shared" si="51"/>
        <v>0.35</v>
      </c>
      <c r="H184" s="44">
        <f t="shared" si="51"/>
        <v>0.35</v>
      </c>
      <c r="I184" s="44">
        <f t="shared" si="51"/>
        <v>0.35</v>
      </c>
      <c r="J184" s="44">
        <f t="shared" si="51"/>
        <v>0.35</v>
      </c>
      <c r="K184" s="44">
        <f t="shared" si="51"/>
        <v>0.35</v>
      </c>
      <c r="L184" s="44">
        <f t="shared" si="51"/>
        <v>0.35</v>
      </c>
      <c r="M184" s="44">
        <f t="shared" si="51"/>
        <v>0.35</v>
      </c>
      <c r="N184" s="44">
        <f t="shared" si="51"/>
        <v>0.35</v>
      </c>
      <c r="O184" s="44">
        <f t="shared" si="51"/>
        <v>0.35</v>
      </c>
      <c r="P184" s="44">
        <f t="shared" si="51"/>
        <v>0.35</v>
      </c>
      <c r="Q184" s="44">
        <f t="shared" si="51"/>
        <v>0.35</v>
      </c>
      <c r="R184" s="44">
        <f t="shared" si="51"/>
        <v>0.35</v>
      </c>
      <c r="S184" s="44">
        <f t="shared" si="51"/>
        <v>0.35</v>
      </c>
      <c r="T184" s="44">
        <f t="shared" si="52"/>
        <v>0.35</v>
      </c>
      <c r="U184" s="44">
        <f t="shared" si="52"/>
        <v>0.35</v>
      </c>
      <c r="V184" s="44">
        <f t="shared" si="52"/>
        <v>0.35</v>
      </c>
      <c r="W184" s="44">
        <f t="shared" si="52"/>
        <v>0.35</v>
      </c>
      <c r="X184" s="44">
        <f t="shared" si="52"/>
        <v>0.35</v>
      </c>
      <c r="Y184" s="44">
        <f t="shared" si="52"/>
        <v>0.35</v>
      </c>
      <c r="Z184" s="44">
        <f t="shared" si="52"/>
        <v>0.35</v>
      </c>
      <c r="AA184" s="44">
        <f t="shared" si="52"/>
        <v>0.35</v>
      </c>
      <c r="AB184" s="44">
        <f t="shared" si="52"/>
        <v>0.35</v>
      </c>
      <c r="AC184" s="44">
        <f t="shared" si="52"/>
        <v>0.35</v>
      </c>
      <c r="AD184" s="44">
        <f t="shared" si="52"/>
        <v>0.35</v>
      </c>
      <c r="AE184" s="44">
        <f t="shared" si="52"/>
        <v>0.35</v>
      </c>
      <c r="AF184" s="44">
        <f t="shared" si="52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0"/>
        <v>0.28999999999999998</v>
      </c>
      <c r="C185" s="55">
        <v>0.28999999999999998</v>
      </c>
      <c r="D185" s="44">
        <f t="shared" si="51"/>
        <v>0.28999999999999998</v>
      </c>
      <c r="E185" s="44">
        <f t="shared" si="51"/>
        <v>0.28999999999999998</v>
      </c>
      <c r="F185" s="44">
        <f t="shared" si="51"/>
        <v>0.28999999999999998</v>
      </c>
      <c r="G185" s="44">
        <f t="shared" si="51"/>
        <v>0.28999999999999998</v>
      </c>
      <c r="H185" s="44">
        <f t="shared" si="51"/>
        <v>0.28999999999999998</v>
      </c>
      <c r="I185" s="44">
        <f t="shared" si="51"/>
        <v>0.28999999999999998</v>
      </c>
      <c r="J185" s="44">
        <f t="shared" si="51"/>
        <v>0.28999999999999998</v>
      </c>
      <c r="K185" s="44">
        <f t="shared" si="51"/>
        <v>0.28999999999999998</v>
      </c>
      <c r="L185" s="44">
        <f t="shared" si="51"/>
        <v>0.28999999999999998</v>
      </c>
      <c r="M185" s="44">
        <f t="shared" si="51"/>
        <v>0.28999999999999998</v>
      </c>
      <c r="N185" s="44">
        <f t="shared" si="51"/>
        <v>0.28999999999999998</v>
      </c>
      <c r="O185" s="44">
        <f t="shared" si="51"/>
        <v>0.28999999999999998</v>
      </c>
      <c r="P185" s="44">
        <f t="shared" si="51"/>
        <v>0.28999999999999998</v>
      </c>
      <c r="Q185" s="44">
        <f t="shared" si="51"/>
        <v>0.28999999999999998</v>
      </c>
      <c r="R185" s="44">
        <f t="shared" si="51"/>
        <v>0.28999999999999998</v>
      </c>
      <c r="S185" s="44">
        <f t="shared" si="51"/>
        <v>0.28999999999999998</v>
      </c>
      <c r="T185" s="44">
        <f t="shared" si="52"/>
        <v>0.28999999999999998</v>
      </c>
      <c r="U185" s="44">
        <f t="shared" si="52"/>
        <v>0.28999999999999998</v>
      </c>
      <c r="V185" s="44">
        <f t="shared" si="52"/>
        <v>0.28999999999999998</v>
      </c>
      <c r="W185" s="44">
        <f t="shared" si="52"/>
        <v>0.28999999999999998</v>
      </c>
      <c r="X185" s="44">
        <f t="shared" si="52"/>
        <v>0.28999999999999998</v>
      </c>
      <c r="Y185" s="44">
        <f t="shared" si="52"/>
        <v>0.28999999999999998</v>
      </c>
      <c r="Z185" s="44">
        <f t="shared" si="52"/>
        <v>0.28999999999999998</v>
      </c>
      <c r="AA185" s="44">
        <f t="shared" si="52"/>
        <v>0.28999999999999998</v>
      </c>
      <c r="AB185" s="44">
        <f t="shared" si="52"/>
        <v>0.28999999999999998</v>
      </c>
      <c r="AC185" s="44">
        <f t="shared" si="52"/>
        <v>0.28999999999999998</v>
      </c>
      <c r="AD185" s="44">
        <f t="shared" si="52"/>
        <v>0.28999999999999998</v>
      </c>
      <c r="AE185" s="44">
        <f t="shared" si="52"/>
        <v>0.28999999999999998</v>
      </c>
      <c r="AF185" s="44">
        <f t="shared" si="52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0"/>
        <v>0.06</v>
      </c>
      <c r="C186" s="55">
        <v>0.06</v>
      </c>
      <c r="D186" s="44">
        <f t="shared" si="51"/>
        <v>0.06</v>
      </c>
      <c r="E186" s="44">
        <f t="shared" si="51"/>
        <v>0.06</v>
      </c>
      <c r="F186" s="44">
        <f t="shared" si="51"/>
        <v>0.06</v>
      </c>
      <c r="G186" s="44">
        <f t="shared" si="51"/>
        <v>0.06</v>
      </c>
      <c r="H186" s="44">
        <f t="shared" si="51"/>
        <v>0.06</v>
      </c>
      <c r="I186" s="44">
        <f t="shared" si="51"/>
        <v>0.06</v>
      </c>
      <c r="J186" s="44">
        <f t="shared" si="51"/>
        <v>0.06</v>
      </c>
      <c r="K186" s="44">
        <f t="shared" si="51"/>
        <v>0.06</v>
      </c>
      <c r="L186" s="44">
        <f t="shared" si="51"/>
        <v>0.06</v>
      </c>
      <c r="M186" s="44">
        <f t="shared" si="51"/>
        <v>0.06</v>
      </c>
      <c r="N186" s="44">
        <f t="shared" si="51"/>
        <v>0.06</v>
      </c>
      <c r="O186" s="44">
        <f t="shared" si="51"/>
        <v>0.06</v>
      </c>
      <c r="P186" s="44">
        <f t="shared" si="51"/>
        <v>0.06</v>
      </c>
      <c r="Q186" s="44">
        <f t="shared" si="51"/>
        <v>0.06</v>
      </c>
      <c r="R186" s="44">
        <f t="shared" si="51"/>
        <v>0.06</v>
      </c>
      <c r="S186" s="44">
        <f t="shared" si="51"/>
        <v>0.06</v>
      </c>
      <c r="T186" s="44">
        <f t="shared" si="52"/>
        <v>0.06</v>
      </c>
      <c r="U186" s="44">
        <f t="shared" si="52"/>
        <v>0.06</v>
      </c>
      <c r="V186" s="44">
        <f t="shared" si="52"/>
        <v>0.06</v>
      </c>
      <c r="W186" s="44">
        <f t="shared" si="52"/>
        <v>0.06</v>
      </c>
      <c r="X186" s="44">
        <f t="shared" si="52"/>
        <v>0.06</v>
      </c>
      <c r="Y186" s="44">
        <f t="shared" si="52"/>
        <v>0.06</v>
      </c>
      <c r="Z186" s="44">
        <f t="shared" si="52"/>
        <v>0.06</v>
      </c>
      <c r="AA186" s="44">
        <f t="shared" si="52"/>
        <v>0.06</v>
      </c>
      <c r="AB186" s="44">
        <f t="shared" si="52"/>
        <v>0.06</v>
      </c>
      <c r="AC186" s="44">
        <f t="shared" si="52"/>
        <v>0.06</v>
      </c>
      <c r="AD186" s="44">
        <f t="shared" si="52"/>
        <v>0.06</v>
      </c>
      <c r="AE186" s="44">
        <f t="shared" si="52"/>
        <v>0.06</v>
      </c>
      <c r="AF186" s="44">
        <f t="shared" si="52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0"/>
        <v>0.11</v>
      </c>
      <c r="C187" s="55">
        <v>0.11</v>
      </c>
      <c r="D187" s="44">
        <f t="shared" si="51"/>
        <v>0.11</v>
      </c>
      <c r="E187" s="44">
        <f t="shared" si="51"/>
        <v>0.11</v>
      </c>
      <c r="F187" s="44">
        <f t="shared" si="51"/>
        <v>0.11</v>
      </c>
      <c r="G187" s="44">
        <f t="shared" si="51"/>
        <v>0.11</v>
      </c>
      <c r="H187" s="44">
        <f t="shared" si="51"/>
        <v>0.11</v>
      </c>
      <c r="I187" s="44">
        <f t="shared" si="51"/>
        <v>0.11</v>
      </c>
      <c r="J187" s="44">
        <f t="shared" si="51"/>
        <v>0.11</v>
      </c>
      <c r="K187" s="44">
        <f t="shared" si="51"/>
        <v>0.11</v>
      </c>
      <c r="L187" s="44">
        <f t="shared" si="51"/>
        <v>0.11</v>
      </c>
      <c r="M187" s="44">
        <f t="shared" si="51"/>
        <v>0.11</v>
      </c>
      <c r="N187" s="44">
        <f t="shared" si="51"/>
        <v>0.11</v>
      </c>
      <c r="O187" s="44">
        <f t="shared" si="51"/>
        <v>0.11</v>
      </c>
      <c r="P187" s="44">
        <f t="shared" si="51"/>
        <v>0.11</v>
      </c>
      <c r="Q187" s="44">
        <f t="shared" si="51"/>
        <v>0.11</v>
      </c>
      <c r="R187" s="44">
        <f t="shared" si="51"/>
        <v>0.11</v>
      </c>
      <c r="S187" s="44">
        <f t="shared" si="51"/>
        <v>0.11</v>
      </c>
      <c r="T187" s="44">
        <f t="shared" si="52"/>
        <v>0.11</v>
      </c>
      <c r="U187" s="44">
        <f t="shared" si="52"/>
        <v>0.11</v>
      </c>
      <c r="V187" s="44">
        <f t="shared" si="52"/>
        <v>0.11</v>
      </c>
      <c r="W187" s="44">
        <f t="shared" si="52"/>
        <v>0.11</v>
      </c>
      <c r="X187" s="44">
        <f t="shared" si="52"/>
        <v>0.11</v>
      </c>
      <c r="Y187" s="44">
        <f t="shared" si="52"/>
        <v>0.11</v>
      </c>
      <c r="Z187" s="44">
        <f t="shared" si="52"/>
        <v>0.11</v>
      </c>
      <c r="AA187" s="44">
        <f t="shared" si="52"/>
        <v>0.11</v>
      </c>
      <c r="AB187" s="44">
        <f t="shared" si="52"/>
        <v>0.11</v>
      </c>
      <c r="AC187" s="44">
        <f t="shared" si="52"/>
        <v>0.11</v>
      </c>
      <c r="AD187" s="44">
        <f t="shared" si="52"/>
        <v>0.11</v>
      </c>
      <c r="AE187" s="44">
        <f t="shared" si="52"/>
        <v>0.11</v>
      </c>
      <c r="AF187" s="44">
        <f t="shared" si="52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0"/>
        <v>0.1</v>
      </c>
      <c r="C188" s="55">
        <v>0.1</v>
      </c>
      <c r="D188" s="44">
        <f t="shared" si="51"/>
        <v>0.1</v>
      </c>
      <c r="E188" s="44">
        <f t="shared" si="51"/>
        <v>0.1</v>
      </c>
      <c r="F188" s="44">
        <f t="shared" si="51"/>
        <v>0.1</v>
      </c>
      <c r="G188" s="44">
        <f t="shared" si="51"/>
        <v>0.1</v>
      </c>
      <c r="H188" s="44">
        <f t="shared" si="51"/>
        <v>0.1</v>
      </c>
      <c r="I188" s="44">
        <f t="shared" si="51"/>
        <v>0.1</v>
      </c>
      <c r="J188" s="44">
        <f t="shared" si="51"/>
        <v>0.1</v>
      </c>
      <c r="K188" s="44">
        <f t="shared" si="51"/>
        <v>0.1</v>
      </c>
      <c r="L188" s="44">
        <f t="shared" si="51"/>
        <v>0.1</v>
      </c>
      <c r="M188" s="44">
        <f t="shared" si="51"/>
        <v>0.1</v>
      </c>
      <c r="N188" s="44">
        <f t="shared" si="51"/>
        <v>0.1</v>
      </c>
      <c r="O188" s="44">
        <f t="shared" si="51"/>
        <v>0.1</v>
      </c>
      <c r="P188" s="44">
        <f t="shared" si="51"/>
        <v>0.1</v>
      </c>
      <c r="Q188" s="44">
        <f t="shared" si="51"/>
        <v>0.1</v>
      </c>
      <c r="R188" s="44">
        <f t="shared" si="51"/>
        <v>0.1</v>
      </c>
      <c r="S188" s="44">
        <f t="shared" si="52"/>
        <v>0.1</v>
      </c>
      <c r="T188" s="44">
        <f t="shared" si="52"/>
        <v>0.1</v>
      </c>
      <c r="U188" s="44">
        <f t="shared" si="52"/>
        <v>0.1</v>
      </c>
      <c r="V188" s="44">
        <f t="shared" si="52"/>
        <v>0.1</v>
      </c>
      <c r="W188" s="44">
        <f t="shared" si="52"/>
        <v>0.1</v>
      </c>
      <c r="X188" s="44">
        <f t="shared" si="52"/>
        <v>0.1</v>
      </c>
      <c r="Y188" s="44">
        <f t="shared" si="52"/>
        <v>0.1</v>
      </c>
      <c r="Z188" s="44">
        <f t="shared" si="52"/>
        <v>0.1</v>
      </c>
      <c r="AA188" s="44">
        <f t="shared" si="52"/>
        <v>0.1</v>
      </c>
      <c r="AB188" s="44">
        <f t="shared" si="52"/>
        <v>0.1</v>
      </c>
      <c r="AC188" s="44">
        <f t="shared" si="52"/>
        <v>0.1</v>
      </c>
      <c r="AD188" s="44">
        <f t="shared" si="52"/>
        <v>0.1</v>
      </c>
      <c r="AE188" s="44">
        <f t="shared" si="52"/>
        <v>0.1</v>
      </c>
      <c r="AF188" s="44">
        <f t="shared" si="52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0"/>
        <v>0.09</v>
      </c>
      <c r="C189" s="55">
        <v>0.09</v>
      </c>
      <c r="D189" s="44">
        <f t="shared" si="51"/>
        <v>0.09</v>
      </c>
      <c r="E189" s="44">
        <f t="shared" si="51"/>
        <v>0.09</v>
      </c>
      <c r="F189" s="44">
        <f t="shared" si="51"/>
        <v>0.09</v>
      </c>
      <c r="G189" s="44">
        <f t="shared" si="51"/>
        <v>0.09</v>
      </c>
      <c r="H189" s="44">
        <f t="shared" si="51"/>
        <v>0.09</v>
      </c>
      <c r="I189" s="44">
        <f t="shared" si="51"/>
        <v>0.09</v>
      </c>
      <c r="J189" s="44">
        <f t="shared" si="51"/>
        <v>0.09</v>
      </c>
      <c r="K189" s="44">
        <f t="shared" si="51"/>
        <v>0.09</v>
      </c>
      <c r="L189" s="44">
        <f t="shared" si="51"/>
        <v>0.09</v>
      </c>
      <c r="M189" s="44">
        <f t="shared" si="51"/>
        <v>0.09</v>
      </c>
      <c r="N189" s="44">
        <f t="shared" si="51"/>
        <v>0.09</v>
      </c>
      <c r="O189" s="44">
        <f t="shared" si="51"/>
        <v>0.09</v>
      </c>
      <c r="P189" s="44">
        <f t="shared" si="51"/>
        <v>0.09</v>
      </c>
      <c r="Q189" s="44">
        <f t="shared" si="51"/>
        <v>0.09</v>
      </c>
      <c r="R189" s="44">
        <f t="shared" si="51"/>
        <v>0.09</v>
      </c>
      <c r="S189" s="44">
        <f t="shared" si="52"/>
        <v>0.09</v>
      </c>
      <c r="T189" s="44">
        <f t="shared" si="52"/>
        <v>0.09</v>
      </c>
      <c r="U189" s="44">
        <f t="shared" si="52"/>
        <v>0.09</v>
      </c>
      <c r="V189" s="44">
        <f t="shared" si="52"/>
        <v>0.09</v>
      </c>
      <c r="W189" s="44">
        <f t="shared" si="52"/>
        <v>0.09</v>
      </c>
      <c r="X189" s="44">
        <f t="shared" si="52"/>
        <v>0.09</v>
      </c>
      <c r="Y189" s="44">
        <f t="shared" si="52"/>
        <v>0.09</v>
      </c>
      <c r="Z189" s="44">
        <f t="shared" si="52"/>
        <v>0.09</v>
      </c>
      <c r="AA189" s="44">
        <f t="shared" si="52"/>
        <v>0.09</v>
      </c>
      <c r="AB189" s="44">
        <f t="shared" si="52"/>
        <v>0.09</v>
      </c>
      <c r="AC189" s="44">
        <f t="shared" si="52"/>
        <v>0.09</v>
      </c>
      <c r="AD189" s="44">
        <f t="shared" si="52"/>
        <v>0.09</v>
      </c>
      <c r="AE189" s="44">
        <f t="shared" si="52"/>
        <v>0.09</v>
      </c>
      <c r="AF189" s="44">
        <f t="shared" si="52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0"/>
        <v>0.04</v>
      </c>
      <c r="C190" s="54">
        <v>0.04</v>
      </c>
      <c r="D190" s="44">
        <f t="shared" si="51"/>
        <v>0.04</v>
      </c>
      <c r="E190" s="44">
        <f t="shared" si="51"/>
        <v>0.04</v>
      </c>
      <c r="F190" s="44">
        <f t="shared" si="51"/>
        <v>0.04</v>
      </c>
      <c r="G190" s="44">
        <f t="shared" si="51"/>
        <v>0.04</v>
      </c>
      <c r="H190" s="44">
        <f t="shared" si="51"/>
        <v>0.04</v>
      </c>
      <c r="I190" s="44">
        <f t="shared" si="51"/>
        <v>0.04</v>
      </c>
      <c r="J190" s="44">
        <f t="shared" si="51"/>
        <v>0.04</v>
      </c>
      <c r="K190" s="44">
        <f t="shared" si="51"/>
        <v>0.04</v>
      </c>
      <c r="L190" s="44">
        <f t="shared" si="51"/>
        <v>0.04</v>
      </c>
      <c r="M190" s="44">
        <f t="shared" si="51"/>
        <v>0.04</v>
      </c>
      <c r="N190" s="44">
        <f t="shared" si="51"/>
        <v>0.04</v>
      </c>
      <c r="O190" s="44">
        <f t="shared" si="51"/>
        <v>0.04</v>
      </c>
      <c r="P190" s="44">
        <f t="shared" si="51"/>
        <v>0.04</v>
      </c>
      <c r="Q190" s="44">
        <f t="shared" si="51"/>
        <v>0.04</v>
      </c>
      <c r="R190" s="44">
        <f t="shared" si="51"/>
        <v>0.04</v>
      </c>
      <c r="S190" s="44">
        <f t="shared" si="52"/>
        <v>0.04</v>
      </c>
      <c r="T190" s="44">
        <f t="shared" si="52"/>
        <v>0.04</v>
      </c>
      <c r="U190" s="44">
        <f t="shared" si="52"/>
        <v>0.04</v>
      </c>
      <c r="V190" s="44">
        <f t="shared" si="52"/>
        <v>0.04</v>
      </c>
      <c r="W190" s="44">
        <f t="shared" si="52"/>
        <v>0.04</v>
      </c>
      <c r="X190" s="44">
        <f t="shared" si="52"/>
        <v>0.04</v>
      </c>
      <c r="Y190" s="44">
        <f t="shared" si="52"/>
        <v>0.04</v>
      </c>
      <c r="Z190" s="44">
        <f t="shared" si="52"/>
        <v>0.04</v>
      </c>
      <c r="AA190" s="44">
        <f t="shared" si="52"/>
        <v>0.04</v>
      </c>
      <c r="AB190" s="44">
        <f t="shared" si="52"/>
        <v>0.04</v>
      </c>
      <c r="AC190" s="44">
        <f t="shared" si="52"/>
        <v>0.04</v>
      </c>
      <c r="AD190" s="44">
        <f t="shared" si="52"/>
        <v>0.04</v>
      </c>
      <c r="AE190" s="44">
        <f t="shared" si="52"/>
        <v>0.04</v>
      </c>
      <c r="AF190" s="44">
        <f t="shared" si="52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0"/>
        <v>2.3E-2</v>
      </c>
      <c r="C191" s="54">
        <v>2.3E-2</v>
      </c>
      <c r="D191" s="44">
        <f>C191</f>
        <v>2.3E-2</v>
      </c>
      <c r="E191" s="44">
        <f t="shared" si="51"/>
        <v>2.3E-2</v>
      </c>
      <c r="F191" s="44">
        <f t="shared" si="51"/>
        <v>2.3E-2</v>
      </c>
      <c r="G191" s="44">
        <f t="shared" si="51"/>
        <v>2.3E-2</v>
      </c>
      <c r="H191" s="44">
        <f t="shared" si="51"/>
        <v>2.3E-2</v>
      </c>
      <c r="I191" s="44">
        <f t="shared" si="51"/>
        <v>2.3E-2</v>
      </c>
      <c r="J191" s="44">
        <f t="shared" si="51"/>
        <v>2.3E-2</v>
      </c>
      <c r="K191" s="44">
        <f t="shared" si="51"/>
        <v>2.3E-2</v>
      </c>
      <c r="L191" s="44">
        <f t="shared" si="51"/>
        <v>2.3E-2</v>
      </c>
      <c r="M191" s="44">
        <f t="shared" si="51"/>
        <v>2.3E-2</v>
      </c>
      <c r="N191" s="44">
        <f t="shared" si="51"/>
        <v>2.3E-2</v>
      </c>
      <c r="O191" s="44">
        <f t="shared" si="51"/>
        <v>2.3E-2</v>
      </c>
      <c r="P191" s="44">
        <f t="shared" si="51"/>
        <v>2.3E-2</v>
      </c>
      <c r="Q191" s="44">
        <f t="shared" si="51"/>
        <v>2.3E-2</v>
      </c>
      <c r="R191" s="44">
        <f t="shared" si="51"/>
        <v>2.3E-2</v>
      </c>
      <c r="S191" s="44">
        <f t="shared" si="52"/>
        <v>2.3E-2</v>
      </c>
      <c r="T191" s="44">
        <f t="shared" si="52"/>
        <v>2.3E-2</v>
      </c>
      <c r="U191" s="44">
        <f t="shared" si="52"/>
        <v>2.3E-2</v>
      </c>
      <c r="V191" s="44">
        <f t="shared" si="52"/>
        <v>2.3E-2</v>
      </c>
      <c r="W191" s="44">
        <f t="shared" si="52"/>
        <v>2.3E-2</v>
      </c>
      <c r="X191" s="44">
        <f t="shared" si="52"/>
        <v>2.3E-2</v>
      </c>
      <c r="Y191" s="44">
        <f t="shared" si="52"/>
        <v>2.3E-2</v>
      </c>
      <c r="Z191" s="44">
        <f t="shared" si="52"/>
        <v>2.3E-2</v>
      </c>
      <c r="AA191" s="44">
        <f t="shared" si="52"/>
        <v>2.3E-2</v>
      </c>
      <c r="AB191" s="44">
        <f t="shared" si="52"/>
        <v>2.3E-2</v>
      </c>
      <c r="AC191" s="44">
        <f t="shared" si="52"/>
        <v>2.3E-2</v>
      </c>
      <c r="AD191" s="44">
        <f t="shared" si="52"/>
        <v>2.3E-2</v>
      </c>
      <c r="AE191" s="44">
        <f t="shared" si="52"/>
        <v>2.3E-2</v>
      </c>
      <c r="AF191" s="44">
        <f t="shared" si="52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3">SUM(C102:C191)</f>
        <v>194.70600000000002</v>
      </c>
      <c r="D192" s="51">
        <f t="shared" si="53"/>
        <v>194.70600000000002</v>
      </c>
      <c r="E192" s="51">
        <f t="shared" si="53"/>
        <v>194.70600000000002</v>
      </c>
      <c r="F192" s="51">
        <f t="shared" si="53"/>
        <v>194.70600000000002</v>
      </c>
      <c r="G192" s="51">
        <f t="shared" si="53"/>
        <v>194.70600000000002</v>
      </c>
      <c r="H192" s="51">
        <f t="shared" si="53"/>
        <v>194.70600000000002</v>
      </c>
      <c r="I192" s="51">
        <f t="shared" si="53"/>
        <v>194.70600000000002</v>
      </c>
      <c r="J192" s="51">
        <f t="shared" si="53"/>
        <v>192.10600000000005</v>
      </c>
      <c r="K192" s="51">
        <f t="shared" si="53"/>
        <v>192.10600000000005</v>
      </c>
      <c r="L192" s="51">
        <f t="shared" si="53"/>
        <v>192.10600000000005</v>
      </c>
      <c r="M192" s="51">
        <f t="shared" si="53"/>
        <v>192.10600000000005</v>
      </c>
      <c r="N192" s="51">
        <f t="shared" si="53"/>
        <v>192.10600000000005</v>
      </c>
      <c r="O192" s="51">
        <f t="shared" si="53"/>
        <v>192.10600000000005</v>
      </c>
      <c r="P192" s="51">
        <f t="shared" si="53"/>
        <v>192.10600000000005</v>
      </c>
      <c r="Q192" s="51">
        <f t="shared" si="53"/>
        <v>192.10600000000005</v>
      </c>
      <c r="R192" s="51">
        <f t="shared" si="53"/>
        <v>192.10600000000005</v>
      </c>
      <c r="S192" s="51">
        <f t="shared" si="53"/>
        <v>192.10600000000005</v>
      </c>
      <c r="T192" s="51">
        <f t="shared" si="53"/>
        <v>192.10600000000005</v>
      </c>
      <c r="U192" s="51">
        <f t="shared" si="53"/>
        <v>192.10600000000005</v>
      </c>
      <c r="V192" s="51">
        <f t="shared" si="53"/>
        <v>192.10600000000005</v>
      </c>
      <c r="W192" s="51">
        <f t="shared" si="53"/>
        <v>192.10600000000005</v>
      </c>
      <c r="X192" s="51">
        <f t="shared" si="53"/>
        <v>192.10600000000005</v>
      </c>
      <c r="Y192" s="51">
        <f t="shared" si="53"/>
        <v>192.10600000000005</v>
      </c>
      <c r="Z192" s="51">
        <f t="shared" si="53"/>
        <v>192.10600000000005</v>
      </c>
      <c r="AA192" s="51">
        <f t="shared" si="53"/>
        <v>192.10600000000005</v>
      </c>
      <c r="AB192" s="51">
        <f t="shared" si="53"/>
        <v>192.10600000000005</v>
      </c>
      <c r="AC192" s="51">
        <f t="shared" si="53"/>
        <v>192.10600000000005</v>
      </c>
      <c r="AD192" s="51">
        <f t="shared" si="53"/>
        <v>192.10600000000005</v>
      </c>
      <c r="AE192" s="51">
        <f t="shared" si="53"/>
        <v>192.10600000000005</v>
      </c>
      <c r="AF192" s="51">
        <f t="shared" si="53"/>
        <v>192.10600000000005</v>
      </c>
      <c r="AG192" s="50">
        <f t="shared" si="53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4">AF194</f>
        <v>0.3</v>
      </c>
      <c r="C194" s="47">
        <v>0.3</v>
      </c>
      <c r="D194" s="47">
        <f t="shared" ref="D194:S199" si="55">C194</f>
        <v>0.3</v>
      </c>
      <c r="E194" s="47">
        <f t="shared" si="55"/>
        <v>0.3</v>
      </c>
      <c r="F194" s="47">
        <f t="shared" si="55"/>
        <v>0.3</v>
      </c>
      <c r="G194" s="47">
        <f t="shared" si="55"/>
        <v>0.3</v>
      </c>
      <c r="H194" s="47">
        <f t="shared" si="55"/>
        <v>0.3</v>
      </c>
      <c r="I194" s="47">
        <f t="shared" si="55"/>
        <v>0.3</v>
      </c>
      <c r="J194" s="47">
        <f t="shared" si="55"/>
        <v>0.3</v>
      </c>
      <c r="K194" s="47">
        <f t="shared" si="55"/>
        <v>0.3</v>
      </c>
      <c r="L194" s="47">
        <f t="shared" si="55"/>
        <v>0.3</v>
      </c>
      <c r="M194" s="47">
        <f t="shared" si="55"/>
        <v>0.3</v>
      </c>
      <c r="N194" s="47">
        <f t="shared" si="55"/>
        <v>0.3</v>
      </c>
      <c r="O194" s="47">
        <f t="shared" si="55"/>
        <v>0.3</v>
      </c>
      <c r="P194" s="47">
        <f t="shared" si="55"/>
        <v>0.3</v>
      </c>
      <c r="Q194" s="47">
        <f t="shared" si="55"/>
        <v>0.3</v>
      </c>
      <c r="R194" s="47">
        <f t="shared" si="55"/>
        <v>0.3</v>
      </c>
      <c r="S194" s="47">
        <f t="shared" si="55"/>
        <v>0.3</v>
      </c>
      <c r="T194" s="47">
        <f t="shared" ref="T194:AF199" si="56">S194</f>
        <v>0.3</v>
      </c>
      <c r="U194" s="47">
        <f t="shared" si="56"/>
        <v>0.3</v>
      </c>
      <c r="V194" s="47">
        <f t="shared" si="56"/>
        <v>0.3</v>
      </c>
      <c r="W194" s="47">
        <f t="shared" si="56"/>
        <v>0.3</v>
      </c>
      <c r="X194" s="47">
        <f t="shared" si="56"/>
        <v>0.3</v>
      </c>
      <c r="Y194" s="47">
        <f t="shared" si="56"/>
        <v>0.3</v>
      </c>
      <c r="Z194" s="47">
        <f t="shared" si="56"/>
        <v>0.3</v>
      </c>
      <c r="AA194" s="47">
        <f t="shared" si="56"/>
        <v>0.3</v>
      </c>
      <c r="AB194" s="47">
        <f t="shared" si="56"/>
        <v>0.3</v>
      </c>
      <c r="AC194" s="47">
        <f t="shared" si="56"/>
        <v>0.3</v>
      </c>
      <c r="AD194" s="47">
        <f t="shared" si="56"/>
        <v>0.3</v>
      </c>
      <c r="AE194" s="47">
        <f t="shared" si="56"/>
        <v>0.3</v>
      </c>
      <c r="AF194" s="47">
        <f t="shared" si="56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4"/>
        <v>0.4</v>
      </c>
      <c r="C195" s="44">
        <v>0.4</v>
      </c>
      <c r="D195" s="44">
        <f t="shared" si="55"/>
        <v>0.4</v>
      </c>
      <c r="E195" s="44">
        <f t="shared" si="55"/>
        <v>0.4</v>
      </c>
      <c r="F195" s="44">
        <f t="shared" si="55"/>
        <v>0.4</v>
      </c>
      <c r="G195" s="44">
        <f t="shared" si="55"/>
        <v>0.4</v>
      </c>
      <c r="H195" s="44">
        <f t="shared" si="55"/>
        <v>0.4</v>
      </c>
      <c r="I195" s="44">
        <f t="shared" si="55"/>
        <v>0.4</v>
      </c>
      <c r="J195" s="44">
        <f t="shared" si="55"/>
        <v>0.4</v>
      </c>
      <c r="K195" s="44">
        <f t="shared" si="55"/>
        <v>0.4</v>
      </c>
      <c r="L195" s="44">
        <f t="shared" si="55"/>
        <v>0.4</v>
      </c>
      <c r="M195" s="44">
        <f t="shared" si="55"/>
        <v>0.4</v>
      </c>
      <c r="N195" s="44">
        <f t="shared" si="55"/>
        <v>0.4</v>
      </c>
      <c r="O195" s="44">
        <f t="shared" si="55"/>
        <v>0.4</v>
      </c>
      <c r="P195" s="44">
        <f t="shared" si="55"/>
        <v>0.4</v>
      </c>
      <c r="Q195" s="44">
        <f t="shared" si="55"/>
        <v>0.4</v>
      </c>
      <c r="R195" s="44">
        <f t="shared" si="55"/>
        <v>0.4</v>
      </c>
      <c r="S195" s="44">
        <f t="shared" si="55"/>
        <v>0.4</v>
      </c>
      <c r="T195" s="44">
        <f t="shared" si="56"/>
        <v>0.4</v>
      </c>
      <c r="U195" s="44">
        <f t="shared" si="56"/>
        <v>0.4</v>
      </c>
      <c r="V195" s="44">
        <f t="shared" si="56"/>
        <v>0.4</v>
      </c>
      <c r="W195" s="44">
        <f>V195</f>
        <v>0.4</v>
      </c>
      <c r="X195" s="44">
        <f>W195</f>
        <v>0.4</v>
      </c>
      <c r="Y195" s="44">
        <f t="shared" si="56"/>
        <v>0.4</v>
      </c>
      <c r="Z195" s="44">
        <f t="shared" si="56"/>
        <v>0.4</v>
      </c>
      <c r="AA195" s="44">
        <f t="shared" si="56"/>
        <v>0.4</v>
      </c>
      <c r="AB195" s="44">
        <f t="shared" si="56"/>
        <v>0.4</v>
      </c>
      <c r="AC195" s="44">
        <f t="shared" si="56"/>
        <v>0.4</v>
      </c>
      <c r="AD195" s="44">
        <f t="shared" si="56"/>
        <v>0.4</v>
      </c>
      <c r="AE195" s="44">
        <f t="shared" si="56"/>
        <v>0.4</v>
      </c>
      <c r="AF195" s="44">
        <f t="shared" si="56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4"/>
        <v>1.5</v>
      </c>
      <c r="C196" s="44">
        <v>1.5</v>
      </c>
      <c r="D196" s="44">
        <f t="shared" si="55"/>
        <v>1.5</v>
      </c>
      <c r="E196" s="44">
        <f t="shared" si="55"/>
        <v>1.5</v>
      </c>
      <c r="F196" s="44">
        <f t="shared" si="55"/>
        <v>1.5</v>
      </c>
      <c r="G196" s="44">
        <f t="shared" si="55"/>
        <v>1.5</v>
      </c>
      <c r="H196" s="44">
        <f t="shared" si="55"/>
        <v>1.5</v>
      </c>
      <c r="I196" s="44">
        <f t="shared" si="55"/>
        <v>1.5</v>
      </c>
      <c r="J196" s="44">
        <f t="shared" si="55"/>
        <v>1.5</v>
      </c>
      <c r="K196" s="44">
        <f t="shared" si="55"/>
        <v>1.5</v>
      </c>
      <c r="L196" s="44">
        <f t="shared" si="55"/>
        <v>1.5</v>
      </c>
      <c r="M196" s="44">
        <f t="shared" si="55"/>
        <v>1.5</v>
      </c>
      <c r="N196" s="44">
        <f t="shared" si="55"/>
        <v>1.5</v>
      </c>
      <c r="O196" s="44">
        <f t="shared" si="55"/>
        <v>1.5</v>
      </c>
      <c r="P196" s="44">
        <f t="shared" si="55"/>
        <v>1.5</v>
      </c>
      <c r="Q196" s="44">
        <f t="shared" si="55"/>
        <v>1.5</v>
      </c>
      <c r="R196" s="44">
        <f t="shared" si="55"/>
        <v>1.5</v>
      </c>
      <c r="S196" s="44">
        <f t="shared" si="55"/>
        <v>1.5</v>
      </c>
      <c r="T196" s="44">
        <f t="shared" si="56"/>
        <v>1.5</v>
      </c>
      <c r="U196" s="44">
        <f t="shared" si="56"/>
        <v>1.5</v>
      </c>
      <c r="V196" s="44">
        <f t="shared" si="56"/>
        <v>1.5</v>
      </c>
      <c r="W196" s="44">
        <f t="shared" si="56"/>
        <v>1.5</v>
      </c>
      <c r="X196" s="44">
        <f t="shared" si="56"/>
        <v>1.5</v>
      </c>
      <c r="Y196" s="44">
        <f t="shared" si="56"/>
        <v>1.5</v>
      </c>
      <c r="Z196" s="44">
        <f t="shared" si="56"/>
        <v>1.5</v>
      </c>
      <c r="AA196" s="44">
        <f t="shared" si="56"/>
        <v>1.5</v>
      </c>
      <c r="AB196" s="44">
        <f t="shared" si="56"/>
        <v>1.5</v>
      </c>
      <c r="AC196" s="44">
        <f t="shared" si="56"/>
        <v>1.5</v>
      </c>
      <c r="AD196" s="44">
        <f t="shared" si="56"/>
        <v>1.5</v>
      </c>
      <c r="AE196" s="44">
        <f t="shared" si="56"/>
        <v>1.5</v>
      </c>
      <c r="AF196" s="44">
        <f t="shared" si="56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4"/>
        <v>0.3</v>
      </c>
      <c r="C197" s="44">
        <v>0.3</v>
      </c>
      <c r="D197" s="44">
        <f t="shared" si="55"/>
        <v>0.3</v>
      </c>
      <c r="E197" s="44">
        <f t="shared" si="55"/>
        <v>0.3</v>
      </c>
      <c r="F197" s="44">
        <f t="shared" si="55"/>
        <v>0.3</v>
      </c>
      <c r="G197" s="44">
        <f t="shared" si="55"/>
        <v>0.3</v>
      </c>
      <c r="H197" s="44">
        <f t="shared" si="55"/>
        <v>0.3</v>
      </c>
      <c r="I197" s="44">
        <f t="shared" si="55"/>
        <v>0.3</v>
      </c>
      <c r="J197" s="44">
        <f t="shared" si="55"/>
        <v>0.3</v>
      </c>
      <c r="K197" s="44">
        <f t="shared" si="55"/>
        <v>0.3</v>
      </c>
      <c r="L197" s="44">
        <f t="shared" si="55"/>
        <v>0.3</v>
      </c>
      <c r="M197" s="44">
        <f t="shared" si="55"/>
        <v>0.3</v>
      </c>
      <c r="N197" s="44">
        <f t="shared" si="55"/>
        <v>0.3</v>
      </c>
      <c r="O197" s="44">
        <f t="shared" si="55"/>
        <v>0.3</v>
      </c>
      <c r="P197" s="44">
        <f t="shared" si="55"/>
        <v>0.3</v>
      </c>
      <c r="Q197" s="44">
        <f t="shared" si="55"/>
        <v>0.3</v>
      </c>
      <c r="R197" s="44">
        <f t="shared" si="55"/>
        <v>0.3</v>
      </c>
      <c r="S197" s="44">
        <f t="shared" si="55"/>
        <v>0.3</v>
      </c>
      <c r="T197" s="44">
        <f t="shared" si="56"/>
        <v>0.3</v>
      </c>
      <c r="U197" s="44">
        <f t="shared" si="56"/>
        <v>0.3</v>
      </c>
      <c r="V197" s="44">
        <f t="shared" si="56"/>
        <v>0.3</v>
      </c>
      <c r="W197" s="44">
        <f t="shared" si="56"/>
        <v>0.3</v>
      </c>
      <c r="X197" s="44">
        <f t="shared" si="56"/>
        <v>0.3</v>
      </c>
      <c r="Y197" s="44">
        <f t="shared" si="56"/>
        <v>0.3</v>
      </c>
      <c r="Z197" s="44">
        <f t="shared" si="56"/>
        <v>0.3</v>
      </c>
      <c r="AA197" s="44">
        <f t="shared" si="56"/>
        <v>0.3</v>
      </c>
      <c r="AB197" s="44">
        <f t="shared" si="56"/>
        <v>0.3</v>
      </c>
      <c r="AC197" s="44">
        <f t="shared" si="56"/>
        <v>0.3</v>
      </c>
      <c r="AD197" s="44">
        <f t="shared" si="56"/>
        <v>0.3</v>
      </c>
      <c r="AE197" s="44">
        <f t="shared" si="56"/>
        <v>0.3</v>
      </c>
      <c r="AF197" s="44">
        <f t="shared" si="56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4"/>
        <v>0.4</v>
      </c>
      <c r="C198" s="44">
        <v>0.4</v>
      </c>
      <c r="D198" s="44">
        <f t="shared" si="55"/>
        <v>0.4</v>
      </c>
      <c r="E198" s="44">
        <f t="shared" si="55"/>
        <v>0.4</v>
      </c>
      <c r="F198" s="44">
        <f t="shared" si="55"/>
        <v>0.4</v>
      </c>
      <c r="G198" s="44">
        <f t="shared" si="55"/>
        <v>0.4</v>
      </c>
      <c r="H198" s="44">
        <f t="shared" si="55"/>
        <v>0.4</v>
      </c>
      <c r="I198" s="44">
        <f t="shared" si="55"/>
        <v>0.4</v>
      </c>
      <c r="J198" s="44">
        <f t="shared" si="55"/>
        <v>0.4</v>
      </c>
      <c r="K198" s="44">
        <f t="shared" si="55"/>
        <v>0.4</v>
      </c>
      <c r="L198" s="44">
        <f t="shared" si="55"/>
        <v>0.4</v>
      </c>
      <c r="M198" s="44">
        <f t="shared" si="55"/>
        <v>0.4</v>
      </c>
      <c r="N198" s="44">
        <f t="shared" si="55"/>
        <v>0.4</v>
      </c>
      <c r="O198" s="44">
        <f t="shared" si="55"/>
        <v>0.4</v>
      </c>
      <c r="P198" s="44">
        <f t="shared" si="55"/>
        <v>0.4</v>
      </c>
      <c r="Q198" s="44">
        <f t="shared" si="55"/>
        <v>0.4</v>
      </c>
      <c r="R198" s="44">
        <f t="shared" si="55"/>
        <v>0.4</v>
      </c>
      <c r="S198" s="44">
        <f t="shared" si="55"/>
        <v>0.4</v>
      </c>
      <c r="T198" s="44">
        <f t="shared" si="56"/>
        <v>0.4</v>
      </c>
      <c r="U198" s="44">
        <f t="shared" si="56"/>
        <v>0.4</v>
      </c>
      <c r="V198" s="44">
        <f t="shared" si="56"/>
        <v>0.4</v>
      </c>
      <c r="W198" s="44">
        <f t="shared" si="56"/>
        <v>0.4</v>
      </c>
      <c r="X198" s="44">
        <f t="shared" si="56"/>
        <v>0.4</v>
      </c>
      <c r="Y198" s="44">
        <f t="shared" si="56"/>
        <v>0.4</v>
      </c>
      <c r="Z198" s="44">
        <f t="shared" si="56"/>
        <v>0.4</v>
      </c>
      <c r="AA198" s="44">
        <f t="shared" si="56"/>
        <v>0.4</v>
      </c>
      <c r="AB198" s="44">
        <f t="shared" si="56"/>
        <v>0.4</v>
      </c>
      <c r="AC198" s="44">
        <f t="shared" si="56"/>
        <v>0.4</v>
      </c>
      <c r="AD198" s="44">
        <f t="shared" si="56"/>
        <v>0.4</v>
      </c>
      <c r="AE198" s="44">
        <f t="shared" si="56"/>
        <v>0.4</v>
      </c>
      <c r="AF198" s="44">
        <f t="shared" si="56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4"/>
        <v>0.64</v>
      </c>
      <c r="C199" s="40">
        <v>0.64</v>
      </c>
      <c r="D199" s="40">
        <f t="shared" si="55"/>
        <v>0.64</v>
      </c>
      <c r="E199" s="40">
        <f t="shared" si="55"/>
        <v>0.64</v>
      </c>
      <c r="F199" s="40">
        <f t="shared" si="55"/>
        <v>0.64</v>
      </c>
      <c r="G199" s="40">
        <f t="shared" si="55"/>
        <v>0.64</v>
      </c>
      <c r="H199" s="40">
        <f t="shared" si="55"/>
        <v>0.64</v>
      </c>
      <c r="I199" s="40">
        <f t="shared" si="55"/>
        <v>0.64</v>
      </c>
      <c r="J199" s="40">
        <f t="shared" si="55"/>
        <v>0.64</v>
      </c>
      <c r="K199" s="40">
        <f t="shared" si="55"/>
        <v>0.64</v>
      </c>
      <c r="L199" s="40">
        <f t="shared" si="55"/>
        <v>0.64</v>
      </c>
      <c r="M199" s="40">
        <f t="shared" si="55"/>
        <v>0.64</v>
      </c>
      <c r="N199" s="40">
        <f t="shared" si="55"/>
        <v>0.64</v>
      </c>
      <c r="O199" s="40">
        <f t="shared" si="55"/>
        <v>0.64</v>
      </c>
      <c r="P199" s="40">
        <f t="shared" si="55"/>
        <v>0.64</v>
      </c>
      <c r="Q199" s="40">
        <f t="shared" si="55"/>
        <v>0.64</v>
      </c>
      <c r="R199" s="40">
        <f t="shared" si="55"/>
        <v>0.64</v>
      </c>
      <c r="S199" s="40">
        <f t="shared" si="55"/>
        <v>0.64</v>
      </c>
      <c r="T199" s="40">
        <f t="shared" si="56"/>
        <v>0.64</v>
      </c>
      <c r="U199" s="40">
        <f t="shared" si="56"/>
        <v>0.64</v>
      </c>
      <c r="V199" s="40">
        <f t="shared" si="56"/>
        <v>0.64</v>
      </c>
      <c r="W199" s="40">
        <f t="shared" si="56"/>
        <v>0.64</v>
      </c>
      <c r="X199" s="40">
        <f t="shared" si="56"/>
        <v>0.64</v>
      </c>
      <c r="Y199" s="40">
        <f t="shared" si="56"/>
        <v>0.64</v>
      </c>
      <c r="Z199" s="40">
        <f t="shared" si="56"/>
        <v>0.64</v>
      </c>
      <c r="AA199" s="40">
        <f t="shared" si="56"/>
        <v>0.64</v>
      </c>
      <c r="AB199" s="40">
        <f t="shared" si="56"/>
        <v>0.64</v>
      </c>
      <c r="AC199" s="40">
        <f t="shared" si="56"/>
        <v>0.64</v>
      </c>
      <c r="AD199" s="40">
        <f t="shared" si="56"/>
        <v>0.64</v>
      </c>
      <c r="AE199" s="40">
        <f t="shared" si="56"/>
        <v>0.64</v>
      </c>
      <c r="AF199" s="40">
        <f t="shared" si="56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7">SUM(D194:D199)</f>
        <v>3.54</v>
      </c>
      <c r="E200" s="37">
        <f t="shared" si="57"/>
        <v>3.54</v>
      </c>
      <c r="F200" s="37">
        <f t="shared" si="57"/>
        <v>3.54</v>
      </c>
      <c r="G200" s="37">
        <f t="shared" si="57"/>
        <v>3.54</v>
      </c>
      <c r="H200" s="37">
        <f t="shared" si="57"/>
        <v>3.54</v>
      </c>
      <c r="I200" s="37">
        <f t="shared" si="57"/>
        <v>3.54</v>
      </c>
      <c r="J200" s="37">
        <f t="shared" si="57"/>
        <v>3.54</v>
      </c>
      <c r="K200" s="37">
        <f t="shared" si="57"/>
        <v>3.54</v>
      </c>
      <c r="L200" s="37">
        <f t="shared" si="57"/>
        <v>3.54</v>
      </c>
      <c r="M200" s="37">
        <f>SUM(M194:M199)</f>
        <v>3.54</v>
      </c>
      <c r="N200" s="37">
        <f t="shared" ref="N200:S200" si="58">SUM(N194:N199)</f>
        <v>3.54</v>
      </c>
      <c r="O200" s="37">
        <f t="shared" si="58"/>
        <v>3.54</v>
      </c>
      <c r="P200" s="37">
        <f t="shared" si="58"/>
        <v>3.54</v>
      </c>
      <c r="Q200" s="37">
        <f t="shared" si="58"/>
        <v>3.54</v>
      </c>
      <c r="R200" s="37">
        <f t="shared" si="58"/>
        <v>3.54</v>
      </c>
      <c r="S200" s="37">
        <f t="shared" si="58"/>
        <v>3.54</v>
      </c>
      <c r="T200" s="37">
        <f>SUM(T194:T199)</f>
        <v>3.54</v>
      </c>
      <c r="U200" s="37">
        <f t="shared" ref="U200:AG200" si="59">SUM(U194:U199)</f>
        <v>3.54</v>
      </c>
      <c r="V200" s="37">
        <f t="shared" si="59"/>
        <v>3.54</v>
      </c>
      <c r="W200" s="37">
        <f t="shared" si="59"/>
        <v>3.54</v>
      </c>
      <c r="X200" s="37">
        <f t="shared" si="59"/>
        <v>3.54</v>
      </c>
      <c r="Y200" s="37">
        <f t="shared" si="59"/>
        <v>3.54</v>
      </c>
      <c r="Z200" s="37">
        <f t="shared" si="59"/>
        <v>3.54</v>
      </c>
      <c r="AA200" s="37">
        <f t="shared" si="59"/>
        <v>3.54</v>
      </c>
      <c r="AB200" s="37">
        <f t="shared" si="59"/>
        <v>3.54</v>
      </c>
      <c r="AC200" s="37">
        <f t="shared" si="59"/>
        <v>3.54</v>
      </c>
      <c r="AD200" s="37">
        <f t="shared" si="59"/>
        <v>3.54</v>
      </c>
      <c r="AE200" s="37">
        <f t="shared" si="59"/>
        <v>3.54</v>
      </c>
      <c r="AF200" s="37">
        <f t="shared" si="59"/>
        <v>3.54</v>
      </c>
      <c r="AG200" s="36">
        <f t="shared" si="59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1392.8</v>
      </c>
      <c r="C209" s="17">
        <f>INDEX(G9:N9,1,MATCH(MAX(G75:N75),G75:N75,0))</f>
        <v>0.33333333333333331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28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2078/12/28)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2078/12/28)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0">B75</f>
        <v>1102.3399999999999</v>
      </c>
      <c r="U214" s="9">
        <f t="shared" si="60"/>
        <v>1150.3399999999999</v>
      </c>
      <c r="V214" s="9">
        <f t="shared" si="60"/>
        <v>1162.48</v>
      </c>
      <c r="W214" s="9">
        <f t="shared" si="60"/>
        <v>1152.48</v>
      </c>
      <c r="X214" s="9">
        <f t="shared" si="60"/>
        <v>1139.48</v>
      </c>
      <c r="Y214" s="9">
        <f t="shared" si="60"/>
        <v>1185.94</v>
      </c>
      <c r="Z214" s="9">
        <f t="shared" si="60"/>
        <v>1216.8799999999999</v>
      </c>
      <c r="AA214" s="9">
        <f t="shared" si="60"/>
        <v>1231.6399999999999</v>
      </c>
      <c r="AB214" s="9">
        <f t="shared" si="60"/>
        <v>1284.3400000000001</v>
      </c>
      <c r="AC214" s="9">
        <f t="shared" si="60"/>
        <v>1352.54</v>
      </c>
      <c r="AD214" s="9">
        <f t="shared" si="60"/>
        <v>1372.94</v>
      </c>
      <c r="AE214" s="9">
        <f t="shared" si="60"/>
        <v>1392.8</v>
      </c>
      <c r="AF214" s="9">
        <f t="shared" si="60"/>
        <v>1368.8899999999999</v>
      </c>
      <c r="AG214" s="9">
        <f t="shared" si="60"/>
        <v>1376.32</v>
      </c>
      <c r="AH214" s="9">
        <f t="shared" si="60"/>
        <v>1398.2399999999998</v>
      </c>
      <c r="AI214" s="9">
        <f t="shared" si="60"/>
        <v>1425.94</v>
      </c>
      <c r="AJ214" s="9">
        <f t="shared" si="60"/>
        <v>1411.8400000000001</v>
      </c>
      <c r="AK214" s="9">
        <f t="shared" si="60"/>
        <v>1433.64</v>
      </c>
      <c r="AL214" s="9">
        <f t="shared" si="60"/>
        <v>1370.24</v>
      </c>
      <c r="AM214" s="9">
        <f t="shared" si="60"/>
        <v>1483.74</v>
      </c>
      <c r="AN214" s="9">
        <f t="shared" si="60"/>
        <v>1425.04</v>
      </c>
      <c r="AO214" s="9">
        <f t="shared" si="60"/>
        <v>1403.04</v>
      </c>
      <c r="AP214" s="9">
        <f t="shared" si="60"/>
        <v>1390.04</v>
      </c>
      <c r="AQ214" s="9">
        <f t="shared" si="60"/>
        <v>1449.6399999999999</v>
      </c>
      <c r="AR214" s="9">
        <f t="shared" si="60"/>
        <v>1662.7400000000002</v>
      </c>
      <c r="AS214" s="9">
        <f t="shared" si="60"/>
        <v>1604.04</v>
      </c>
      <c r="AT214" s="9">
        <f t="shared" si="60"/>
        <v>1548.6400000000003</v>
      </c>
      <c r="AU214" s="9">
        <f t="shared" si="60"/>
        <v>1545.84</v>
      </c>
      <c r="AV214" s="9">
        <f t="shared" si="60"/>
        <v>1483.84</v>
      </c>
      <c r="AW214" s="9">
        <f t="shared" si="60"/>
        <v>1416.54</v>
      </c>
      <c r="AX214" s="9">
        <f t="shared" si="60"/>
        <v>1318.04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1">C199</f>
        <v>0.64</v>
      </c>
      <c r="C235" s="4">
        <f t="shared" si="61"/>
        <v>0.64</v>
      </c>
      <c r="D235" s="4">
        <f t="shared" si="61"/>
        <v>0.64</v>
      </c>
      <c r="E235" s="4">
        <f t="shared" si="61"/>
        <v>0.64</v>
      </c>
      <c r="F235" s="4">
        <f t="shared" si="61"/>
        <v>0.64</v>
      </c>
      <c r="G235" s="4">
        <f t="shared" si="61"/>
        <v>0.64</v>
      </c>
      <c r="H235" s="4">
        <f t="shared" si="61"/>
        <v>0.64</v>
      </c>
      <c r="I235" s="4">
        <f t="shared" si="61"/>
        <v>0.64</v>
      </c>
      <c r="J235" s="4">
        <f t="shared" si="61"/>
        <v>0.64</v>
      </c>
      <c r="K235" s="4">
        <f t="shared" si="61"/>
        <v>0.64</v>
      </c>
      <c r="L235" s="4">
        <f t="shared" si="61"/>
        <v>0.64</v>
      </c>
      <c r="M235" s="4">
        <f t="shared" si="61"/>
        <v>0.64</v>
      </c>
      <c r="N235" s="4">
        <f t="shared" si="61"/>
        <v>0.64</v>
      </c>
      <c r="O235" s="4">
        <f t="shared" si="61"/>
        <v>0.64</v>
      </c>
      <c r="P235" s="4">
        <f t="shared" si="61"/>
        <v>0.64</v>
      </c>
      <c r="Q235" s="4">
        <f t="shared" si="61"/>
        <v>0.64</v>
      </c>
      <c r="R235" s="4">
        <f t="shared" si="61"/>
        <v>0.64</v>
      </c>
      <c r="S235" s="4">
        <f t="shared" si="61"/>
        <v>0.64</v>
      </c>
      <c r="T235" s="4">
        <f t="shared" si="61"/>
        <v>0.64</v>
      </c>
      <c r="U235" s="4">
        <f t="shared" si="61"/>
        <v>0.64</v>
      </c>
      <c r="V235" s="4">
        <f t="shared" si="61"/>
        <v>0.64</v>
      </c>
      <c r="W235" s="4">
        <f t="shared" si="61"/>
        <v>0.64</v>
      </c>
      <c r="X235" s="4">
        <f t="shared" si="61"/>
        <v>0.64</v>
      </c>
      <c r="Y235" s="4">
        <f t="shared" si="61"/>
        <v>0.64</v>
      </c>
      <c r="Z235" s="4">
        <f t="shared" si="61"/>
        <v>0.64</v>
      </c>
      <c r="AA235" s="4">
        <f t="shared" si="61"/>
        <v>0.64</v>
      </c>
      <c r="AB235" s="4">
        <f t="shared" si="61"/>
        <v>0.64</v>
      </c>
      <c r="AC235" s="4">
        <f t="shared" si="61"/>
        <v>0.64</v>
      </c>
      <c r="AD235" s="4">
        <f t="shared" si="61"/>
        <v>0.64</v>
      </c>
      <c r="AE235" s="4">
        <f t="shared" si="61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2">IF(C203&lt;100,"",C203-520)</f>
        <v/>
      </c>
      <c r="D236" s="3" t="str">
        <f t="shared" si="62"/>
        <v/>
      </c>
      <c r="E236" s="3" t="str">
        <f t="shared" si="62"/>
        <v/>
      </c>
      <c r="F236" s="3" t="str">
        <f t="shared" si="62"/>
        <v/>
      </c>
      <c r="G236" s="3" t="str">
        <f t="shared" si="62"/>
        <v/>
      </c>
      <c r="H236" s="3" t="str">
        <f t="shared" si="62"/>
        <v/>
      </c>
      <c r="I236" s="3" t="str">
        <f t="shared" si="62"/>
        <v/>
      </c>
      <c r="J236" s="3" t="str">
        <f t="shared" si="62"/>
        <v/>
      </c>
      <c r="K236" s="3" t="str">
        <f t="shared" si="62"/>
        <v/>
      </c>
      <c r="L236" s="3" t="str">
        <f t="shared" si="62"/>
        <v/>
      </c>
      <c r="M236" s="3" t="str">
        <f t="shared" si="62"/>
        <v/>
      </c>
      <c r="N236" s="3" t="str">
        <f t="shared" si="62"/>
        <v/>
      </c>
      <c r="O236" s="3" t="str">
        <f t="shared" si="62"/>
        <v/>
      </c>
      <c r="P236" s="3" t="str">
        <f t="shared" si="62"/>
        <v/>
      </c>
      <c r="Q236" s="3" t="str">
        <f t="shared" si="62"/>
        <v/>
      </c>
      <c r="R236" s="3" t="str">
        <f t="shared" si="62"/>
        <v/>
      </c>
      <c r="S236" s="3" t="str">
        <f t="shared" si="62"/>
        <v/>
      </c>
      <c r="T236" s="3" t="str">
        <f t="shared" si="62"/>
        <v/>
      </c>
      <c r="U236" s="3" t="str">
        <f t="shared" si="62"/>
        <v/>
      </c>
      <c r="V236" s="3" t="str">
        <f t="shared" si="62"/>
        <v/>
      </c>
      <c r="W236" s="3" t="str">
        <f t="shared" si="62"/>
        <v/>
      </c>
      <c r="X236" s="3" t="str">
        <f t="shared" si="62"/>
        <v/>
      </c>
      <c r="Y236" s="3" t="str">
        <f t="shared" si="62"/>
        <v/>
      </c>
      <c r="Z236" s="3" t="str">
        <f t="shared" si="62"/>
        <v/>
      </c>
      <c r="AA236" s="3" t="str">
        <f t="shared" si="62"/>
        <v/>
      </c>
      <c r="AB236" s="3" t="str">
        <f t="shared" si="62"/>
        <v/>
      </c>
      <c r="AC236" s="3" t="str">
        <f t="shared" si="62"/>
        <v/>
      </c>
      <c r="AD236" s="3" t="str">
        <f t="shared" si="62"/>
        <v/>
      </c>
      <c r="AE236" s="3" t="str">
        <f t="shared" si="62"/>
        <v/>
      </c>
      <c r="AF236" s="3" t="str">
        <f t="shared" si="62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3">IF(B204&lt;100,"",B204-620)</f>
        <v/>
      </c>
      <c r="C237" s="3" t="str">
        <f t="shared" si="63"/>
        <v/>
      </c>
      <c r="D237" s="3" t="str">
        <f t="shared" si="63"/>
        <v/>
      </c>
      <c r="E237" s="3" t="str">
        <f t="shared" si="63"/>
        <v/>
      </c>
      <c r="F237" s="3" t="str">
        <f t="shared" si="63"/>
        <v/>
      </c>
      <c r="G237" s="3" t="str">
        <f t="shared" si="63"/>
        <v/>
      </c>
      <c r="H237" s="3" t="str">
        <f t="shared" si="63"/>
        <v/>
      </c>
      <c r="I237" s="3" t="str">
        <f t="shared" si="63"/>
        <v/>
      </c>
      <c r="J237" s="3" t="str">
        <f t="shared" si="63"/>
        <v/>
      </c>
      <c r="K237" s="3" t="str">
        <f t="shared" si="63"/>
        <v/>
      </c>
      <c r="L237" s="3" t="str">
        <f t="shared" si="63"/>
        <v/>
      </c>
      <c r="M237" s="3" t="str">
        <f t="shared" si="63"/>
        <v/>
      </c>
      <c r="N237" s="3" t="str">
        <f t="shared" si="63"/>
        <v/>
      </c>
      <c r="O237" s="3" t="str">
        <f t="shared" si="63"/>
        <v/>
      </c>
      <c r="P237" s="3" t="str">
        <f t="shared" si="63"/>
        <v/>
      </c>
      <c r="Q237" s="3" t="str">
        <f t="shared" si="63"/>
        <v/>
      </c>
      <c r="R237" s="3" t="str">
        <f t="shared" si="63"/>
        <v/>
      </c>
      <c r="S237" s="3" t="str">
        <f t="shared" si="63"/>
        <v/>
      </c>
      <c r="T237" s="3" t="str">
        <f t="shared" si="63"/>
        <v/>
      </c>
      <c r="U237" s="3" t="str">
        <f t="shared" si="63"/>
        <v/>
      </c>
      <c r="V237" s="3" t="str">
        <f t="shared" si="63"/>
        <v/>
      </c>
      <c r="W237" s="3" t="str">
        <f t="shared" si="63"/>
        <v/>
      </c>
      <c r="X237" s="3" t="str">
        <f t="shared" si="63"/>
        <v/>
      </c>
      <c r="Y237" s="3" t="str">
        <f t="shared" si="63"/>
        <v/>
      </c>
      <c r="Z237" s="3" t="str">
        <f t="shared" si="63"/>
        <v/>
      </c>
      <c r="AA237" s="3" t="str">
        <f t="shared" si="63"/>
        <v/>
      </c>
      <c r="AB237" s="3" t="str">
        <f t="shared" si="63"/>
        <v/>
      </c>
      <c r="AC237" s="3" t="str">
        <f t="shared" si="63"/>
        <v/>
      </c>
      <c r="AD237" s="3" t="str">
        <f t="shared" si="63"/>
        <v/>
      </c>
      <c r="AE237" s="3" t="str">
        <f t="shared" si="63"/>
        <v/>
      </c>
      <c r="AF237" s="3" t="str">
        <f t="shared" si="63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4">IF(B205&lt;100,"",B205-330)</f>
        <v/>
      </c>
      <c r="C238" s="3" t="str">
        <f t="shared" si="64"/>
        <v/>
      </c>
      <c r="D238" s="3" t="str">
        <f t="shared" si="64"/>
        <v/>
      </c>
      <c r="E238" s="3" t="str">
        <f t="shared" si="64"/>
        <v/>
      </c>
      <c r="F238" s="3" t="str">
        <f t="shared" si="64"/>
        <v/>
      </c>
      <c r="G238" s="3" t="str">
        <f t="shared" si="64"/>
        <v/>
      </c>
      <c r="H238" s="3" t="str">
        <f t="shared" si="64"/>
        <v/>
      </c>
      <c r="I238" s="3" t="str">
        <f t="shared" si="64"/>
        <v/>
      </c>
      <c r="J238" s="3" t="str">
        <f t="shared" si="64"/>
        <v/>
      </c>
      <c r="K238" s="3" t="str">
        <f t="shared" si="64"/>
        <v/>
      </c>
      <c r="L238" s="3" t="str">
        <f t="shared" si="64"/>
        <v/>
      </c>
      <c r="M238" s="3" t="str">
        <f t="shared" si="64"/>
        <v/>
      </c>
      <c r="N238" s="3" t="str">
        <f t="shared" si="64"/>
        <v/>
      </c>
      <c r="O238" s="3" t="str">
        <f t="shared" si="64"/>
        <v/>
      </c>
      <c r="P238" s="3" t="str">
        <f t="shared" si="64"/>
        <v/>
      </c>
      <c r="Q238" s="3" t="str">
        <f t="shared" si="64"/>
        <v/>
      </c>
      <c r="R238" s="3" t="str">
        <f t="shared" si="64"/>
        <v/>
      </c>
      <c r="S238" s="3" t="str">
        <f t="shared" si="64"/>
        <v/>
      </c>
      <c r="T238" s="3" t="str">
        <f t="shared" si="64"/>
        <v/>
      </c>
      <c r="U238" s="3" t="str">
        <f t="shared" si="64"/>
        <v/>
      </c>
      <c r="V238" s="3" t="str">
        <f t="shared" si="64"/>
        <v/>
      </c>
      <c r="W238" s="3" t="str">
        <f t="shared" si="64"/>
        <v/>
      </c>
      <c r="X238" s="3" t="str">
        <f t="shared" si="64"/>
        <v/>
      </c>
      <c r="Y238" s="3" t="str">
        <f t="shared" si="64"/>
        <v/>
      </c>
      <c r="Z238" s="3" t="str">
        <f t="shared" si="64"/>
        <v/>
      </c>
      <c r="AA238" s="3" t="str">
        <f t="shared" si="64"/>
        <v/>
      </c>
      <c r="AB238" s="3" t="str">
        <f t="shared" si="64"/>
        <v/>
      </c>
      <c r="AC238" s="3" t="str">
        <f t="shared" si="64"/>
        <v/>
      </c>
      <c r="AD238" s="3" t="str">
        <f t="shared" si="64"/>
        <v/>
      </c>
      <c r="AE238" s="3" t="str">
        <f t="shared" si="64"/>
        <v/>
      </c>
      <c r="AF238" s="3" t="str">
        <f t="shared" si="64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5">IF(C206&lt;100,"",C206-1500)</f>
        <v/>
      </c>
      <c r="D239" s="3" t="str">
        <f t="shared" si="65"/>
        <v/>
      </c>
      <c r="E239" s="3" t="str">
        <f t="shared" si="65"/>
        <v/>
      </c>
      <c r="F239" s="3" t="str">
        <f t="shared" si="65"/>
        <v/>
      </c>
      <c r="G239" s="3" t="str">
        <f t="shared" si="65"/>
        <v/>
      </c>
      <c r="H239" s="3" t="str">
        <f t="shared" si="65"/>
        <v/>
      </c>
      <c r="I239" s="3" t="str">
        <f t="shared" si="65"/>
        <v/>
      </c>
      <c r="J239" s="3" t="str">
        <f t="shared" si="65"/>
        <v/>
      </c>
      <c r="K239" s="3" t="str">
        <f t="shared" si="65"/>
        <v/>
      </c>
      <c r="L239" s="3" t="str">
        <f t="shared" si="65"/>
        <v/>
      </c>
      <c r="M239" s="3" t="str">
        <f t="shared" si="65"/>
        <v/>
      </c>
      <c r="N239" s="3" t="str">
        <f t="shared" si="65"/>
        <v/>
      </c>
      <c r="O239" s="3" t="str">
        <f t="shared" si="65"/>
        <v/>
      </c>
      <c r="P239" s="3" t="str">
        <f t="shared" si="65"/>
        <v/>
      </c>
      <c r="Q239" s="3" t="str">
        <f t="shared" si="65"/>
        <v/>
      </c>
      <c r="R239" s="3" t="str">
        <f t="shared" si="65"/>
        <v/>
      </c>
      <c r="S239" s="3" t="str">
        <f t="shared" si="65"/>
        <v/>
      </c>
      <c r="T239" s="3" t="str">
        <f t="shared" si="65"/>
        <v/>
      </c>
      <c r="U239" s="3" t="str">
        <f t="shared" si="65"/>
        <v/>
      </c>
      <c r="V239" s="3" t="str">
        <f t="shared" si="65"/>
        <v/>
      </c>
      <c r="W239" s="3" t="str">
        <f t="shared" si="65"/>
        <v/>
      </c>
      <c r="X239" s="3" t="str">
        <f t="shared" si="65"/>
        <v/>
      </c>
      <c r="Y239" s="3" t="str">
        <f t="shared" si="65"/>
        <v/>
      </c>
      <c r="Z239" s="3" t="str">
        <f t="shared" si="65"/>
        <v/>
      </c>
      <c r="AA239" s="3" t="str">
        <f t="shared" si="65"/>
        <v/>
      </c>
      <c r="AB239" s="3" t="str">
        <f t="shared" si="65"/>
        <v/>
      </c>
      <c r="AC239" s="3" t="str">
        <f t="shared" si="65"/>
        <v/>
      </c>
      <c r="AD239" s="3" t="str">
        <f t="shared" si="65"/>
        <v/>
      </c>
      <c r="AE239" s="3" t="str">
        <f t="shared" si="65"/>
        <v/>
      </c>
      <c r="AF239" s="3" t="str">
        <f t="shared" si="65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Q37 C57:L59 P39:R39 M39:O42 P40:Q42 R42 R16 X85:AA91 AB81:AF81 B81:R81 D194:AF200 B194:B200 AB84:AF91 B84:B91 M53:AF55 B9:AF10 B192:AF192 AF57:AF60 B53:B72 AG73 AB94:AF100 B94:B100 U213:AF213 C53:C55 B36:Q36 M12:R14 R36:R37 N45:R48 C60:R67 R40:U41 M58:W59 S18:Y30 U40:Y42 C56:AF56 C68:AF72 B82:AF83 M11:AE11 Z40:AE43 Z16:AF31 S36:AF36 Z13:AF14 AF42:AF43 B73:AF80">
    <cfRule type="expression" dxfId="1060" priority="251">
      <formula>B$9&gt;=20/24</formula>
    </cfRule>
    <cfRule type="expression" dxfId="1059" priority="252">
      <formula>AND(B$9&gt;=14/24,B$9&lt;20/24)</formula>
    </cfRule>
    <cfRule type="expression" dxfId="1058" priority="253">
      <formula>AND(B$9&gt;=8/24,B$9&lt;14/24)</formula>
    </cfRule>
    <cfRule type="expression" dxfId="1057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56" priority="246">
      <formula>M$9&gt;=20/24</formula>
    </cfRule>
    <cfRule type="expression" dxfId="1055" priority="247">
      <formula>AND(M$9&gt;=14/24,M$9&lt;20/24)</formula>
    </cfRule>
    <cfRule type="expression" dxfId="1054" priority="248">
      <formula>AND(M$9&gt;=8/24,M$9&lt;14/24)</formula>
    </cfRule>
    <cfRule type="expression" dxfId="1053" priority="249">
      <formula>M$9&lt;8/24</formula>
    </cfRule>
  </conditionalFormatting>
  <conditionalFormatting sqref="M43:R43">
    <cfRule type="expression" dxfId="1052" priority="242">
      <formula>M$9&gt;=20/24</formula>
    </cfRule>
    <cfRule type="expression" dxfId="1051" priority="243">
      <formula>AND(M$9&gt;=14/24,M$9&lt;20/24)</formula>
    </cfRule>
    <cfRule type="expression" dxfId="1050" priority="244">
      <formula>AND(M$9&gt;=8/24,M$9&lt;14/24)</formula>
    </cfRule>
    <cfRule type="expression" dxfId="1049" priority="245">
      <formula>M$9&lt;8/24</formula>
    </cfRule>
  </conditionalFormatting>
  <conditionalFormatting sqref="Z32:AF32">
    <cfRule type="expression" dxfId="1048" priority="238">
      <formula>Z$9&gt;=20/24</formula>
    </cfRule>
    <cfRule type="expression" dxfId="1047" priority="239">
      <formula>AND(Z$9&gt;=14/24,Z$9&lt;20/24)</formula>
    </cfRule>
    <cfRule type="expression" dxfId="1046" priority="240">
      <formula>AND(Z$9&gt;=8/24,Z$9&lt;14/24)</formula>
    </cfRule>
    <cfRule type="expression" dxfId="1045" priority="241">
      <formula>Z$9&lt;8/24</formula>
    </cfRule>
  </conditionalFormatting>
  <conditionalFormatting sqref="S39:AE39">
    <cfRule type="expression" dxfId="1044" priority="234">
      <formula>S$9&gt;=20/24</formula>
    </cfRule>
    <cfRule type="expression" dxfId="1043" priority="235">
      <formula>AND(S$9&gt;=14/24,S$9&lt;20/24)</formula>
    </cfRule>
    <cfRule type="expression" dxfId="1042" priority="236">
      <formula>AND(S$9&gt;=8/24,S$9&lt;14/24)</formula>
    </cfRule>
    <cfRule type="expression" dxfId="1041" priority="237">
      <formula>S$9&lt;8/24</formula>
    </cfRule>
  </conditionalFormatting>
  <conditionalFormatting sqref="S57:AE57">
    <cfRule type="expression" dxfId="1040" priority="230">
      <formula>S$9&gt;=20/24</formula>
    </cfRule>
    <cfRule type="expression" dxfId="1039" priority="231">
      <formula>AND(S$9&gt;=14/24,S$9&lt;20/24)</formula>
    </cfRule>
    <cfRule type="expression" dxfId="1038" priority="232">
      <formula>AND(S$9&gt;=8/24,S$9&lt;14/24)</formula>
    </cfRule>
    <cfRule type="expression" dxfId="1037" priority="233">
      <formula>S$9&lt;8/24</formula>
    </cfRule>
  </conditionalFormatting>
  <conditionalFormatting sqref="S81:AA81">
    <cfRule type="expression" dxfId="1036" priority="226">
      <formula>S$9&gt;=20/24</formula>
    </cfRule>
    <cfRule type="expression" dxfId="1035" priority="227">
      <formula>AND(S$9&gt;=14/24,S$9&lt;20/24)</formula>
    </cfRule>
    <cfRule type="expression" dxfId="1034" priority="228">
      <formula>AND(S$9&gt;=8/24,S$9&lt;14/24)</formula>
    </cfRule>
    <cfRule type="expression" dxfId="1033" priority="229">
      <formula>S$9&lt;8/24</formula>
    </cfRule>
  </conditionalFormatting>
  <conditionalFormatting sqref="U84:AA84">
    <cfRule type="expression" dxfId="1032" priority="222">
      <formula>U$9&gt;=20/24</formula>
    </cfRule>
    <cfRule type="expression" dxfId="1031" priority="223">
      <formula>AND(U$9&gt;=14/24,U$9&lt;20/24)</formula>
    </cfRule>
    <cfRule type="expression" dxfId="1030" priority="224">
      <formula>AND(U$9&gt;=8/24,U$9&lt;14/24)</formula>
    </cfRule>
    <cfRule type="expression" dxfId="1029" priority="225">
      <formula>U$9&lt;8/24</formula>
    </cfRule>
  </conditionalFormatting>
  <conditionalFormatting sqref="M49:U49">
    <cfRule type="expression" dxfId="1028" priority="214">
      <formula>M$9&gt;=20/24</formula>
    </cfRule>
    <cfRule type="expression" dxfId="1027" priority="215">
      <formula>AND(M$9&gt;=14/24,M$9&lt;20/24)</formula>
    </cfRule>
    <cfRule type="expression" dxfId="1026" priority="216">
      <formula>AND(M$9&gt;=8/24,M$9&lt;14/24)</formula>
    </cfRule>
    <cfRule type="expression" dxfId="1025" priority="217">
      <formula>M$9&lt;8/24</formula>
    </cfRule>
  </conditionalFormatting>
  <conditionalFormatting sqref="M50:R50">
    <cfRule type="expression" dxfId="1024" priority="210">
      <formula>M$9&gt;=20/24</formula>
    </cfRule>
    <cfRule type="expression" dxfId="1023" priority="211">
      <formula>AND(M$9&gt;=14/24,M$9&lt;20/24)</formula>
    </cfRule>
    <cfRule type="expression" dxfId="1022" priority="212">
      <formula>AND(M$9&gt;=8/24,M$9&lt;14/24)</formula>
    </cfRule>
    <cfRule type="expression" dxfId="1021" priority="213">
      <formula>M$9&lt;8/24</formula>
    </cfRule>
  </conditionalFormatting>
  <conditionalFormatting sqref="M45:R48">
    <cfRule type="expression" dxfId="1020" priority="206">
      <formula>M$9&gt;=20/24</formula>
    </cfRule>
    <cfRule type="expression" dxfId="1019" priority="207">
      <formula>AND(M$9&gt;=14/24,M$9&lt;20/24)</formula>
    </cfRule>
    <cfRule type="expression" dxfId="1018" priority="208">
      <formula>AND(M$9&gt;=8/24,M$9&lt;14/24)</formula>
    </cfRule>
    <cfRule type="expression" dxfId="1017" priority="209">
      <formula>M$9&lt;8/24</formula>
    </cfRule>
  </conditionalFormatting>
  <conditionalFormatting sqref="S37:AE37">
    <cfRule type="expression" dxfId="1016" priority="202">
      <formula>S$9&gt;=20/24</formula>
    </cfRule>
    <cfRule type="expression" dxfId="1015" priority="203">
      <formula>AND(S$9&gt;=14/24,S$9&lt;20/24)</formula>
    </cfRule>
    <cfRule type="expression" dxfId="1014" priority="204">
      <formula>AND(S$9&gt;=8/24,S$9&lt;14/24)</formula>
    </cfRule>
    <cfRule type="expression" dxfId="1013" priority="205">
      <formula>S$9&lt;8/24</formula>
    </cfRule>
  </conditionalFormatting>
  <conditionalFormatting sqref="S31:Y32 S35:AF35">
    <cfRule type="expression" dxfId="1012" priority="198">
      <formula>S$9&gt;=20/24</formula>
    </cfRule>
    <cfRule type="expression" dxfId="1011" priority="199">
      <formula>AND(S$9&gt;=14/24,S$9&lt;20/24)</formula>
    </cfRule>
    <cfRule type="expression" dxfId="1010" priority="200">
      <formula>AND(S$9&gt;=8/24,S$9&lt;14/24)</formula>
    </cfRule>
    <cfRule type="expression" dxfId="1009" priority="201">
      <formula>S$9&lt;8/24</formula>
    </cfRule>
  </conditionalFormatting>
  <conditionalFormatting sqref="S42:U43 U43:Y43 S45:AF48">
    <cfRule type="expression" dxfId="1008" priority="194">
      <formula>S$9&gt;=20/24</formula>
    </cfRule>
    <cfRule type="expression" dxfId="1007" priority="195">
      <formula>AND(S$9&gt;=14/24,S$9&lt;20/24)</formula>
    </cfRule>
    <cfRule type="expression" dxfId="1006" priority="196">
      <formula>AND(S$9&gt;=8/24,S$9&lt;14/24)</formula>
    </cfRule>
    <cfRule type="expression" dxfId="1005" priority="197">
      <formula>S$9&lt;8/24</formula>
    </cfRule>
  </conditionalFormatting>
  <conditionalFormatting sqref="S49:AF49">
    <cfRule type="expression" dxfId="1004" priority="190">
      <formula>S$9&gt;=20/24</formula>
    </cfRule>
    <cfRule type="expression" dxfId="1003" priority="191">
      <formula>AND(S$9&gt;=14/24,S$9&lt;20/24)</formula>
    </cfRule>
    <cfRule type="expression" dxfId="1002" priority="192">
      <formula>AND(S$9&gt;=8/24,S$9&lt;14/24)</formula>
    </cfRule>
    <cfRule type="expression" dxfId="1001" priority="193">
      <formula>S$9&lt;8/24</formula>
    </cfRule>
  </conditionalFormatting>
  <conditionalFormatting sqref="S50:AF50">
    <cfRule type="expression" dxfId="1000" priority="186">
      <formula>S$9&gt;=20/24</formula>
    </cfRule>
    <cfRule type="expression" dxfId="999" priority="187">
      <formula>AND(S$9&gt;=14/24,S$9&lt;20/24)</formula>
    </cfRule>
    <cfRule type="expression" dxfId="998" priority="188">
      <formula>AND(S$9&gt;=8/24,S$9&lt;14/24)</formula>
    </cfRule>
    <cfRule type="expression" dxfId="997" priority="189">
      <formula>S$9&lt;8/24</formula>
    </cfRule>
  </conditionalFormatting>
  <conditionalFormatting sqref="S60:T67 U63:U67 X60:AE67 AF61:AF67">
    <cfRule type="expression" dxfId="996" priority="182">
      <formula>S$9&gt;=20/24</formula>
    </cfRule>
    <cfRule type="expression" dxfId="995" priority="183">
      <formula>AND(S$9&gt;=14/24,S$9&lt;20/24)</formula>
    </cfRule>
    <cfRule type="expression" dxfId="994" priority="184">
      <formula>AND(S$9&gt;=8/24,S$9&lt;14/24)</formula>
    </cfRule>
    <cfRule type="expression" dxfId="993" priority="185">
      <formula>S$9&lt;8/24</formula>
    </cfRule>
  </conditionalFormatting>
  <conditionalFormatting sqref="U94:AA97">
    <cfRule type="expression" dxfId="992" priority="174">
      <formula>U$9&gt;=20/24</formula>
    </cfRule>
    <cfRule type="expression" dxfId="991" priority="175">
      <formula>AND(U$9&gt;=14/24,U$9&lt;20/24)</formula>
    </cfRule>
    <cfRule type="expression" dxfId="990" priority="176">
      <formula>AND(U$9&gt;=8/24,U$9&lt;14/24)</formula>
    </cfRule>
    <cfRule type="expression" dxfId="989" priority="177">
      <formula>U$9&lt;8/24</formula>
    </cfRule>
  </conditionalFormatting>
  <conditionalFormatting sqref="AG51 B11:B32 C12:L27 M16:P27 C28:P32 M12:R14 Q16:R32 S18:Y32 C11:AF11 Z13:AF32 B34:AF56">
    <cfRule type="expression" dxfId="988" priority="173">
      <formula>B11&gt;$AG11</formula>
    </cfRule>
  </conditionalFormatting>
  <conditionalFormatting sqref="A101:A157 A84:A97 A11:A14 A16:A32 A45:A72 A80:A82 A74:A78 A35:A43 A170:A200">
    <cfRule type="expression" dxfId="987" priority="172">
      <formula>$AH11=0</formula>
    </cfRule>
  </conditionalFormatting>
  <conditionalFormatting sqref="U98:AA98">
    <cfRule type="expression" dxfId="986" priority="168">
      <formula>U$9&gt;=20/24</formula>
    </cfRule>
    <cfRule type="expression" dxfId="985" priority="169">
      <formula>AND(U$9&gt;=14/24,U$9&lt;20/24)</formula>
    </cfRule>
    <cfRule type="expression" dxfId="984" priority="170">
      <formula>AND(U$9&gt;=8/24,U$9&lt;14/24)</formula>
    </cfRule>
    <cfRule type="expression" dxfId="983" priority="171">
      <formula>U$9&lt;8/24</formula>
    </cfRule>
  </conditionalFormatting>
  <conditionalFormatting sqref="A98">
    <cfRule type="expression" dxfId="982" priority="167">
      <formula>$AH98=0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981" priority="150">
      <formula>Z$9&gt;=20/24</formula>
    </cfRule>
    <cfRule type="expression" dxfId="980" priority="151">
      <formula>AND(Z$9&gt;=14/24,Z$9&lt;20/24)</formula>
    </cfRule>
    <cfRule type="expression" dxfId="979" priority="152">
      <formula>AND(Z$9&gt;=8/24,Z$9&lt;14/24)</formula>
    </cfRule>
    <cfRule type="expression" dxfId="978" priority="153">
      <formula>Z$9&lt;8/24</formula>
    </cfRule>
  </conditionalFormatting>
  <conditionalFormatting sqref="S34:Y34">
    <cfRule type="expression" dxfId="977" priority="142">
      <formula>S$9&gt;=20/24</formula>
    </cfRule>
    <cfRule type="expression" dxfId="976" priority="143">
      <formula>AND(S$9&gt;=14/24,S$9&lt;20/24)</formula>
    </cfRule>
    <cfRule type="expression" dxfId="975" priority="144">
      <formula>AND(S$9&gt;=8/24,S$9&lt;14/24)</formula>
    </cfRule>
    <cfRule type="expression" dxfId="974" priority="145">
      <formula>S$9&lt;8/24</formula>
    </cfRule>
  </conditionalFormatting>
  <conditionalFormatting sqref="A34">
    <cfRule type="expression" dxfId="973" priority="141">
      <formula>$AH34=0</formula>
    </cfRule>
  </conditionalFormatting>
  <conditionalFormatting sqref="A83">
    <cfRule type="expression" dxfId="972" priority="140">
      <formula>$AH83=0</formula>
    </cfRule>
  </conditionalFormatting>
  <conditionalFormatting sqref="Z15:AF15">
    <cfRule type="expression" dxfId="971" priority="136">
      <formula>Z$9&gt;=20/24</formula>
    </cfRule>
    <cfRule type="expression" dxfId="970" priority="137">
      <formula>AND(Z$9&gt;=14/24,Z$9&lt;20/24)</formula>
    </cfRule>
    <cfRule type="expression" dxfId="969" priority="138">
      <formula>AND(Z$9&gt;=8/24,Z$9&lt;14/24)</formula>
    </cfRule>
    <cfRule type="expression" dxfId="968" priority="139">
      <formula>Z$9&lt;8/24</formula>
    </cfRule>
  </conditionalFormatting>
  <conditionalFormatting sqref="M15:R15">
    <cfRule type="expression" dxfId="967" priority="132">
      <formula>M$9&gt;=20/24</formula>
    </cfRule>
    <cfRule type="expression" dxfId="966" priority="133">
      <formula>AND(M$9&gt;=14/24,M$9&lt;20/24)</formula>
    </cfRule>
    <cfRule type="expression" dxfId="965" priority="134">
      <formula>AND(M$9&gt;=8/24,M$9&lt;14/24)</formula>
    </cfRule>
    <cfRule type="expression" dxfId="964" priority="135">
      <formula>M$9&lt;8/24</formula>
    </cfRule>
  </conditionalFormatting>
  <conditionalFormatting sqref="M15:R15">
    <cfRule type="expression" dxfId="963" priority="131">
      <formula>M15&gt;$AG15</formula>
    </cfRule>
  </conditionalFormatting>
  <conditionalFormatting sqref="A15">
    <cfRule type="expression" dxfId="962" priority="130">
      <formula>$AH15=0</formula>
    </cfRule>
  </conditionalFormatting>
  <conditionalFormatting sqref="A164:A169">
    <cfRule type="expression" dxfId="961" priority="129">
      <formula>$AH164=0</formula>
    </cfRule>
  </conditionalFormatting>
  <conditionalFormatting sqref="A158:A163">
    <cfRule type="expression" dxfId="960" priority="128">
      <formula>$AH158=0</formula>
    </cfRule>
  </conditionalFormatting>
  <conditionalFormatting sqref="Z44:AF44">
    <cfRule type="expression" dxfId="959" priority="124">
      <formula>Z$9&gt;=20/24</formula>
    </cfRule>
    <cfRule type="expression" dxfId="958" priority="125">
      <formula>AND(Z$9&gt;=14/24,Z$9&lt;20/24)</formula>
    </cfRule>
    <cfRule type="expression" dxfId="957" priority="126">
      <formula>AND(Z$9&gt;=8/24,Z$9&lt;14/24)</formula>
    </cfRule>
    <cfRule type="expression" dxfId="956" priority="127">
      <formula>Z$9&lt;8/24</formula>
    </cfRule>
  </conditionalFormatting>
  <conditionalFormatting sqref="M44:R44">
    <cfRule type="expression" dxfId="955" priority="120">
      <formula>M$9&gt;=20/24</formula>
    </cfRule>
    <cfRule type="expression" dxfId="954" priority="121">
      <formula>AND(M$9&gt;=14/24,M$9&lt;20/24)</formula>
    </cfRule>
    <cfRule type="expression" dxfId="953" priority="122">
      <formula>AND(M$9&gt;=8/24,M$9&lt;14/24)</formula>
    </cfRule>
    <cfRule type="expression" dxfId="952" priority="123">
      <formula>M$9&lt;8/24</formula>
    </cfRule>
  </conditionalFormatting>
  <conditionalFormatting sqref="S44:Y44">
    <cfRule type="expression" dxfId="951" priority="116">
      <formula>S$9&gt;=20/24</formula>
    </cfRule>
    <cfRule type="expression" dxfId="950" priority="117">
      <formula>AND(S$9&gt;=14/24,S$9&lt;20/24)</formula>
    </cfRule>
    <cfRule type="expression" dxfId="949" priority="118">
      <formula>AND(S$9&gt;=8/24,S$9&lt;14/24)</formula>
    </cfRule>
    <cfRule type="expression" dxfId="948" priority="119">
      <formula>S$9&lt;8/24</formula>
    </cfRule>
  </conditionalFormatting>
  <conditionalFormatting sqref="A44">
    <cfRule type="expression" dxfId="947" priority="115">
      <formula>$AH44=0</formula>
    </cfRule>
  </conditionalFormatting>
  <conditionalFormatting sqref="A79">
    <cfRule type="expression" dxfId="946" priority="114">
      <formula>$AH79=0</formula>
    </cfRule>
  </conditionalFormatting>
  <conditionalFormatting sqref="A73">
    <cfRule type="expression" dxfId="945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V62 V63:V67 W60:W67">
    <cfRule type="expression" dxfId="944" priority="109">
      <formula>U$9&gt;=20/24</formula>
    </cfRule>
    <cfRule type="expression" dxfId="943" priority="110">
      <formula>AND(U$9&gt;=14/24,U$9&lt;20/24)</formula>
    </cfRule>
    <cfRule type="expression" dxfId="942" priority="111">
      <formula>AND(U$9&gt;=8/24,U$9&lt;14/24)</formula>
    </cfRule>
    <cfRule type="expression" dxfId="941" priority="112">
      <formula>U$9&lt;8/24</formula>
    </cfRule>
  </conditionalFormatting>
  <conditionalFormatting sqref="U85:W91">
    <cfRule type="expression" dxfId="940" priority="105">
      <formula>U$9&gt;=20/24</formula>
    </cfRule>
    <cfRule type="expression" dxfId="939" priority="106">
      <formula>AND(U$9&gt;=14/24,U$9&lt;20/24)</formula>
    </cfRule>
    <cfRule type="expression" dxfId="938" priority="107">
      <formula>AND(U$9&gt;=8/24,U$9&lt;14/24)</formula>
    </cfRule>
    <cfRule type="expression" dxfId="937" priority="108">
      <formula>U$9&lt;8/24</formula>
    </cfRule>
  </conditionalFormatting>
  <conditionalFormatting sqref="S85:T91 C84:R91">
    <cfRule type="expression" dxfId="936" priority="101">
      <formula>C$9&gt;=20/24</formula>
    </cfRule>
    <cfRule type="expression" dxfId="935" priority="102">
      <formula>AND(C$9&gt;=14/24,C$9&lt;20/24)</formula>
    </cfRule>
    <cfRule type="expression" dxfId="934" priority="103">
      <formula>AND(C$9&gt;=8/24,C$9&lt;14/24)</formula>
    </cfRule>
    <cfRule type="expression" dxfId="933" priority="104">
      <formula>C$9&lt;8/24</formula>
    </cfRule>
  </conditionalFormatting>
  <conditionalFormatting sqref="S84:T84">
    <cfRule type="expression" dxfId="932" priority="97">
      <formula>S$9&gt;=20/24</formula>
    </cfRule>
    <cfRule type="expression" dxfId="931" priority="98">
      <formula>AND(S$9&gt;=14/24,S$9&lt;20/24)</formula>
    </cfRule>
    <cfRule type="expression" dxfId="930" priority="99">
      <formula>AND(S$9&gt;=8/24,S$9&lt;14/24)</formula>
    </cfRule>
    <cfRule type="expression" dxfId="929" priority="100">
      <formula>S$9&lt;8/24</formula>
    </cfRule>
  </conditionalFormatting>
  <conditionalFormatting sqref="C95:M97 C94:F94">
    <cfRule type="expression" dxfId="928" priority="93">
      <formula>C$9&gt;=20/24</formula>
    </cfRule>
    <cfRule type="expression" dxfId="927" priority="94">
      <formula>AND(C$9&gt;=14/24,C$9&lt;20/24)</formula>
    </cfRule>
    <cfRule type="expression" dxfId="926" priority="95">
      <formula>AND(C$9&gt;=8/24,C$9&lt;14/24)</formula>
    </cfRule>
    <cfRule type="expression" dxfId="925" priority="96">
      <formula>C$9&lt;8/24</formula>
    </cfRule>
  </conditionalFormatting>
  <conditionalFormatting sqref="N95:R97 O94:R94">
    <cfRule type="expression" dxfId="924" priority="89">
      <formula>N$9&gt;=20/24</formula>
    </cfRule>
    <cfRule type="expression" dxfId="923" priority="90">
      <formula>AND(N$9&gt;=14/24,N$9&lt;20/24)</formula>
    </cfRule>
    <cfRule type="expression" dxfId="922" priority="91">
      <formula>AND(N$9&gt;=8/24,N$9&lt;14/24)</formula>
    </cfRule>
    <cfRule type="expression" dxfId="921" priority="92">
      <formula>N$9&lt;8/24</formula>
    </cfRule>
  </conditionalFormatting>
  <conditionalFormatting sqref="S94:T97">
    <cfRule type="expression" dxfId="920" priority="85">
      <formula>S$9&gt;=20/24</formula>
    </cfRule>
    <cfRule type="expression" dxfId="919" priority="86">
      <formula>AND(S$9&gt;=14/24,S$9&lt;20/24)</formula>
    </cfRule>
    <cfRule type="expression" dxfId="918" priority="87">
      <formula>AND(S$9&gt;=8/24,S$9&lt;14/24)</formula>
    </cfRule>
    <cfRule type="expression" dxfId="917" priority="88">
      <formula>S$9&lt;8/24</formula>
    </cfRule>
  </conditionalFormatting>
  <conditionalFormatting sqref="C98:M98">
    <cfRule type="expression" dxfId="916" priority="81">
      <formula>C$9&gt;=20/24</formula>
    </cfRule>
    <cfRule type="expression" dxfId="915" priority="82">
      <formula>AND(C$9&gt;=14/24,C$9&lt;20/24)</formula>
    </cfRule>
    <cfRule type="expression" dxfId="914" priority="83">
      <formula>AND(C$9&gt;=8/24,C$9&lt;14/24)</formula>
    </cfRule>
    <cfRule type="expression" dxfId="913" priority="84">
      <formula>C$9&lt;8/24</formula>
    </cfRule>
  </conditionalFormatting>
  <conditionalFormatting sqref="N98:R98">
    <cfRule type="expression" dxfId="912" priority="77">
      <formula>N$9&gt;=20/24</formula>
    </cfRule>
    <cfRule type="expression" dxfId="911" priority="78">
      <formula>AND(N$9&gt;=14/24,N$9&lt;20/24)</formula>
    </cfRule>
    <cfRule type="expression" dxfId="910" priority="79">
      <formula>AND(N$9&gt;=8/24,N$9&lt;14/24)</formula>
    </cfRule>
    <cfRule type="expression" dxfId="909" priority="80">
      <formula>N$9&lt;8/24</formula>
    </cfRule>
  </conditionalFormatting>
  <conditionalFormatting sqref="S98:T98">
    <cfRule type="expression" dxfId="908" priority="73">
      <formula>S$9&gt;=20/24</formula>
    </cfRule>
    <cfRule type="expression" dxfId="907" priority="74">
      <formula>AND(S$9&gt;=14/24,S$9&lt;20/24)</formula>
    </cfRule>
    <cfRule type="expression" dxfId="906" priority="75">
      <formula>AND(S$9&gt;=8/24,S$9&lt;14/24)</formula>
    </cfRule>
    <cfRule type="expression" dxfId="905" priority="76">
      <formula>S$9&lt;8/24</formula>
    </cfRule>
  </conditionalFormatting>
  <conditionalFormatting sqref="M94:N94">
    <cfRule type="expression" dxfId="904" priority="69">
      <formula>M$9&gt;=20/24</formula>
    </cfRule>
    <cfRule type="expression" dxfId="903" priority="70">
      <formula>AND(M$9&gt;=14/24,M$9&lt;20/24)</formula>
    </cfRule>
    <cfRule type="expression" dxfId="902" priority="71">
      <formula>AND(M$9&gt;=8/24,M$9&lt;14/24)</formula>
    </cfRule>
    <cfRule type="expression" dxfId="901" priority="72">
      <formula>M$9&lt;8/24</formula>
    </cfRule>
  </conditionalFormatting>
  <conditionalFormatting sqref="G94:L94">
    <cfRule type="expression" dxfId="900" priority="65">
      <formula>G$9&gt;=20/24</formula>
    </cfRule>
    <cfRule type="expression" dxfId="899" priority="66">
      <formula>AND(G$9&gt;=14/24,G$9&lt;20/24)</formula>
    </cfRule>
    <cfRule type="expression" dxfId="898" priority="67">
      <formula>AND(G$9&gt;=8/24,G$9&lt;14/24)</formula>
    </cfRule>
    <cfRule type="expression" dxfId="897" priority="68">
      <formula>G$9&lt;8/24</formula>
    </cfRule>
  </conditionalFormatting>
  <conditionalFormatting sqref="U94:W94">
    <cfRule type="expression" dxfId="896" priority="61">
      <formula>U$9&gt;=20/24</formula>
    </cfRule>
    <cfRule type="expression" dxfId="895" priority="62">
      <formula>AND(U$9&gt;=14/24,U$9&lt;20/24)</formula>
    </cfRule>
    <cfRule type="expression" dxfId="894" priority="63">
      <formula>AND(U$9&gt;=8/24,U$9&lt;14/24)</formula>
    </cfRule>
    <cfRule type="expression" dxfId="893" priority="64">
      <formula>U$9&lt;8/24</formula>
    </cfRule>
  </conditionalFormatting>
  <conditionalFormatting sqref="N94:T94">
    <cfRule type="expression" dxfId="892" priority="57">
      <formula>N$9&gt;=20/24</formula>
    </cfRule>
    <cfRule type="expression" dxfId="891" priority="58">
      <formula>AND(N$9&gt;=14/24,N$9&lt;20/24)</formula>
    </cfRule>
    <cfRule type="expression" dxfId="890" priority="59">
      <formula>AND(N$9&gt;=8/24,N$9&lt;14/24)</formula>
    </cfRule>
    <cfRule type="expression" dxfId="889" priority="60">
      <formula>N$9&lt;8/24</formula>
    </cfRule>
  </conditionalFormatting>
  <conditionalFormatting sqref="U99:AA100">
    <cfRule type="expression" dxfId="888" priority="53">
      <formula>U$9&gt;=20/24</formula>
    </cfRule>
    <cfRule type="expression" dxfId="887" priority="54">
      <formula>AND(U$9&gt;=14/24,U$9&lt;20/24)</formula>
    </cfRule>
    <cfRule type="expression" dxfId="886" priority="55">
      <formula>AND(U$9&gt;=8/24,U$9&lt;14/24)</formula>
    </cfRule>
    <cfRule type="expression" dxfId="885" priority="56">
      <formula>U$9&lt;8/24</formula>
    </cfRule>
  </conditionalFormatting>
  <conditionalFormatting sqref="C99:M100">
    <cfRule type="expression" dxfId="884" priority="49">
      <formula>C$9&gt;=20/24</formula>
    </cfRule>
    <cfRule type="expression" dxfId="883" priority="50">
      <formula>AND(C$9&gt;=14/24,C$9&lt;20/24)</formula>
    </cfRule>
    <cfRule type="expression" dxfId="882" priority="51">
      <formula>AND(C$9&gt;=8/24,C$9&lt;14/24)</formula>
    </cfRule>
    <cfRule type="expression" dxfId="881" priority="52">
      <formula>C$9&lt;8/24</formula>
    </cfRule>
  </conditionalFormatting>
  <conditionalFormatting sqref="N99:R100">
    <cfRule type="expression" dxfId="880" priority="45">
      <formula>N$9&gt;=20/24</formula>
    </cfRule>
    <cfRule type="expression" dxfId="879" priority="46">
      <formula>AND(N$9&gt;=14/24,N$9&lt;20/24)</formula>
    </cfRule>
    <cfRule type="expression" dxfId="878" priority="47">
      <formula>AND(N$9&gt;=8/24,N$9&lt;14/24)</formula>
    </cfRule>
    <cfRule type="expression" dxfId="877" priority="48">
      <formula>N$9&lt;8/24</formula>
    </cfRule>
  </conditionalFormatting>
  <conditionalFormatting sqref="S99:T100">
    <cfRule type="expression" dxfId="876" priority="41">
      <formula>S$9&gt;=20/24</formula>
    </cfRule>
    <cfRule type="expression" dxfId="875" priority="42">
      <formula>AND(S$9&gt;=14/24,S$9&lt;20/24)</formula>
    </cfRule>
    <cfRule type="expression" dxfId="874" priority="43">
      <formula>AND(S$9&gt;=8/24,S$9&lt;14/24)</formula>
    </cfRule>
    <cfRule type="expression" dxfId="873" priority="44">
      <formula>S$9&lt;8/24</formula>
    </cfRule>
  </conditionalFormatting>
  <conditionalFormatting sqref="S13:Y16 S12:AF12">
    <cfRule type="expression" dxfId="872" priority="37">
      <formula>S$9&gt;=20/24</formula>
    </cfRule>
    <cfRule type="expression" dxfId="871" priority="38">
      <formula>AND(S$9&gt;=14/24,S$9&lt;20/24)</formula>
    </cfRule>
    <cfRule type="expression" dxfId="870" priority="39">
      <formula>AND(S$9&gt;=8/24,S$9&lt;14/24)</formula>
    </cfRule>
    <cfRule type="expression" dxfId="869" priority="40">
      <formula>S$9&lt;8/24</formula>
    </cfRule>
  </conditionalFormatting>
  <conditionalFormatting sqref="S17:Y17">
    <cfRule type="expression" dxfId="868" priority="33">
      <formula>S$9&gt;=20/24</formula>
    </cfRule>
    <cfRule type="expression" dxfId="867" priority="34">
      <formula>AND(S$9&gt;=14/24,S$9&lt;20/24)</formula>
    </cfRule>
    <cfRule type="expression" dxfId="866" priority="35">
      <formula>AND(S$9&gt;=8/24,S$9&lt;14/24)</formula>
    </cfRule>
    <cfRule type="expression" dxfId="865" priority="36">
      <formula>S$9&lt;8/24</formula>
    </cfRule>
  </conditionalFormatting>
  <conditionalFormatting sqref="S13:Y13 S12:AF12">
    <cfRule type="expression" dxfId="864" priority="29">
      <formula>S$9&gt;=20/24</formula>
    </cfRule>
    <cfRule type="expression" dxfId="863" priority="30">
      <formula>AND(S$9&gt;=14/24,S$9&lt;20/24)</formula>
    </cfRule>
    <cfRule type="expression" dxfId="862" priority="31">
      <formula>AND(S$9&gt;=8/24,S$9&lt;14/24)</formula>
    </cfRule>
    <cfRule type="expression" dxfId="861" priority="32">
      <formula>S$9&lt;8/24</formula>
    </cfRule>
  </conditionalFormatting>
  <conditionalFormatting sqref="AB58:AE59">
    <cfRule type="expression" dxfId="860" priority="25">
      <formula>AB$9&gt;=20/24</formula>
    </cfRule>
    <cfRule type="expression" dxfId="859" priority="26">
      <formula>AND(AB$9&gt;=14/24,AB$9&lt;20/24)</formula>
    </cfRule>
    <cfRule type="expression" dxfId="858" priority="27">
      <formula>AND(AB$9&gt;=8/24,AB$9&lt;14/24)</formula>
    </cfRule>
    <cfRule type="expression" dxfId="857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56" priority="258">
      <formula>C$9&gt;=20/24</formula>
    </cfRule>
    <cfRule type="expression" dxfId="855" priority="259">
      <formula>AND(C$9&gt;=14/24,C$9&lt;20/24)</formula>
    </cfRule>
    <cfRule type="expression" dxfId="854" priority="260">
      <formula>AND(C$9&gt;=8/24,C$9&lt;14/24)</formula>
    </cfRule>
    <cfRule type="expression" dxfId="853" priority="261">
      <formula>C$9&lt;8/24</formula>
    </cfRule>
  </conditionalFormatting>
  <conditionalFormatting sqref="A201">
    <cfRule type="expression" dxfId="852" priority="262">
      <formula>$AH201=0</formula>
    </cfRule>
  </conditionalFormatting>
  <conditionalFormatting sqref="AG213">
    <cfRule type="expression" dxfId="851" priority="263">
      <formula>B$9&gt;=20/24</formula>
    </cfRule>
    <cfRule type="expression" dxfId="850" priority="264">
      <formula>AND(B$9&gt;=14/24,B$9&lt;20/24)</formula>
    </cfRule>
    <cfRule type="expression" dxfId="849" priority="265">
      <formula>AND(B$9&gt;=8/24,B$9&lt;14/24)</formula>
    </cfRule>
    <cfRule type="expression" dxfId="848" priority="266">
      <formula>B$9&lt;8/24</formula>
    </cfRule>
  </conditionalFormatting>
  <conditionalFormatting sqref="S8">
    <cfRule type="expression" dxfId="847" priority="19">
      <formula>U$9&gt;=20/24</formula>
    </cfRule>
    <cfRule type="expression" dxfId="846" priority="20">
      <formula>AND(U$9&gt;=14/24,U$9&lt;20/24)</formula>
    </cfRule>
    <cfRule type="expression" dxfId="845" priority="21">
      <formula>AND(U$9&gt;=8/24,U$9&lt;14/24)</formula>
    </cfRule>
    <cfRule type="expression" dxfId="844" priority="22">
      <formula>U$9&lt;8/24</formula>
    </cfRule>
  </conditionalFormatting>
  <conditionalFormatting sqref="AB8">
    <cfRule type="expression" dxfId="843" priority="15">
      <formula>AD$9&gt;=20/24</formula>
    </cfRule>
    <cfRule type="expression" dxfId="842" priority="16">
      <formula>AND(AD$9&gt;=14/24,AD$9&lt;20/24)</formula>
    </cfRule>
    <cfRule type="expression" dxfId="841" priority="17">
      <formula>AND(AD$9&gt;=8/24,AD$9&lt;14/24)</formula>
    </cfRule>
    <cfRule type="expression" dxfId="840" priority="18">
      <formula>AD$9&lt;8/24</formula>
    </cfRule>
  </conditionalFormatting>
  <conditionalFormatting sqref="AH213:AX213">
    <cfRule type="expression" dxfId="839" priority="267">
      <formula>AG$9&gt;=20/24</formula>
    </cfRule>
    <cfRule type="expression" dxfId="838" priority="268">
      <formula>AND(AG$9&gt;=14/24,AG$9&lt;20/24)</formula>
    </cfRule>
    <cfRule type="expression" dxfId="837" priority="269">
      <formula>AND(AG$9&gt;=8/24,AG$9&lt;14/24)</formula>
    </cfRule>
    <cfRule type="expression" dxfId="836" priority="270">
      <formula>AG$9&lt;8/24</formula>
    </cfRule>
  </conditionalFormatting>
  <conditionalFormatting sqref="T213">
    <cfRule type="expression" dxfId="835" priority="271">
      <formula>AX$9&gt;=20/24</formula>
    </cfRule>
    <cfRule type="expression" dxfId="834" priority="272">
      <formula>AND(AX$9&gt;=14/24,AX$9&lt;20/24)</formula>
    </cfRule>
    <cfRule type="expression" dxfId="833" priority="273">
      <formula>AND(AX$9&gt;=8/24,AX$9&lt;14/24)</formula>
    </cfRule>
    <cfRule type="expression" dxfId="832" priority="274">
      <formula>AX$9&lt;8/24</formula>
    </cfRule>
  </conditionalFormatting>
  <conditionalFormatting sqref="A99:A100">
    <cfRule type="expression" dxfId="831" priority="14">
      <formula>$AH99=0</formula>
    </cfRule>
  </conditionalFormatting>
  <conditionalFormatting sqref="Z33:AF33">
    <cfRule type="expression" dxfId="830" priority="6">
      <formula>Z$9&gt;=20/24</formula>
    </cfRule>
    <cfRule type="expression" dxfId="829" priority="7">
      <formula>AND(Z$9&gt;=14/24,Z$9&lt;20/24)</formula>
    </cfRule>
    <cfRule type="expression" dxfId="828" priority="8">
      <formula>AND(Z$9&gt;=8/24,Z$9&lt;14/24)</formula>
    </cfRule>
    <cfRule type="expression" dxfId="827" priority="9">
      <formula>Z$9&lt;8/24</formula>
    </cfRule>
  </conditionalFormatting>
  <conditionalFormatting sqref="S33:Y33">
    <cfRule type="expression" dxfId="826" priority="2">
      <formula>S$9&gt;=20/24</formula>
    </cfRule>
    <cfRule type="expression" dxfId="825" priority="3">
      <formula>AND(S$9&gt;=14/24,S$9&lt;20/24)</formula>
    </cfRule>
    <cfRule type="expression" dxfId="824" priority="4">
      <formula>AND(S$9&gt;=8/24,S$9&lt;14/24)</formula>
    </cfRule>
    <cfRule type="expression" dxfId="823" priority="5">
      <formula>S$9&lt;8/24</formula>
    </cfRule>
  </conditionalFormatting>
  <conditionalFormatting sqref="B33:AF33">
    <cfRule type="expression" dxfId="822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69F7DF76-B61C-4C11-97E4-A06DE48B080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2078/12/29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192.79999999999998</v>
      </c>
      <c r="C5" s="157">
        <f t="shared" si="0"/>
        <v>222</v>
      </c>
      <c r="D5" s="157">
        <f t="shared" si="0"/>
        <v>219.2</v>
      </c>
      <c r="E5" s="157">
        <f t="shared" si="0"/>
        <v>234.7</v>
      </c>
      <c r="F5" s="157">
        <f t="shared" si="0"/>
        <v>233.7</v>
      </c>
      <c r="G5" s="157">
        <f t="shared" si="0"/>
        <v>245.5</v>
      </c>
      <c r="H5" s="157">
        <f t="shared" si="0"/>
        <v>409.8</v>
      </c>
      <c r="I5" s="157">
        <f t="shared" si="0"/>
        <v>440.65</v>
      </c>
      <c r="J5" s="157">
        <f t="shared" si="0"/>
        <v>471.7</v>
      </c>
      <c r="K5" s="157">
        <f t="shared" si="0"/>
        <v>478.3</v>
      </c>
      <c r="L5" s="157">
        <f t="shared" si="0"/>
        <v>495.5</v>
      </c>
      <c r="M5" s="157">
        <f t="shared" si="0"/>
        <v>568.98</v>
      </c>
      <c r="N5" s="157">
        <f t="shared" si="0"/>
        <v>618</v>
      </c>
      <c r="O5" s="157">
        <f t="shared" si="0"/>
        <v>623.6</v>
      </c>
      <c r="P5" s="157">
        <f t="shared" si="0"/>
        <v>581.79999999999995</v>
      </c>
      <c r="Q5" s="157">
        <f t="shared" si="0"/>
        <v>682.2</v>
      </c>
      <c r="R5" s="157">
        <f t="shared" si="0"/>
        <v>616.5</v>
      </c>
      <c r="S5" s="157">
        <f t="shared" si="0"/>
        <v>515</v>
      </c>
      <c r="T5" s="157">
        <f t="shared" si="0"/>
        <v>587.5</v>
      </c>
      <c r="U5" s="157">
        <f t="shared" si="0"/>
        <v>515.29999999999995</v>
      </c>
      <c r="V5" s="157">
        <f t="shared" si="0"/>
        <v>512.29999999999995</v>
      </c>
      <c r="W5" s="157">
        <f t="shared" si="0"/>
        <v>510.3</v>
      </c>
      <c r="X5" s="157">
        <f t="shared" si="0"/>
        <v>250</v>
      </c>
      <c r="Y5" s="157">
        <f t="shared" si="0"/>
        <v>229.20000000000002</v>
      </c>
      <c r="Z5" s="157">
        <f t="shared" si="0"/>
        <v>218.7</v>
      </c>
      <c r="AA5" s="157">
        <f t="shared" si="0"/>
        <v>185.6</v>
      </c>
      <c r="AB5" s="157">
        <f t="shared" si="0"/>
        <v>205.7</v>
      </c>
      <c r="AC5" s="157">
        <f t="shared" si="0"/>
        <v>213</v>
      </c>
      <c r="AD5" s="157">
        <f t="shared" si="0"/>
        <v>216.4</v>
      </c>
      <c r="AE5" s="157">
        <f t="shared" si="0"/>
        <v>213.4</v>
      </c>
      <c r="AF5" s="157">
        <f>B68</f>
        <v>203.52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1469MW at 9:00hr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Load=1236</v>
      </c>
      <c r="B7" s="146">
        <f>B75</f>
        <v>1282.06</v>
      </c>
      <c r="C7" s="146">
        <f t="shared" ref="C7:AF7" si="1">C75</f>
        <v>1262.54</v>
      </c>
      <c r="D7" s="146">
        <f t="shared" si="1"/>
        <v>1261.94</v>
      </c>
      <c r="E7" s="146">
        <f t="shared" si="1"/>
        <v>1242.54</v>
      </c>
      <c r="F7" s="146">
        <f t="shared" si="1"/>
        <v>1235.54</v>
      </c>
      <c r="G7" s="146">
        <f t="shared" si="1"/>
        <v>1266.3399999999999</v>
      </c>
      <c r="H7" s="146">
        <f t="shared" si="1"/>
        <v>1284.04</v>
      </c>
      <c r="I7" s="146">
        <f t="shared" si="1"/>
        <v>1283.04</v>
      </c>
      <c r="J7" s="146">
        <f t="shared" si="1"/>
        <v>1326.09</v>
      </c>
      <c r="K7" s="146">
        <f t="shared" si="1"/>
        <v>1402.54</v>
      </c>
      <c r="L7" s="146">
        <f t="shared" si="1"/>
        <v>1431.64</v>
      </c>
      <c r="M7" s="146">
        <f t="shared" si="1"/>
        <v>1467.64</v>
      </c>
      <c r="N7" s="146">
        <f t="shared" si="1"/>
        <v>1468.92</v>
      </c>
      <c r="O7" s="146">
        <f t="shared" si="1"/>
        <v>1457.24</v>
      </c>
      <c r="P7" s="146">
        <f t="shared" si="1"/>
        <v>1464.04</v>
      </c>
      <c r="Q7" s="146">
        <f t="shared" si="1"/>
        <v>1446.84</v>
      </c>
      <c r="R7" s="146">
        <f t="shared" si="1"/>
        <v>1479.5400000000002</v>
      </c>
      <c r="S7" s="146">
        <f t="shared" si="1"/>
        <v>1453.0400000000002</v>
      </c>
      <c r="T7" s="146">
        <f t="shared" si="1"/>
        <v>1415.54</v>
      </c>
      <c r="U7" s="146">
        <f t="shared" si="1"/>
        <v>1503.0400000000002</v>
      </c>
      <c r="V7" s="146">
        <f t="shared" si="1"/>
        <v>1429.44</v>
      </c>
      <c r="W7" s="146">
        <f t="shared" si="1"/>
        <v>1466.44</v>
      </c>
      <c r="X7" s="146">
        <f t="shared" si="1"/>
        <v>1464.44</v>
      </c>
      <c r="Y7" s="146">
        <f t="shared" si="1"/>
        <v>1593.24</v>
      </c>
      <c r="Z7" s="146">
        <f t="shared" si="1"/>
        <v>1679.3400000000001</v>
      </c>
      <c r="AA7" s="146">
        <f t="shared" si="1"/>
        <v>1681.94</v>
      </c>
      <c r="AB7" s="146">
        <f t="shared" si="1"/>
        <v>1639.04</v>
      </c>
      <c r="AC7" s="146">
        <f t="shared" si="1"/>
        <v>1591.1399999999999</v>
      </c>
      <c r="AD7" s="146">
        <f t="shared" si="1"/>
        <v>1523.74</v>
      </c>
      <c r="AE7" s="146">
        <f t="shared" si="1"/>
        <v>1436.6399999999999</v>
      </c>
      <c r="AF7" s="146">
        <f t="shared" si="1"/>
        <v>1360.24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>
        <v>200</v>
      </c>
      <c r="C11" s="127">
        <v>180</v>
      </c>
      <c r="D11" s="127">
        <v>150</v>
      </c>
      <c r="E11" s="127">
        <v>150</v>
      </c>
      <c r="F11" s="127">
        <v>135</v>
      </c>
      <c r="G11" s="127">
        <v>151</v>
      </c>
      <c r="H11" s="127">
        <v>151</v>
      </c>
      <c r="I11" s="127">
        <v>60</v>
      </c>
      <c r="J11" s="127">
        <v>60</v>
      </c>
      <c r="K11" s="127">
        <v>70</v>
      </c>
      <c r="L11" s="127">
        <v>90</v>
      </c>
      <c r="M11" s="103">
        <v>100</v>
      </c>
      <c r="N11" s="103">
        <v>30</v>
      </c>
      <c r="O11" s="103">
        <v>50</v>
      </c>
      <c r="P11" s="103">
        <v>50</v>
      </c>
      <c r="Q11" s="103">
        <v>76</v>
      </c>
      <c r="R11" s="135">
        <v>12</v>
      </c>
      <c r="S11" s="135">
        <v>12</v>
      </c>
      <c r="T11" s="103">
        <v>76</v>
      </c>
      <c r="U11" s="103">
        <v>70</v>
      </c>
      <c r="V11" s="103">
        <v>90</v>
      </c>
      <c r="W11" s="103">
        <v>130</v>
      </c>
      <c r="X11" s="103">
        <v>130</v>
      </c>
      <c r="Y11" s="103">
        <v>280</v>
      </c>
      <c r="Z11" s="179">
        <v>400</v>
      </c>
      <c r="AA11" s="103">
        <v>400</v>
      </c>
      <c r="AB11" s="103">
        <v>400</v>
      </c>
      <c r="AC11" s="103">
        <v>350</v>
      </c>
      <c r="AD11" s="103">
        <v>320</v>
      </c>
      <c r="AE11" s="103">
        <v>250</v>
      </c>
      <c r="AF11" s="103">
        <v>230</v>
      </c>
      <c r="AG11" s="54">
        <v>456</v>
      </c>
      <c r="AH11" s="21">
        <f>MAX(B11:AF11)</f>
        <v>400</v>
      </c>
      <c r="AI11" s="20">
        <f>MIN(B11:AF11)</f>
        <v>12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>
        <v>27</v>
      </c>
      <c r="C12" s="127">
        <v>27</v>
      </c>
      <c r="D12" s="127">
        <v>27</v>
      </c>
      <c r="E12" s="127">
        <v>27</v>
      </c>
      <c r="F12" s="127">
        <v>27</v>
      </c>
      <c r="G12" s="127">
        <v>27</v>
      </c>
      <c r="H12" s="127">
        <v>27</v>
      </c>
      <c r="I12" s="127">
        <v>27</v>
      </c>
      <c r="J12" s="127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27">
        <v>27</v>
      </c>
      <c r="AA12" s="127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>
        <v>8.3000000000000007</v>
      </c>
      <c r="C13" s="127">
        <v>8.3000000000000007</v>
      </c>
      <c r="D13" s="127">
        <v>8.3000000000000007</v>
      </c>
      <c r="E13" s="127">
        <v>8.3000000000000007</v>
      </c>
      <c r="F13" s="127">
        <v>8.3000000000000007</v>
      </c>
      <c r="G13" s="127">
        <v>8.3000000000000007</v>
      </c>
      <c r="H13" s="127">
        <v>8.3000000000000007</v>
      </c>
      <c r="I13" s="127">
        <v>8.3000000000000007</v>
      </c>
      <c r="J13" s="127">
        <v>8.3000000000000007</v>
      </c>
      <c r="K13" s="127">
        <v>8.3000000000000007</v>
      </c>
      <c r="L13" s="127">
        <v>8.3000000000000007</v>
      </c>
      <c r="M13" s="127">
        <v>10.9</v>
      </c>
      <c r="N13" s="127">
        <v>19.5</v>
      </c>
      <c r="O13" s="127">
        <v>21</v>
      </c>
      <c r="P13" s="127">
        <v>20.6</v>
      </c>
      <c r="Q13" s="127">
        <v>18.2</v>
      </c>
      <c r="R13" s="127">
        <v>17.600000000000001</v>
      </c>
      <c r="S13" s="127">
        <v>17.600000000000001</v>
      </c>
      <c r="T13" s="127">
        <v>17.600000000000001</v>
      </c>
      <c r="U13" s="127">
        <v>17.600000000000001</v>
      </c>
      <c r="V13" s="127">
        <v>16.7</v>
      </c>
      <c r="W13" s="127">
        <v>16.7</v>
      </c>
      <c r="X13" s="127">
        <v>16.7</v>
      </c>
      <c r="Y13" s="127">
        <v>16.8</v>
      </c>
      <c r="Z13" s="127">
        <v>16.600000000000001</v>
      </c>
      <c r="AA13" s="127">
        <v>16.8</v>
      </c>
      <c r="AB13" s="103">
        <v>16.8</v>
      </c>
      <c r="AC13" s="103">
        <v>16.8</v>
      </c>
      <c r="AD13" s="103">
        <v>16.8</v>
      </c>
      <c r="AE13" s="103">
        <v>16.8</v>
      </c>
      <c r="AF13" s="103">
        <v>16.8</v>
      </c>
      <c r="AG13" s="134">
        <v>52.4</v>
      </c>
      <c r="AH13" s="21">
        <f t="shared" si="2"/>
        <v>21</v>
      </c>
      <c r="AI13" s="20">
        <f t="shared" si="3"/>
        <v>8.3000000000000007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>
        <v>0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7">
        <v>0</v>
      </c>
      <c r="I14" s="127">
        <v>0</v>
      </c>
      <c r="J14" s="127">
        <v>0</v>
      </c>
      <c r="K14" s="127">
        <v>0</v>
      </c>
      <c r="L14" s="127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0</v>
      </c>
      <c r="AG14" s="134">
        <v>50</v>
      </c>
      <c r="AH14" s="21">
        <f t="shared" si="2"/>
        <v>0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>
        <v>22.8</v>
      </c>
      <c r="C15" s="123">
        <v>22.8</v>
      </c>
      <c r="D15" s="123">
        <v>22.8</v>
      </c>
      <c r="E15" s="123">
        <v>22.8</v>
      </c>
      <c r="F15" s="123">
        <v>22.8</v>
      </c>
      <c r="G15" s="123">
        <v>22.8</v>
      </c>
      <c r="H15" s="123">
        <v>22.8</v>
      </c>
      <c r="I15" s="123">
        <v>22.8</v>
      </c>
      <c r="J15" s="123">
        <v>22.8</v>
      </c>
      <c r="K15" s="123">
        <v>22.8</v>
      </c>
      <c r="L15" s="123">
        <v>22.8</v>
      </c>
      <c r="M15" s="103">
        <v>22.8</v>
      </c>
      <c r="N15" s="103">
        <v>22.8</v>
      </c>
      <c r="O15" s="103">
        <v>22.9</v>
      </c>
      <c r="P15" s="103">
        <v>22.8</v>
      </c>
      <c r="Q15" s="103">
        <v>22.8</v>
      </c>
      <c r="R15" s="103">
        <v>22.8</v>
      </c>
      <c r="S15" s="103">
        <v>22.8</v>
      </c>
      <c r="T15" s="103">
        <v>22.8</v>
      </c>
      <c r="U15" s="103">
        <v>22.8</v>
      </c>
      <c r="V15" s="103">
        <v>22.8</v>
      </c>
      <c r="W15" s="103">
        <v>22.8</v>
      </c>
      <c r="X15" s="103">
        <v>22.8</v>
      </c>
      <c r="Y15" s="103">
        <v>22.9</v>
      </c>
      <c r="Z15" s="103">
        <v>22.9</v>
      </c>
      <c r="AA15" s="103">
        <v>22.9</v>
      </c>
      <c r="AB15" s="103">
        <v>22.9</v>
      </c>
      <c r="AC15" s="103">
        <v>22.9</v>
      </c>
      <c r="AD15" s="103">
        <v>22.9</v>
      </c>
      <c r="AE15" s="103">
        <v>22.9</v>
      </c>
      <c r="AF15" s="103">
        <v>22.9</v>
      </c>
      <c r="AG15" s="108">
        <v>45</v>
      </c>
      <c r="AH15" s="21">
        <f t="shared" si="2"/>
        <v>22.9</v>
      </c>
      <c r="AI15" s="20">
        <f t="shared" si="3"/>
        <v>22.8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>
        <v>14</v>
      </c>
      <c r="C16" s="127">
        <v>14</v>
      </c>
      <c r="D16" s="127">
        <v>14</v>
      </c>
      <c r="E16" s="127">
        <v>14</v>
      </c>
      <c r="F16" s="127">
        <v>14</v>
      </c>
      <c r="G16" s="127">
        <v>14</v>
      </c>
      <c r="H16" s="127">
        <v>14</v>
      </c>
      <c r="I16" s="127">
        <v>14</v>
      </c>
      <c r="J16" s="127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14</v>
      </c>
      <c r="AC16" s="103">
        <v>14</v>
      </c>
      <c r="AD16" s="103">
        <v>14</v>
      </c>
      <c r="AE16" s="103">
        <v>14</v>
      </c>
      <c r="AF16" s="103">
        <v>14</v>
      </c>
      <c r="AG16" s="134">
        <v>45</v>
      </c>
      <c r="AH16" s="21">
        <f t="shared" si="2"/>
        <v>14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>
        <v>12.5</v>
      </c>
      <c r="C17" s="127">
        <v>12.5</v>
      </c>
      <c r="D17" s="127">
        <v>12.5</v>
      </c>
      <c r="E17" s="127">
        <v>12.5</v>
      </c>
      <c r="F17" s="127">
        <v>12.5</v>
      </c>
      <c r="G17" s="127">
        <v>12.5</v>
      </c>
      <c r="H17" s="127">
        <v>12.5</v>
      </c>
      <c r="I17" s="127">
        <v>12.5</v>
      </c>
      <c r="J17" s="127">
        <v>12.5</v>
      </c>
      <c r="K17" s="127">
        <v>12.5</v>
      </c>
      <c r="L17" s="127">
        <v>12.5</v>
      </c>
      <c r="M17" s="103">
        <v>12.5</v>
      </c>
      <c r="N17" s="103">
        <v>12.5</v>
      </c>
      <c r="O17" s="103">
        <v>12.5</v>
      </c>
      <c r="P17" s="103">
        <v>12.5</v>
      </c>
      <c r="Q17" s="103">
        <v>12.5</v>
      </c>
      <c r="R17" s="103">
        <v>12.5</v>
      </c>
      <c r="S17" s="103">
        <v>12.5</v>
      </c>
      <c r="T17" s="103">
        <v>12.5</v>
      </c>
      <c r="U17" s="103">
        <v>12.5</v>
      </c>
      <c r="V17" s="103">
        <v>12.5</v>
      </c>
      <c r="W17" s="103">
        <v>12.5</v>
      </c>
      <c r="X17" s="103">
        <v>12.5</v>
      </c>
      <c r="Y17" s="103">
        <v>12.5</v>
      </c>
      <c r="Z17" s="103">
        <v>12.5</v>
      </c>
      <c r="AA17" s="103">
        <v>12.5</v>
      </c>
      <c r="AB17" s="103">
        <v>12.5</v>
      </c>
      <c r="AC17" s="103">
        <v>12.5</v>
      </c>
      <c r="AD17" s="103">
        <v>12.5</v>
      </c>
      <c r="AE17" s="103">
        <v>12.5</v>
      </c>
      <c r="AF17" s="103">
        <v>12.5</v>
      </c>
      <c r="AG17" s="134">
        <v>42</v>
      </c>
      <c r="AH17" s="21">
        <f t="shared" si="2"/>
        <v>12.5</v>
      </c>
      <c r="AI17" s="20">
        <f t="shared" si="3"/>
        <v>12.5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>
        <v>8</v>
      </c>
      <c r="C18" s="127">
        <v>8</v>
      </c>
      <c r="D18" s="127">
        <v>8</v>
      </c>
      <c r="E18" s="127">
        <v>8</v>
      </c>
      <c r="F18" s="127">
        <v>8</v>
      </c>
      <c r="G18" s="127">
        <v>8</v>
      </c>
      <c r="H18" s="127">
        <v>8</v>
      </c>
      <c r="I18" s="127">
        <v>8</v>
      </c>
      <c r="J18" s="127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103">
        <f>(1453-160-60-20-80-60-50)</f>
        <v>1023</v>
      </c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>
        <v>12.1</v>
      </c>
      <c r="C19" s="127">
        <v>12.1</v>
      </c>
      <c r="D19" s="127">
        <v>12.1</v>
      </c>
      <c r="E19" s="127">
        <v>12.1</v>
      </c>
      <c r="F19" s="127">
        <v>12.1</v>
      </c>
      <c r="G19" s="127">
        <v>12.1</v>
      </c>
      <c r="H19" s="127">
        <v>12.1</v>
      </c>
      <c r="I19" s="127">
        <v>12.1</v>
      </c>
      <c r="J19" s="127">
        <v>12.1</v>
      </c>
      <c r="K19" s="127">
        <v>12.1</v>
      </c>
      <c r="L19" s="127">
        <v>12.1</v>
      </c>
      <c r="M19" s="103">
        <v>13.3</v>
      </c>
      <c r="N19" s="103">
        <v>13.3</v>
      </c>
      <c r="O19" s="103">
        <v>12.5</v>
      </c>
      <c r="P19" s="103">
        <v>12.5</v>
      </c>
      <c r="Q19" s="103">
        <v>12.5</v>
      </c>
      <c r="R19" s="103">
        <v>12.5</v>
      </c>
      <c r="S19" s="103">
        <v>12.5</v>
      </c>
      <c r="T19" s="103">
        <v>12.5</v>
      </c>
      <c r="U19" s="103">
        <v>12.5</v>
      </c>
      <c r="V19" s="103">
        <v>12.5</v>
      </c>
      <c r="W19" s="103">
        <v>12.5</v>
      </c>
      <c r="X19" s="103">
        <v>12.5</v>
      </c>
      <c r="Y19" s="103">
        <v>12.5</v>
      </c>
      <c r="Z19" s="103">
        <v>12.1</v>
      </c>
      <c r="AA19" s="103">
        <v>12.5</v>
      </c>
      <c r="AB19" s="103">
        <v>12.5</v>
      </c>
      <c r="AC19" s="103">
        <v>12.5</v>
      </c>
      <c r="AD19" s="103">
        <v>12.5</v>
      </c>
      <c r="AE19" s="103">
        <v>12.5</v>
      </c>
      <c r="AF19" s="103">
        <v>12.5</v>
      </c>
      <c r="AG19" s="134">
        <v>30</v>
      </c>
      <c r="AH19" s="21">
        <f t="shared" si="2"/>
        <v>13.3</v>
      </c>
      <c r="AI19" s="20">
        <f t="shared" si="3"/>
        <v>12.1</v>
      </c>
      <c r="AK19" s="103">
        <f>AK18-51-83</f>
        <v>889</v>
      </c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>
        <v>6.2</v>
      </c>
      <c r="C20" s="127">
        <v>6.2</v>
      </c>
      <c r="D20" s="127">
        <v>6.2</v>
      </c>
      <c r="E20" s="127">
        <v>6.2</v>
      </c>
      <c r="F20" s="127">
        <v>6.2</v>
      </c>
      <c r="G20" s="127">
        <v>6.2</v>
      </c>
      <c r="H20" s="127">
        <v>6.2</v>
      </c>
      <c r="I20" s="127">
        <v>6.2</v>
      </c>
      <c r="J20" s="127">
        <v>6.2</v>
      </c>
      <c r="K20" s="127">
        <v>6.2</v>
      </c>
      <c r="L20" s="127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>
        <v>3.5</v>
      </c>
      <c r="C21" s="127">
        <v>3.5</v>
      </c>
      <c r="D21" s="127">
        <v>3.5</v>
      </c>
      <c r="E21" s="127">
        <v>3.5</v>
      </c>
      <c r="F21" s="127">
        <v>3.5</v>
      </c>
      <c r="G21" s="127">
        <v>3.5</v>
      </c>
      <c r="H21" s="127">
        <v>3.5</v>
      </c>
      <c r="I21" s="127">
        <v>3.5</v>
      </c>
      <c r="J21" s="127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>
        <v>22</v>
      </c>
      <c r="C22" s="127">
        <v>22</v>
      </c>
      <c r="D22" s="127">
        <v>22</v>
      </c>
      <c r="E22" s="127">
        <v>22</v>
      </c>
      <c r="F22" s="127">
        <v>22</v>
      </c>
      <c r="G22" s="127">
        <v>22</v>
      </c>
      <c r="H22" s="127">
        <v>22</v>
      </c>
      <c r="I22" s="127">
        <v>22</v>
      </c>
      <c r="J22" s="127">
        <v>22</v>
      </c>
      <c r="K22" s="127">
        <v>22</v>
      </c>
      <c r="L22" s="127">
        <v>22</v>
      </c>
      <c r="M22" s="103">
        <v>22</v>
      </c>
      <c r="N22" s="103">
        <v>22</v>
      </c>
      <c r="O22" s="103">
        <v>22</v>
      </c>
      <c r="P22" s="103">
        <v>22</v>
      </c>
      <c r="Q22" s="103">
        <v>22</v>
      </c>
      <c r="R22" s="103">
        <v>22</v>
      </c>
      <c r="S22" s="103">
        <v>22</v>
      </c>
      <c r="T22" s="103">
        <v>22</v>
      </c>
      <c r="U22" s="103">
        <v>22</v>
      </c>
      <c r="V22" s="103">
        <v>22</v>
      </c>
      <c r="W22" s="103">
        <v>22</v>
      </c>
      <c r="X22" s="103">
        <v>22</v>
      </c>
      <c r="Y22" s="103">
        <v>22</v>
      </c>
      <c r="Z22" s="103">
        <v>22</v>
      </c>
      <c r="AA22" s="103">
        <v>22</v>
      </c>
      <c r="AB22" s="103">
        <v>22</v>
      </c>
      <c r="AC22" s="103">
        <v>22</v>
      </c>
      <c r="AD22" s="103">
        <v>22</v>
      </c>
      <c r="AE22" s="103">
        <v>22</v>
      </c>
      <c r="AF22" s="103">
        <v>22</v>
      </c>
      <c r="AG22" s="134">
        <v>25</v>
      </c>
      <c r="AH22" s="21">
        <f t="shared" si="2"/>
        <v>22</v>
      </c>
      <c r="AI22" s="20">
        <f t="shared" si="3"/>
        <v>22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>
        <v>7.9</v>
      </c>
      <c r="C23" s="127">
        <v>7.9</v>
      </c>
      <c r="D23" s="127">
        <v>7.9</v>
      </c>
      <c r="E23" s="127">
        <v>7.9</v>
      </c>
      <c r="F23" s="127">
        <v>7.9</v>
      </c>
      <c r="G23" s="127">
        <v>7.9</v>
      </c>
      <c r="H23" s="127">
        <v>7.9</v>
      </c>
      <c r="I23" s="127">
        <v>7.9</v>
      </c>
      <c r="J23" s="127">
        <v>7.9</v>
      </c>
      <c r="K23" s="127">
        <v>7.9</v>
      </c>
      <c r="L23" s="127">
        <v>7.9</v>
      </c>
      <c r="M23" s="103">
        <v>7.9</v>
      </c>
      <c r="N23" s="103">
        <v>7.9</v>
      </c>
      <c r="O23" s="103">
        <v>7.9</v>
      </c>
      <c r="P23" s="103">
        <v>7.9</v>
      </c>
      <c r="Q23" s="103">
        <v>7.9</v>
      </c>
      <c r="R23" s="103">
        <v>7.9</v>
      </c>
      <c r="S23" s="103">
        <v>7.9</v>
      </c>
      <c r="T23" s="103">
        <v>7.9</v>
      </c>
      <c r="U23" s="103">
        <v>7.9</v>
      </c>
      <c r="V23" s="103">
        <v>7.9</v>
      </c>
      <c r="W23" s="103">
        <v>7.9</v>
      </c>
      <c r="X23" s="103">
        <v>7.9</v>
      </c>
      <c r="Y23" s="103">
        <v>7.9</v>
      </c>
      <c r="Z23" s="103">
        <v>9</v>
      </c>
      <c r="AA23" s="103">
        <v>7.9</v>
      </c>
      <c r="AB23" s="103">
        <v>7.9</v>
      </c>
      <c r="AC23" s="103">
        <v>7.9</v>
      </c>
      <c r="AD23" s="103">
        <v>7.9</v>
      </c>
      <c r="AE23" s="103">
        <v>7.9</v>
      </c>
      <c r="AF23" s="103">
        <v>7.9</v>
      </c>
      <c r="AG23" s="134">
        <v>25</v>
      </c>
      <c r="AH23" s="21">
        <f t="shared" si="2"/>
        <v>9</v>
      </c>
      <c r="AI23" s="20">
        <f t="shared" si="3"/>
        <v>7.9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>
        <v>7</v>
      </c>
      <c r="C24" s="127">
        <v>7</v>
      </c>
      <c r="D24" s="127">
        <v>7</v>
      </c>
      <c r="E24" s="127">
        <v>7</v>
      </c>
      <c r="F24" s="127">
        <v>7</v>
      </c>
      <c r="G24" s="127">
        <v>7</v>
      </c>
      <c r="H24" s="127">
        <v>7</v>
      </c>
      <c r="I24" s="127">
        <v>7</v>
      </c>
      <c r="J24" s="127">
        <v>7</v>
      </c>
      <c r="K24" s="127">
        <v>7</v>
      </c>
      <c r="L24" s="127">
        <v>7</v>
      </c>
      <c r="M24" s="103">
        <v>7</v>
      </c>
      <c r="N24" s="103">
        <v>7</v>
      </c>
      <c r="O24" s="103">
        <v>7</v>
      </c>
      <c r="P24" s="103">
        <v>7</v>
      </c>
      <c r="Q24" s="103">
        <v>7</v>
      </c>
      <c r="R24" s="103">
        <v>7</v>
      </c>
      <c r="S24" s="103">
        <v>7</v>
      </c>
      <c r="T24" s="103">
        <v>7</v>
      </c>
      <c r="U24" s="103">
        <v>7</v>
      </c>
      <c r="V24" s="103">
        <v>7</v>
      </c>
      <c r="W24" s="103">
        <v>7</v>
      </c>
      <c r="X24" s="103">
        <v>7</v>
      </c>
      <c r="Y24" s="103">
        <v>7</v>
      </c>
      <c r="Z24" s="103">
        <v>7</v>
      </c>
      <c r="AA24" s="103">
        <v>7</v>
      </c>
      <c r="AB24" s="103">
        <v>7</v>
      </c>
      <c r="AC24" s="103">
        <v>7</v>
      </c>
      <c r="AD24" s="103">
        <v>7</v>
      </c>
      <c r="AE24" s="103">
        <v>7</v>
      </c>
      <c r="AF24" s="103">
        <v>7</v>
      </c>
      <c r="AG24" s="134">
        <v>25</v>
      </c>
      <c r="AH24" s="21">
        <f t="shared" si="2"/>
        <v>7</v>
      </c>
      <c r="AI24" s="20">
        <f t="shared" si="3"/>
        <v>7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>
        <v>10</v>
      </c>
      <c r="C25" s="127">
        <v>10</v>
      </c>
      <c r="D25" s="127">
        <v>10</v>
      </c>
      <c r="E25" s="127">
        <v>10</v>
      </c>
      <c r="F25" s="127">
        <v>10</v>
      </c>
      <c r="G25" s="127">
        <v>10</v>
      </c>
      <c r="H25" s="127">
        <v>10</v>
      </c>
      <c r="I25" s="127">
        <v>10</v>
      </c>
      <c r="J25" s="127">
        <v>10</v>
      </c>
      <c r="K25" s="127">
        <v>10</v>
      </c>
      <c r="L25" s="127">
        <v>10</v>
      </c>
      <c r="M25" s="103">
        <v>10</v>
      </c>
      <c r="N25" s="103">
        <v>10</v>
      </c>
      <c r="O25" s="103">
        <v>10</v>
      </c>
      <c r="P25" s="103">
        <v>10</v>
      </c>
      <c r="Q25" s="103">
        <v>10</v>
      </c>
      <c r="R25" s="103">
        <v>10</v>
      </c>
      <c r="S25" s="103">
        <v>10</v>
      </c>
      <c r="T25" s="103">
        <v>10</v>
      </c>
      <c r="U25" s="103">
        <v>10</v>
      </c>
      <c r="V25" s="103">
        <v>10</v>
      </c>
      <c r="W25" s="103">
        <v>10</v>
      </c>
      <c r="X25" s="103">
        <v>10</v>
      </c>
      <c r="Y25" s="103">
        <v>10</v>
      </c>
      <c r="Z25" s="103">
        <v>21</v>
      </c>
      <c r="AA25" s="103">
        <v>10</v>
      </c>
      <c r="AB25" s="103">
        <v>10</v>
      </c>
      <c r="AC25" s="103">
        <v>10</v>
      </c>
      <c r="AD25" s="103">
        <v>10</v>
      </c>
      <c r="AE25" s="103">
        <v>10</v>
      </c>
      <c r="AF25" s="103">
        <v>10</v>
      </c>
      <c r="AG25" s="134">
        <v>24.2</v>
      </c>
      <c r="AH25" s="21">
        <f t="shared" si="2"/>
        <v>21</v>
      </c>
      <c r="AI25" s="20">
        <f t="shared" si="3"/>
        <v>10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>
        <v>11</v>
      </c>
      <c r="C26" s="127">
        <v>11</v>
      </c>
      <c r="D26" s="127">
        <v>11</v>
      </c>
      <c r="E26" s="127">
        <v>11</v>
      </c>
      <c r="F26" s="127">
        <v>11</v>
      </c>
      <c r="G26" s="127">
        <v>11</v>
      </c>
      <c r="H26" s="127">
        <v>11</v>
      </c>
      <c r="I26" s="127">
        <v>11</v>
      </c>
      <c r="J26" s="127">
        <v>11</v>
      </c>
      <c r="K26" s="127">
        <v>11</v>
      </c>
      <c r="L26" s="127">
        <v>11</v>
      </c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11</v>
      </c>
      <c r="AF26" s="103">
        <v>11</v>
      </c>
      <c r="AG26" s="134">
        <v>20</v>
      </c>
      <c r="AH26" s="21">
        <f t="shared" si="2"/>
        <v>11</v>
      </c>
      <c r="AI26" s="20">
        <f t="shared" si="3"/>
        <v>11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3.9</v>
      </c>
      <c r="C27" s="127">
        <v>3.9</v>
      </c>
      <c r="D27" s="127">
        <v>3.9</v>
      </c>
      <c r="E27" s="127">
        <v>3.9</v>
      </c>
      <c r="F27" s="127">
        <v>3.9</v>
      </c>
      <c r="G27" s="127">
        <v>3.9</v>
      </c>
      <c r="H27" s="127">
        <v>3.9</v>
      </c>
      <c r="I27" s="127">
        <v>3.9</v>
      </c>
      <c r="J27" s="127">
        <v>3.9</v>
      </c>
      <c r="K27" s="127">
        <v>3.9</v>
      </c>
      <c r="L27" s="127">
        <v>3.9</v>
      </c>
      <c r="M27" s="103">
        <v>3.9</v>
      </c>
      <c r="N27" s="103">
        <v>3.9</v>
      </c>
      <c r="O27" s="103">
        <v>3.9</v>
      </c>
      <c r="P27" s="103">
        <v>3.9</v>
      </c>
      <c r="Q27" s="103">
        <v>3.9</v>
      </c>
      <c r="R27" s="103">
        <v>3.9</v>
      </c>
      <c r="S27" s="103">
        <v>3.9</v>
      </c>
      <c r="T27" s="103">
        <v>3.9</v>
      </c>
      <c r="U27" s="103">
        <v>3.9</v>
      </c>
      <c r="V27" s="103">
        <v>3.9</v>
      </c>
      <c r="W27" s="103">
        <v>3.9</v>
      </c>
      <c r="X27" s="103">
        <v>3.9</v>
      </c>
      <c r="Y27" s="103">
        <v>3.9</v>
      </c>
      <c r="Z27" s="103">
        <v>3.9</v>
      </c>
      <c r="AA27" s="103">
        <v>3.9</v>
      </c>
      <c r="AB27" s="127">
        <v>3.9</v>
      </c>
      <c r="AC27" s="127">
        <v>3.9</v>
      </c>
      <c r="AD27" s="127">
        <v>3.9</v>
      </c>
      <c r="AE27" s="127">
        <v>3.9</v>
      </c>
      <c r="AF27" s="127">
        <v>3.9</v>
      </c>
      <c r="AG27" s="134">
        <v>23.5</v>
      </c>
      <c r="AH27" s="21">
        <f t="shared" si="2"/>
        <v>3.9</v>
      </c>
      <c r="AI27" s="20">
        <f t="shared" si="3"/>
        <v>3.9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>
        <v>0</v>
      </c>
      <c r="C28" s="127">
        <v>0</v>
      </c>
      <c r="D28" s="127">
        <v>0</v>
      </c>
      <c r="E28" s="127">
        <v>0</v>
      </c>
      <c r="F28" s="127">
        <v>0</v>
      </c>
      <c r="G28" s="127">
        <v>0</v>
      </c>
      <c r="H28" s="127">
        <v>0</v>
      </c>
      <c r="I28" s="127">
        <v>0</v>
      </c>
      <c r="J28" s="127">
        <v>0</v>
      </c>
      <c r="K28" s="127">
        <v>0</v>
      </c>
      <c r="L28" s="127">
        <v>0</v>
      </c>
      <c r="M28" s="103">
        <v>0</v>
      </c>
      <c r="N28" s="103">
        <v>0</v>
      </c>
      <c r="O28" s="103">
        <v>0</v>
      </c>
      <c r="P28" s="103">
        <v>0</v>
      </c>
      <c r="Q28" s="103">
        <v>0</v>
      </c>
      <c r="R28" s="103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0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>
        <v>4.5999999999999996</v>
      </c>
      <c r="C29" s="127">
        <v>4.5999999999999996</v>
      </c>
      <c r="D29" s="127">
        <v>4.5999999999999996</v>
      </c>
      <c r="E29" s="127">
        <v>4.5999999999999996</v>
      </c>
      <c r="F29" s="127">
        <v>4.5999999999999996</v>
      </c>
      <c r="G29" s="127">
        <v>4.5999999999999996</v>
      </c>
      <c r="H29" s="127">
        <v>4.5999999999999996</v>
      </c>
      <c r="I29" s="127">
        <v>4.5999999999999996</v>
      </c>
      <c r="J29" s="127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>
        <v>10</v>
      </c>
      <c r="C30" s="127">
        <v>10</v>
      </c>
      <c r="D30" s="127">
        <v>10</v>
      </c>
      <c r="E30" s="127">
        <v>10</v>
      </c>
      <c r="F30" s="127">
        <v>10</v>
      </c>
      <c r="G30" s="127">
        <v>10</v>
      </c>
      <c r="H30" s="127">
        <v>10</v>
      </c>
      <c r="I30" s="127">
        <v>10</v>
      </c>
      <c r="J30" s="127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>
        <v>6</v>
      </c>
      <c r="C31" s="123">
        <v>6</v>
      </c>
      <c r="D31" s="123">
        <v>6</v>
      </c>
      <c r="E31" s="123">
        <v>6</v>
      </c>
      <c r="F31" s="123">
        <v>6</v>
      </c>
      <c r="G31" s="123">
        <v>6</v>
      </c>
      <c r="H31" s="123">
        <v>6</v>
      </c>
      <c r="I31" s="123">
        <v>6</v>
      </c>
      <c r="J31" s="12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>
        <v>3.7</v>
      </c>
      <c r="C32" s="123">
        <v>3.7</v>
      </c>
      <c r="D32" s="123">
        <v>3.7</v>
      </c>
      <c r="E32" s="123">
        <v>3.7</v>
      </c>
      <c r="F32" s="123">
        <v>3.7</v>
      </c>
      <c r="G32" s="123">
        <v>3.7</v>
      </c>
      <c r="H32" s="123">
        <v>3.7</v>
      </c>
      <c r="I32" s="123">
        <v>3.7</v>
      </c>
      <c r="J32" s="12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>
        <v>2.5</v>
      </c>
      <c r="C33" s="123">
        <v>2.5</v>
      </c>
      <c r="D33" s="123">
        <v>2.5</v>
      </c>
      <c r="E33" s="123">
        <v>2.5</v>
      </c>
      <c r="F33" s="123">
        <v>2.5</v>
      </c>
      <c r="G33" s="123">
        <v>2.5</v>
      </c>
      <c r="H33" s="123">
        <v>2.5</v>
      </c>
      <c r="I33" s="123">
        <v>2.5</v>
      </c>
      <c r="J33" s="12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>
        <v>5</v>
      </c>
      <c r="C34" s="123">
        <v>5</v>
      </c>
      <c r="D34" s="123">
        <v>5</v>
      </c>
      <c r="E34" s="123">
        <v>5</v>
      </c>
      <c r="F34" s="123">
        <v>5</v>
      </c>
      <c r="G34" s="123">
        <v>5</v>
      </c>
      <c r="H34" s="123">
        <v>5</v>
      </c>
      <c r="I34" s="123">
        <v>5</v>
      </c>
      <c r="J34" s="12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>
        <v>0</v>
      </c>
      <c r="C35" s="123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2</v>
      </c>
      <c r="L35" s="123">
        <v>4</v>
      </c>
      <c r="M35" s="103">
        <v>5</v>
      </c>
      <c r="N35" s="103">
        <v>5</v>
      </c>
      <c r="O35" s="103">
        <v>5</v>
      </c>
      <c r="P35" s="103">
        <v>5</v>
      </c>
      <c r="Q35" s="103">
        <v>5</v>
      </c>
      <c r="R35" s="103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0</v>
      </c>
      <c r="AA35" s="103">
        <v>5</v>
      </c>
      <c r="AB35" s="103">
        <v>5</v>
      </c>
      <c r="AC35" s="103">
        <v>5</v>
      </c>
      <c r="AD35" s="103">
        <v>5</v>
      </c>
      <c r="AE35" s="103">
        <v>5</v>
      </c>
      <c r="AF35" s="103">
        <v>5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170</v>
      </c>
      <c r="C36" s="123">
        <v>170</v>
      </c>
      <c r="D36" s="123">
        <v>170</v>
      </c>
      <c r="E36" s="123">
        <v>170</v>
      </c>
      <c r="F36" s="123">
        <v>170</v>
      </c>
      <c r="G36" s="123">
        <v>170</v>
      </c>
      <c r="H36" s="123">
        <v>170</v>
      </c>
      <c r="I36" s="123">
        <v>170</v>
      </c>
      <c r="J36" s="123">
        <v>170</v>
      </c>
      <c r="K36" s="123">
        <v>170</v>
      </c>
      <c r="L36" s="123">
        <v>170</v>
      </c>
      <c r="M36" s="123">
        <v>170</v>
      </c>
      <c r="N36" s="123">
        <v>170</v>
      </c>
      <c r="O36" s="123">
        <v>170</v>
      </c>
      <c r="P36" s="123">
        <v>170</v>
      </c>
      <c r="Q36" s="123">
        <v>170</v>
      </c>
      <c r="R36" s="123">
        <v>170</v>
      </c>
      <c r="S36" s="123">
        <v>170</v>
      </c>
      <c r="T36" s="123">
        <v>170</v>
      </c>
      <c r="U36" s="123">
        <v>170</v>
      </c>
      <c r="V36" s="123">
        <v>170</v>
      </c>
      <c r="W36" s="123">
        <v>170</v>
      </c>
      <c r="X36" s="123">
        <v>170</v>
      </c>
      <c r="Y36" s="123">
        <v>170</v>
      </c>
      <c r="Z36" s="123">
        <v>160</v>
      </c>
      <c r="AA36" s="123">
        <v>170</v>
      </c>
      <c r="AB36" s="123">
        <v>170</v>
      </c>
      <c r="AC36" s="123">
        <v>170</v>
      </c>
      <c r="AD36" s="123">
        <v>170</v>
      </c>
      <c r="AE36" s="123">
        <v>170</v>
      </c>
      <c r="AF36" s="123">
        <v>170</v>
      </c>
      <c r="AG36" s="106">
        <v>85</v>
      </c>
      <c r="AH36" s="21">
        <f t="shared" si="2"/>
        <v>170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3">
        <v>61.6</v>
      </c>
      <c r="C37" s="123">
        <v>64.599999999999994</v>
      </c>
      <c r="D37" s="123">
        <v>66</v>
      </c>
      <c r="E37" s="123">
        <f>32.9+32.7</f>
        <v>65.599999999999994</v>
      </c>
      <c r="F37" s="123">
        <f>33.1+31.5</f>
        <v>64.599999999999994</v>
      </c>
      <c r="G37" s="123">
        <f>31.9+28.7</f>
        <v>60.599999999999994</v>
      </c>
      <c r="H37" s="123">
        <v>45</v>
      </c>
      <c r="I37" s="123">
        <f>33.1+27.5</f>
        <v>60.6</v>
      </c>
      <c r="J37" s="123">
        <f>32.5+25.2</f>
        <v>57.7</v>
      </c>
      <c r="K37" s="123">
        <f>32.4+24.2</f>
        <v>56.599999999999994</v>
      </c>
      <c r="L37" s="123">
        <f>32.5+23.5</f>
        <v>56</v>
      </c>
      <c r="M37" s="128">
        <v>54.3</v>
      </c>
      <c r="N37" s="128">
        <v>54.7</v>
      </c>
      <c r="O37" s="128">
        <v>60.7</v>
      </c>
      <c r="P37" s="128">
        <v>60.9</v>
      </c>
      <c r="Q37" s="128">
        <v>59.7</v>
      </c>
      <c r="R37" s="128">
        <v>60.4</v>
      </c>
      <c r="S37" s="128">
        <v>60.4</v>
      </c>
      <c r="T37" s="128">
        <v>60.4</v>
      </c>
      <c r="U37" s="128">
        <v>60.4</v>
      </c>
      <c r="V37" s="128">
        <v>60.4</v>
      </c>
      <c r="W37" s="128">
        <v>60.4</v>
      </c>
      <c r="X37" s="128">
        <v>60.4</v>
      </c>
      <c r="Y37" s="128">
        <v>56.5</v>
      </c>
      <c r="Z37" s="128">
        <v>53</v>
      </c>
      <c r="AA37" s="128">
        <v>53</v>
      </c>
      <c r="AB37" s="128">
        <f>29.9+23.1</f>
        <v>53</v>
      </c>
      <c r="AC37" s="128">
        <f>29.7+26.6</f>
        <v>56.3</v>
      </c>
      <c r="AD37" s="128">
        <f>29.7+28.2</f>
        <v>57.9</v>
      </c>
      <c r="AE37" s="128">
        <f>30.6+28.6</f>
        <v>59.2</v>
      </c>
      <c r="AF37" s="128">
        <f>30.6+28.6</f>
        <v>59.2</v>
      </c>
      <c r="AG37" s="106">
        <v>240</v>
      </c>
      <c r="AH37" s="21">
        <f t="shared" si="2"/>
        <v>66</v>
      </c>
      <c r="AI37" s="20">
        <f t="shared" si="3"/>
        <v>45</v>
      </c>
      <c r="AK37" s="42"/>
    </row>
    <row r="38" spans="1:88" ht="15.75" thickBot="1" x14ac:dyDescent="0.3">
      <c r="A38" s="100" t="s">
        <v>173</v>
      </c>
      <c r="B38" s="99">
        <f>SUM(B11:B36)</f>
        <v>578</v>
      </c>
      <c r="C38" s="99">
        <f t="shared" ref="C38:AF38" si="4">SUM(C11:C36)</f>
        <v>558</v>
      </c>
      <c r="D38" s="99">
        <f t="shared" si="4"/>
        <v>528</v>
      </c>
      <c r="E38" s="99">
        <f t="shared" si="4"/>
        <v>528</v>
      </c>
      <c r="F38" s="99">
        <f t="shared" si="4"/>
        <v>513</v>
      </c>
      <c r="G38" s="99">
        <f t="shared" si="4"/>
        <v>529</v>
      </c>
      <c r="H38" s="99">
        <f t="shared" si="4"/>
        <v>529</v>
      </c>
      <c r="I38" s="99">
        <f t="shared" si="4"/>
        <v>437.99999999999994</v>
      </c>
      <c r="J38" s="99">
        <f t="shared" si="4"/>
        <v>437.99999999999994</v>
      </c>
      <c r="K38" s="99">
        <f t="shared" si="4"/>
        <v>449.99999999999994</v>
      </c>
      <c r="L38" s="99">
        <f t="shared" si="4"/>
        <v>471.99999999999994</v>
      </c>
      <c r="M38" s="99">
        <f t="shared" si="4"/>
        <v>486.8</v>
      </c>
      <c r="N38" s="99">
        <f t="shared" si="4"/>
        <v>425.4</v>
      </c>
      <c r="O38" s="99">
        <f t="shared" si="4"/>
        <v>446.2</v>
      </c>
      <c r="P38" s="99">
        <f t="shared" si="4"/>
        <v>445.7</v>
      </c>
      <c r="Q38" s="99">
        <f t="shared" si="4"/>
        <v>469.3</v>
      </c>
      <c r="R38" s="99">
        <f t="shared" si="4"/>
        <v>404.7</v>
      </c>
      <c r="S38" s="99">
        <f t="shared" si="4"/>
        <v>404.7</v>
      </c>
      <c r="T38" s="99">
        <f t="shared" si="4"/>
        <v>468.7</v>
      </c>
      <c r="U38" s="99">
        <f t="shared" si="4"/>
        <v>462.7</v>
      </c>
      <c r="V38" s="99">
        <f t="shared" si="4"/>
        <v>481.8</v>
      </c>
      <c r="W38" s="99">
        <f t="shared" si="4"/>
        <v>521.79999999999995</v>
      </c>
      <c r="X38" s="99">
        <f t="shared" si="4"/>
        <v>521.79999999999995</v>
      </c>
      <c r="Y38" s="99">
        <f t="shared" si="4"/>
        <v>672</v>
      </c>
      <c r="Z38" s="99">
        <f t="shared" si="4"/>
        <v>788.50000000000011</v>
      </c>
      <c r="AA38" s="99">
        <f t="shared" si="4"/>
        <v>792.00000000000011</v>
      </c>
      <c r="AB38" s="99">
        <f t="shared" si="4"/>
        <v>792.00000000000011</v>
      </c>
      <c r="AC38" s="99">
        <f t="shared" si="4"/>
        <v>742</v>
      </c>
      <c r="AD38" s="99">
        <f t="shared" si="4"/>
        <v>712</v>
      </c>
      <c r="AE38" s="99">
        <f t="shared" si="4"/>
        <v>642</v>
      </c>
      <c r="AF38" s="99">
        <f t="shared" si="4"/>
        <v>622</v>
      </c>
      <c r="AG38" s="106">
        <f>SUM(AG11:AG37)</f>
        <v>1492.8299999999997</v>
      </c>
      <c r="AH38" s="21">
        <f t="shared" si="2"/>
        <v>792.00000000000011</v>
      </c>
      <c r="AI38" s="20">
        <f t="shared" si="3"/>
        <v>404.7</v>
      </c>
      <c r="AK38" s="42"/>
    </row>
    <row r="39" spans="1:88" x14ac:dyDescent="0.25">
      <c r="A39" s="109" t="s">
        <v>172</v>
      </c>
      <c r="B39" s="127">
        <v>101.5</v>
      </c>
      <c r="C39" s="127">
        <v>101.5</v>
      </c>
      <c r="D39" s="123">
        <v>102</v>
      </c>
      <c r="E39" s="123">
        <v>101.2</v>
      </c>
      <c r="F39" s="123">
        <v>82.5</v>
      </c>
      <c r="G39" s="123">
        <v>95.1</v>
      </c>
      <c r="H39" s="123">
        <v>95.1</v>
      </c>
      <c r="I39" s="123">
        <v>66.2</v>
      </c>
      <c r="J39" s="123">
        <v>114.3</v>
      </c>
      <c r="K39" s="123">
        <v>111.5</v>
      </c>
      <c r="L39" s="123">
        <v>111.3</v>
      </c>
      <c r="M39" s="103">
        <v>111.5</v>
      </c>
      <c r="N39" s="103">
        <v>111.6</v>
      </c>
      <c r="O39" s="103">
        <v>81.5</v>
      </c>
      <c r="P39" s="103">
        <v>81.099999999999994</v>
      </c>
      <c r="Q39" s="103">
        <v>81.5</v>
      </c>
      <c r="R39" s="103">
        <v>80.8</v>
      </c>
      <c r="S39" s="103">
        <v>95</v>
      </c>
      <c r="T39" s="103">
        <v>95</v>
      </c>
      <c r="U39" s="103">
        <v>97</v>
      </c>
      <c r="V39" s="103">
        <v>131</v>
      </c>
      <c r="W39" s="103">
        <v>131</v>
      </c>
      <c r="X39" s="103">
        <v>131</v>
      </c>
      <c r="Y39" s="103">
        <v>145.69999999999999</v>
      </c>
      <c r="Z39" s="103">
        <v>145.6</v>
      </c>
      <c r="AA39" s="103">
        <v>145.69999999999999</v>
      </c>
      <c r="AB39" s="103">
        <v>145.5</v>
      </c>
      <c r="AC39" s="103">
        <v>145.80000000000001</v>
      </c>
      <c r="AD39" s="103">
        <v>127.5</v>
      </c>
      <c r="AE39" s="103">
        <v>115</v>
      </c>
      <c r="AF39" s="103">
        <v>145</v>
      </c>
      <c r="AG39" s="108">
        <v>144</v>
      </c>
      <c r="AH39" s="21">
        <f t="shared" si="2"/>
        <v>145.80000000000001</v>
      </c>
      <c r="AI39" s="20">
        <f t="shared" si="3"/>
        <v>66.2</v>
      </c>
      <c r="AK39" s="42"/>
    </row>
    <row r="40" spans="1:88" x14ac:dyDescent="0.25">
      <c r="A40" s="107" t="s">
        <v>171</v>
      </c>
      <c r="B40" s="123">
        <v>70.099999999999994</v>
      </c>
      <c r="C40" s="123">
        <v>66</v>
      </c>
      <c r="D40" s="123">
        <v>65.7</v>
      </c>
      <c r="E40" s="123">
        <v>50.3</v>
      </c>
      <c r="F40" s="123">
        <v>62</v>
      </c>
      <c r="G40" s="123">
        <v>64.599999999999994</v>
      </c>
      <c r="H40" s="123">
        <v>70.5</v>
      </c>
      <c r="I40" s="123">
        <v>35</v>
      </c>
      <c r="J40" s="123">
        <v>34.799999999999997</v>
      </c>
      <c r="K40" s="123">
        <v>70.3</v>
      </c>
      <c r="L40" s="123">
        <v>70.5</v>
      </c>
      <c r="M40" s="73">
        <v>69.7</v>
      </c>
      <c r="N40" s="73">
        <v>58.4</v>
      </c>
      <c r="O40" s="73">
        <v>44.6</v>
      </c>
      <c r="P40" s="73">
        <v>46</v>
      </c>
      <c r="Q40" s="73">
        <v>46.3</v>
      </c>
      <c r="R40" s="73">
        <v>48.9</v>
      </c>
      <c r="S40" s="73">
        <v>60</v>
      </c>
      <c r="T40" s="73">
        <v>60</v>
      </c>
      <c r="U40" s="73">
        <v>61.6</v>
      </c>
      <c r="V40" s="73">
        <v>52</v>
      </c>
      <c r="W40" s="73">
        <v>52</v>
      </c>
      <c r="X40" s="73">
        <v>52</v>
      </c>
      <c r="Y40" s="73">
        <v>71.400000000000006</v>
      </c>
      <c r="Z40" s="73">
        <v>71.099999999999994</v>
      </c>
      <c r="AA40" s="73">
        <v>71.400000000000006</v>
      </c>
      <c r="AB40" s="73">
        <v>71.5</v>
      </c>
      <c r="AC40" s="73">
        <v>71.599999999999994</v>
      </c>
      <c r="AD40" s="73">
        <v>70.8</v>
      </c>
      <c r="AE40" s="73">
        <v>60.2</v>
      </c>
      <c r="AF40" s="73">
        <v>71</v>
      </c>
      <c r="AG40" s="106">
        <v>70</v>
      </c>
      <c r="AH40" s="21">
        <f t="shared" si="2"/>
        <v>71.599999999999994</v>
      </c>
      <c r="AI40" s="20">
        <f t="shared" si="3"/>
        <v>34.799999999999997</v>
      </c>
      <c r="AK40" s="42"/>
    </row>
    <row r="41" spans="1:88" x14ac:dyDescent="0.25">
      <c r="A41" s="107" t="s">
        <v>170</v>
      </c>
      <c r="B41" s="123">
        <v>68</v>
      </c>
      <c r="C41" s="123">
        <v>68</v>
      </c>
      <c r="D41" s="123">
        <v>68</v>
      </c>
      <c r="E41" s="123">
        <v>67.7</v>
      </c>
      <c r="F41" s="123">
        <v>67.2</v>
      </c>
      <c r="G41" s="123">
        <v>67.8</v>
      </c>
      <c r="H41" s="123">
        <v>67.8</v>
      </c>
      <c r="I41" s="123">
        <v>68.2</v>
      </c>
      <c r="J41" s="123">
        <v>67.5</v>
      </c>
      <c r="K41" s="123">
        <v>67.900000000000006</v>
      </c>
      <c r="L41" s="123">
        <v>67.599999999999994</v>
      </c>
      <c r="M41" s="73">
        <v>67.3</v>
      </c>
      <c r="N41" s="73">
        <v>67.599999999999994</v>
      </c>
      <c r="O41" s="73">
        <v>53</v>
      </c>
      <c r="P41" s="73">
        <v>52.6</v>
      </c>
      <c r="Q41" s="73">
        <v>52.7</v>
      </c>
      <c r="R41" s="73">
        <v>47.4</v>
      </c>
      <c r="S41" s="73">
        <v>45</v>
      </c>
      <c r="T41" s="73">
        <v>45</v>
      </c>
      <c r="U41" s="73">
        <v>63.5</v>
      </c>
      <c r="V41" s="73">
        <v>63.6</v>
      </c>
      <c r="W41" s="73">
        <v>63.6</v>
      </c>
      <c r="X41" s="73">
        <v>63.6</v>
      </c>
      <c r="Y41" s="73">
        <v>63.3</v>
      </c>
      <c r="Z41" s="73">
        <v>63.4</v>
      </c>
      <c r="AA41" s="73">
        <v>63.3</v>
      </c>
      <c r="AB41" s="73">
        <v>61.8</v>
      </c>
      <c r="AC41" s="73">
        <v>61.8</v>
      </c>
      <c r="AD41" s="73">
        <v>61.8</v>
      </c>
      <c r="AE41" s="73">
        <v>61.7</v>
      </c>
      <c r="AF41" s="73">
        <v>67.8</v>
      </c>
      <c r="AG41" s="106">
        <v>69</v>
      </c>
      <c r="AH41" s="21">
        <f t="shared" si="2"/>
        <v>68.2</v>
      </c>
      <c r="AI41" s="20">
        <f t="shared" si="3"/>
        <v>45</v>
      </c>
      <c r="AK41" s="42"/>
    </row>
    <row r="42" spans="1:88" x14ac:dyDescent="0.25">
      <c r="A42" s="107" t="s">
        <v>169</v>
      </c>
      <c r="B42" s="73">
        <v>60.7</v>
      </c>
      <c r="C42" s="73">
        <v>60.7</v>
      </c>
      <c r="D42" s="73">
        <v>60.7</v>
      </c>
      <c r="E42" s="73">
        <v>60.7</v>
      </c>
      <c r="F42" s="73">
        <v>60.7</v>
      </c>
      <c r="G42" s="73">
        <v>60.7</v>
      </c>
      <c r="H42" s="73">
        <v>60.7</v>
      </c>
      <c r="I42" s="123">
        <v>60.4</v>
      </c>
      <c r="J42" s="123">
        <v>60.4</v>
      </c>
      <c r="K42" s="123">
        <v>60.7</v>
      </c>
      <c r="L42" s="123">
        <v>60.7</v>
      </c>
      <c r="M42" s="73">
        <v>60.7</v>
      </c>
      <c r="N42" s="73">
        <v>60.7</v>
      </c>
      <c r="O42" s="73">
        <v>60.7</v>
      </c>
      <c r="P42" s="73">
        <v>60.7</v>
      </c>
      <c r="Q42" s="73">
        <v>60.7</v>
      </c>
      <c r="R42" s="73">
        <v>60.7</v>
      </c>
      <c r="S42" s="73">
        <v>60.7</v>
      </c>
      <c r="T42" s="73">
        <v>60.7</v>
      </c>
      <c r="U42" s="73">
        <v>60</v>
      </c>
      <c r="V42" s="73">
        <v>60</v>
      </c>
      <c r="W42" s="73">
        <v>60</v>
      </c>
      <c r="X42" s="73">
        <v>60</v>
      </c>
      <c r="Y42" s="73">
        <v>59.7</v>
      </c>
      <c r="Z42" s="73">
        <v>60</v>
      </c>
      <c r="AA42" s="73">
        <v>59.7</v>
      </c>
      <c r="AB42" s="73">
        <v>60</v>
      </c>
      <c r="AC42" s="73">
        <v>60</v>
      </c>
      <c r="AD42" s="73">
        <v>60</v>
      </c>
      <c r="AE42" s="73">
        <v>60</v>
      </c>
      <c r="AF42" s="73">
        <v>60</v>
      </c>
      <c r="AG42" s="106">
        <v>60</v>
      </c>
      <c r="AH42" s="21">
        <f t="shared" si="2"/>
        <v>60.7</v>
      </c>
      <c r="AI42" s="20">
        <f t="shared" si="3"/>
        <v>59.7</v>
      </c>
      <c r="AK42" s="42"/>
    </row>
    <row r="43" spans="1:88" x14ac:dyDescent="0.25">
      <c r="A43" s="107" t="s">
        <v>168</v>
      </c>
      <c r="B43" s="73">
        <v>0</v>
      </c>
      <c r="C43" s="73">
        <v>15</v>
      </c>
      <c r="D43" s="73">
        <v>15</v>
      </c>
      <c r="E43" s="73">
        <v>15</v>
      </c>
      <c r="F43" s="73">
        <v>15</v>
      </c>
      <c r="G43" s="73">
        <v>15</v>
      </c>
      <c r="H43" s="73">
        <v>15</v>
      </c>
      <c r="I43" s="73">
        <v>15</v>
      </c>
      <c r="J43" s="73">
        <v>20</v>
      </c>
      <c r="K43" s="123">
        <v>20</v>
      </c>
      <c r="L43" s="123">
        <v>20</v>
      </c>
      <c r="M43" s="103">
        <v>20</v>
      </c>
      <c r="N43" s="103">
        <v>20</v>
      </c>
      <c r="O43" s="103">
        <v>15</v>
      </c>
      <c r="P43" s="103">
        <v>15</v>
      </c>
      <c r="Q43" s="103">
        <v>15</v>
      </c>
      <c r="R43" s="103">
        <v>15</v>
      </c>
      <c r="S43" s="103">
        <v>15</v>
      </c>
      <c r="T43" s="103">
        <v>15</v>
      </c>
      <c r="U43" s="103">
        <v>15</v>
      </c>
      <c r="V43" s="103">
        <v>10</v>
      </c>
      <c r="W43" s="103">
        <v>10</v>
      </c>
      <c r="X43" s="103">
        <v>10</v>
      </c>
      <c r="Y43" s="103">
        <v>30</v>
      </c>
      <c r="Z43" s="103">
        <v>20</v>
      </c>
      <c r="AA43" s="103">
        <v>30</v>
      </c>
      <c r="AB43" s="73">
        <v>30</v>
      </c>
      <c r="AC43" s="73">
        <v>30</v>
      </c>
      <c r="AD43" s="73">
        <v>30</v>
      </c>
      <c r="AE43" s="73">
        <v>30</v>
      </c>
      <c r="AF43" s="73">
        <v>30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03">
        <v>0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03">
        <v>0</v>
      </c>
      <c r="M44" s="103">
        <v>5</v>
      </c>
      <c r="N44" s="103">
        <v>5</v>
      </c>
      <c r="O44" s="103">
        <v>5</v>
      </c>
      <c r="P44" s="103">
        <v>5</v>
      </c>
      <c r="Q44" s="103">
        <v>5</v>
      </c>
      <c r="R44" s="103">
        <v>5</v>
      </c>
      <c r="S44" s="103">
        <v>5</v>
      </c>
      <c r="T44" s="103">
        <v>5</v>
      </c>
      <c r="U44" s="103">
        <v>5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6">
        <v>25</v>
      </c>
      <c r="AH44" s="21">
        <f t="shared" si="2"/>
        <v>5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17.5</v>
      </c>
      <c r="C45" s="103">
        <v>17.5</v>
      </c>
      <c r="D45" s="103">
        <v>17.5</v>
      </c>
      <c r="E45" s="103">
        <v>17.5</v>
      </c>
      <c r="F45" s="103">
        <v>17.5</v>
      </c>
      <c r="G45" s="103">
        <v>17.5</v>
      </c>
      <c r="H45" s="103">
        <v>17.5</v>
      </c>
      <c r="I45" s="103">
        <v>17.5</v>
      </c>
      <c r="J45" s="103">
        <v>17.5</v>
      </c>
      <c r="K45" s="103">
        <v>17.5</v>
      </c>
      <c r="L45" s="103">
        <v>17.5</v>
      </c>
      <c r="M45" s="103">
        <v>17.600000000000001</v>
      </c>
      <c r="N45" s="103">
        <v>17.600000000000001</v>
      </c>
      <c r="O45" s="103">
        <v>17.600000000000001</v>
      </c>
      <c r="P45" s="103">
        <v>17.600000000000001</v>
      </c>
      <c r="Q45" s="103">
        <v>17.600000000000001</v>
      </c>
      <c r="R45" s="103">
        <v>17.600000000000001</v>
      </c>
      <c r="S45" s="103">
        <v>17.600000000000001</v>
      </c>
      <c r="T45" s="103">
        <v>17.600000000000001</v>
      </c>
      <c r="U45" s="103">
        <v>17.100000000000001</v>
      </c>
      <c r="V45" s="103">
        <v>17.100000000000001</v>
      </c>
      <c r="W45" s="103">
        <v>17.100000000000001</v>
      </c>
      <c r="X45" s="103">
        <v>17.100000000000001</v>
      </c>
      <c r="Y45" s="103">
        <v>17.100000000000001</v>
      </c>
      <c r="Z45" s="103">
        <v>17.5</v>
      </c>
      <c r="AA45" s="103">
        <v>17.100000000000001</v>
      </c>
      <c r="AB45" s="103">
        <v>17.100000000000001</v>
      </c>
      <c r="AC45" s="103">
        <v>17.100000000000001</v>
      </c>
      <c r="AD45" s="103">
        <v>17.100000000000001</v>
      </c>
      <c r="AE45" s="103">
        <v>17.100000000000001</v>
      </c>
      <c r="AF45" s="103">
        <v>17.100000000000001</v>
      </c>
      <c r="AG45" s="106">
        <v>24</v>
      </c>
      <c r="AH45" s="21">
        <f t="shared" si="2"/>
        <v>17.600000000000001</v>
      </c>
      <c r="AI45" s="20">
        <f t="shared" si="3"/>
        <v>17.100000000000001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03">
        <v>12</v>
      </c>
      <c r="H47" s="103">
        <v>12</v>
      </c>
      <c r="I47" s="103">
        <v>12</v>
      </c>
      <c r="J47" s="103">
        <v>12</v>
      </c>
      <c r="K47" s="103">
        <v>12</v>
      </c>
      <c r="L47" s="10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0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7.2</v>
      </c>
      <c r="C48" s="103">
        <v>7.2</v>
      </c>
      <c r="D48" s="103">
        <v>7.2</v>
      </c>
      <c r="E48" s="103">
        <v>7.2</v>
      </c>
      <c r="F48" s="103">
        <v>7.2</v>
      </c>
      <c r="G48" s="103">
        <v>7.2</v>
      </c>
      <c r="H48" s="103">
        <v>7.2</v>
      </c>
      <c r="I48" s="103">
        <v>7.2</v>
      </c>
      <c r="J48" s="103">
        <v>7.2</v>
      </c>
      <c r="K48" s="103">
        <v>7.2</v>
      </c>
      <c r="L48" s="103">
        <v>7.2</v>
      </c>
      <c r="M48" s="103">
        <v>7.2</v>
      </c>
      <c r="N48" s="103">
        <v>7.2</v>
      </c>
      <c r="O48" s="103">
        <v>7.2</v>
      </c>
      <c r="P48" s="103">
        <v>7.2</v>
      </c>
      <c r="Q48" s="103">
        <v>7.2</v>
      </c>
      <c r="R48" s="10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0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03">
        <v>8.6999999999999993</v>
      </c>
      <c r="C49" s="103">
        <v>8.6999999999999993</v>
      </c>
      <c r="D49" s="103">
        <v>8.6999999999999993</v>
      </c>
      <c r="E49" s="103">
        <v>8.6999999999999993</v>
      </c>
      <c r="F49" s="103">
        <v>8.6999999999999993</v>
      </c>
      <c r="G49" s="103">
        <v>8.6999999999999993</v>
      </c>
      <c r="H49" s="103">
        <v>8.6999999999999993</v>
      </c>
      <c r="I49" s="103">
        <v>8.6999999999999993</v>
      </c>
      <c r="J49" s="103">
        <v>8.6999999999999993</v>
      </c>
      <c r="K49" s="103">
        <v>8.6999999999999993</v>
      </c>
      <c r="L49" s="103">
        <v>8.6999999999999993</v>
      </c>
      <c r="M49" s="103">
        <v>8.6999999999999993</v>
      </c>
      <c r="N49" s="103">
        <v>8.6999999999999993</v>
      </c>
      <c r="O49" s="103">
        <v>8.6999999999999993</v>
      </c>
      <c r="P49" s="103">
        <v>8.6999999999999993</v>
      </c>
      <c r="Q49" s="103">
        <v>8.6999999999999993</v>
      </c>
      <c r="R49" s="103">
        <v>8.6999999999999993</v>
      </c>
      <c r="S49" s="103">
        <v>8.6999999999999993</v>
      </c>
      <c r="T49" s="103">
        <v>8.6999999999999993</v>
      </c>
      <c r="U49" s="103">
        <v>8.6999999999999993</v>
      </c>
      <c r="V49" s="103">
        <v>8.6999999999999993</v>
      </c>
      <c r="W49" s="103">
        <v>8.6999999999999993</v>
      </c>
      <c r="X49" s="103">
        <v>8.6999999999999993</v>
      </c>
      <c r="Y49" s="10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0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8.6999999999999993</v>
      </c>
      <c r="AK49" s="42"/>
    </row>
    <row r="50" spans="1:37" x14ac:dyDescent="0.25">
      <c r="A50" s="107" t="s">
        <v>161</v>
      </c>
      <c r="B50" s="103">
        <v>3</v>
      </c>
      <c r="C50" s="103">
        <v>3</v>
      </c>
      <c r="D50" s="103">
        <v>3</v>
      </c>
      <c r="E50" s="103">
        <v>3</v>
      </c>
      <c r="F50" s="103">
        <v>3</v>
      </c>
      <c r="G50" s="103">
        <v>3</v>
      </c>
      <c r="H50" s="103">
        <v>3</v>
      </c>
      <c r="I50" s="103">
        <v>3</v>
      </c>
      <c r="J50" s="103">
        <v>3</v>
      </c>
      <c r="K50" s="103">
        <v>3</v>
      </c>
      <c r="L50" s="103">
        <v>3</v>
      </c>
      <c r="M50" s="103">
        <v>3</v>
      </c>
      <c r="N50" s="103">
        <v>3</v>
      </c>
      <c r="O50" s="103">
        <v>3</v>
      </c>
      <c r="P50" s="103">
        <v>3</v>
      </c>
      <c r="Q50" s="103">
        <v>3</v>
      </c>
      <c r="R50" s="103">
        <v>3</v>
      </c>
      <c r="S50" s="103">
        <v>3</v>
      </c>
      <c r="T50" s="103">
        <v>3</v>
      </c>
      <c r="U50" s="103">
        <v>3</v>
      </c>
      <c r="V50" s="103">
        <v>3</v>
      </c>
      <c r="W50" s="103">
        <v>3</v>
      </c>
      <c r="X50" s="103">
        <v>3</v>
      </c>
      <c r="Y50" s="10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03">
        <v>3</v>
      </c>
      <c r="AG50" s="106">
        <v>6.2</v>
      </c>
      <c r="AH50" s="21">
        <f t="shared" si="2"/>
        <v>3</v>
      </c>
      <c r="AI50" s="20">
        <f t="shared" si="3"/>
        <v>3</v>
      </c>
      <c r="AK50" s="42"/>
    </row>
    <row r="51" spans="1:37" ht="15.75" thickBot="1" x14ac:dyDescent="0.3">
      <c r="A51" s="125" t="s">
        <v>17</v>
      </c>
      <c r="B51" s="124">
        <f t="shared" ref="B51" si="5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6">U200</f>
        <v>3.54</v>
      </c>
      <c r="V51" s="124">
        <f t="shared" si="6"/>
        <v>3.54</v>
      </c>
      <c r="W51" s="124">
        <f t="shared" si="6"/>
        <v>3.54</v>
      </c>
      <c r="X51" s="124">
        <f t="shared" si="6"/>
        <v>3.54</v>
      </c>
      <c r="Y51" s="124">
        <f t="shared" si="6"/>
        <v>3.54</v>
      </c>
      <c r="Z51" s="124">
        <v>3.54</v>
      </c>
      <c r="AA51" s="124">
        <f t="shared" si="6"/>
        <v>3.54</v>
      </c>
      <c r="AB51" s="124">
        <f t="shared" si="6"/>
        <v>3.54</v>
      </c>
      <c r="AC51" s="124">
        <f t="shared" si="6"/>
        <v>3.54</v>
      </c>
      <c r="AD51" s="124">
        <f t="shared" si="6"/>
        <v>3.54</v>
      </c>
      <c r="AE51" s="124">
        <f t="shared" si="6"/>
        <v>3.54</v>
      </c>
      <c r="AF51" s="124">
        <f t="shared" si="6"/>
        <v>3.54</v>
      </c>
      <c r="AG51" s="124">
        <f t="shared" si="6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352.24</v>
      </c>
      <c r="C52" s="99">
        <f t="shared" ref="C52:AF52" si="7">SUM(C39:C51)</f>
        <v>363.14</v>
      </c>
      <c r="D52" s="99">
        <f t="shared" si="7"/>
        <v>363.34</v>
      </c>
      <c r="E52" s="99">
        <f t="shared" si="7"/>
        <v>346.84</v>
      </c>
      <c r="F52" s="99">
        <f t="shared" si="7"/>
        <v>339.34</v>
      </c>
      <c r="G52" s="99">
        <f t="shared" si="7"/>
        <v>355.14</v>
      </c>
      <c r="H52" s="99">
        <f t="shared" si="7"/>
        <v>361.03999999999996</v>
      </c>
      <c r="I52" s="99">
        <f t="shared" si="7"/>
        <v>296.74</v>
      </c>
      <c r="J52" s="99">
        <f t="shared" si="7"/>
        <v>348.94</v>
      </c>
      <c r="K52" s="99">
        <f t="shared" si="7"/>
        <v>382.34000000000003</v>
      </c>
      <c r="L52" s="99">
        <f t="shared" si="7"/>
        <v>382.04</v>
      </c>
      <c r="M52" s="99">
        <f t="shared" si="7"/>
        <v>386.24</v>
      </c>
      <c r="N52" s="99">
        <f t="shared" si="7"/>
        <v>375.34000000000003</v>
      </c>
      <c r="O52" s="99">
        <f t="shared" si="7"/>
        <v>311.84000000000003</v>
      </c>
      <c r="P52" s="99">
        <f t="shared" si="7"/>
        <v>312.44</v>
      </c>
      <c r="Q52" s="99">
        <f t="shared" si="7"/>
        <v>313.24</v>
      </c>
      <c r="R52" s="99">
        <f t="shared" si="7"/>
        <v>309.84000000000003</v>
      </c>
      <c r="S52" s="99">
        <f t="shared" si="7"/>
        <v>332.74</v>
      </c>
      <c r="T52" s="99">
        <f t="shared" si="7"/>
        <v>332.74</v>
      </c>
      <c r="U52" s="99">
        <f t="shared" si="7"/>
        <v>353.64000000000004</v>
      </c>
      <c r="V52" s="99">
        <f t="shared" si="7"/>
        <v>368.14000000000004</v>
      </c>
      <c r="W52" s="99">
        <f t="shared" si="7"/>
        <v>368.14000000000004</v>
      </c>
      <c r="X52" s="99">
        <f t="shared" si="7"/>
        <v>368.14000000000004</v>
      </c>
      <c r="Y52" s="99">
        <f t="shared" si="7"/>
        <v>421.64</v>
      </c>
      <c r="Z52" s="99">
        <f t="shared" si="7"/>
        <v>412.03999999999996</v>
      </c>
      <c r="AA52" s="99">
        <f t="shared" si="7"/>
        <v>421.64</v>
      </c>
      <c r="AB52" s="99">
        <f t="shared" si="7"/>
        <v>420.34000000000003</v>
      </c>
      <c r="AC52" s="99">
        <f t="shared" si="7"/>
        <v>420.74</v>
      </c>
      <c r="AD52" s="99">
        <f t="shared" si="7"/>
        <v>401.64000000000004</v>
      </c>
      <c r="AE52" s="99">
        <f t="shared" si="7"/>
        <v>378.44</v>
      </c>
      <c r="AF52" s="99">
        <f t="shared" si="7"/>
        <v>425.34000000000003</v>
      </c>
      <c r="AG52" s="98">
        <f>SUM(AG39:AG51)</f>
        <v>489.91</v>
      </c>
      <c r="AH52" s="21">
        <f t="shared" si="2"/>
        <v>425.34000000000003</v>
      </c>
      <c r="AI52" s="20">
        <f t="shared" si="3"/>
        <v>296.74</v>
      </c>
      <c r="AK52" s="42"/>
    </row>
    <row r="53" spans="1:37" x14ac:dyDescent="0.25">
      <c r="A53" s="109" t="s">
        <v>159</v>
      </c>
      <c r="B53" s="103">
        <v>58.9</v>
      </c>
      <c r="C53" s="123">
        <v>59</v>
      </c>
      <c r="D53" s="123">
        <v>59</v>
      </c>
      <c r="E53" s="123">
        <v>58.8</v>
      </c>
      <c r="F53" s="123">
        <v>58.8</v>
      </c>
      <c r="G53" s="123">
        <v>58.8</v>
      </c>
      <c r="H53" s="123">
        <v>58.8</v>
      </c>
      <c r="I53" s="123">
        <v>58.8</v>
      </c>
      <c r="J53" s="123">
        <v>58.8</v>
      </c>
      <c r="K53" s="123">
        <v>58.8</v>
      </c>
      <c r="L53" s="123">
        <v>59.4</v>
      </c>
      <c r="M53" s="122">
        <v>59.2</v>
      </c>
      <c r="N53" s="122">
        <v>58.9</v>
      </c>
      <c r="O53" s="122">
        <v>49.9</v>
      </c>
      <c r="P53" s="122">
        <v>50</v>
      </c>
      <c r="Q53" s="103">
        <v>50</v>
      </c>
      <c r="R53" s="103">
        <v>49.8</v>
      </c>
      <c r="S53" s="103">
        <v>59.5</v>
      </c>
      <c r="T53" s="103">
        <v>59.5</v>
      </c>
      <c r="U53" s="103">
        <v>59.5</v>
      </c>
      <c r="V53" s="103">
        <v>40</v>
      </c>
      <c r="W53" s="103">
        <v>40</v>
      </c>
      <c r="X53" s="103">
        <v>40</v>
      </c>
      <c r="Y53" s="103">
        <v>59.3</v>
      </c>
      <c r="Z53" s="103">
        <v>59.3</v>
      </c>
      <c r="AA53" s="103">
        <v>59.3</v>
      </c>
      <c r="AB53" s="103">
        <v>55.2</v>
      </c>
      <c r="AC53" s="103">
        <v>44.2</v>
      </c>
      <c r="AD53" s="103">
        <v>44.2</v>
      </c>
      <c r="AE53" s="103">
        <v>59.5</v>
      </c>
      <c r="AF53" s="103">
        <v>59.1</v>
      </c>
      <c r="AG53" s="108">
        <v>60</v>
      </c>
      <c r="AH53" s="21">
        <f t="shared" si="2"/>
        <v>59.5</v>
      </c>
      <c r="AI53" s="20">
        <f t="shared" si="3"/>
        <v>40</v>
      </c>
      <c r="AK53" s="42"/>
    </row>
    <row r="54" spans="1:37" x14ac:dyDescent="0.25">
      <c r="A54" s="107" t="s">
        <v>158</v>
      </c>
      <c r="B54" s="73">
        <v>28.9</v>
      </c>
      <c r="C54" s="123">
        <v>29</v>
      </c>
      <c r="D54" s="123">
        <v>29</v>
      </c>
      <c r="E54" s="123">
        <v>29.1</v>
      </c>
      <c r="F54" s="123">
        <v>29.1</v>
      </c>
      <c r="G54" s="123">
        <v>29.1</v>
      </c>
      <c r="H54" s="123">
        <v>29.1</v>
      </c>
      <c r="I54" s="123">
        <v>29.1</v>
      </c>
      <c r="J54" s="123">
        <v>29.1</v>
      </c>
      <c r="K54" s="123">
        <v>29.1</v>
      </c>
      <c r="L54" s="123">
        <v>29.2</v>
      </c>
      <c r="M54" s="122">
        <v>29.2</v>
      </c>
      <c r="N54" s="122">
        <v>29.5</v>
      </c>
      <c r="O54" s="122">
        <v>22.9</v>
      </c>
      <c r="P54" s="122">
        <v>23.7</v>
      </c>
      <c r="Q54" s="73">
        <v>23.8</v>
      </c>
      <c r="R54" s="73">
        <v>24.2</v>
      </c>
      <c r="S54" s="103">
        <v>29</v>
      </c>
      <c r="T54" s="103">
        <v>29</v>
      </c>
      <c r="U54" s="103">
        <v>29.1</v>
      </c>
      <c r="V54" s="73">
        <v>17.7</v>
      </c>
      <c r="W54" s="73">
        <v>17.7</v>
      </c>
      <c r="X54" s="73">
        <v>17.7</v>
      </c>
      <c r="Y54" s="73">
        <v>29.5</v>
      </c>
      <c r="Z54" s="73">
        <v>29.5</v>
      </c>
      <c r="AA54" s="73">
        <v>29.5</v>
      </c>
      <c r="AB54" s="73">
        <v>26.3</v>
      </c>
      <c r="AC54" s="73">
        <v>20.9</v>
      </c>
      <c r="AD54" s="73">
        <v>20.399999999999999</v>
      </c>
      <c r="AE54" s="73">
        <v>29.5</v>
      </c>
      <c r="AF54" s="73">
        <v>29.6</v>
      </c>
      <c r="AG54" s="106">
        <v>32</v>
      </c>
      <c r="AH54" s="21">
        <f t="shared" si="2"/>
        <v>29.6</v>
      </c>
      <c r="AI54" s="20">
        <f t="shared" si="3"/>
        <v>17.7</v>
      </c>
      <c r="AK54" s="42"/>
    </row>
    <row r="55" spans="1:37" ht="15.75" thickBot="1" x14ac:dyDescent="0.3">
      <c r="A55" s="121" t="s">
        <v>157</v>
      </c>
      <c r="B55" s="118">
        <v>10.5</v>
      </c>
      <c r="C55" s="120">
        <v>10.6</v>
      </c>
      <c r="D55" s="120">
        <v>10.6</v>
      </c>
      <c r="E55" s="120">
        <v>10.6</v>
      </c>
      <c r="F55" s="120">
        <v>10.6</v>
      </c>
      <c r="G55" s="120">
        <v>10.6</v>
      </c>
      <c r="H55" s="120">
        <v>10.6</v>
      </c>
      <c r="I55" s="120">
        <v>10.6</v>
      </c>
      <c r="J55" s="120">
        <v>10.6</v>
      </c>
      <c r="K55" s="120">
        <v>10.6</v>
      </c>
      <c r="L55" s="120">
        <v>10.7</v>
      </c>
      <c r="M55" s="119">
        <v>10.7</v>
      </c>
      <c r="N55" s="119">
        <v>10.8</v>
      </c>
      <c r="O55" s="119">
        <v>8.4</v>
      </c>
      <c r="P55" s="119">
        <v>8.6</v>
      </c>
      <c r="Q55" s="118">
        <v>8.6999999999999993</v>
      </c>
      <c r="R55" s="118">
        <v>8.8000000000000007</v>
      </c>
      <c r="S55" s="103">
        <v>10.6</v>
      </c>
      <c r="T55" s="103">
        <v>10.6</v>
      </c>
      <c r="U55" s="103">
        <v>10.6</v>
      </c>
      <c r="V55" s="118">
        <v>6.5</v>
      </c>
      <c r="W55" s="118">
        <v>6.5</v>
      </c>
      <c r="X55" s="118">
        <v>6.5</v>
      </c>
      <c r="Y55" s="118">
        <v>10.8</v>
      </c>
      <c r="Z55" s="118">
        <v>10.8</v>
      </c>
      <c r="AA55" s="118">
        <v>10.8</v>
      </c>
      <c r="AB55" s="118">
        <v>9.6</v>
      </c>
      <c r="AC55" s="118">
        <v>7.6</v>
      </c>
      <c r="AD55" s="118">
        <v>7.5</v>
      </c>
      <c r="AE55" s="118">
        <v>10.8</v>
      </c>
      <c r="AF55" s="118">
        <v>10.8</v>
      </c>
      <c r="AG55" s="117">
        <v>14</v>
      </c>
      <c r="AH55" s="21">
        <f t="shared" si="2"/>
        <v>10.8</v>
      </c>
      <c r="AI55" s="20">
        <f t="shared" si="3"/>
        <v>6.5</v>
      </c>
      <c r="AK55" s="42"/>
    </row>
    <row r="56" spans="1:37" ht="15.75" thickBot="1" x14ac:dyDescent="0.3">
      <c r="A56" s="100" t="s">
        <v>156</v>
      </c>
      <c r="B56" s="99">
        <f>SUM(B53:B55)</f>
        <v>98.3</v>
      </c>
      <c r="C56" s="99">
        <f>SUM(C53:C55)</f>
        <v>98.6</v>
      </c>
      <c r="D56" s="99">
        <f t="shared" ref="D56:AF56" si="8">SUM(D53:D55)</f>
        <v>98.6</v>
      </c>
      <c r="E56" s="99">
        <f t="shared" si="8"/>
        <v>98.5</v>
      </c>
      <c r="F56" s="99">
        <f t="shared" si="8"/>
        <v>98.5</v>
      </c>
      <c r="G56" s="99">
        <f t="shared" si="8"/>
        <v>98.5</v>
      </c>
      <c r="H56" s="99">
        <f t="shared" si="8"/>
        <v>98.5</v>
      </c>
      <c r="I56" s="99">
        <f t="shared" si="8"/>
        <v>98.5</v>
      </c>
      <c r="J56" s="99">
        <f t="shared" si="8"/>
        <v>98.5</v>
      </c>
      <c r="K56" s="99">
        <f t="shared" si="8"/>
        <v>98.5</v>
      </c>
      <c r="L56" s="99">
        <f t="shared" si="8"/>
        <v>99.3</v>
      </c>
      <c r="M56" s="99">
        <f t="shared" si="8"/>
        <v>99.100000000000009</v>
      </c>
      <c r="N56" s="99">
        <f t="shared" si="8"/>
        <v>99.2</v>
      </c>
      <c r="O56" s="99">
        <f t="shared" si="8"/>
        <v>81.2</v>
      </c>
      <c r="P56" s="99">
        <f t="shared" si="8"/>
        <v>82.3</v>
      </c>
      <c r="Q56" s="99">
        <f t="shared" si="8"/>
        <v>82.5</v>
      </c>
      <c r="R56" s="99">
        <f t="shared" si="8"/>
        <v>82.8</v>
      </c>
      <c r="S56" s="99">
        <f t="shared" si="8"/>
        <v>99.1</v>
      </c>
      <c r="T56" s="99">
        <f t="shared" si="8"/>
        <v>99.1</v>
      </c>
      <c r="U56" s="99">
        <f t="shared" si="8"/>
        <v>99.199999999999989</v>
      </c>
      <c r="V56" s="99">
        <f t="shared" si="8"/>
        <v>64.2</v>
      </c>
      <c r="W56" s="99">
        <f t="shared" si="8"/>
        <v>64.2</v>
      </c>
      <c r="X56" s="99">
        <f t="shared" si="8"/>
        <v>64.2</v>
      </c>
      <c r="Y56" s="99">
        <f t="shared" si="8"/>
        <v>99.6</v>
      </c>
      <c r="Z56" s="99">
        <f t="shared" si="8"/>
        <v>99.6</v>
      </c>
      <c r="AA56" s="99">
        <f t="shared" si="8"/>
        <v>99.6</v>
      </c>
      <c r="AB56" s="99">
        <f t="shared" si="8"/>
        <v>91.1</v>
      </c>
      <c r="AC56" s="99">
        <f t="shared" si="8"/>
        <v>72.699999999999989</v>
      </c>
      <c r="AD56" s="99">
        <f t="shared" si="8"/>
        <v>72.099999999999994</v>
      </c>
      <c r="AE56" s="99">
        <f t="shared" si="8"/>
        <v>99.8</v>
      </c>
      <c r="AF56" s="99">
        <f t="shared" si="8"/>
        <v>99.5</v>
      </c>
      <c r="AG56" s="98">
        <f>SUM(AG53:AG55)</f>
        <v>106</v>
      </c>
      <c r="AH56" s="21">
        <f t="shared" si="2"/>
        <v>99.8</v>
      </c>
      <c r="AI56" s="20">
        <f t="shared" si="3"/>
        <v>64.2</v>
      </c>
      <c r="AK56" s="42"/>
    </row>
    <row r="57" spans="1:37" x14ac:dyDescent="0.25">
      <c r="A57" s="109" t="s">
        <v>135</v>
      </c>
      <c r="B57" s="103">
        <v>59.12</v>
      </c>
      <c r="C57" s="103">
        <v>43.3</v>
      </c>
      <c r="D57" s="103">
        <v>56.4</v>
      </c>
      <c r="E57" s="103">
        <v>54.7</v>
      </c>
      <c r="F57" s="103">
        <v>54.3</v>
      </c>
      <c r="G57" s="103">
        <v>53.5</v>
      </c>
      <c r="H57" s="103">
        <v>53.5</v>
      </c>
      <c r="I57" s="103">
        <v>53.5</v>
      </c>
      <c r="J57" s="103">
        <v>42.05</v>
      </c>
      <c r="K57" s="103">
        <v>40.1</v>
      </c>
      <c r="L57" s="103">
        <v>38.4</v>
      </c>
      <c r="M57" s="103">
        <v>42.3</v>
      </c>
      <c r="N57" s="103">
        <v>44.48</v>
      </c>
      <c r="O57" s="103">
        <v>56.5</v>
      </c>
      <c r="P57" s="103">
        <v>58</v>
      </c>
      <c r="Q57" s="103">
        <v>55.1</v>
      </c>
      <c r="R57" s="103">
        <v>59.8</v>
      </c>
      <c r="S57" s="103">
        <v>57</v>
      </c>
      <c r="T57" s="103">
        <v>56</v>
      </c>
      <c r="U57" s="103">
        <v>47</v>
      </c>
      <c r="V57" s="103">
        <v>56.3</v>
      </c>
      <c r="W57" s="103">
        <v>56.3</v>
      </c>
      <c r="X57" s="103">
        <v>56.3</v>
      </c>
      <c r="Y57" s="103">
        <v>57</v>
      </c>
      <c r="Z57" s="103">
        <v>70.3</v>
      </c>
      <c r="AA57" s="103">
        <v>45</v>
      </c>
      <c r="AB57" s="103">
        <v>48.6</v>
      </c>
      <c r="AC57" s="103">
        <v>50.9</v>
      </c>
      <c r="AD57" s="103">
        <v>48.1</v>
      </c>
      <c r="AE57" s="103">
        <v>47</v>
      </c>
      <c r="AF57" s="103">
        <v>55</v>
      </c>
      <c r="AG57" s="108"/>
      <c r="AH57" s="21">
        <f t="shared" si="2"/>
        <v>70.3</v>
      </c>
      <c r="AI57" s="20">
        <f t="shared" si="3"/>
        <v>38.4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f>55+38</f>
        <v>93</v>
      </c>
      <c r="J58" s="73">
        <f>66.5+46</f>
        <v>112.5</v>
      </c>
      <c r="K58" s="73">
        <f>72.4+46</f>
        <v>118.4</v>
      </c>
      <c r="L58" s="73">
        <f>79.7+42</f>
        <v>121.7</v>
      </c>
      <c r="M58" s="103">
        <f>52+70.7</f>
        <v>122.7</v>
      </c>
      <c r="N58" s="103">
        <v>170.2</v>
      </c>
      <c r="O58" s="103">
        <v>171</v>
      </c>
      <c r="P58" s="103">
        <v>167.3</v>
      </c>
      <c r="Q58" s="103">
        <v>160.19999999999999</v>
      </c>
      <c r="R58" s="103">
        <v>150</v>
      </c>
      <c r="S58" s="103">
        <v>153</v>
      </c>
      <c r="T58" s="103">
        <v>153</v>
      </c>
      <c r="U58" s="103">
        <v>154</v>
      </c>
      <c r="V58" s="103">
        <v>155</v>
      </c>
      <c r="W58" s="103">
        <v>152</v>
      </c>
      <c r="X58" s="116">
        <v>150</v>
      </c>
      <c r="Y58" s="116">
        <v>0</v>
      </c>
      <c r="Z58" s="116">
        <v>0</v>
      </c>
      <c r="AA58" s="116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171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108.5</v>
      </c>
      <c r="C59" s="73">
        <v>112.8</v>
      </c>
      <c r="D59" s="73">
        <v>130</v>
      </c>
      <c r="E59" s="73">
        <v>127.5</v>
      </c>
      <c r="F59" s="73">
        <v>143.4</v>
      </c>
      <c r="G59" s="73">
        <v>143.19999999999999</v>
      </c>
      <c r="H59" s="103">
        <v>120</v>
      </c>
      <c r="I59" s="103">
        <v>127</v>
      </c>
      <c r="J59" s="103">
        <v>157.69999999999999</v>
      </c>
      <c r="K59" s="103">
        <v>172.2</v>
      </c>
      <c r="L59" s="103">
        <v>168.9</v>
      </c>
      <c r="M59" s="73">
        <v>183.2</v>
      </c>
      <c r="N59" s="73">
        <v>213</v>
      </c>
      <c r="O59" s="73">
        <v>239.8</v>
      </c>
      <c r="P59" s="73">
        <v>247.7</v>
      </c>
      <c r="Q59" s="73">
        <v>207.6</v>
      </c>
      <c r="R59" s="73">
        <v>325.89999999999998</v>
      </c>
      <c r="S59" s="73">
        <v>260</v>
      </c>
      <c r="T59" s="73">
        <v>170</v>
      </c>
      <c r="U59" s="73">
        <v>229</v>
      </c>
      <c r="V59" s="73">
        <v>154</v>
      </c>
      <c r="W59" s="73">
        <v>154</v>
      </c>
      <c r="X59" s="73">
        <v>154</v>
      </c>
      <c r="Y59" s="73">
        <v>157</v>
      </c>
      <c r="Z59" s="115">
        <v>122</v>
      </c>
      <c r="AA59" s="115">
        <v>138</v>
      </c>
      <c r="AB59" s="73">
        <v>100</v>
      </c>
      <c r="AC59" s="73">
        <v>117.8</v>
      </c>
      <c r="AD59" s="73">
        <v>128.5</v>
      </c>
      <c r="AE59" s="73">
        <v>133</v>
      </c>
      <c r="AF59" s="73">
        <v>129</v>
      </c>
      <c r="AG59" s="113"/>
      <c r="AH59" s="21">
        <f t="shared" si="2"/>
        <v>325.89999999999998</v>
      </c>
      <c r="AI59" s="20">
        <f t="shared" si="3"/>
        <v>100</v>
      </c>
      <c r="AK59" s="42"/>
    </row>
    <row r="60" spans="1:37" x14ac:dyDescent="0.25">
      <c r="A60" s="107" t="s">
        <v>139</v>
      </c>
      <c r="B60" s="77">
        <v>13.9</v>
      </c>
      <c r="C60" s="77">
        <v>14.7</v>
      </c>
      <c r="D60" s="77">
        <v>13.6</v>
      </c>
      <c r="E60" s="77">
        <v>15</v>
      </c>
      <c r="F60" s="77">
        <v>15</v>
      </c>
      <c r="G60" s="77">
        <v>15</v>
      </c>
      <c r="H60" s="77">
        <v>50</v>
      </c>
      <c r="I60" s="77">
        <v>52</v>
      </c>
      <c r="J60" s="77">
        <v>40</v>
      </c>
      <c r="K60" s="77">
        <v>40</v>
      </c>
      <c r="L60" s="77">
        <v>46</v>
      </c>
      <c r="M60" s="73">
        <v>46.2</v>
      </c>
      <c r="N60" s="73">
        <v>51.1</v>
      </c>
      <c r="O60" s="73">
        <v>52.4</v>
      </c>
      <c r="P60" s="73">
        <v>54.2</v>
      </c>
      <c r="Q60" s="73">
        <v>53.3</v>
      </c>
      <c r="R60" s="73">
        <v>55.7</v>
      </c>
      <c r="S60" s="73">
        <v>55.7</v>
      </c>
      <c r="T60" s="73">
        <v>54</v>
      </c>
      <c r="U60" s="73">
        <v>52.5</v>
      </c>
      <c r="V60" s="73">
        <v>52</v>
      </c>
      <c r="W60" s="73">
        <v>52</v>
      </c>
      <c r="X60" s="73">
        <v>52</v>
      </c>
      <c r="Y60" s="73">
        <v>14</v>
      </c>
      <c r="Z60" s="73">
        <v>13.4</v>
      </c>
      <c r="AA60" s="73">
        <v>13.7</v>
      </c>
      <c r="AB60" s="73">
        <v>15</v>
      </c>
      <c r="AC60" s="73">
        <v>15</v>
      </c>
      <c r="AD60" s="73">
        <v>14.4</v>
      </c>
      <c r="AE60" s="73">
        <v>14.4</v>
      </c>
      <c r="AF60" s="77">
        <v>14.4</v>
      </c>
      <c r="AG60" s="113"/>
      <c r="AH60" s="21">
        <f t="shared" si="2"/>
        <v>55.7</v>
      </c>
      <c r="AI60" s="20">
        <f t="shared" si="3"/>
        <v>13.4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77">
        <v>62.3</v>
      </c>
      <c r="J61" s="77">
        <v>66.400000000000006</v>
      </c>
      <c r="K61" s="77">
        <v>79</v>
      </c>
      <c r="L61" s="77">
        <v>81.3</v>
      </c>
      <c r="M61" s="103">
        <v>79.099999999999994</v>
      </c>
      <c r="N61" s="103">
        <v>75.2</v>
      </c>
      <c r="O61" s="103">
        <v>83.3</v>
      </c>
      <c r="P61" s="103">
        <v>81.400000000000006</v>
      </c>
      <c r="Q61" s="103">
        <v>83.6</v>
      </c>
      <c r="R61" s="103">
        <v>68.8</v>
      </c>
      <c r="S61" s="103">
        <v>68.8</v>
      </c>
      <c r="T61" s="103">
        <v>60</v>
      </c>
      <c r="U61" s="103">
        <v>83</v>
      </c>
      <c r="V61" s="103">
        <v>76</v>
      </c>
      <c r="W61" s="103">
        <v>76</v>
      </c>
      <c r="X61" s="103">
        <v>76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13"/>
      <c r="AH61" s="21">
        <f t="shared" si="2"/>
        <v>83.6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67">
        <v>8</v>
      </c>
      <c r="F62" s="67">
        <v>8</v>
      </c>
      <c r="G62" s="67">
        <v>8</v>
      </c>
      <c r="H62" s="67">
        <v>8</v>
      </c>
      <c r="I62" s="67">
        <v>8</v>
      </c>
      <c r="J62" s="67">
        <v>8</v>
      </c>
      <c r="K62" s="67">
        <v>8</v>
      </c>
      <c r="L62" s="67">
        <v>8</v>
      </c>
      <c r="M62" s="73">
        <v>8</v>
      </c>
      <c r="N62" s="73">
        <v>8</v>
      </c>
      <c r="O62" s="73">
        <v>8</v>
      </c>
      <c r="P62" s="73">
        <v>8</v>
      </c>
      <c r="Q62" s="73">
        <v>8</v>
      </c>
      <c r="R62" s="73">
        <v>8</v>
      </c>
      <c r="S62" s="73">
        <v>8</v>
      </c>
      <c r="T62" s="73">
        <v>8</v>
      </c>
      <c r="U62" s="73">
        <v>8</v>
      </c>
      <c r="V62" s="73">
        <v>8</v>
      </c>
      <c r="W62" s="73">
        <v>8</v>
      </c>
      <c r="X62" s="73">
        <v>8</v>
      </c>
      <c r="Y62" s="73">
        <v>8</v>
      </c>
      <c r="Z62" s="73">
        <v>8</v>
      </c>
      <c r="AA62" s="73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103">
        <v>0</v>
      </c>
      <c r="U63" s="103">
        <v>0</v>
      </c>
      <c r="V63" s="103">
        <v>0</v>
      </c>
      <c r="W63" s="103">
        <v>0</v>
      </c>
      <c r="X63" s="103">
        <v>0</v>
      </c>
      <c r="Y63" s="103">
        <v>0</v>
      </c>
      <c r="Z63" s="103">
        <v>0</v>
      </c>
      <c r="AA63" s="103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7</v>
      </c>
      <c r="C64" s="77">
        <v>7</v>
      </c>
      <c r="D64" s="77">
        <v>7</v>
      </c>
      <c r="E64" s="77">
        <v>7</v>
      </c>
      <c r="F64" s="77">
        <v>7</v>
      </c>
      <c r="G64" s="77">
        <v>7</v>
      </c>
      <c r="H64" s="77">
        <v>7</v>
      </c>
      <c r="I64" s="77">
        <v>7</v>
      </c>
      <c r="J64" s="77">
        <v>7</v>
      </c>
      <c r="K64" s="77">
        <v>7</v>
      </c>
      <c r="L64" s="77">
        <v>7</v>
      </c>
      <c r="M64" s="77">
        <v>7</v>
      </c>
      <c r="N64" s="77">
        <v>0</v>
      </c>
      <c r="O64" s="77">
        <v>0</v>
      </c>
      <c r="P64" s="77">
        <v>0</v>
      </c>
      <c r="Q64" s="77">
        <v>7</v>
      </c>
      <c r="R64" s="77">
        <v>7</v>
      </c>
      <c r="S64" s="77">
        <v>7</v>
      </c>
      <c r="T64" s="77">
        <v>7</v>
      </c>
      <c r="U64" s="77">
        <v>7</v>
      </c>
      <c r="V64" s="77">
        <v>7</v>
      </c>
      <c r="W64" s="77">
        <v>7</v>
      </c>
      <c r="X64" s="77">
        <v>7</v>
      </c>
      <c r="Y64" s="77">
        <v>7</v>
      </c>
      <c r="Z64" s="77">
        <v>8.5</v>
      </c>
      <c r="AA64" s="77">
        <v>7</v>
      </c>
      <c r="AB64" s="77">
        <v>7</v>
      </c>
      <c r="AC64" s="77">
        <v>7</v>
      </c>
      <c r="AD64" s="77">
        <v>7</v>
      </c>
      <c r="AE64" s="77">
        <v>7</v>
      </c>
      <c r="AF64" s="77">
        <v>7</v>
      </c>
      <c r="AG64" s="113"/>
      <c r="AH64" s="21">
        <f t="shared" si="2"/>
        <v>8.5</v>
      </c>
      <c r="AI64" s="20">
        <f t="shared" si="3"/>
        <v>0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7</v>
      </c>
      <c r="C66" s="70">
        <v>7</v>
      </c>
      <c r="D66" s="70">
        <v>7</v>
      </c>
      <c r="E66" s="70">
        <v>7</v>
      </c>
      <c r="F66" s="70">
        <v>7</v>
      </c>
      <c r="G66" s="70">
        <v>7</v>
      </c>
      <c r="H66" s="70">
        <v>7</v>
      </c>
      <c r="I66" s="70">
        <v>7</v>
      </c>
      <c r="J66" s="70">
        <v>7</v>
      </c>
      <c r="K66" s="70">
        <v>7</v>
      </c>
      <c r="L66" s="70">
        <v>7</v>
      </c>
      <c r="M66" s="73">
        <v>7</v>
      </c>
      <c r="N66" s="73">
        <v>7</v>
      </c>
      <c r="O66" s="73">
        <v>7</v>
      </c>
      <c r="P66" s="73">
        <v>7</v>
      </c>
      <c r="Q66" s="73">
        <v>7</v>
      </c>
      <c r="R66" s="73">
        <v>7</v>
      </c>
      <c r="S66" s="73">
        <v>7</v>
      </c>
      <c r="T66" s="73">
        <v>7</v>
      </c>
      <c r="U66" s="73">
        <v>7</v>
      </c>
      <c r="V66" s="73">
        <v>7</v>
      </c>
      <c r="W66" s="73">
        <v>7</v>
      </c>
      <c r="X66" s="73">
        <v>7</v>
      </c>
      <c r="Y66" s="73">
        <v>7</v>
      </c>
      <c r="Z66" s="73">
        <v>7</v>
      </c>
      <c r="AA66" s="73">
        <v>7</v>
      </c>
      <c r="AB66" s="70">
        <v>7</v>
      </c>
      <c r="AC66" s="70">
        <v>7</v>
      </c>
      <c r="AD66" s="70">
        <v>7</v>
      </c>
      <c r="AE66" s="70">
        <v>7</v>
      </c>
      <c r="AF66" s="70">
        <v>0</v>
      </c>
      <c r="AG66" s="102"/>
      <c r="AH66" s="21">
        <f t="shared" si="2"/>
        <v>7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203.52</v>
      </c>
      <c r="C68" s="99">
        <f>SUM(C57:C67)</f>
        <v>192.79999999999998</v>
      </c>
      <c r="D68" s="99">
        <f t="shared" ref="D68:AF68" si="9">SUM(D57:D67)</f>
        <v>222</v>
      </c>
      <c r="E68" s="99">
        <f t="shared" si="9"/>
        <v>219.2</v>
      </c>
      <c r="F68" s="99">
        <f t="shared" si="9"/>
        <v>234.7</v>
      </c>
      <c r="G68" s="99">
        <f t="shared" si="9"/>
        <v>233.7</v>
      </c>
      <c r="H68" s="99">
        <f t="shared" si="9"/>
        <v>245.5</v>
      </c>
      <c r="I68" s="99">
        <f t="shared" si="9"/>
        <v>409.8</v>
      </c>
      <c r="J68" s="99">
        <f t="shared" si="9"/>
        <v>440.65</v>
      </c>
      <c r="K68" s="99">
        <f t="shared" si="9"/>
        <v>471.7</v>
      </c>
      <c r="L68" s="99">
        <f t="shared" si="9"/>
        <v>478.3</v>
      </c>
      <c r="M68" s="99">
        <f t="shared" si="9"/>
        <v>495.5</v>
      </c>
      <c r="N68" s="99">
        <f t="shared" si="9"/>
        <v>568.98</v>
      </c>
      <c r="O68" s="99">
        <f t="shared" si="9"/>
        <v>618</v>
      </c>
      <c r="P68" s="99">
        <f t="shared" si="9"/>
        <v>623.6</v>
      </c>
      <c r="Q68" s="99">
        <f t="shared" si="9"/>
        <v>581.79999999999995</v>
      </c>
      <c r="R68" s="99">
        <f t="shared" si="9"/>
        <v>682.2</v>
      </c>
      <c r="S68" s="99">
        <f t="shared" si="9"/>
        <v>616.5</v>
      </c>
      <c r="T68" s="99">
        <f t="shared" si="9"/>
        <v>515</v>
      </c>
      <c r="U68" s="99">
        <f t="shared" si="9"/>
        <v>587.5</v>
      </c>
      <c r="V68" s="99">
        <f t="shared" si="9"/>
        <v>515.29999999999995</v>
      </c>
      <c r="W68" s="99">
        <f t="shared" si="9"/>
        <v>512.29999999999995</v>
      </c>
      <c r="X68" s="99">
        <f t="shared" si="9"/>
        <v>510.3</v>
      </c>
      <c r="Y68" s="99">
        <f t="shared" si="9"/>
        <v>250</v>
      </c>
      <c r="Z68" s="99">
        <f t="shared" si="9"/>
        <v>229.20000000000002</v>
      </c>
      <c r="AA68" s="99">
        <f t="shared" si="9"/>
        <v>218.7</v>
      </c>
      <c r="AB68" s="99">
        <f t="shared" si="9"/>
        <v>185.6</v>
      </c>
      <c r="AC68" s="99">
        <f t="shared" si="9"/>
        <v>205.7</v>
      </c>
      <c r="AD68" s="99">
        <f t="shared" si="9"/>
        <v>213</v>
      </c>
      <c r="AE68" s="99">
        <f t="shared" si="9"/>
        <v>216.4</v>
      </c>
      <c r="AF68" s="99">
        <f t="shared" si="9"/>
        <v>213.4</v>
      </c>
      <c r="AG68" s="98">
        <f>SUM(AG57:AG67)</f>
        <v>0</v>
      </c>
      <c r="AH68" s="21">
        <f t="shared" si="2"/>
        <v>682.2</v>
      </c>
      <c r="AI68" s="20">
        <f t="shared" si="3"/>
        <v>185.6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10">SUM(D69:D71)</f>
        <v>0</v>
      </c>
      <c r="E72" s="99">
        <f t="shared" si="10"/>
        <v>0</v>
      </c>
      <c r="F72" s="99">
        <f t="shared" si="10"/>
        <v>0</v>
      </c>
      <c r="G72" s="99">
        <f t="shared" si="10"/>
        <v>0</v>
      </c>
      <c r="H72" s="99">
        <f t="shared" si="10"/>
        <v>0</v>
      </c>
      <c r="I72" s="99">
        <f t="shared" si="10"/>
        <v>0</v>
      </c>
      <c r="J72" s="99">
        <f t="shared" si="10"/>
        <v>0</v>
      </c>
      <c r="K72" s="99">
        <f t="shared" si="10"/>
        <v>0</v>
      </c>
      <c r="L72" s="99">
        <f t="shared" si="10"/>
        <v>0</v>
      </c>
      <c r="M72" s="99">
        <f t="shared" si="10"/>
        <v>0</v>
      </c>
      <c r="N72" s="99">
        <f t="shared" si="10"/>
        <v>0</v>
      </c>
      <c r="O72" s="99">
        <f t="shared" si="10"/>
        <v>0</v>
      </c>
      <c r="P72" s="99">
        <f t="shared" si="10"/>
        <v>0</v>
      </c>
      <c r="Q72" s="99">
        <f t="shared" si="10"/>
        <v>0</v>
      </c>
      <c r="R72" s="99">
        <f t="shared" si="10"/>
        <v>0</v>
      </c>
      <c r="S72" s="99">
        <f t="shared" si="10"/>
        <v>0</v>
      </c>
      <c r="T72" s="99">
        <f t="shared" si="10"/>
        <v>0</v>
      </c>
      <c r="U72" s="99">
        <f t="shared" si="10"/>
        <v>0</v>
      </c>
      <c r="V72" s="99">
        <f t="shared" si="10"/>
        <v>0</v>
      </c>
      <c r="W72" s="99">
        <f t="shared" si="10"/>
        <v>0</v>
      </c>
      <c r="X72" s="99">
        <f t="shared" si="10"/>
        <v>0</v>
      </c>
      <c r="Y72" s="99">
        <f t="shared" si="10"/>
        <v>0</v>
      </c>
      <c r="Z72" s="99">
        <f t="shared" si="10"/>
        <v>0</v>
      </c>
      <c r="AA72" s="99">
        <f t="shared" si="10"/>
        <v>0</v>
      </c>
      <c r="AB72" s="99">
        <f t="shared" si="10"/>
        <v>0</v>
      </c>
      <c r="AC72" s="99">
        <f t="shared" si="10"/>
        <v>0</v>
      </c>
      <c r="AD72" s="99">
        <f t="shared" si="10"/>
        <v>0</v>
      </c>
      <c r="AE72" s="99">
        <f t="shared" si="10"/>
        <v>0</v>
      </c>
      <c r="AF72" s="99">
        <f t="shared" si="10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1232.06</v>
      </c>
      <c r="C73" s="110">
        <f>C68+C56+C52+C38+C72</f>
        <v>1212.54</v>
      </c>
      <c r="D73" s="110">
        <f t="shared" ref="D73:AG73" si="11">D68+D56+D52+D38+D72</f>
        <v>1211.94</v>
      </c>
      <c r="E73" s="110">
        <f t="shared" si="11"/>
        <v>1192.54</v>
      </c>
      <c r="F73" s="110">
        <f t="shared" si="11"/>
        <v>1185.54</v>
      </c>
      <c r="G73" s="110">
        <f t="shared" si="11"/>
        <v>1216.3399999999999</v>
      </c>
      <c r="H73" s="110">
        <f t="shared" si="11"/>
        <v>1234.04</v>
      </c>
      <c r="I73" s="110">
        <f t="shared" si="11"/>
        <v>1243.04</v>
      </c>
      <c r="J73" s="110">
        <f t="shared" si="11"/>
        <v>1326.09</v>
      </c>
      <c r="K73" s="110">
        <f t="shared" si="11"/>
        <v>1402.54</v>
      </c>
      <c r="L73" s="110">
        <f t="shared" si="11"/>
        <v>1431.64</v>
      </c>
      <c r="M73" s="110">
        <f t="shared" si="11"/>
        <v>1467.64</v>
      </c>
      <c r="N73" s="110">
        <f t="shared" si="11"/>
        <v>1468.92</v>
      </c>
      <c r="O73" s="110">
        <f t="shared" si="11"/>
        <v>1457.24</v>
      </c>
      <c r="P73" s="110">
        <f t="shared" si="11"/>
        <v>1464.04</v>
      </c>
      <c r="Q73" s="110">
        <f t="shared" si="11"/>
        <v>1446.84</v>
      </c>
      <c r="R73" s="110">
        <f t="shared" si="11"/>
        <v>1479.5400000000002</v>
      </c>
      <c r="S73" s="110">
        <f t="shared" si="11"/>
        <v>1453.0400000000002</v>
      </c>
      <c r="T73" s="110">
        <f t="shared" si="11"/>
        <v>1415.54</v>
      </c>
      <c r="U73" s="110">
        <f t="shared" si="11"/>
        <v>1503.0400000000002</v>
      </c>
      <c r="V73" s="110">
        <f t="shared" si="11"/>
        <v>1429.44</v>
      </c>
      <c r="W73" s="110">
        <f t="shared" si="11"/>
        <v>1466.44</v>
      </c>
      <c r="X73" s="110">
        <f t="shared" si="11"/>
        <v>1464.44</v>
      </c>
      <c r="Y73" s="110">
        <f t="shared" si="11"/>
        <v>1443.24</v>
      </c>
      <c r="Z73" s="110">
        <f t="shared" si="11"/>
        <v>1529.3400000000001</v>
      </c>
      <c r="AA73" s="110">
        <f t="shared" si="11"/>
        <v>1531.94</v>
      </c>
      <c r="AB73" s="110">
        <f t="shared" si="11"/>
        <v>1489.04</v>
      </c>
      <c r="AC73" s="110">
        <f t="shared" si="11"/>
        <v>1441.1399999999999</v>
      </c>
      <c r="AD73" s="110">
        <f t="shared" si="11"/>
        <v>1398.74</v>
      </c>
      <c r="AE73" s="110">
        <f t="shared" si="11"/>
        <v>1336.6399999999999</v>
      </c>
      <c r="AF73" s="110">
        <f t="shared" si="11"/>
        <v>1360.24</v>
      </c>
      <c r="AG73" s="110">
        <f t="shared" si="11"/>
        <v>2144.14</v>
      </c>
      <c r="AH73" s="21">
        <f t="shared" si="2"/>
        <v>1531.94</v>
      </c>
      <c r="AI73" s="20">
        <f t="shared" si="3"/>
        <v>1185.54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50</v>
      </c>
      <c r="C74" s="111">
        <v>50</v>
      </c>
      <c r="D74" s="111">
        <v>50</v>
      </c>
      <c r="E74" s="111">
        <v>50</v>
      </c>
      <c r="F74" s="111">
        <v>50</v>
      </c>
      <c r="G74" s="111">
        <v>50</v>
      </c>
      <c r="H74" s="111">
        <v>50</v>
      </c>
      <c r="I74" s="111">
        <v>40</v>
      </c>
      <c r="J74" s="111">
        <v>0</v>
      </c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>
        <v>150</v>
      </c>
      <c r="Z74" s="111">
        <v>150</v>
      </c>
      <c r="AA74" s="111">
        <v>150</v>
      </c>
      <c r="AB74" s="111">
        <v>150</v>
      </c>
      <c r="AC74" s="111">
        <v>150</v>
      </c>
      <c r="AD74" s="111">
        <v>125</v>
      </c>
      <c r="AE74" s="111">
        <v>100</v>
      </c>
      <c r="AF74" s="111">
        <v>0</v>
      </c>
      <c r="AG74" s="98"/>
      <c r="AH74" s="21">
        <f t="shared" si="2"/>
        <v>150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1282.06</v>
      </c>
      <c r="C75" s="110">
        <f>C73+C74</f>
        <v>1262.54</v>
      </c>
      <c r="D75" s="110">
        <f t="shared" ref="D75:AF75" si="12">D72+D68+D56+D52+D38+D74</f>
        <v>1261.94</v>
      </c>
      <c r="E75" s="110">
        <f t="shared" si="12"/>
        <v>1242.54</v>
      </c>
      <c r="F75" s="110">
        <f t="shared" si="12"/>
        <v>1235.54</v>
      </c>
      <c r="G75" s="110">
        <f t="shared" si="12"/>
        <v>1266.3399999999999</v>
      </c>
      <c r="H75" s="110">
        <f t="shared" si="12"/>
        <v>1284.04</v>
      </c>
      <c r="I75" s="110">
        <f t="shared" si="12"/>
        <v>1283.04</v>
      </c>
      <c r="J75" s="110">
        <f t="shared" si="12"/>
        <v>1326.09</v>
      </c>
      <c r="K75" s="110">
        <f t="shared" si="12"/>
        <v>1402.54</v>
      </c>
      <c r="L75" s="110">
        <f t="shared" si="12"/>
        <v>1431.64</v>
      </c>
      <c r="M75" s="110">
        <f t="shared" si="12"/>
        <v>1467.64</v>
      </c>
      <c r="N75" s="110">
        <f t="shared" si="12"/>
        <v>1468.92</v>
      </c>
      <c r="O75" s="110">
        <f t="shared" si="12"/>
        <v>1457.24</v>
      </c>
      <c r="P75" s="110">
        <f t="shared" si="12"/>
        <v>1464.04</v>
      </c>
      <c r="Q75" s="110">
        <f t="shared" si="12"/>
        <v>1446.84</v>
      </c>
      <c r="R75" s="110">
        <f t="shared" si="12"/>
        <v>1479.5400000000002</v>
      </c>
      <c r="S75" s="110">
        <f t="shared" si="12"/>
        <v>1453.0400000000002</v>
      </c>
      <c r="T75" s="110">
        <f t="shared" si="12"/>
        <v>1415.54</v>
      </c>
      <c r="U75" s="110">
        <f t="shared" si="12"/>
        <v>1503.0400000000002</v>
      </c>
      <c r="V75" s="110">
        <f t="shared" si="12"/>
        <v>1429.44</v>
      </c>
      <c r="W75" s="110">
        <f t="shared" si="12"/>
        <v>1466.44</v>
      </c>
      <c r="X75" s="110">
        <f t="shared" si="12"/>
        <v>1464.44</v>
      </c>
      <c r="Y75" s="110">
        <f t="shared" si="12"/>
        <v>1593.24</v>
      </c>
      <c r="Z75" s="110">
        <f t="shared" si="12"/>
        <v>1679.3400000000001</v>
      </c>
      <c r="AA75" s="110">
        <f t="shared" si="12"/>
        <v>1681.94</v>
      </c>
      <c r="AB75" s="110">
        <f t="shared" si="12"/>
        <v>1639.04</v>
      </c>
      <c r="AC75" s="110">
        <f t="shared" si="12"/>
        <v>1591.1399999999999</v>
      </c>
      <c r="AD75" s="110">
        <f t="shared" si="12"/>
        <v>1523.74</v>
      </c>
      <c r="AE75" s="110">
        <f t="shared" si="12"/>
        <v>1436.6399999999999</v>
      </c>
      <c r="AF75" s="110">
        <f t="shared" si="12"/>
        <v>1360.24</v>
      </c>
      <c r="AG75" s="98">
        <f>AG72+AG68+AG56+AG52+AG38+AG74</f>
        <v>2144.14</v>
      </c>
      <c r="AH75" s="21">
        <f t="shared" si="2"/>
        <v>1681.94</v>
      </c>
      <c r="AI75" s="20">
        <f t="shared" si="3"/>
        <v>1235.54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3">IF(D60&lt;0,D60*-1,0)</f>
        <v>0</v>
      </c>
      <c r="E76" s="77">
        <f t="shared" si="13"/>
        <v>0</v>
      </c>
      <c r="F76" s="77">
        <f t="shared" si="13"/>
        <v>0</v>
      </c>
      <c r="G76" s="77">
        <f t="shared" si="13"/>
        <v>0</v>
      </c>
      <c r="H76" s="77">
        <f t="shared" si="13"/>
        <v>0</v>
      </c>
      <c r="I76" s="77">
        <f t="shared" si="13"/>
        <v>0</v>
      </c>
      <c r="J76" s="77">
        <f t="shared" si="13"/>
        <v>0</v>
      </c>
      <c r="K76" s="77">
        <f t="shared" si="13"/>
        <v>0</v>
      </c>
      <c r="L76" s="77">
        <f t="shared" si="13"/>
        <v>0</v>
      </c>
      <c r="M76" s="77">
        <f t="shared" si="13"/>
        <v>0</v>
      </c>
      <c r="N76" s="77">
        <f t="shared" si="13"/>
        <v>0</v>
      </c>
      <c r="O76" s="77">
        <f t="shared" si="13"/>
        <v>0</v>
      </c>
      <c r="P76" s="77">
        <f t="shared" si="13"/>
        <v>0</v>
      </c>
      <c r="Q76" s="77">
        <f t="shared" si="13"/>
        <v>0</v>
      </c>
      <c r="R76" s="77">
        <f t="shared" si="13"/>
        <v>0</v>
      </c>
      <c r="S76" s="77">
        <f t="shared" si="13"/>
        <v>0</v>
      </c>
      <c r="T76" s="77">
        <f t="shared" si="13"/>
        <v>0</v>
      </c>
      <c r="U76" s="77">
        <f t="shared" si="13"/>
        <v>0</v>
      </c>
      <c r="V76" s="77">
        <f t="shared" si="13"/>
        <v>0</v>
      </c>
      <c r="W76" s="77">
        <f t="shared" si="13"/>
        <v>0</v>
      </c>
      <c r="X76" s="77">
        <f t="shared" si="13"/>
        <v>0</v>
      </c>
      <c r="Y76" s="77">
        <f t="shared" si="13"/>
        <v>0</v>
      </c>
      <c r="Z76" s="77">
        <f t="shared" si="13"/>
        <v>0</v>
      </c>
      <c r="AA76" s="77">
        <f t="shared" si="13"/>
        <v>0</v>
      </c>
      <c r="AB76" s="77">
        <f t="shared" si="13"/>
        <v>0</v>
      </c>
      <c r="AC76" s="77">
        <f t="shared" si="13"/>
        <v>0</v>
      </c>
      <c r="AD76" s="77">
        <f t="shared" si="13"/>
        <v>0</v>
      </c>
      <c r="AE76" s="77">
        <f t="shared" si="13"/>
        <v>0</v>
      </c>
      <c r="AF76" s="77">
        <f t="shared" si="13"/>
        <v>0</v>
      </c>
      <c r="AG76" s="108"/>
      <c r="AH76" s="21">
        <f t="shared" ref="AH76:AH91" si="14">MAX(B76:AF76)</f>
        <v>0</v>
      </c>
      <c r="AI76" s="20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6">IF(D58&lt;0,D58*-1,0)</f>
        <v>0</v>
      </c>
      <c r="E77" s="77">
        <f t="shared" si="16"/>
        <v>0</v>
      </c>
      <c r="F77" s="77">
        <f t="shared" si="16"/>
        <v>0</v>
      </c>
      <c r="G77" s="77">
        <f t="shared" si="16"/>
        <v>0</v>
      </c>
      <c r="H77" s="77">
        <f t="shared" si="16"/>
        <v>0</v>
      </c>
      <c r="I77" s="77">
        <f t="shared" si="16"/>
        <v>0</v>
      </c>
      <c r="J77" s="77">
        <f t="shared" si="16"/>
        <v>0</v>
      </c>
      <c r="K77" s="77">
        <f t="shared" si="16"/>
        <v>0</v>
      </c>
      <c r="L77" s="77">
        <f t="shared" si="16"/>
        <v>0</v>
      </c>
      <c r="M77" s="77">
        <f t="shared" si="16"/>
        <v>0</v>
      </c>
      <c r="N77" s="77">
        <f t="shared" si="16"/>
        <v>0</v>
      </c>
      <c r="O77" s="77">
        <f t="shared" si="16"/>
        <v>0</v>
      </c>
      <c r="P77" s="77">
        <f t="shared" si="16"/>
        <v>0</v>
      </c>
      <c r="Q77" s="77">
        <f t="shared" si="16"/>
        <v>0</v>
      </c>
      <c r="R77" s="77">
        <f t="shared" si="16"/>
        <v>0</v>
      </c>
      <c r="S77" s="77">
        <f t="shared" si="16"/>
        <v>0</v>
      </c>
      <c r="T77" s="77">
        <f t="shared" si="16"/>
        <v>0</v>
      </c>
      <c r="U77" s="77">
        <f t="shared" si="16"/>
        <v>0</v>
      </c>
      <c r="V77" s="77">
        <f t="shared" si="16"/>
        <v>0</v>
      </c>
      <c r="W77" s="77">
        <f t="shared" si="16"/>
        <v>0</v>
      </c>
      <c r="X77" s="77">
        <f t="shared" si="16"/>
        <v>0</v>
      </c>
      <c r="Y77" s="77">
        <f t="shared" si="16"/>
        <v>0</v>
      </c>
      <c r="Z77" s="77">
        <f t="shared" si="16"/>
        <v>0</v>
      </c>
      <c r="AA77" s="77">
        <f t="shared" si="16"/>
        <v>0</v>
      </c>
      <c r="AB77" s="77">
        <f t="shared" si="16"/>
        <v>0</v>
      </c>
      <c r="AC77" s="77">
        <f t="shared" si="16"/>
        <v>0</v>
      </c>
      <c r="AD77" s="77">
        <f t="shared" si="16"/>
        <v>0</v>
      </c>
      <c r="AE77" s="77">
        <f t="shared" si="16"/>
        <v>0</v>
      </c>
      <c r="AF77" s="77">
        <f t="shared" si="16"/>
        <v>0</v>
      </c>
      <c r="AG77" s="106"/>
      <c r="AH77" s="21">
        <f t="shared" si="14"/>
        <v>0</v>
      </c>
      <c r="AI77" s="20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7">IF(D61&lt;0,D61*-1,0)</f>
        <v>0</v>
      </c>
      <c r="E78" s="77">
        <f t="shared" si="17"/>
        <v>0</v>
      </c>
      <c r="F78" s="77">
        <f t="shared" si="17"/>
        <v>0</v>
      </c>
      <c r="G78" s="77">
        <f t="shared" si="17"/>
        <v>0</v>
      </c>
      <c r="H78" s="77">
        <f t="shared" si="17"/>
        <v>0</v>
      </c>
      <c r="I78" s="77">
        <f t="shared" si="17"/>
        <v>0</v>
      </c>
      <c r="J78" s="77">
        <f t="shared" si="17"/>
        <v>0</v>
      </c>
      <c r="K78" s="77">
        <f t="shared" si="17"/>
        <v>0</v>
      </c>
      <c r="L78" s="77">
        <f t="shared" si="17"/>
        <v>0</v>
      </c>
      <c r="M78" s="77">
        <f t="shared" si="17"/>
        <v>0</v>
      </c>
      <c r="N78" s="77">
        <f t="shared" si="17"/>
        <v>0</v>
      </c>
      <c r="O78" s="77">
        <f t="shared" si="17"/>
        <v>0</v>
      </c>
      <c r="P78" s="77">
        <f t="shared" si="17"/>
        <v>0</v>
      </c>
      <c r="Q78" s="77">
        <f t="shared" si="17"/>
        <v>0</v>
      </c>
      <c r="R78" s="77">
        <f t="shared" si="17"/>
        <v>0</v>
      </c>
      <c r="S78" s="77">
        <f t="shared" si="17"/>
        <v>0</v>
      </c>
      <c r="T78" s="77">
        <f t="shared" si="17"/>
        <v>0</v>
      </c>
      <c r="U78" s="77">
        <f t="shared" si="17"/>
        <v>0</v>
      </c>
      <c r="V78" s="77">
        <f t="shared" si="17"/>
        <v>0</v>
      </c>
      <c r="W78" s="77">
        <f t="shared" si="17"/>
        <v>0</v>
      </c>
      <c r="X78" s="77">
        <f t="shared" si="17"/>
        <v>0</v>
      </c>
      <c r="Y78" s="77">
        <f t="shared" si="17"/>
        <v>0</v>
      </c>
      <c r="Z78" s="77">
        <f t="shared" si="17"/>
        <v>0</v>
      </c>
      <c r="AA78" s="77">
        <f t="shared" si="17"/>
        <v>0</v>
      </c>
      <c r="AB78" s="77">
        <f t="shared" si="17"/>
        <v>0</v>
      </c>
      <c r="AC78" s="77">
        <f t="shared" si="17"/>
        <v>0</v>
      </c>
      <c r="AD78" s="77">
        <f t="shared" si="17"/>
        <v>0</v>
      </c>
      <c r="AE78" s="77">
        <f t="shared" si="17"/>
        <v>0</v>
      </c>
      <c r="AF78" s="77">
        <f t="shared" si="17"/>
        <v>0</v>
      </c>
      <c r="AG78" s="105"/>
      <c r="AH78" s="21">
        <f t="shared" si="14"/>
        <v>0</v>
      </c>
      <c r="AI78" s="20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8">IF(D59&lt;0,D59*-1,0)</f>
        <v>0</v>
      </c>
      <c r="E79" s="77">
        <f t="shared" si="18"/>
        <v>0</v>
      </c>
      <c r="F79" s="77">
        <f t="shared" si="18"/>
        <v>0</v>
      </c>
      <c r="G79" s="77">
        <f t="shared" si="18"/>
        <v>0</v>
      </c>
      <c r="H79" s="77">
        <f t="shared" si="18"/>
        <v>0</v>
      </c>
      <c r="I79" s="77">
        <f t="shared" si="18"/>
        <v>0</v>
      </c>
      <c r="J79" s="77">
        <f t="shared" si="18"/>
        <v>0</v>
      </c>
      <c r="K79" s="77">
        <f t="shared" si="18"/>
        <v>0</v>
      </c>
      <c r="L79" s="77">
        <f t="shared" si="18"/>
        <v>0</v>
      </c>
      <c r="M79" s="77">
        <f t="shared" si="18"/>
        <v>0</v>
      </c>
      <c r="N79" s="77">
        <f t="shared" si="18"/>
        <v>0</v>
      </c>
      <c r="O79" s="77">
        <f t="shared" si="18"/>
        <v>0</v>
      </c>
      <c r="P79" s="77">
        <f t="shared" si="18"/>
        <v>0</v>
      </c>
      <c r="Q79" s="77">
        <f t="shared" si="18"/>
        <v>0</v>
      </c>
      <c r="R79" s="77">
        <f t="shared" si="18"/>
        <v>0</v>
      </c>
      <c r="S79" s="77">
        <f t="shared" si="18"/>
        <v>0</v>
      </c>
      <c r="T79" s="77">
        <f t="shared" si="18"/>
        <v>0</v>
      </c>
      <c r="U79" s="77">
        <f t="shared" si="18"/>
        <v>0</v>
      </c>
      <c r="V79" s="77">
        <f t="shared" si="18"/>
        <v>0</v>
      </c>
      <c r="W79" s="77">
        <f t="shared" si="18"/>
        <v>0</v>
      </c>
      <c r="X79" s="77">
        <f t="shared" si="18"/>
        <v>0</v>
      </c>
      <c r="Y79" s="77">
        <f t="shared" si="18"/>
        <v>0</v>
      </c>
      <c r="Z79" s="77">
        <f t="shared" si="18"/>
        <v>0</v>
      </c>
      <c r="AA79" s="77">
        <f t="shared" si="18"/>
        <v>0</v>
      </c>
      <c r="AB79" s="77">
        <f t="shared" si="18"/>
        <v>0</v>
      </c>
      <c r="AC79" s="77">
        <f t="shared" si="18"/>
        <v>0</v>
      </c>
      <c r="AD79" s="77">
        <f t="shared" si="18"/>
        <v>0</v>
      </c>
      <c r="AE79" s="77">
        <f t="shared" si="18"/>
        <v>0</v>
      </c>
      <c r="AF79" s="77">
        <f t="shared" si="18"/>
        <v>0</v>
      </c>
      <c r="AG79" s="105"/>
      <c r="AH79" s="21">
        <f t="shared" si="14"/>
        <v>0</v>
      </c>
      <c r="AI79" s="20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9">IF(D57&lt;0,D57*-1,0)</f>
        <v>0</v>
      </c>
      <c r="E80" s="77">
        <f t="shared" si="19"/>
        <v>0</v>
      </c>
      <c r="F80" s="77">
        <f t="shared" si="19"/>
        <v>0</v>
      </c>
      <c r="G80" s="77">
        <f t="shared" si="19"/>
        <v>0</v>
      </c>
      <c r="H80" s="77">
        <f t="shared" si="19"/>
        <v>0</v>
      </c>
      <c r="I80" s="77">
        <f t="shared" si="19"/>
        <v>0</v>
      </c>
      <c r="J80" s="77">
        <f t="shared" si="19"/>
        <v>0</v>
      </c>
      <c r="K80" s="77">
        <f t="shared" si="19"/>
        <v>0</v>
      </c>
      <c r="L80" s="77">
        <f t="shared" si="19"/>
        <v>0</v>
      </c>
      <c r="M80" s="77">
        <f t="shared" si="19"/>
        <v>0</v>
      </c>
      <c r="N80" s="77">
        <f t="shared" si="19"/>
        <v>0</v>
      </c>
      <c r="O80" s="77">
        <f t="shared" si="19"/>
        <v>0</v>
      </c>
      <c r="P80" s="77">
        <f t="shared" si="19"/>
        <v>0</v>
      </c>
      <c r="Q80" s="77">
        <f t="shared" si="19"/>
        <v>0</v>
      </c>
      <c r="R80" s="77">
        <f t="shared" si="19"/>
        <v>0</v>
      </c>
      <c r="S80" s="77">
        <f t="shared" si="19"/>
        <v>0</v>
      </c>
      <c r="T80" s="77">
        <f t="shared" si="19"/>
        <v>0</v>
      </c>
      <c r="U80" s="77">
        <f t="shared" si="19"/>
        <v>0</v>
      </c>
      <c r="V80" s="77">
        <f t="shared" si="19"/>
        <v>0</v>
      </c>
      <c r="W80" s="77">
        <f t="shared" si="19"/>
        <v>0</v>
      </c>
      <c r="X80" s="77">
        <f t="shared" si="19"/>
        <v>0</v>
      </c>
      <c r="Y80" s="77">
        <f t="shared" si="19"/>
        <v>0</v>
      </c>
      <c r="Z80" s="77">
        <f t="shared" si="19"/>
        <v>0</v>
      </c>
      <c r="AA80" s="77">
        <f t="shared" si="19"/>
        <v>0</v>
      </c>
      <c r="AB80" s="77">
        <f t="shared" si="19"/>
        <v>0</v>
      </c>
      <c r="AC80" s="77">
        <f t="shared" si="19"/>
        <v>0</v>
      </c>
      <c r="AD80" s="77">
        <f t="shared" si="19"/>
        <v>0</v>
      </c>
      <c r="AE80" s="77">
        <f t="shared" si="19"/>
        <v>0</v>
      </c>
      <c r="AF80" s="77">
        <f t="shared" si="19"/>
        <v>0</v>
      </c>
      <c r="AG80" s="105"/>
      <c r="AH80" s="21">
        <f t="shared" si="14"/>
        <v>0</v>
      </c>
      <c r="AI80" s="20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4"/>
        <v>0</v>
      </c>
      <c r="AI81" s="20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20">SUM(C76:C81)</f>
        <v>0</v>
      </c>
      <c r="D82" s="99">
        <f t="shared" si="20"/>
        <v>0</v>
      </c>
      <c r="E82" s="99">
        <f t="shared" si="20"/>
        <v>0</v>
      </c>
      <c r="F82" s="99">
        <f t="shared" si="20"/>
        <v>0</v>
      </c>
      <c r="G82" s="99">
        <f t="shared" si="20"/>
        <v>0</v>
      </c>
      <c r="H82" s="99">
        <f t="shared" si="20"/>
        <v>0</v>
      </c>
      <c r="I82" s="99">
        <f t="shared" si="20"/>
        <v>0</v>
      </c>
      <c r="J82" s="99">
        <f t="shared" si="20"/>
        <v>0</v>
      </c>
      <c r="K82" s="99">
        <f t="shared" si="20"/>
        <v>0</v>
      </c>
      <c r="L82" s="99">
        <f t="shared" si="20"/>
        <v>0</v>
      </c>
      <c r="M82" s="99">
        <f t="shared" si="20"/>
        <v>0</v>
      </c>
      <c r="N82" s="99">
        <f t="shared" si="20"/>
        <v>0</v>
      </c>
      <c r="O82" s="99">
        <f t="shared" si="20"/>
        <v>0</v>
      </c>
      <c r="P82" s="99">
        <f t="shared" si="20"/>
        <v>0</v>
      </c>
      <c r="Q82" s="99">
        <f t="shared" si="20"/>
        <v>0</v>
      </c>
      <c r="R82" s="99">
        <f t="shared" si="20"/>
        <v>0</v>
      </c>
      <c r="S82" s="99">
        <f t="shared" si="20"/>
        <v>0</v>
      </c>
      <c r="T82" s="99">
        <f t="shared" si="20"/>
        <v>0</v>
      </c>
      <c r="U82" s="99">
        <f t="shared" si="20"/>
        <v>0</v>
      </c>
      <c r="V82" s="99">
        <f t="shared" si="20"/>
        <v>0</v>
      </c>
      <c r="W82" s="99">
        <f t="shared" si="20"/>
        <v>0</v>
      </c>
      <c r="X82" s="99">
        <f t="shared" si="20"/>
        <v>0</v>
      </c>
      <c r="Y82" s="99">
        <f t="shared" si="20"/>
        <v>0</v>
      </c>
      <c r="Z82" s="99">
        <f t="shared" si="20"/>
        <v>0</v>
      </c>
      <c r="AA82" s="99">
        <f t="shared" si="20"/>
        <v>0</v>
      </c>
      <c r="AB82" s="99">
        <f t="shared" si="20"/>
        <v>0</v>
      </c>
      <c r="AC82" s="99">
        <f t="shared" si="20"/>
        <v>0</v>
      </c>
      <c r="AD82" s="99">
        <f t="shared" si="20"/>
        <v>0</v>
      </c>
      <c r="AE82" s="99">
        <f t="shared" si="20"/>
        <v>0</v>
      </c>
      <c r="AF82" s="99">
        <f t="shared" si="20"/>
        <v>0</v>
      </c>
      <c r="AG82" s="98">
        <f t="shared" si="20"/>
        <v>0</v>
      </c>
      <c r="AH82" s="21">
        <f t="shared" si="14"/>
        <v>0</v>
      </c>
      <c r="AI82" s="20">
        <f t="shared" si="15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2564.12</v>
      </c>
      <c r="C83" s="99">
        <f t="shared" ref="C83:AG83" si="21">SUM(C70:C82)</f>
        <v>2525.08</v>
      </c>
      <c r="D83" s="99">
        <f t="shared" si="21"/>
        <v>2523.88</v>
      </c>
      <c r="E83" s="99">
        <f t="shared" si="21"/>
        <v>2485.08</v>
      </c>
      <c r="F83" s="99">
        <f t="shared" si="21"/>
        <v>2471.08</v>
      </c>
      <c r="G83" s="99">
        <f t="shared" si="21"/>
        <v>2532.6799999999998</v>
      </c>
      <c r="H83" s="99">
        <f t="shared" si="21"/>
        <v>2568.08</v>
      </c>
      <c r="I83" s="99">
        <f t="shared" si="21"/>
        <v>2566.08</v>
      </c>
      <c r="J83" s="99">
        <f t="shared" si="21"/>
        <v>2652.18</v>
      </c>
      <c r="K83" s="99">
        <f t="shared" si="21"/>
        <v>2805.08</v>
      </c>
      <c r="L83" s="99">
        <f t="shared" si="21"/>
        <v>2863.28</v>
      </c>
      <c r="M83" s="99">
        <f t="shared" si="21"/>
        <v>2935.28</v>
      </c>
      <c r="N83" s="99">
        <f t="shared" si="21"/>
        <v>2937.84</v>
      </c>
      <c r="O83" s="99">
        <f t="shared" si="21"/>
        <v>2914.48</v>
      </c>
      <c r="P83" s="99">
        <f t="shared" si="21"/>
        <v>2928.08</v>
      </c>
      <c r="Q83" s="99">
        <f t="shared" si="21"/>
        <v>2893.68</v>
      </c>
      <c r="R83" s="99">
        <f t="shared" si="21"/>
        <v>2959.0800000000004</v>
      </c>
      <c r="S83" s="99">
        <f t="shared" si="21"/>
        <v>2906.0800000000004</v>
      </c>
      <c r="T83" s="99">
        <f t="shared" si="21"/>
        <v>2831.08</v>
      </c>
      <c r="U83" s="99">
        <f t="shared" si="21"/>
        <v>3006.0800000000004</v>
      </c>
      <c r="V83" s="99">
        <f t="shared" si="21"/>
        <v>2858.88</v>
      </c>
      <c r="W83" s="99">
        <f t="shared" si="21"/>
        <v>2932.88</v>
      </c>
      <c r="X83" s="99">
        <f t="shared" si="21"/>
        <v>2928.88</v>
      </c>
      <c r="Y83" s="99">
        <f t="shared" si="21"/>
        <v>3186.48</v>
      </c>
      <c r="Z83" s="99">
        <f t="shared" si="21"/>
        <v>3358.6800000000003</v>
      </c>
      <c r="AA83" s="99">
        <f t="shared" si="21"/>
        <v>3363.88</v>
      </c>
      <c r="AB83" s="99">
        <f t="shared" si="21"/>
        <v>3278.08</v>
      </c>
      <c r="AC83" s="99">
        <f t="shared" si="21"/>
        <v>3182.2799999999997</v>
      </c>
      <c r="AD83" s="99">
        <f t="shared" si="21"/>
        <v>3047.48</v>
      </c>
      <c r="AE83" s="99">
        <f t="shared" si="21"/>
        <v>2873.2799999999997</v>
      </c>
      <c r="AF83" s="99">
        <f t="shared" si="21"/>
        <v>2720.48</v>
      </c>
      <c r="AG83" s="98">
        <f t="shared" si="21"/>
        <v>4360.08</v>
      </c>
      <c r="AH83" s="21">
        <f t="shared" si="14"/>
        <v>3363.88</v>
      </c>
      <c r="AI83" s="20">
        <f t="shared" si="15"/>
        <v>2471.08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>
        <v>50.029000000000003</v>
      </c>
      <c r="C84" s="96">
        <v>49.904000000000003</v>
      </c>
      <c r="D84" s="96">
        <v>49.951999999999998</v>
      </c>
      <c r="E84" s="96">
        <v>49.945</v>
      </c>
      <c r="F84" s="96">
        <v>49.798999999999999</v>
      </c>
      <c r="G84" s="96">
        <v>49.832000000000001</v>
      </c>
      <c r="H84" s="96">
        <v>49.832000000000001</v>
      </c>
      <c r="I84" s="96">
        <v>49.853000000000002</v>
      </c>
      <c r="J84" s="96">
        <v>49.914999999999999</v>
      </c>
      <c r="K84" s="96">
        <v>50.018000000000001</v>
      </c>
      <c r="L84" s="96">
        <v>50.024999999999999</v>
      </c>
      <c r="M84" s="96">
        <v>50.067999999999998</v>
      </c>
      <c r="N84" s="96">
        <v>49.906999999999996</v>
      </c>
      <c r="O84" s="96">
        <v>50.064</v>
      </c>
      <c r="P84" s="96">
        <v>49.914999999999999</v>
      </c>
      <c r="Q84" s="96">
        <v>49.929000000000002</v>
      </c>
      <c r="R84" s="96">
        <v>50.08</v>
      </c>
      <c r="S84" s="96">
        <v>50.05</v>
      </c>
      <c r="T84" s="96">
        <v>50.01</v>
      </c>
      <c r="U84" s="96">
        <v>49.95</v>
      </c>
      <c r="V84" s="96">
        <v>49.86</v>
      </c>
      <c r="W84" s="96"/>
      <c r="X84" s="96"/>
      <c r="Y84" s="96">
        <v>49.795000000000002</v>
      </c>
      <c r="Z84" s="96">
        <v>49.78</v>
      </c>
      <c r="AA84" s="96">
        <v>49.64</v>
      </c>
      <c r="AB84" s="96">
        <v>49.914000000000001</v>
      </c>
      <c r="AC84" s="96">
        <v>49.87</v>
      </c>
      <c r="AD84" s="96">
        <v>49.98</v>
      </c>
      <c r="AE84" s="96">
        <v>49.93</v>
      </c>
      <c r="AF84" s="96">
        <v>49.85</v>
      </c>
      <c r="AG84" s="95"/>
      <c r="AH84" s="21">
        <f t="shared" si="14"/>
        <v>50.08</v>
      </c>
      <c r="AI84" s="20">
        <f t="shared" si="15"/>
        <v>49.64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>
        <v>127.7</v>
      </c>
      <c r="C85" s="73">
        <v>127.8</v>
      </c>
      <c r="D85" s="73">
        <v>128.19999999999999</v>
      </c>
      <c r="E85" s="73">
        <v>128.6</v>
      </c>
      <c r="F85" s="73">
        <v>128.19999999999999</v>
      </c>
      <c r="G85" s="73">
        <v>128.30000000000001</v>
      </c>
      <c r="H85" s="73">
        <v>128.30000000000001</v>
      </c>
      <c r="I85" s="73">
        <v>128.1</v>
      </c>
      <c r="J85" s="73">
        <v>127.1</v>
      </c>
      <c r="K85" s="73">
        <v>127.1</v>
      </c>
      <c r="L85" s="73">
        <v>126.3</v>
      </c>
      <c r="M85" s="73">
        <v>126</v>
      </c>
      <c r="N85" s="73">
        <v>125.6</v>
      </c>
      <c r="O85" s="73">
        <v>124.3</v>
      </c>
      <c r="P85" s="73">
        <v>123.5</v>
      </c>
      <c r="Q85" s="73">
        <v>124.1</v>
      </c>
      <c r="R85" s="73">
        <v>123.7</v>
      </c>
      <c r="S85" s="73">
        <v>123.7</v>
      </c>
      <c r="T85" s="73">
        <v>123.7</v>
      </c>
      <c r="U85" s="94">
        <v>125</v>
      </c>
      <c r="V85" s="94">
        <v>126.7</v>
      </c>
      <c r="W85" s="94"/>
      <c r="X85" s="94"/>
      <c r="Y85" s="94">
        <v>126.5</v>
      </c>
      <c r="Z85" s="94">
        <v>126.2</v>
      </c>
      <c r="AA85" s="94">
        <v>125</v>
      </c>
      <c r="AB85" s="73">
        <v>126.9</v>
      </c>
      <c r="AC85" s="73">
        <v>126.5</v>
      </c>
      <c r="AD85" s="73">
        <v>127.1</v>
      </c>
      <c r="AE85" s="73">
        <v>127.7</v>
      </c>
      <c r="AF85" s="73">
        <v>124.9</v>
      </c>
      <c r="AG85" s="89"/>
      <c r="AH85" s="21">
        <f t="shared" si="14"/>
        <v>128.6</v>
      </c>
      <c r="AI85" s="20">
        <f t="shared" si="15"/>
        <v>123.5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>
        <v>131.4</v>
      </c>
      <c r="C86" s="73">
        <v>131.5</v>
      </c>
      <c r="D86" s="73">
        <v>132.1</v>
      </c>
      <c r="E86" s="73">
        <v>132.4</v>
      </c>
      <c r="F86" s="73">
        <v>132.1</v>
      </c>
      <c r="G86" s="73">
        <v>131.9</v>
      </c>
      <c r="H86" s="73">
        <v>131.9</v>
      </c>
      <c r="I86" s="73">
        <v>130.5</v>
      </c>
      <c r="J86" s="73">
        <v>129.80000000000001</v>
      </c>
      <c r="K86" s="73">
        <v>129.5</v>
      </c>
      <c r="L86" s="73">
        <v>128.5</v>
      </c>
      <c r="M86" s="73">
        <v>128.19999999999999</v>
      </c>
      <c r="N86" s="73">
        <v>128.30000000000001</v>
      </c>
      <c r="O86" s="73">
        <v>127</v>
      </c>
      <c r="P86" s="73">
        <v>126.5</v>
      </c>
      <c r="Q86" s="73">
        <v>127</v>
      </c>
      <c r="R86" s="73">
        <v>126.6</v>
      </c>
      <c r="S86" s="73">
        <v>126.6</v>
      </c>
      <c r="T86" s="73">
        <v>126.6</v>
      </c>
      <c r="U86" s="94">
        <v>128</v>
      </c>
      <c r="V86" s="94">
        <v>129.5</v>
      </c>
      <c r="W86" s="94"/>
      <c r="X86" s="94"/>
      <c r="Y86" s="94">
        <v>129</v>
      </c>
      <c r="Z86" s="94">
        <v>128.80000000000001</v>
      </c>
      <c r="AA86" s="94">
        <v>128</v>
      </c>
      <c r="AB86" s="73">
        <v>129.69999999999999</v>
      </c>
      <c r="AC86" s="73">
        <v>129.6</v>
      </c>
      <c r="AD86" s="73">
        <v>130.19999999999999</v>
      </c>
      <c r="AE86" s="73">
        <v>131.1</v>
      </c>
      <c r="AF86" s="73">
        <v>129.69999999999999</v>
      </c>
      <c r="AG86" s="89"/>
      <c r="AH86" s="21">
        <f t="shared" si="14"/>
        <v>132.4</v>
      </c>
      <c r="AI86" s="20">
        <f t="shared" si="15"/>
        <v>126.5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>
        <v>128.4</v>
      </c>
      <c r="C87" s="73">
        <v>128</v>
      </c>
      <c r="D87" s="73">
        <v>129.30000000000001</v>
      </c>
      <c r="E87" s="73">
        <v>130.9</v>
      </c>
      <c r="F87" s="73">
        <v>129.5</v>
      </c>
      <c r="G87" s="73">
        <v>131.1</v>
      </c>
      <c r="H87" s="73">
        <v>131.1</v>
      </c>
      <c r="I87" s="73">
        <v>130.6</v>
      </c>
      <c r="J87" s="73">
        <v>128.69999999999999</v>
      </c>
      <c r="K87" s="73">
        <v>128.30000000000001</v>
      </c>
      <c r="L87" s="73">
        <v>128</v>
      </c>
      <c r="M87" s="73">
        <v>129</v>
      </c>
      <c r="N87" s="73">
        <v>124.9</v>
      </c>
      <c r="O87" s="73">
        <v>128.19999999999999</v>
      </c>
      <c r="P87" s="73">
        <v>127.5</v>
      </c>
      <c r="Q87" s="73">
        <v>129.80000000000001</v>
      </c>
      <c r="R87" s="73">
        <v>127.8</v>
      </c>
      <c r="S87" s="73">
        <v>127.8</v>
      </c>
      <c r="T87" s="73">
        <v>127.8</v>
      </c>
      <c r="U87" s="73">
        <v>129</v>
      </c>
      <c r="V87" s="73">
        <v>129</v>
      </c>
      <c r="W87" s="73"/>
      <c r="X87" s="94"/>
      <c r="Y87" s="94">
        <v>125</v>
      </c>
      <c r="Z87" s="94">
        <v>126.8</v>
      </c>
      <c r="AA87" s="94">
        <v>126.7</v>
      </c>
      <c r="AB87" s="73">
        <v>126.6</v>
      </c>
      <c r="AC87" s="73">
        <v>124.6</v>
      </c>
      <c r="AD87" s="73">
        <v>126.8</v>
      </c>
      <c r="AE87" s="73">
        <v>128</v>
      </c>
      <c r="AF87" s="73">
        <v>125.5</v>
      </c>
      <c r="AG87" s="89"/>
      <c r="AH87" s="21">
        <f t="shared" si="14"/>
        <v>131.1</v>
      </c>
      <c r="AI87" s="20">
        <f t="shared" si="15"/>
        <v>124.6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>
        <v>133.4</v>
      </c>
      <c r="C88" s="73">
        <v>133.1</v>
      </c>
      <c r="D88" s="73">
        <v>134.5</v>
      </c>
      <c r="E88" s="73">
        <v>135.80000000000001</v>
      </c>
      <c r="F88" s="73">
        <v>134.80000000000001</v>
      </c>
      <c r="G88" s="73">
        <v>135.9</v>
      </c>
      <c r="H88" s="73">
        <v>135.9</v>
      </c>
      <c r="I88" s="73">
        <v>132.4</v>
      </c>
      <c r="J88" s="73">
        <v>129.9</v>
      </c>
      <c r="K88" s="73">
        <v>132.80000000000001</v>
      </c>
      <c r="L88" s="73">
        <v>131.69999999999999</v>
      </c>
      <c r="M88" s="73">
        <v>128.19999999999999</v>
      </c>
      <c r="N88" s="73">
        <v>125.7</v>
      </c>
      <c r="O88" s="73">
        <v>128.80000000000001</v>
      </c>
      <c r="P88" s="73">
        <v>128.80000000000001</v>
      </c>
      <c r="Q88" s="73">
        <v>131.30000000000001</v>
      </c>
      <c r="R88" s="73">
        <v>129.6</v>
      </c>
      <c r="S88" s="73">
        <v>129.6</v>
      </c>
      <c r="T88" s="73">
        <v>129.6</v>
      </c>
      <c r="U88" s="73">
        <v>129.9</v>
      </c>
      <c r="V88" s="73">
        <v>130</v>
      </c>
      <c r="W88" s="73"/>
      <c r="X88" s="94"/>
      <c r="Y88" s="94">
        <v>126.8</v>
      </c>
      <c r="Z88" s="94">
        <v>127.8</v>
      </c>
      <c r="AA88" s="94">
        <v>128.80000000000001</v>
      </c>
      <c r="AB88" s="73">
        <v>129.1</v>
      </c>
      <c r="AC88" s="73">
        <v>128.5</v>
      </c>
      <c r="AD88" s="73">
        <v>130.5</v>
      </c>
      <c r="AE88" s="73">
        <v>132.1</v>
      </c>
      <c r="AF88" s="73">
        <v>130.1</v>
      </c>
      <c r="AG88" s="89"/>
      <c r="AH88" s="21">
        <f t="shared" si="14"/>
        <v>135.9</v>
      </c>
      <c r="AI88" s="20">
        <f t="shared" si="15"/>
        <v>125.7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>
        <v>129.4</v>
      </c>
      <c r="C89" s="66">
        <v>129.1</v>
      </c>
      <c r="D89" s="66">
        <v>133</v>
      </c>
      <c r="E89" s="66">
        <v>136</v>
      </c>
      <c r="F89" s="66">
        <v>132.9</v>
      </c>
      <c r="G89" s="66">
        <v>130.80000000000001</v>
      </c>
      <c r="H89" s="66">
        <v>130.80000000000001</v>
      </c>
      <c r="I89" s="66">
        <v>131.80000000000001</v>
      </c>
      <c r="J89" s="66">
        <v>131.19999999999999</v>
      </c>
      <c r="K89" s="66">
        <v>130.5</v>
      </c>
      <c r="L89" s="66">
        <v>132.80000000000001</v>
      </c>
      <c r="M89" s="66">
        <v>132.4</v>
      </c>
      <c r="N89" s="66">
        <v>133.30000000000001</v>
      </c>
      <c r="O89" s="66">
        <v>131.4</v>
      </c>
      <c r="P89" s="66">
        <v>128.19999999999999</v>
      </c>
      <c r="Q89" s="66">
        <v>130</v>
      </c>
      <c r="R89" s="66">
        <v>129.6</v>
      </c>
      <c r="S89" s="66">
        <v>129.6</v>
      </c>
      <c r="T89" s="66">
        <v>129.6</v>
      </c>
      <c r="U89" s="66">
        <v>132</v>
      </c>
      <c r="V89" s="66">
        <v>135</v>
      </c>
      <c r="W89" s="66"/>
      <c r="X89" s="94"/>
      <c r="Y89" s="94">
        <v>132.4</v>
      </c>
      <c r="Z89" s="94">
        <v>135.9</v>
      </c>
      <c r="AA89" s="94">
        <v>132</v>
      </c>
      <c r="AB89" s="66">
        <v>135.5</v>
      </c>
      <c r="AC89" s="66">
        <v>131.4</v>
      </c>
      <c r="AD89" s="66">
        <v>132.30000000000001</v>
      </c>
      <c r="AE89" s="66">
        <v>133</v>
      </c>
      <c r="AF89" s="66">
        <v>130.4</v>
      </c>
      <c r="AG89" s="91"/>
      <c r="AH89" s="21">
        <f t="shared" si="14"/>
        <v>136</v>
      </c>
      <c r="AI89" s="20">
        <f t="shared" si="15"/>
        <v>128.19999999999999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>
        <v>126.6</v>
      </c>
      <c r="C90" s="73">
        <v>126.3</v>
      </c>
      <c r="D90" s="73">
        <v>131</v>
      </c>
      <c r="E90" s="73">
        <v>132.19999999999999</v>
      </c>
      <c r="F90" s="73">
        <v>133.30000000000001</v>
      </c>
      <c r="G90" s="73">
        <v>130.4</v>
      </c>
      <c r="H90" s="73">
        <v>130.4</v>
      </c>
      <c r="I90" s="73">
        <v>133.19999999999999</v>
      </c>
      <c r="J90" s="73">
        <v>129.19999999999999</v>
      </c>
      <c r="K90" s="73">
        <v>133.5</v>
      </c>
      <c r="L90" s="73">
        <v>128.19999999999999</v>
      </c>
      <c r="M90" s="73">
        <v>132</v>
      </c>
      <c r="N90" s="73">
        <v>129.9</v>
      </c>
      <c r="O90" s="73">
        <v>127.2</v>
      </c>
      <c r="P90" s="73">
        <v>128.4</v>
      </c>
      <c r="Q90" s="73">
        <v>130.69999999999999</v>
      </c>
      <c r="R90" s="73">
        <v>132.4</v>
      </c>
      <c r="S90" s="73">
        <v>132.4</v>
      </c>
      <c r="T90" s="73">
        <v>132.4</v>
      </c>
      <c r="U90" s="73">
        <v>135</v>
      </c>
      <c r="V90" s="73">
        <v>132</v>
      </c>
      <c r="W90" s="73"/>
      <c r="X90" s="94"/>
      <c r="Y90" s="94">
        <v>133</v>
      </c>
      <c r="Z90" s="94">
        <v>130</v>
      </c>
      <c r="AA90" s="94">
        <v>132</v>
      </c>
      <c r="AB90" s="73">
        <v>134.19999999999999</v>
      </c>
      <c r="AC90" s="73">
        <v>134.1</v>
      </c>
      <c r="AD90" s="73">
        <v>134.6</v>
      </c>
      <c r="AE90" s="73">
        <v>134.9</v>
      </c>
      <c r="AF90" s="73">
        <v>133.6</v>
      </c>
      <c r="AG90" s="89"/>
      <c r="AH90" s="21">
        <f t="shared" si="14"/>
        <v>135</v>
      </c>
      <c r="AI90" s="20">
        <f t="shared" si="15"/>
        <v>126.3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>
        <v>66.400000000000006</v>
      </c>
      <c r="C91" s="87">
        <v>66.400000000000006</v>
      </c>
      <c r="D91" s="87">
        <v>66.7</v>
      </c>
      <c r="E91" s="87">
        <v>66.8</v>
      </c>
      <c r="F91" s="87">
        <v>66.7</v>
      </c>
      <c r="G91" s="87">
        <v>66.5</v>
      </c>
      <c r="H91" s="87">
        <v>66.5</v>
      </c>
      <c r="I91" s="87">
        <v>65.7</v>
      </c>
      <c r="J91" s="87">
        <v>65.599999999999994</v>
      </c>
      <c r="K91" s="87">
        <v>65.400000000000006</v>
      </c>
      <c r="L91" s="87">
        <v>64.900000000000006</v>
      </c>
      <c r="M91" s="87">
        <v>64.7</v>
      </c>
      <c r="N91" s="87">
        <v>64.7</v>
      </c>
      <c r="O91" s="87">
        <v>64.2</v>
      </c>
      <c r="P91" s="87">
        <v>63.7</v>
      </c>
      <c r="Q91" s="87">
        <v>63.9</v>
      </c>
      <c r="R91" s="87">
        <v>63.7</v>
      </c>
      <c r="S91" s="87">
        <v>63.7</v>
      </c>
      <c r="T91" s="87">
        <v>63.7</v>
      </c>
      <c r="U91" s="87"/>
      <c r="V91" s="87">
        <v>65.2</v>
      </c>
      <c r="W91" s="87"/>
      <c r="X91" s="87"/>
      <c r="Y91" s="87">
        <v>65</v>
      </c>
      <c r="Z91" s="87">
        <v>64.8</v>
      </c>
      <c r="AA91" s="87">
        <v>64.5</v>
      </c>
      <c r="AB91" s="87">
        <v>65.5</v>
      </c>
      <c r="AC91" s="87">
        <v>65.8</v>
      </c>
      <c r="AD91" s="87">
        <v>66</v>
      </c>
      <c r="AE91" s="87">
        <v>66.5</v>
      </c>
      <c r="AF91" s="87">
        <v>65.900000000000006</v>
      </c>
      <c r="AG91" s="86"/>
      <c r="AH91" s="21">
        <f t="shared" si="14"/>
        <v>66.8</v>
      </c>
      <c r="AI91" s="20">
        <f t="shared" si="15"/>
        <v>63.7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2">SUM(B15,B18,B21:B22,B42,B44:B45,B47,B49,B94:B97,B103,B109,B115,B124,B126,B138,B145,B148:B149,B156,B158,B160,B164:B166,B168:B170,B175,B181:B182,B184:B186,B194,B199)</f>
        <v>186.63999999999996</v>
      </c>
      <c r="C93" s="82">
        <f t="shared" si="22"/>
        <v>178.53999999999996</v>
      </c>
      <c r="D93" s="82">
        <f t="shared" si="22"/>
        <v>170.93999999999997</v>
      </c>
      <c r="E93" s="82">
        <f t="shared" si="22"/>
        <v>168.33999999999997</v>
      </c>
      <c r="F93" s="82">
        <f t="shared" si="22"/>
        <v>173.83999999999997</v>
      </c>
      <c r="G93" s="80">
        <f t="shared" si="22"/>
        <v>195.83999999999995</v>
      </c>
      <c r="H93" s="80">
        <f t="shared" si="22"/>
        <v>195.83999999999995</v>
      </c>
      <c r="I93" s="80">
        <f t="shared" si="22"/>
        <v>251.13999999999996</v>
      </c>
      <c r="J93" s="80">
        <f t="shared" si="22"/>
        <v>286.33999999999997</v>
      </c>
      <c r="K93" s="80">
        <f t="shared" si="22"/>
        <v>308.84000000000003</v>
      </c>
      <c r="L93" s="80">
        <f t="shared" si="22"/>
        <v>327.04000000000002</v>
      </c>
      <c r="M93" s="80">
        <f t="shared" si="22"/>
        <v>341.24</v>
      </c>
      <c r="N93" s="80">
        <f t="shared" si="22"/>
        <v>326.54000000000008</v>
      </c>
      <c r="O93" s="80">
        <f t="shared" si="22"/>
        <v>334.44</v>
      </c>
      <c r="P93" s="80">
        <f t="shared" si="22"/>
        <v>322.24</v>
      </c>
      <c r="Q93" s="80">
        <f t="shared" si="22"/>
        <v>323.14000000000004</v>
      </c>
      <c r="R93" s="80">
        <f t="shared" si="22"/>
        <v>320.74</v>
      </c>
      <c r="S93" s="80">
        <f t="shared" si="22"/>
        <v>319.14</v>
      </c>
      <c r="T93" s="80">
        <f t="shared" si="22"/>
        <v>195.13999999999996</v>
      </c>
      <c r="U93" s="80">
        <f t="shared" si="22"/>
        <v>325.94000000000005</v>
      </c>
      <c r="V93" s="80">
        <f t="shared" si="22"/>
        <v>318.94000000000005</v>
      </c>
      <c r="W93" s="80">
        <f t="shared" si="22"/>
        <v>188.93999999999997</v>
      </c>
      <c r="X93" s="80">
        <f t="shared" si="22"/>
        <v>188.93999999999997</v>
      </c>
      <c r="Y93" s="80">
        <f t="shared" si="22"/>
        <v>368.74</v>
      </c>
      <c r="Z93" s="80">
        <f t="shared" si="22"/>
        <v>404.74</v>
      </c>
      <c r="AA93" s="80">
        <f t="shared" si="22"/>
        <v>405.74</v>
      </c>
      <c r="AB93" s="80">
        <f t="shared" si="22"/>
        <v>356.44000000000005</v>
      </c>
      <c r="AC93" s="80">
        <f t="shared" si="22"/>
        <v>307.34000000000003</v>
      </c>
      <c r="AD93" s="80">
        <f t="shared" si="22"/>
        <v>295.94000000000005</v>
      </c>
      <c r="AE93" s="80">
        <f t="shared" si="22"/>
        <v>243.74</v>
      </c>
      <c r="AF93" s="80">
        <f t="shared" si="22"/>
        <v>193.13999999999996</v>
      </c>
      <c r="AG93" s="79"/>
      <c r="AH93" s="21">
        <f>MAX(C93:AF93)</f>
        <v>405.74</v>
      </c>
      <c r="AI93" s="20">
        <f>MIN(C93:AF93)</f>
        <v>168.33999999999997</v>
      </c>
    </row>
    <row r="94" spans="1:88" x14ac:dyDescent="0.25">
      <c r="A94" s="48" t="s">
        <v>122</v>
      </c>
      <c r="B94" s="78">
        <v>-8.8000000000000007</v>
      </c>
      <c r="C94" s="77">
        <v>-9.9</v>
      </c>
      <c r="D94" s="77">
        <v>-5.5</v>
      </c>
      <c r="E94" s="77">
        <v>-8.1</v>
      </c>
      <c r="F94" s="77">
        <v>-6.7</v>
      </c>
      <c r="G94" s="76">
        <v>-3.4</v>
      </c>
      <c r="H94" s="76">
        <v>-3.4</v>
      </c>
      <c r="I94" s="76">
        <v>-20.2</v>
      </c>
      <c r="J94" s="76">
        <v>-9.8000000000000007</v>
      </c>
      <c r="K94" s="76">
        <v>-4.8</v>
      </c>
      <c r="L94" s="76">
        <v>5.6</v>
      </c>
      <c r="M94" s="75">
        <v>6.9</v>
      </c>
      <c r="N94" s="76">
        <v>-3.7</v>
      </c>
      <c r="O94" s="76">
        <v>-17.600000000000001</v>
      </c>
      <c r="P94" s="76">
        <v>-18.600000000000001</v>
      </c>
      <c r="Q94" s="76">
        <v>-20.6</v>
      </c>
      <c r="R94" s="76">
        <v>-29.8</v>
      </c>
      <c r="S94" s="76">
        <v>-33</v>
      </c>
      <c r="T94" s="76"/>
      <c r="U94" s="75">
        <v>-7</v>
      </c>
      <c r="V94" s="75">
        <v>5</v>
      </c>
      <c r="W94" s="75"/>
      <c r="X94" s="76"/>
      <c r="Y94" s="76">
        <v>11</v>
      </c>
      <c r="Z94" s="76">
        <v>7</v>
      </c>
      <c r="AA94" s="76">
        <v>9</v>
      </c>
      <c r="AB94" s="75">
        <v>-6.1</v>
      </c>
      <c r="AC94" s="75">
        <v>-3.6</v>
      </c>
      <c r="AD94" s="75">
        <f>-2.4</f>
        <v>-2.4</v>
      </c>
      <c r="AE94" s="75">
        <v>-8.6999999999999993</v>
      </c>
      <c r="AF94" s="75">
        <v>1.2</v>
      </c>
      <c r="AG94" s="3">
        <v>75</v>
      </c>
      <c r="AH94" s="21">
        <f t="shared" ref="AH94:AH100" si="23">IF(ABS(MAX(C94:AF94))&gt;ABS(MIN(C94:AF94)),MAX(C94:AF94),MIN(C94:AF94))</f>
        <v>-33</v>
      </c>
      <c r="AI94" s="64">
        <f t="shared" ref="AI94:AI100" si="24">INDEX($C$9:$AF$9,1,MATCH(AH94,C94:AF94,0))</f>
        <v>0.58333333333333304</v>
      </c>
    </row>
    <row r="95" spans="1:88" x14ac:dyDescent="0.25">
      <c r="A95" s="45" t="s">
        <v>121</v>
      </c>
      <c r="B95" s="74">
        <v>-61</v>
      </c>
      <c r="C95" s="67">
        <v>-63</v>
      </c>
      <c r="D95" s="67">
        <v>-67</v>
      </c>
      <c r="E95" s="67">
        <v>-67</v>
      </c>
      <c r="F95" s="67">
        <v>-64</v>
      </c>
      <c r="G95" s="67">
        <v>-54</v>
      </c>
      <c r="H95" s="67">
        <v>-54</v>
      </c>
      <c r="I95" s="67">
        <v>-10.3</v>
      </c>
      <c r="J95" s="67">
        <v>3</v>
      </c>
      <c r="K95" s="67">
        <v>8.6</v>
      </c>
      <c r="L95" s="67">
        <v>14.4</v>
      </c>
      <c r="M95" s="67">
        <v>18</v>
      </c>
      <c r="N95" s="67">
        <v>15.3</v>
      </c>
      <c r="O95" s="67">
        <v>18.100000000000001</v>
      </c>
      <c r="P95" s="67">
        <v>12.1</v>
      </c>
      <c r="Q95" s="67">
        <v>11.6</v>
      </c>
      <c r="R95" s="67">
        <v>14.5</v>
      </c>
      <c r="S95" s="67">
        <v>15</v>
      </c>
      <c r="T95" s="67"/>
      <c r="U95" s="67">
        <v>19</v>
      </c>
      <c r="V95" s="67">
        <v>9</v>
      </c>
      <c r="W95" s="67"/>
      <c r="X95" s="67"/>
      <c r="Y95" s="67">
        <v>17</v>
      </c>
      <c r="Z95" s="67">
        <v>33.5</v>
      </c>
      <c r="AA95" s="67">
        <v>40</v>
      </c>
      <c r="AB95" s="73">
        <v>26</v>
      </c>
      <c r="AC95" s="73">
        <f>2.6-2.9</f>
        <v>-0.29999999999999982</v>
      </c>
      <c r="AD95" s="73">
        <f>0.2-5.5</f>
        <v>-5.3</v>
      </c>
      <c r="AE95" s="73">
        <f>-5.5-15.6</f>
        <v>-21.1</v>
      </c>
      <c r="AF95" s="73">
        <f>-14-25.1</f>
        <v>-39.1</v>
      </c>
      <c r="AG95" s="3">
        <v>240</v>
      </c>
      <c r="AH95" s="21">
        <f t="shared" si="23"/>
        <v>-67</v>
      </c>
      <c r="AI95" s="64">
        <f t="shared" si="24"/>
        <v>8.3333333333333301E-2</v>
      </c>
    </row>
    <row r="96" spans="1:88" x14ac:dyDescent="0.25">
      <c r="A96" s="45" t="s">
        <v>120</v>
      </c>
      <c r="B96" s="74">
        <v>19.3</v>
      </c>
      <c r="C96" s="67">
        <v>20.7</v>
      </c>
      <c r="D96" s="67">
        <v>21.3</v>
      </c>
      <c r="E96" s="67">
        <v>17.7</v>
      </c>
      <c r="F96" s="67">
        <v>17.8</v>
      </c>
      <c r="G96" s="67">
        <v>20.3</v>
      </c>
      <c r="H96" s="67">
        <v>20.3</v>
      </c>
      <c r="I96" s="67">
        <v>28</v>
      </c>
      <c r="J96" s="67">
        <v>31</v>
      </c>
      <c r="K96" s="67">
        <v>36.5</v>
      </c>
      <c r="L96" s="67">
        <v>34.200000000000003</v>
      </c>
      <c r="M96" s="67">
        <v>34.9</v>
      </c>
      <c r="N96" s="67">
        <v>31.4</v>
      </c>
      <c r="O96" s="67">
        <v>31.7</v>
      </c>
      <c r="P96" s="67">
        <v>29.1</v>
      </c>
      <c r="Q96" s="67">
        <v>33.200000000000003</v>
      </c>
      <c r="R96" s="67">
        <v>33.9</v>
      </c>
      <c r="S96" s="67">
        <v>35</v>
      </c>
      <c r="T96" s="67"/>
      <c r="U96" s="67">
        <v>41</v>
      </c>
      <c r="V96" s="67">
        <v>32</v>
      </c>
      <c r="W96" s="67"/>
      <c r="X96" s="67"/>
      <c r="Y96" s="67">
        <v>48</v>
      </c>
      <c r="Z96" s="67">
        <v>50.8</v>
      </c>
      <c r="AA96" s="67">
        <v>51</v>
      </c>
      <c r="AB96" s="73">
        <v>47.2</v>
      </c>
      <c r="AC96" s="73">
        <v>36.299999999999997</v>
      </c>
      <c r="AD96" s="73">
        <v>35.200000000000003</v>
      </c>
      <c r="AE96" s="73">
        <v>36.700000000000003</v>
      </c>
      <c r="AF96" s="73">
        <v>23.1</v>
      </c>
      <c r="AG96" s="3">
        <v>60</v>
      </c>
      <c r="AH96" s="21">
        <f t="shared" si="23"/>
        <v>51</v>
      </c>
      <c r="AI96" s="64">
        <f t="shared" si="24"/>
        <v>0.8125</v>
      </c>
    </row>
    <row r="97" spans="1:37" x14ac:dyDescent="0.25">
      <c r="A97" s="41" t="s">
        <v>119</v>
      </c>
      <c r="B97" s="71">
        <v>47.1</v>
      </c>
      <c r="C97" s="70">
        <v>40.700000000000003</v>
      </c>
      <c r="D97" s="70">
        <v>32.1</v>
      </c>
      <c r="E97" s="70">
        <v>35.700000000000003</v>
      </c>
      <c r="F97" s="70">
        <v>36.700000000000003</v>
      </c>
      <c r="G97" s="70">
        <v>42.9</v>
      </c>
      <c r="H97" s="70">
        <v>42.9</v>
      </c>
      <c r="I97" s="70">
        <v>63.9</v>
      </c>
      <c r="J97" s="70">
        <v>72.400000000000006</v>
      </c>
      <c r="K97" s="70">
        <v>78.5</v>
      </c>
      <c r="L97" s="70">
        <v>82.8</v>
      </c>
      <c r="M97" s="70">
        <v>86.3</v>
      </c>
      <c r="N97" s="70">
        <v>88.4</v>
      </c>
      <c r="O97" s="70">
        <v>107</v>
      </c>
      <c r="P97" s="70">
        <v>104.5</v>
      </c>
      <c r="Q97" s="70">
        <v>103.8</v>
      </c>
      <c r="R97" s="70">
        <v>107</v>
      </c>
      <c r="S97" s="70">
        <v>107</v>
      </c>
      <c r="T97" s="70"/>
      <c r="U97" s="70">
        <v>79</v>
      </c>
      <c r="V97" s="70">
        <v>84</v>
      </c>
      <c r="W97" s="70"/>
      <c r="X97" s="70"/>
      <c r="Y97" s="70">
        <v>104</v>
      </c>
      <c r="Z97" s="70">
        <v>124</v>
      </c>
      <c r="AA97" s="70">
        <v>117</v>
      </c>
      <c r="AB97" s="69">
        <v>100.3</v>
      </c>
      <c r="AC97" s="69">
        <v>85.9</v>
      </c>
      <c r="AD97" s="69">
        <v>79.400000000000006</v>
      </c>
      <c r="AE97" s="69">
        <v>47.8</v>
      </c>
      <c r="AF97" s="69">
        <v>18.899999999999999</v>
      </c>
      <c r="AG97" s="72">
        <v>120</v>
      </c>
      <c r="AH97" s="21">
        <f t="shared" si="23"/>
        <v>124</v>
      </c>
      <c r="AI97" s="64">
        <f t="shared" si="24"/>
        <v>0.79166666666666663</v>
      </c>
    </row>
    <row r="98" spans="1:37" x14ac:dyDescent="0.25">
      <c r="A98" s="41" t="s">
        <v>118</v>
      </c>
      <c r="B98" s="71">
        <v>55</v>
      </c>
      <c r="C98" s="70">
        <v>50.8</v>
      </c>
      <c r="D98" s="70">
        <v>47.1</v>
      </c>
      <c r="E98" s="70">
        <v>49.9</v>
      </c>
      <c r="F98" s="70">
        <v>48.7</v>
      </c>
      <c r="G98" s="70">
        <v>51.8</v>
      </c>
      <c r="H98" s="70">
        <v>51.8</v>
      </c>
      <c r="I98" s="70">
        <v>59.9</v>
      </c>
      <c r="J98" s="70">
        <v>64.3</v>
      </c>
      <c r="K98" s="70">
        <v>68.400000000000006</v>
      </c>
      <c r="L98" s="70">
        <v>70.900000000000006</v>
      </c>
      <c r="M98" s="70">
        <v>73.599999999999994</v>
      </c>
      <c r="N98" s="70">
        <v>85</v>
      </c>
      <c r="O98" s="70">
        <v>101.6</v>
      </c>
      <c r="P98" s="70">
        <v>101.9</v>
      </c>
      <c r="Q98" s="70">
        <v>100</v>
      </c>
      <c r="R98" s="70">
        <v>108.6</v>
      </c>
      <c r="S98" s="70">
        <v>108.6</v>
      </c>
      <c r="T98" s="70"/>
      <c r="U98" s="70">
        <v>83</v>
      </c>
      <c r="V98" s="70">
        <v>74</v>
      </c>
      <c r="W98" s="70"/>
      <c r="X98" s="70"/>
      <c r="Y98" s="70">
        <v>66</v>
      </c>
      <c r="Z98" s="70">
        <v>88.5</v>
      </c>
      <c r="AA98" s="70">
        <v>104</v>
      </c>
      <c r="AB98" s="69">
        <v>94</v>
      </c>
      <c r="AC98" s="69">
        <v>84.8</v>
      </c>
      <c r="AD98" s="69">
        <v>78.099999999999994</v>
      </c>
      <c r="AE98" s="69">
        <v>64.7</v>
      </c>
      <c r="AF98" s="69">
        <v>78.3</v>
      </c>
      <c r="AG98" s="72"/>
      <c r="AH98" s="21">
        <f t="shared" si="23"/>
        <v>108.6</v>
      </c>
      <c r="AI98" s="64">
        <f t="shared" si="24"/>
        <v>0.54166666666666696</v>
      </c>
    </row>
    <row r="99" spans="1:37" x14ac:dyDescent="0.25">
      <c r="A99" s="41" t="s">
        <v>117</v>
      </c>
      <c r="B99" s="71">
        <v>88.5</v>
      </c>
      <c r="C99" s="70">
        <v>90.5</v>
      </c>
      <c r="D99" s="70">
        <v>84.6</v>
      </c>
      <c r="E99" s="70">
        <v>81</v>
      </c>
      <c r="F99" s="70">
        <v>85.9</v>
      </c>
      <c r="G99" s="70">
        <v>83</v>
      </c>
      <c r="H99" s="70">
        <v>83</v>
      </c>
      <c r="I99" s="70">
        <v>81.8</v>
      </c>
      <c r="J99" s="70">
        <v>70.099999999999994</v>
      </c>
      <c r="K99" s="70">
        <v>79.599999999999994</v>
      </c>
      <c r="L99" s="70">
        <v>66</v>
      </c>
      <c r="M99" s="70">
        <v>64.2</v>
      </c>
      <c r="N99" s="70">
        <v>63.2</v>
      </c>
      <c r="O99" s="70">
        <v>69.2</v>
      </c>
      <c r="P99" s="70">
        <v>70.7</v>
      </c>
      <c r="Q99" s="70">
        <v>70.3</v>
      </c>
      <c r="R99" s="70">
        <v>74.3</v>
      </c>
      <c r="S99" s="70">
        <v>74.3</v>
      </c>
      <c r="T99" s="70"/>
      <c r="U99" s="70">
        <v>74</v>
      </c>
      <c r="V99" s="70">
        <v>56</v>
      </c>
      <c r="W99" s="70"/>
      <c r="X99" s="70"/>
      <c r="Y99" s="70">
        <v>55</v>
      </c>
      <c r="Z99" s="70">
        <v>61.4</v>
      </c>
      <c r="AA99" s="70">
        <v>78</v>
      </c>
      <c r="AB99" s="69">
        <v>77.400000000000006</v>
      </c>
      <c r="AC99" s="69">
        <v>79</v>
      </c>
      <c r="AD99" s="69">
        <v>76.2</v>
      </c>
      <c r="AE99" s="69">
        <v>80.099999999999994</v>
      </c>
      <c r="AF99" s="69">
        <v>83.2</v>
      </c>
      <c r="AG99" s="65"/>
      <c r="AH99" s="21">
        <f t="shared" si="23"/>
        <v>90.5</v>
      </c>
      <c r="AI99" s="64">
        <f t="shared" si="24"/>
        <v>4.1666666666666664E-2</v>
      </c>
    </row>
    <row r="100" spans="1:37" ht="15.75" thickBot="1" x14ac:dyDescent="0.3">
      <c r="A100" s="68" t="s">
        <v>116</v>
      </c>
      <c r="B100" s="66">
        <v>78.3</v>
      </c>
      <c r="C100" s="67">
        <v>77.3</v>
      </c>
      <c r="D100" s="67">
        <v>74.099999999999994</v>
      </c>
      <c r="E100" s="67">
        <v>71.599999999999994</v>
      </c>
      <c r="F100" s="67">
        <v>72.3</v>
      </c>
      <c r="G100" s="67">
        <v>76</v>
      </c>
      <c r="H100" s="67">
        <v>76</v>
      </c>
      <c r="I100" s="67">
        <v>17.100000000000001</v>
      </c>
      <c r="J100" s="67">
        <v>21</v>
      </c>
      <c r="K100" s="67">
        <v>24.4</v>
      </c>
      <c r="L100" s="67">
        <v>31</v>
      </c>
      <c r="M100" s="67">
        <v>30.9</v>
      </c>
      <c r="N100" s="67">
        <v>7.8</v>
      </c>
      <c r="O100" s="67">
        <v>8.4</v>
      </c>
      <c r="P100" s="67">
        <v>9</v>
      </c>
      <c r="Q100" s="67">
        <v>7.6</v>
      </c>
      <c r="R100" s="67">
        <v>6.9</v>
      </c>
      <c r="S100" s="67">
        <v>6.9</v>
      </c>
      <c r="T100" s="67"/>
      <c r="U100" s="67">
        <v>7.5</v>
      </c>
      <c r="V100" s="67">
        <v>8</v>
      </c>
      <c r="W100" s="67"/>
      <c r="X100" s="67"/>
      <c r="Y100" s="67">
        <v>97</v>
      </c>
      <c r="Z100" s="67">
        <v>111</v>
      </c>
      <c r="AA100" s="67">
        <v>105</v>
      </c>
      <c r="AB100" s="66">
        <v>100</v>
      </c>
      <c r="AC100" s="66">
        <v>100.7</v>
      </c>
      <c r="AD100" s="66">
        <v>99.4</v>
      </c>
      <c r="AE100" s="66">
        <v>65.7</v>
      </c>
      <c r="AF100" s="66">
        <v>94.1</v>
      </c>
      <c r="AG100" s="65"/>
      <c r="AH100" s="21">
        <f t="shared" si="23"/>
        <v>111</v>
      </c>
      <c r="AI100" s="64">
        <f t="shared" si="24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5">AF102</f>
        <v>9.9</v>
      </c>
      <c r="C102" s="54">
        <v>9.9</v>
      </c>
      <c r="D102" s="58">
        <f t="shared" ref="D102:S107" si="26">C102</f>
        <v>9.9</v>
      </c>
      <c r="E102" s="58">
        <f t="shared" si="26"/>
        <v>9.9</v>
      </c>
      <c r="F102" s="58">
        <f t="shared" si="26"/>
        <v>9.9</v>
      </c>
      <c r="G102" s="58">
        <f t="shared" si="26"/>
        <v>9.9</v>
      </c>
      <c r="H102" s="58">
        <f t="shared" si="26"/>
        <v>9.9</v>
      </c>
      <c r="I102" s="58">
        <f t="shared" si="26"/>
        <v>9.9</v>
      </c>
      <c r="J102" s="58">
        <f t="shared" si="26"/>
        <v>9.9</v>
      </c>
      <c r="K102" s="58">
        <f t="shared" si="26"/>
        <v>9.9</v>
      </c>
      <c r="L102" s="58">
        <f t="shared" si="26"/>
        <v>9.9</v>
      </c>
      <c r="M102" s="58">
        <f t="shared" si="26"/>
        <v>9.9</v>
      </c>
      <c r="N102" s="58">
        <f t="shared" si="26"/>
        <v>9.9</v>
      </c>
      <c r="O102" s="58">
        <f t="shared" si="26"/>
        <v>9.9</v>
      </c>
      <c r="P102" s="58">
        <f t="shared" si="26"/>
        <v>9.9</v>
      </c>
      <c r="Q102" s="58">
        <f t="shared" si="26"/>
        <v>9.9</v>
      </c>
      <c r="R102" s="58">
        <f t="shared" si="26"/>
        <v>9.9</v>
      </c>
      <c r="S102" s="58">
        <f t="shared" si="26"/>
        <v>9.9</v>
      </c>
      <c r="T102" s="58">
        <f t="shared" ref="T102:AF107" si="27">S102</f>
        <v>9.9</v>
      </c>
      <c r="U102" s="58">
        <f t="shared" si="27"/>
        <v>9.9</v>
      </c>
      <c r="V102" s="58">
        <f t="shared" si="27"/>
        <v>9.9</v>
      </c>
      <c r="W102" s="58">
        <f t="shared" si="27"/>
        <v>9.9</v>
      </c>
      <c r="X102" s="58">
        <f t="shared" si="27"/>
        <v>9.9</v>
      </c>
      <c r="Y102" s="58">
        <f t="shared" si="27"/>
        <v>9.9</v>
      </c>
      <c r="Z102" s="58">
        <f t="shared" si="27"/>
        <v>9.9</v>
      </c>
      <c r="AA102" s="58">
        <f t="shared" si="27"/>
        <v>9.9</v>
      </c>
      <c r="AB102" s="58">
        <f t="shared" si="27"/>
        <v>9.9</v>
      </c>
      <c r="AC102" s="58">
        <f t="shared" si="27"/>
        <v>9.9</v>
      </c>
      <c r="AD102" s="58">
        <f t="shared" si="27"/>
        <v>9.9</v>
      </c>
      <c r="AE102" s="58">
        <f t="shared" si="27"/>
        <v>9.9</v>
      </c>
      <c r="AF102" s="58">
        <f t="shared" si="27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5"/>
        <v>9.6</v>
      </c>
      <c r="C103" s="55">
        <v>9.6</v>
      </c>
      <c r="D103" s="44">
        <f t="shared" si="26"/>
        <v>9.6</v>
      </c>
      <c r="E103" s="44">
        <f t="shared" si="26"/>
        <v>9.6</v>
      </c>
      <c r="F103" s="44">
        <f t="shared" si="26"/>
        <v>9.6</v>
      </c>
      <c r="G103" s="44">
        <f t="shared" si="26"/>
        <v>9.6</v>
      </c>
      <c r="H103" s="44">
        <f t="shared" si="26"/>
        <v>9.6</v>
      </c>
      <c r="I103" s="44">
        <f t="shared" si="26"/>
        <v>9.6</v>
      </c>
      <c r="J103" s="44">
        <f t="shared" si="26"/>
        <v>9.6</v>
      </c>
      <c r="K103" s="44">
        <f t="shared" si="26"/>
        <v>9.6</v>
      </c>
      <c r="L103" s="44">
        <f t="shared" si="26"/>
        <v>9.6</v>
      </c>
      <c r="M103" s="44">
        <f t="shared" si="26"/>
        <v>9.6</v>
      </c>
      <c r="N103" s="44">
        <f t="shared" si="26"/>
        <v>9.6</v>
      </c>
      <c r="O103" s="44">
        <f t="shared" si="26"/>
        <v>9.6</v>
      </c>
      <c r="P103" s="44">
        <f t="shared" si="26"/>
        <v>9.6</v>
      </c>
      <c r="Q103" s="44">
        <f t="shared" si="26"/>
        <v>9.6</v>
      </c>
      <c r="R103" s="44">
        <f t="shared" si="26"/>
        <v>9.6</v>
      </c>
      <c r="S103" s="44">
        <f t="shared" si="26"/>
        <v>9.6</v>
      </c>
      <c r="T103" s="44">
        <f t="shared" si="27"/>
        <v>9.6</v>
      </c>
      <c r="U103" s="44">
        <f t="shared" si="27"/>
        <v>9.6</v>
      </c>
      <c r="V103" s="44">
        <f t="shared" si="27"/>
        <v>9.6</v>
      </c>
      <c r="W103" s="44">
        <f t="shared" si="27"/>
        <v>9.6</v>
      </c>
      <c r="X103" s="44">
        <f t="shared" si="27"/>
        <v>9.6</v>
      </c>
      <c r="Y103" s="44">
        <f t="shared" si="27"/>
        <v>9.6</v>
      </c>
      <c r="Z103" s="44">
        <f t="shared" si="27"/>
        <v>9.6</v>
      </c>
      <c r="AA103" s="44">
        <f t="shared" si="27"/>
        <v>9.6</v>
      </c>
      <c r="AB103" s="44">
        <f t="shared" si="27"/>
        <v>9.6</v>
      </c>
      <c r="AC103" s="44">
        <f t="shared" si="27"/>
        <v>9.6</v>
      </c>
      <c r="AD103" s="44">
        <f t="shared" si="27"/>
        <v>9.6</v>
      </c>
      <c r="AE103" s="44">
        <f t="shared" si="27"/>
        <v>9.6</v>
      </c>
      <c r="AF103" s="44">
        <f t="shared" si="27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5"/>
        <v>9.98</v>
      </c>
      <c r="C104" s="55">
        <v>9.98</v>
      </c>
      <c r="D104" s="44">
        <f t="shared" si="26"/>
        <v>9.98</v>
      </c>
      <c r="E104" s="44">
        <f t="shared" si="26"/>
        <v>9.98</v>
      </c>
      <c r="F104" s="44">
        <f t="shared" si="26"/>
        <v>9.98</v>
      </c>
      <c r="G104" s="44">
        <f t="shared" si="26"/>
        <v>9.98</v>
      </c>
      <c r="H104" s="44">
        <f t="shared" si="26"/>
        <v>9.98</v>
      </c>
      <c r="I104" s="44">
        <f t="shared" si="26"/>
        <v>9.98</v>
      </c>
      <c r="J104" s="44">
        <f t="shared" si="26"/>
        <v>9.98</v>
      </c>
      <c r="K104" s="44">
        <f t="shared" si="26"/>
        <v>9.98</v>
      </c>
      <c r="L104" s="44">
        <f t="shared" si="26"/>
        <v>9.98</v>
      </c>
      <c r="M104" s="44">
        <f t="shared" si="26"/>
        <v>9.98</v>
      </c>
      <c r="N104" s="44">
        <f t="shared" si="26"/>
        <v>9.98</v>
      </c>
      <c r="O104" s="44">
        <f t="shared" si="26"/>
        <v>9.98</v>
      </c>
      <c r="P104" s="44">
        <f t="shared" si="26"/>
        <v>9.98</v>
      </c>
      <c r="Q104" s="44">
        <f t="shared" si="26"/>
        <v>9.98</v>
      </c>
      <c r="R104" s="44">
        <f t="shared" si="26"/>
        <v>9.98</v>
      </c>
      <c r="S104" s="44">
        <f t="shared" si="26"/>
        <v>9.98</v>
      </c>
      <c r="T104" s="44">
        <f t="shared" si="27"/>
        <v>9.98</v>
      </c>
      <c r="U104" s="44">
        <f t="shared" si="27"/>
        <v>9.98</v>
      </c>
      <c r="V104" s="44">
        <f t="shared" si="27"/>
        <v>9.98</v>
      </c>
      <c r="W104" s="44">
        <f t="shared" si="27"/>
        <v>9.98</v>
      </c>
      <c r="X104" s="44">
        <f t="shared" si="27"/>
        <v>9.98</v>
      </c>
      <c r="Y104" s="44">
        <f t="shared" si="27"/>
        <v>9.98</v>
      </c>
      <c r="Z104" s="44">
        <f t="shared" si="27"/>
        <v>9.98</v>
      </c>
      <c r="AA104" s="44">
        <f t="shared" si="27"/>
        <v>9.98</v>
      </c>
      <c r="AB104" s="44">
        <f t="shared" si="27"/>
        <v>9.98</v>
      </c>
      <c r="AC104" s="44">
        <f t="shared" si="27"/>
        <v>9.98</v>
      </c>
      <c r="AD104" s="44">
        <f t="shared" si="27"/>
        <v>9.98</v>
      </c>
      <c r="AE104" s="44">
        <f t="shared" si="27"/>
        <v>9.98</v>
      </c>
      <c r="AF104" s="44">
        <f t="shared" si="27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5"/>
        <v>9.1</v>
      </c>
      <c r="C105" s="55">
        <v>9.1</v>
      </c>
      <c r="D105" s="44">
        <f t="shared" si="26"/>
        <v>9.1</v>
      </c>
      <c r="E105" s="44">
        <f t="shared" si="26"/>
        <v>9.1</v>
      </c>
      <c r="F105" s="44">
        <f t="shared" si="26"/>
        <v>9.1</v>
      </c>
      <c r="G105" s="44">
        <f t="shared" si="26"/>
        <v>9.1</v>
      </c>
      <c r="H105" s="44">
        <f t="shared" si="26"/>
        <v>9.1</v>
      </c>
      <c r="I105" s="44">
        <f t="shared" si="26"/>
        <v>9.1</v>
      </c>
      <c r="J105" s="44">
        <f t="shared" si="26"/>
        <v>9.1</v>
      </c>
      <c r="K105" s="44">
        <f t="shared" si="26"/>
        <v>9.1</v>
      </c>
      <c r="L105" s="44">
        <f t="shared" si="26"/>
        <v>9.1</v>
      </c>
      <c r="M105" s="44">
        <f t="shared" si="26"/>
        <v>9.1</v>
      </c>
      <c r="N105" s="44">
        <f t="shared" si="26"/>
        <v>9.1</v>
      </c>
      <c r="O105" s="44">
        <f t="shared" si="26"/>
        <v>9.1</v>
      </c>
      <c r="P105" s="44">
        <f t="shared" si="26"/>
        <v>9.1</v>
      </c>
      <c r="Q105" s="44">
        <f t="shared" si="26"/>
        <v>9.1</v>
      </c>
      <c r="R105" s="44">
        <f t="shared" si="26"/>
        <v>9.1</v>
      </c>
      <c r="S105" s="44">
        <f t="shared" si="26"/>
        <v>9.1</v>
      </c>
      <c r="T105" s="44">
        <f t="shared" si="27"/>
        <v>9.1</v>
      </c>
      <c r="U105" s="44">
        <f t="shared" si="27"/>
        <v>9.1</v>
      </c>
      <c r="V105" s="44">
        <f t="shared" si="27"/>
        <v>9.1</v>
      </c>
      <c r="W105" s="44">
        <f t="shared" si="27"/>
        <v>9.1</v>
      </c>
      <c r="X105" s="44">
        <f t="shared" si="27"/>
        <v>9.1</v>
      </c>
      <c r="Y105" s="44">
        <f t="shared" si="27"/>
        <v>9.1</v>
      </c>
      <c r="Z105" s="44">
        <f t="shared" si="27"/>
        <v>9.1</v>
      </c>
      <c r="AA105" s="44">
        <f t="shared" si="27"/>
        <v>9.1</v>
      </c>
      <c r="AB105" s="44">
        <f t="shared" si="27"/>
        <v>9.1</v>
      </c>
      <c r="AC105" s="44">
        <f t="shared" si="27"/>
        <v>9.1</v>
      </c>
      <c r="AD105" s="44">
        <f t="shared" si="27"/>
        <v>9.1</v>
      </c>
      <c r="AE105" s="44">
        <f t="shared" si="27"/>
        <v>9.1</v>
      </c>
      <c r="AF105" s="44">
        <f t="shared" si="27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5"/>
        <v>9.18</v>
      </c>
      <c r="C106" s="55">
        <v>9.18</v>
      </c>
      <c r="D106" s="44">
        <f t="shared" si="26"/>
        <v>9.18</v>
      </c>
      <c r="E106" s="44">
        <f t="shared" si="26"/>
        <v>9.18</v>
      </c>
      <c r="F106" s="44">
        <f t="shared" si="26"/>
        <v>9.18</v>
      </c>
      <c r="G106" s="44">
        <f t="shared" si="26"/>
        <v>9.18</v>
      </c>
      <c r="H106" s="44">
        <f t="shared" si="26"/>
        <v>9.18</v>
      </c>
      <c r="I106" s="44">
        <f t="shared" si="26"/>
        <v>9.18</v>
      </c>
      <c r="J106" s="44">
        <f t="shared" si="26"/>
        <v>9.18</v>
      </c>
      <c r="K106" s="44">
        <f t="shared" si="26"/>
        <v>9.18</v>
      </c>
      <c r="L106" s="44">
        <f t="shared" si="26"/>
        <v>9.18</v>
      </c>
      <c r="M106" s="44">
        <f t="shared" si="26"/>
        <v>9.18</v>
      </c>
      <c r="N106" s="44">
        <f t="shared" si="26"/>
        <v>9.18</v>
      </c>
      <c r="O106" s="44">
        <f t="shared" si="26"/>
        <v>9.18</v>
      </c>
      <c r="P106" s="44">
        <f t="shared" si="26"/>
        <v>9.18</v>
      </c>
      <c r="Q106" s="44">
        <f t="shared" si="26"/>
        <v>9.18</v>
      </c>
      <c r="R106" s="44">
        <f t="shared" si="26"/>
        <v>9.18</v>
      </c>
      <c r="S106" s="44">
        <f t="shared" si="26"/>
        <v>9.18</v>
      </c>
      <c r="T106" s="44">
        <f t="shared" si="27"/>
        <v>9.18</v>
      </c>
      <c r="U106" s="44">
        <f t="shared" si="27"/>
        <v>9.18</v>
      </c>
      <c r="V106" s="44">
        <f t="shared" si="27"/>
        <v>9.18</v>
      </c>
      <c r="W106" s="44">
        <f t="shared" si="27"/>
        <v>9.18</v>
      </c>
      <c r="X106" s="44">
        <f t="shared" si="27"/>
        <v>9.18</v>
      </c>
      <c r="Y106" s="44">
        <f t="shared" si="27"/>
        <v>9.18</v>
      </c>
      <c r="Z106" s="44">
        <f t="shared" si="27"/>
        <v>9.18</v>
      </c>
      <c r="AA106" s="44">
        <f t="shared" si="27"/>
        <v>9.18</v>
      </c>
      <c r="AB106" s="44">
        <f t="shared" si="27"/>
        <v>9.18</v>
      </c>
      <c r="AC106" s="44">
        <f t="shared" si="27"/>
        <v>9.18</v>
      </c>
      <c r="AD106" s="44">
        <f t="shared" si="27"/>
        <v>9.18</v>
      </c>
      <c r="AE106" s="44">
        <f t="shared" si="27"/>
        <v>9.18</v>
      </c>
      <c r="AF106" s="44">
        <f t="shared" si="27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5"/>
        <v>7</v>
      </c>
      <c r="C107" s="55">
        <v>7</v>
      </c>
      <c r="D107" s="44">
        <f t="shared" si="26"/>
        <v>7</v>
      </c>
      <c r="E107" s="44">
        <f t="shared" si="26"/>
        <v>7</v>
      </c>
      <c r="F107" s="44">
        <f t="shared" si="26"/>
        <v>7</v>
      </c>
      <c r="G107" s="44">
        <f t="shared" si="26"/>
        <v>7</v>
      </c>
      <c r="H107" s="44">
        <f t="shared" si="26"/>
        <v>7</v>
      </c>
      <c r="I107" s="44">
        <f t="shared" si="26"/>
        <v>7</v>
      </c>
      <c r="J107" s="44">
        <f t="shared" si="26"/>
        <v>7</v>
      </c>
      <c r="K107" s="44">
        <f t="shared" si="26"/>
        <v>7</v>
      </c>
      <c r="L107" s="44">
        <f t="shared" si="26"/>
        <v>7</v>
      </c>
      <c r="M107" s="44">
        <f t="shared" si="26"/>
        <v>7</v>
      </c>
      <c r="N107" s="44">
        <f t="shared" si="26"/>
        <v>7</v>
      </c>
      <c r="O107" s="44">
        <f t="shared" si="26"/>
        <v>7</v>
      </c>
      <c r="P107" s="44">
        <f t="shared" si="26"/>
        <v>7</v>
      </c>
      <c r="Q107" s="44">
        <f t="shared" si="26"/>
        <v>7</v>
      </c>
      <c r="R107" s="44">
        <f t="shared" si="26"/>
        <v>7</v>
      </c>
      <c r="S107" s="44">
        <f t="shared" si="26"/>
        <v>7</v>
      </c>
      <c r="T107" s="44">
        <f t="shared" si="27"/>
        <v>7</v>
      </c>
      <c r="U107" s="44">
        <f t="shared" si="27"/>
        <v>7</v>
      </c>
      <c r="V107" s="44">
        <f t="shared" si="27"/>
        <v>7</v>
      </c>
      <c r="W107" s="44">
        <f t="shared" si="27"/>
        <v>7</v>
      </c>
      <c r="X107" s="44">
        <f t="shared" si="27"/>
        <v>7</v>
      </c>
      <c r="Y107" s="44">
        <f t="shared" si="27"/>
        <v>7</v>
      </c>
      <c r="Z107" s="44">
        <f t="shared" si="27"/>
        <v>7</v>
      </c>
      <c r="AA107" s="44">
        <f t="shared" si="27"/>
        <v>7</v>
      </c>
      <c r="AB107" s="44">
        <f t="shared" si="27"/>
        <v>7</v>
      </c>
      <c r="AC107" s="44">
        <f t="shared" si="27"/>
        <v>7</v>
      </c>
      <c r="AD107" s="44">
        <f t="shared" si="27"/>
        <v>7</v>
      </c>
      <c r="AE107" s="44">
        <f t="shared" si="27"/>
        <v>7</v>
      </c>
      <c r="AF107" s="44">
        <f t="shared" si="27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8">C109</f>
        <v>2.25</v>
      </c>
      <c r="E109" s="44">
        <f t="shared" si="28"/>
        <v>2.25</v>
      </c>
      <c r="F109" s="44">
        <f t="shared" si="28"/>
        <v>2.25</v>
      </c>
      <c r="G109" s="44">
        <f t="shared" si="28"/>
        <v>2.25</v>
      </c>
      <c r="H109" s="44">
        <f t="shared" si="28"/>
        <v>2.25</v>
      </c>
      <c r="I109" s="44">
        <f t="shared" si="28"/>
        <v>2.25</v>
      </c>
      <c r="J109" s="44">
        <f t="shared" si="28"/>
        <v>2.25</v>
      </c>
      <c r="K109" s="44">
        <f t="shared" si="28"/>
        <v>2.25</v>
      </c>
      <c r="L109" s="44">
        <f t="shared" si="28"/>
        <v>2.25</v>
      </c>
      <c r="M109" s="44">
        <f t="shared" si="28"/>
        <v>2.25</v>
      </c>
      <c r="N109" s="44">
        <f t="shared" si="28"/>
        <v>2.25</v>
      </c>
      <c r="O109" s="44">
        <f t="shared" si="28"/>
        <v>2.25</v>
      </c>
      <c r="P109" s="44">
        <f t="shared" si="28"/>
        <v>2.25</v>
      </c>
      <c r="Q109" s="44">
        <f t="shared" si="28"/>
        <v>2.25</v>
      </c>
      <c r="R109" s="44">
        <f t="shared" si="28"/>
        <v>2.25</v>
      </c>
      <c r="S109" s="44">
        <f t="shared" si="28"/>
        <v>2.25</v>
      </c>
      <c r="T109" s="44">
        <f t="shared" ref="T109:AF110" si="29">S109</f>
        <v>2.25</v>
      </c>
      <c r="U109" s="44">
        <f t="shared" si="29"/>
        <v>2.25</v>
      </c>
      <c r="V109" s="44">
        <f t="shared" si="29"/>
        <v>2.25</v>
      </c>
      <c r="W109" s="44">
        <f t="shared" si="29"/>
        <v>2.25</v>
      </c>
      <c r="X109" s="44">
        <f t="shared" si="29"/>
        <v>2.25</v>
      </c>
      <c r="Y109" s="44">
        <f t="shared" si="29"/>
        <v>2.25</v>
      </c>
      <c r="Z109" s="44">
        <f t="shared" si="29"/>
        <v>2.25</v>
      </c>
      <c r="AA109" s="44">
        <f t="shared" si="29"/>
        <v>2.25</v>
      </c>
      <c r="AB109" s="44">
        <f t="shared" si="29"/>
        <v>2.25</v>
      </c>
      <c r="AC109" s="44">
        <f t="shared" si="29"/>
        <v>2.25</v>
      </c>
      <c r="AD109" s="44">
        <f t="shared" si="29"/>
        <v>2.25</v>
      </c>
      <c r="AE109" s="44">
        <f t="shared" si="29"/>
        <v>2.25</v>
      </c>
      <c r="AF109" s="44">
        <f t="shared" si="29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8"/>
        <v>1.64</v>
      </c>
      <c r="E110" s="44">
        <f t="shared" si="28"/>
        <v>1.64</v>
      </c>
      <c r="F110" s="44">
        <f t="shared" si="28"/>
        <v>1.64</v>
      </c>
      <c r="G110" s="44">
        <f t="shared" si="28"/>
        <v>1.64</v>
      </c>
      <c r="H110" s="44">
        <f t="shared" si="28"/>
        <v>1.64</v>
      </c>
      <c r="I110" s="44">
        <f t="shared" si="28"/>
        <v>1.64</v>
      </c>
      <c r="J110" s="44">
        <f t="shared" si="28"/>
        <v>1.64</v>
      </c>
      <c r="K110" s="44">
        <f t="shared" si="28"/>
        <v>1.64</v>
      </c>
      <c r="L110" s="44">
        <f t="shared" si="28"/>
        <v>1.64</v>
      </c>
      <c r="M110" s="44">
        <f t="shared" si="28"/>
        <v>1.64</v>
      </c>
      <c r="N110" s="44">
        <f t="shared" si="28"/>
        <v>1.64</v>
      </c>
      <c r="O110" s="44">
        <f t="shared" si="28"/>
        <v>1.64</v>
      </c>
      <c r="P110" s="44">
        <f t="shared" si="28"/>
        <v>1.64</v>
      </c>
      <c r="Q110" s="44">
        <f t="shared" si="28"/>
        <v>1.64</v>
      </c>
      <c r="R110" s="44">
        <f t="shared" si="28"/>
        <v>1.64</v>
      </c>
      <c r="S110" s="44">
        <f t="shared" si="28"/>
        <v>1.64</v>
      </c>
      <c r="T110" s="44">
        <f t="shared" si="29"/>
        <v>1.64</v>
      </c>
      <c r="U110" s="44">
        <f t="shared" si="29"/>
        <v>1.64</v>
      </c>
      <c r="V110" s="44">
        <f t="shared" si="29"/>
        <v>1.64</v>
      </c>
      <c r="W110" s="44">
        <f t="shared" si="29"/>
        <v>1.64</v>
      </c>
      <c r="X110" s="44">
        <f t="shared" si="29"/>
        <v>1.64</v>
      </c>
      <c r="Y110" s="44">
        <f t="shared" si="29"/>
        <v>1.64</v>
      </c>
      <c r="Z110" s="44">
        <f t="shared" si="29"/>
        <v>1.64</v>
      </c>
      <c r="AA110" s="44">
        <f t="shared" si="29"/>
        <v>1.64</v>
      </c>
      <c r="AB110" s="44">
        <f t="shared" si="29"/>
        <v>1.64</v>
      </c>
      <c r="AC110" s="44">
        <f t="shared" si="29"/>
        <v>1.64</v>
      </c>
      <c r="AD110" s="44">
        <f t="shared" si="29"/>
        <v>1.64</v>
      </c>
      <c r="AE110" s="44">
        <f t="shared" si="29"/>
        <v>1.64</v>
      </c>
      <c r="AF110" s="44">
        <f t="shared" si="29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30">AF112</f>
        <v>1.62</v>
      </c>
      <c r="C112" s="55">
        <v>1.62</v>
      </c>
      <c r="D112" s="44">
        <f t="shared" ref="D112:S119" si="31">C112</f>
        <v>1.62</v>
      </c>
      <c r="E112" s="44">
        <f t="shared" si="31"/>
        <v>1.62</v>
      </c>
      <c r="F112" s="44">
        <f t="shared" si="31"/>
        <v>1.62</v>
      </c>
      <c r="G112" s="44">
        <f t="shared" si="31"/>
        <v>1.62</v>
      </c>
      <c r="H112" s="44">
        <f t="shared" si="31"/>
        <v>1.62</v>
      </c>
      <c r="I112" s="44">
        <f t="shared" si="31"/>
        <v>1.62</v>
      </c>
      <c r="J112" s="44">
        <f t="shared" si="31"/>
        <v>1.62</v>
      </c>
      <c r="K112" s="44">
        <f t="shared" si="31"/>
        <v>1.62</v>
      </c>
      <c r="L112" s="44">
        <f t="shared" si="31"/>
        <v>1.62</v>
      </c>
      <c r="M112" s="44">
        <f t="shared" si="31"/>
        <v>1.62</v>
      </c>
      <c r="N112" s="44">
        <f t="shared" si="31"/>
        <v>1.62</v>
      </c>
      <c r="O112" s="44">
        <f t="shared" si="31"/>
        <v>1.62</v>
      </c>
      <c r="P112" s="44">
        <f t="shared" si="31"/>
        <v>1.62</v>
      </c>
      <c r="Q112" s="44">
        <f t="shared" si="31"/>
        <v>1.62</v>
      </c>
      <c r="R112" s="44">
        <f t="shared" si="31"/>
        <v>1.62</v>
      </c>
      <c r="S112" s="44">
        <f t="shared" si="31"/>
        <v>1.62</v>
      </c>
      <c r="T112" s="44">
        <f t="shared" ref="T112:AF127" si="32">S112</f>
        <v>1.62</v>
      </c>
      <c r="U112" s="44">
        <f t="shared" si="32"/>
        <v>1.62</v>
      </c>
      <c r="V112" s="44">
        <f t="shared" si="32"/>
        <v>1.62</v>
      </c>
      <c r="W112" s="44">
        <f t="shared" si="32"/>
        <v>1.62</v>
      </c>
      <c r="X112" s="44">
        <f t="shared" si="32"/>
        <v>1.62</v>
      </c>
      <c r="Y112" s="44">
        <f t="shared" si="32"/>
        <v>1.62</v>
      </c>
      <c r="Z112" s="44">
        <f t="shared" si="32"/>
        <v>1.62</v>
      </c>
      <c r="AA112" s="44">
        <f t="shared" si="32"/>
        <v>1.62</v>
      </c>
      <c r="AB112" s="44">
        <f t="shared" si="32"/>
        <v>1.62</v>
      </c>
      <c r="AC112" s="44">
        <f t="shared" si="32"/>
        <v>1.62</v>
      </c>
      <c r="AD112" s="44">
        <f t="shared" si="32"/>
        <v>1.62</v>
      </c>
      <c r="AE112" s="44">
        <f t="shared" si="32"/>
        <v>1.62</v>
      </c>
      <c r="AF112" s="44">
        <f t="shared" si="32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30"/>
        <v>8.36</v>
      </c>
      <c r="C113" s="55">
        <v>8.36</v>
      </c>
      <c r="D113" s="44">
        <f t="shared" si="31"/>
        <v>8.36</v>
      </c>
      <c r="E113" s="44">
        <f t="shared" si="31"/>
        <v>8.36</v>
      </c>
      <c r="F113" s="44">
        <f t="shared" si="31"/>
        <v>8.36</v>
      </c>
      <c r="G113" s="44">
        <f t="shared" si="31"/>
        <v>8.36</v>
      </c>
      <c r="H113" s="44">
        <f t="shared" si="31"/>
        <v>8.36</v>
      </c>
      <c r="I113" s="44">
        <f t="shared" si="31"/>
        <v>8.36</v>
      </c>
      <c r="J113" s="44">
        <f t="shared" si="31"/>
        <v>8.36</v>
      </c>
      <c r="K113" s="44">
        <f t="shared" si="31"/>
        <v>8.36</v>
      </c>
      <c r="L113" s="44">
        <f t="shared" si="31"/>
        <v>8.36</v>
      </c>
      <c r="M113" s="44">
        <f t="shared" si="31"/>
        <v>8.36</v>
      </c>
      <c r="N113" s="44">
        <f t="shared" si="31"/>
        <v>8.36</v>
      </c>
      <c r="O113" s="44">
        <f t="shared" si="31"/>
        <v>8.36</v>
      </c>
      <c r="P113" s="44">
        <f t="shared" si="31"/>
        <v>8.36</v>
      </c>
      <c r="Q113" s="44">
        <f t="shared" si="31"/>
        <v>8.36</v>
      </c>
      <c r="R113" s="44">
        <f t="shared" si="31"/>
        <v>8.36</v>
      </c>
      <c r="S113" s="44">
        <f t="shared" si="31"/>
        <v>8.36</v>
      </c>
      <c r="T113" s="44">
        <f t="shared" si="32"/>
        <v>8.36</v>
      </c>
      <c r="U113" s="44">
        <f t="shared" si="32"/>
        <v>8.36</v>
      </c>
      <c r="V113" s="44">
        <f t="shared" si="32"/>
        <v>8.36</v>
      </c>
      <c r="W113" s="44">
        <f t="shared" si="32"/>
        <v>8.36</v>
      </c>
      <c r="X113" s="44">
        <f t="shared" si="32"/>
        <v>8.36</v>
      </c>
      <c r="Y113" s="44">
        <f t="shared" si="32"/>
        <v>8.36</v>
      </c>
      <c r="Z113" s="44">
        <f t="shared" si="32"/>
        <v>8.36</v>
      </c>
      <c r="AA113" s="44">
        <f t="shared" si="32"/>
        <v>8.36</v>
      </c>
      <c r="AB113" s="44">
        <f t="shared" si="32"/>
        <v>8.36</v>
      </c>
      <c r="AC113" s="44">
        <f t="shared" si="32"/>
        <v>8.36</v>
      </c>
      <c r="AD113" s="44">
        <f t="shared" si="32"/>
        <v>8.36</v>
      </c>
      <c r="AE113" s="44">
        <f t="shared" si="32"/>
        <v>8.36</v>
      </c>
      <c r="AF113" s="44">
        <f t="shared" si="32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30"/>
        <v>5.4</v>
      </c>
      <c r="C114" s="55">
        <v>8</v>
      </c>
      <c r="D114" s="44">
        <f t="shared" si="31"/>
        <v>8</v>
      </c>
      <c r="E114" s="44">
        <f t="shared" si="31"/>
        <v>8</v>
      </c>
      <c r="F114" s="44">
        <f t="shared" si="31"/>
        <v>8</v>
      </c>
      <c r="G114" s="44">
        <f t="shared" si="31"/>
        <v>8</v>
      </c>
      <c r="H114" s="44">
        <f t="shared" si="31"/>
        <v>8</v>
      </c>
      <c r="I114" s="44">
        <f t="shared" si="31"/>
        <v>8</v>
      </c>
      <c r="J114" s="44">
        <v>5.4</v>
      </c>
      <c r="K114" s="44">
        <f t="shared" si="31"/>
        <v>5.4</v>
      </c>
      <c r="L114" s="44">
        <f t="shared" si="31"/>
        <v>5.4</v>
      </c>
      <c r="M114" s="44">
        <f t="shared" si="31"/>
        <v>5.4</v>
      </c>
      <c r="N114" s="44">
        <f t="shared" si="31"/>
        <v>5.4</v>
      </c>
      <c r="O114" s="44">
        <f t="shared" si="31"/>
        <v>5.4</v>
      </c>
      <c r="P114" s="44">
        <f t="shared" si="31"/>
        <v>5.4</v>
      </c>
      <c r="Q114" s="44">
        <f t="shared" si="31"/>
        <v>5.4</v>
      </c>
      <c r="R114" s="44">
        <f t="shared" si="31"/>
        <v>5.4</v>
      </c>
      <c r="S114" s="44">
        <f t="shared" si="31"/>
        <v>5.4</v>
      </c>
      <c r="T114" s="44">
        <f t="shared" si="32"/>
        <v>5.4</v>
      </c>
      <c r="U114" s="44">
        <f t="shared" si="32"/>
        <v>5.4</v>
      </c>
      <c r="V114" s="44">
        <f t="shared" si="32"/>
        <v>5.4</v>
      </c>
      <c r="W114" s="44">
        <f t="shared" si="32"/>
        <v>5.4</v>
      </c>
      <c r="X114" s="44">
        <f t="shared" si="32"/>
        <v>5.4</v>
      </c>
      <c r="Y114" s="44">
        <f t="shared" si="32"/>
        <v>5.4</v>
      </c>
      <c r="Z114" s="44">
        <f t="shared" si="32"/>
        <v>5.4</v>
      </c>
      <c r="AA114" s="44">
        <f t="shared" si="32"/>
        <v>5.4</v>
      </c>
      <c r="AB114" s="44">
        <f t="shared" si="32"/>
        <v>5.4</v>
      </c>
      <c r="AC114" s="44">
        <f t="shared" si="32"/>
        <v>5.4</v>
      </c>
      <c r="AD114" s="44">
        <f t="shared" si="32"/>
        <v>5.4</v>
      </c>
      <c r="AE114" s="44">
        <f t="shared" si="32"/>
        <v>5.4</v>
      </c>
      <c r="AF114" s="44">
        <f t="shared" si="32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30"/>
        <v>6.57</v>
      </c>
      <c r="C115" s="55">
        <v>6.57</v>
      </c>
      <c r="D115" s="44">
        <f t="shared" si="31"/>
        <v>6.57</v>
      </c>
      <c r="E115" s="44">
        <f t="shared" si="31"/>
        <v>6.57</v>
      </c>
      <c r="F115" s="44">
        <f t="shared" si="31"/>
        <v>6.57</v>
      </c>
      <c r="G115" s="44">
        <f t="shared" si="31"/>
        <v>6.57</v>
      </c>
      <c r="H115" s="44">
        <f t="shared" si="31"/>
        <v>6.57</v>
      </c>
      <c r="I115" s="44">
        <f t="shared" si="31"/>
        <v>6.57</v>
      </c>
      <c r="J115" s="44">
        <f t="shared" si="31"/>
        <v>6.57</v>
      </c>
      <c r="K115" s="44">
        <f t="shared" si="31"/>
        <v>6.57</v>
      </c>
      <c r="L115" s="44">
        <f t="shared" si="31"/>
        <v>6.57</v>
      </c>
      <c r="M115" s="44">
        <f t="shared" si="31"/>
        <v>6.57</v>
      </c>
      <c r="N115" s="44">
        <f t="shared" si="31"/>
        <v>6.57</v>
      </c>
      <c r="O115" s="44">
        <f t="shared" si="31"/>
        <v>6.57</v>
      </c>
      <c r="P115" s="44">
        <f t="shared" si="31"/>
        <v>6.57</v>
      </c>
      <c r="Q115" s="44">
        <f t="shared" si="31"/>
        <v>6.57</v>
      </c>
      <c r="R115" s="44">
        <f t="shared" si="31"/>
        <v>6.57</v>
      </c>
      <c r="S115" s="44">
        <f t="shared" si="31"/>
        <v>6.57</v>
      </c>
      <c r="T115" s="44">
        <f t="shared" si="32"/>
        <v>6.57</v>
      </c>
      <c r="U115" s="44">
        <f t="shared" si="32"/>
        <v>6.57</v>
      </c>
      <c r="V115" s="44">
        <f t="shared" si="32"/>
        <v>6.57</v>
      </c>
      <c r="W115" s="44">
        <f t="shared" si="32"/>
        <v>6.57</v>
      </c>
      <c r="X115" s="44">
        <f t="shared" si="32"/>
        <v>6.57</v>
      </c>
      <c r="Y115" s="44">
        <f t="shared" si="32"/>
        <v>6.57</v>
      </c>
      <c r="Z115" s="44">
        <f t="shared" si="32"/>
        <v>6.57</v>
      </c>
      <c r="AA115" s="44">
        <f t="shared" si="32"/>
        <v>6.57</v>
      </c>
      <c r="AB115" s="44">
        <f t="shared" si="32"/>
        <v>6.57</v>
      </c>
      <c r="AC115" s="44">
        <f t="shared" si="32"/>
        <v>6.57</v>
      </c>
      <c r="AD115" s="44">
        <f t="shared" si="32"/>
        <v>6.57</v>
      </c>
      <c r="AE115" s="44">
        <f t="shared" si="32"/>
        <v>6.57</v>
      </c>
      <c r="AF115" s="44">
        <f t="shared" si="32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30"/>
        <v>3.43</v>
      </c>
      <c r="C116" s="55">
        <v>3.43</v>
      </c>
      <c r="D116" s="44">
        <f t="shared" si="31"/>
        <v>3.43</v>
      </c>
      <c r="E116" s="44">
        <f t="shared" si="31"/>
        <v>3.43</v>
      </c>
      <c r="F116" s="44">
        <f t="shared" si="31"/>
        <v>3.43</v>
      </c>
      <c r="G116" s="44">
        <f t="shared" si="31"/>
        <v>3.43</v>
      </c>
      <c r="H116" s="44">
        <f t="shared" si="31"/>
        <v>3.43</v>
      </c>
      <c r="I116" s="44">
        <f t="shared" si="31"/>
        <v>3.43</v>
      </c>
      <c r="J116" s="44">
        <f t="shared" si="31"/>
        <v>3.43</v>
      </c>
      <c r="K116" s="44">
        <f t="shared" si="31"/>
        <v>3.43</v>
      </c>
      <c r="L116" s="44">
        <f t="shared" si="31"/>
        <v>3.43</v>
      </c>
      <c r="M116" s="44">
        <f t="shared" si="31"/>
        <v>3.43</v>
      </c>
      <c r="N116" s="44">
        <f t="shared" si="31"/>
        <v>3.43</v>
      </c>
      <c r="O116" s="44">
        <f t="shared" si="31"/>
        <v>3.43</v>
      </c>
      <c r="P116" s="44">
        <f t="shared" si="31"/>
        <v>3.43</v>
      </c>
      <c r="Q116" s="44">
        <f t="shared" si="31"/>
        <v>3.43</v>
      </c>
      <c r="R116" s="44">
        <f t="shared" si="31"/>
        <v>3.43</v>
      </c>
      <c r="S116" s="44">
        <f t="shared" si="31"/>
        <v>3.43</v>
      </c>
      <c r="T116" s="44">
        <f t="shared" si="32"/>
        <v>3.43</v>
      </c>
      <c r="U116" s="44">
        <f t="shared" si="32"/>
        <v>3.43</v>
      </c>
      <c r="V116" s="44">
        <f t="shared" si="32"/>
        <v>3.43</v>
      </c>
      <c r="W116" s="44">
        <f t="shared" si="32"/>
        <v>3.43</v>
      </c>
      <c r="X116" s="44">
        <f t="shared" si="32"/>
        <v>3.43</v>
      </c>
      <c r="Y116" s="44">
        <f t="shared" si="32"/>
        <v>3.43</v>
      </c>
      <c r="Z116" s="44">
        <f t="shared" si="32"/>
        <v>3.43</v>
      </c>
      <c r="AA116" s="44">
        <f t="shared" si="32"/>
        <v>3.43</v>
      </c>
      <c r="AB116" s="44">
        <f t="shared" si="32"/>
        <v>3.43</v>
      </c>
      <c r="AC116" s="44">
        <f t="shared" si="32"/>
        <v>3.43</v>
      </c>
      <c r="AD116" s="44">
        <f t="shared" si="32"/>
        <v>3.43</v>
      </c>
      <c r="AE116" s="44">
        <f t="shared" si="32"/>
        <v>3.43</v>
      </c>
      <c r="AF116" s="44">
        <f t="shared" si="32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30"/>
        <v>2.96</v>
      </c>
      <c r="C117" s="55">
        <v>2.96</v>
      </c>
      <c r="D117" s="44">
        <f t="shared" si="31"/>
        <v>2.96</v>
      </c>
      <c r="E117" s="44">
        <f t="shared" si="31"/>
        <v>2.96</v>
      </c>
      <c r="F117" s="44">
        <f t="shared" si="31"/>
        <v>2.96</v>
      </c>
      <c r="G117" s="44">
        <f t="shared" si="31"/>
        <v>2.96</v>
      </c>
      <c r="H117" s="44">
        <f t="shared" si="31"/>
        <v>2.96</v>
      </c>
      <c r="I117" s="44">
        <f t="shared" si="31"/>
        <v>2.96</v>
      </c>
      <c r="J117" s="44">
        <f t="shared" si="31"/>
        <v>2.96</v>
      </c>
      <c r="K117" s="44">
        <f t="shared" si="31"/>
        <v>2.96</v>
      </c>
      <c r="L117" s="44">
        <f t="shared" si="31"/>
        <v>2.96</v>
      </c>
      <c r="M117" s="44">
        <f t="shared" si="31"/>
        <v>2.96</v>
      </c>
      <c r="N117" s="44">
        <f t="shared" si="31"/>
        <v>2.96</v>
      </c>
      <c r="O117" s="44">
        <f t="shared" si="31"/>
        <v>2.96</v>
      </c>
      <c r="P117" s="44">
        <f t="shared" si="31"/>
        <v>2.96</v>
      </c>
      <c r="Q117" s="44">
        <f t="shared" si="31"/>
        <v>2.96</v>
      </c>
      <c r="R117" s="44">
        <f t="shared" si="31"/>
        <v>2.96</v>
      </c>
      <c r="S117" s="44">
        <f t="shared" si="31"/>
        <v>2.96</v>
      </c>
      <c r="T117" s="44">
        <f t="shared" si="32"/>
        <v>2.96</v>
      </c>
      <c r="U117" s="44">
        <f t="shared" si="32"/>
        <v>2.96</v>
      </c>
      <c r="V117" s="44">
        <f t="shared" si="32"/>
        <v>2.96</v>
      </c>
      <c r="W117" s="44">
        <f t="shared" si="32"/>
        <v>2.96</v>
      </c>
      <c r="X117" s="44">
        <f t="shared" si="32"/>
        <v>2.96</v>
      </c>
      <c r="Y117" s="44">
        <f t="shared" si="32"/>
        <v>2.96</v>
      </c>
      <c r="Z117" s="44">
        <f t="shared" si="32"/>
        <v>2.96</v>
      </c>
      <c r="AA117" s="44">
        <f t="shared" si="32"/>
        <v>2.96</v>
      </c>
      <c r="AB117" s="44">
        <f t="shared" si="32"/>
        <v>2.96</v>
      </c>
      <c r="AC117" s="44">
        <f t="shared" si="32"/>
        <v>2.96</v>
      </c>
      <c r="AD117" s="44">
        <f t="shared" si="32"/>
        <v>2.96</v>
      </c>
      <c r="AE117" s="44">
        <f t="shared" si="32"/>
        <v>2.96</v>
      </c>
      <c r="AF117" s="44">
        <f t="shared" si="32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30"/>
        <v>8</v>
      </c>
      <c r="C118" s="55">
        <v>8</v>
      </c>
      <c r="D118" s="44">
        <f t="shared" si="31"/>
        <v>8</v>
      </c>
      <c r="E118" s="44">
        <f t="shared" si="31"/>
        <v>8</v>
      </c>
      <c r="F118" s="44">
        <f t="shared" si="31"/>
        <v>8</v>
      </c>
      <c r="G118" s="44">
        <f t="shared" si="31"/>
        <v>8</v>
      </c>
      <c r="H118" s="44">
        <f t="shared" si="31"/>
        <v>8</v>
      </c>
      <c r="I118" s="44">
        <f t="shared" si="31"/>
        <v>8</v>
      </c>
      <c r="J118" s="44">
        <f t="shared" si="31"/>
        <v>8</v>
      </c>
      <c r="K118" s="44">
        <f t="shared" si="31"/>
        <v>8</v>
      </c>
      <c r="L118" s="44">
        <f t="shared" si="31"/>
        <v>8</v>
      </c>
      <c r="M118" s="44">
        <f t="shared" si="31"/>
        <v>8</v>
      </c>
      <c r="N118" s="44">
        <f t="shared" si="31"/>
        <v>8</v>
      </c>
      <c r="O118" s="44">
        <f t="shared" si="31"/>
        <v>8</v>
      </c>
      <c r="P118" s="44">
        <f t="shared" si="31"/>
        <v>8</v>
      </c>
      <c r="Q118" s="44">
        <f t="shared" si="31"/>
        <v>8</v>
      </c>
      <c r="R118" s="44">
        <f t="shared" si="31"/>
        <v>8</v>
      </c>
      <c r="S118" s="44">
        <f t="shared" si="31"/>
        <v>8</v>
      </c>
      <c r="T118" s="44">
        <f t="shared" si="32"/>
        <v>8</v>
      </c>
      <c r="U118" s="44">
        <f t="shared" si="32"/>
        <v>8</v>
      </c>
      <c r="V118" s="44">
        <f t="shared" si="32"/>
        <v>8</v>
      </c>
      <c r="W118" s="44">
        <f t="shared" si="32"/>
        <v>8</v>
      </c>
      <c r="X118" s="44">
        <f t="shared" si="32"/>
        <v>8</v>
      </c>
      <c r="Y118" s="44">
        <f t="shared" si="32"/>
        <v>8</v>
      </c>
      <c r="Z118" s="44">
        <f t="shared" si="32"/>
        <v>8</v>
      </c>
      <c r="AA118" s="44">
        <f t="shared" si="32"/>
        <v>8</v>
      </c>
      <c r="AB118" s="44">
        <f t="shared" si="32"/>
        <v>8</v>
      </c>
      <c r="AC118" s="44">
        <f t="shared" si="32"/>
        <v>8</v>
      </c>
      <c r="AD118" s="44">
        <f t="shared" si="32"/>
        <v>8</v>
      </c>
      <c r="AE118" s="44">
        <f t="shared" si="32"/>
        <v>8</v>
      </c>
      <c r="AF118" s="44">
        <f t="shared" si="32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30"/>
        <v>7</v>
      </c>
      <c r="C119" s="55">
        <v>7</v>
      </c>
      <c r="D119" s="44">
        <f>C119</f>
        <v>7</v>
      </c>
      <c r="E119" s="44">
        <f t="shared" si="31"/>
        <v>7</v>
      </c>
      <c r="F119" s="44">
        <f t="shared" si="31"/>
        <v>7</v>
      </c>
      <c r="G119" s="44">
        <f t="shared" si="31"/>
        <v>7</v>
      </c>
      <c r="H119" s="44">
        <f t="shared" si="31"/>
        <v>7</v>
      </c>
      <c r="I119" s="44">
        <f t="shared" si="31"/>
        <v>7</v>
      </c>
      <c r="J119" s="44">
        <f t="shared" si="31"/>
        <v>7</v>
      </c>
      <c r="K119" s="44">
        <f t="shared" si="31"/>
        <v>7</v>
      </c>
      <c r="L119" s="44">
        <f t="shared" si="31"/>
        <v>7</v>
      </c>
      <c r="M119" s="44">
        <f t="shared" si="31"/>
        <v>7</v>
      </c>
      <c r="N119" s="44">
        <f t="shared" si="31"/>
        <v>7</v>
      </c>
      <c r="O119" s="44">
        <f t="shared" si="31"/>
        <v>7</v>
      </c>
      <c r="P119" s="44">
        <f t="shared" si="31"/>
        <v>7</v>
      </c>
      <c r="Q119" s="44">
        <f t="shared" si="31"/>
        <v>7</v>
      </c>
      <c r="R119" s="44">
        <f t="shared" si="31"/>
        <v>7</v>
      </c>
      <c r="S119" s="44">
        <f t="shared" si="31"/>
        <v>7</v>
      </c>
      <c r="T119" s="44">
        <f t="shared" si="32"/>
        <v>7</v>
      </c>
      <c r="U119" s="44">
        <f t="shared" si="32"/>
        <v>7</v>
      </c>
      <c r="V119" s="44">
        <f t="shared" si="32"/>
        <v>7</v>
      </c>
      <c r="W119" s="44">
        <f t="shared" si="32"/>
        <v>7</v>
      </c>
      <c r="X119" s="44">
        <f t="shared" si="32"/>
        <v>7</v>
      </c>
      <c r="Y119" s="44">
        <f t="shared" si="32"/>
        <v>7</v>
      </c>
      <c r="Z119" s="44">
        <f t="shared" si="32"/>
        <v>7</v>
      </c>
      <c r="AA119" s="44">
        <f t="shared" si="32"/>
        <v>7</v>
      </c>
      <c r="AB119" s="44">
        <f t="shared" si="32"/>
        <v>7</v>
      </c>
      <c r="AC119" s="44">
        <f t="shared" si="32"/>
        <v>7</v>
      </c>
      <c r="AD119" s="44">
        <f t="shared" si="32"/>
        <v>7</v>
      </c>
      <c r="AE119" s="44">
        <f t="shared" si="32"/>
        <v>7</v>
      </c>
      <c r="AF119" s="44">
        <f t="shared" si="32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30"/>
        <v>3.47</v>
      </c>
      <c r="C120" s="55">
        <v>3.47</v>
      </c>
      <c r="D120" s="44">
        <f t="shared" ref="D120:S129" si="33">C120</f>
        <v>3.47</v>
      </c>
      <c r="E120" s="44">
        <f t="shared" si="33"/>
        <v>3.47</v>
      </c>
      <c r="F120" s="44">
        <f t="shared" si="33"/>
        <v>3.47</v>
      </c>
      <c r="G120" s="44">
        <f t="shared" si="33"/>
        <v>3.47</v>
      </c>
      <c r="H120" s="44">
        <f t="shared" si="33"/>
        <v>3.47</v>
      </c>
      <c r="I120" s="44">
        <f t="shared" si="33"/>
        <v>3.47</v>
      </c>
      <c r="J120" s="44">
        <f t="shared" si="33"/>
        <v>3.47</v>
      </c>
      <c r="K120" s="44">
        <f t="shared" si="33"/>
        <v>3.47</v>
      </c>
      <c r="L120" s="44">
        <f t="shared" si="33"/>
        <v>3.47</v>
      </c>
      <c r="M120" s="44">
        <f t="shared" si="33"/>
        <v>3.47</v>
      </c>
      <c r="N120" s="44">
        <f t="shared" si="33"/>
        <v>3.47</v>
      </c>
      <c r="O120" s="44">
        <f t="shared" si="33"/>
        <v>3.47</v>
      </c>
      <c r="P120" s="44">
        <f t="shared" si="33"/>
        <v>3.47</v>
      </c>
      <c r="Q120" s="44">
        <f t="shared" si="33"/>
        <v>3.47</v>
      </c>
      <c r="R120" s="44">
        <f t="shared" si="33"/>
        <v>3.47</v>
      </c>
      <c r="S120" s="44">
        <f t="shared" si="33"/>
        <v>3.47</v>
      </c>
      <c r="T120" s="44">
        <f t="shared" si="32"/>
        <v>3.47</v>
      </c>
      <c r="U120" s="44">
        <f t="shared" si="32"/>
        <v>3.47</v>
      </c>
      <c r="V120" s="44">
        <f t="shared" si="32"/>
        <v>3.47</v>
      </c>
      <c r="W120" s="44">
        <f t="shared" si="32"/>
        <v>3.47</v>
      </c>
      <c r="X120" s="44">
        <f t="shared" si="32"/>
        <v>3.47</v>
      </c>
      <c r="Y120" s="44">
        <f t="shared" si="32"/>
        <v>3.47</v>
      </c>
      <c r="Z120" s="44">
        <f t="shared" si="32"/>
        <v>3.47</v>
      </c>
      <c r="AA120" s="44">
        <f t="shared" si="32"/>
        <v>3.47</v>
      </c>
      <c r="AB120" s="44">
        <f t="shared" si="32"/>
        <v>3.47</v>
      </c>
      <c r="AC120" s="44">
        <f t="shared" si="32"/>
        <v>3.47</v>
      </c>
      <c r="AD120" s="44">
        <f t="shared" si="32"/>
        <v>3.47</v>
      </c>
      <c r="AE120" s="44">
        <f t="shared" si="32"/>
        <v>3.47</v>
      </c>
      <c r="AF120" s="44">
        <f t="shared" si="32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30"/>
        <v>2.1</v>
      </c>
      <c r="C121" s="55">
        <v>2.1</v>
      </c>
      <c r="D121" s="44">
        <f t="shared" si="33"/>
        <v>2.1</v>
      </c>
      <c r="E121" s="44">
        <f t="shared" si="33"/>
        <v>2.1</v>
      </c>
      <c r="F121" s="44">
        <f t="shared" si="33"/>
        <v>2.1</v>
      </c>
      <c r="G121" s="44">
        <f t="shared" si="33"/>
        <v>2.1</v>
      </c>
      <c r="H121" s="44">
        <f t="shared" si="33"/>
        <v>2.1</v>
      </c>
      <c r="I121" s="44">
        <f t="shared" si="33"/>
        <v>2.1</v>
      </c>
      <c r="J121" s="44">
        <f t="shared" si="33"/>
        <v>2.1</v>
      </c>
      <c r="K121" s="44">
        <f t="shared" si="33"/>
        <v>2.1</v>
      </c>
      <c r="L121" s="44">
        <f t="shared" si="33"/>
        <v>2.1</v>
      </c>
      <c r="M121" s="44">
        <f t="shared" si="33"/>
        <v>2.1</v>
      </c>
      <c r="N121" s="44">
        <f t="shared" si="33"/>
        <v>2.1</v>
      </c>
      <c r="O121" s="44">
        <f t="shared" si="33"/>
        <v>2.1</v>
      </c>
      <c r="P121" s="44">
        <f t="shared" si="33"/>
        <v>2.1</v>
      </c>
      <c r="Q121" s="44">
        <f t="shared" si="33"/>
        <v>2.1</v>
      </c>
      <c r="R121" s="44">
        <f t="shared" si="33"/>
        <v>2.1</v>
      </c>
      <c r="S121" s="44">
        <f t="shared" si="33"/>
        <v>2.1</v>
      </c>
      <c r="T121" s="44">
        <f t="shared" si="32"/>
        <v>2.1</v>
      </c>
      <c r="U121" s="44">
        <f t="shared" si="32"/>
        <v>2.1</v>
      </c>
      <c r="V121" s="44">
        <f t="shared" si="32"/>
        <v>2.1</v>
      </c>
      <c r="W121" s="44">
        <f t="shared" si="32"/>
        <v>2.1</v>
      </c>
      <c r="X121" s="44">
        <f t="shared" si="32"/>
        <v>2.1</v>
      </c>
      <c r="Y121" s="44">
        <f t="shared" si="32"/>
        <v>2.1</v>
      </c>
      <c r="Z121" s="44">
        <f t="shared" si="32"/>
        <v>2.1</v>
      </c>
      <c r="AA121" s="44">
        <f t="shared" si="32"/>
        <v>2.1</v>
      </c>
      <c r="AB121" s="44">
        <f t="shared" si="32"/>
        <v>2.1</v>
      </c>
      <c r="AC121" s="44">
        <f t="shared" si="32"/>
        <v>2.1</v>
      </c>
      <c r="AD121" s="44">
        <f t="shared" si="32"/>
        <v>2.1</v>
      </c>
      <c r="AE121" s="44">
        <f t="shared" si="32"/>
        <v>2.1</v>
      </c>
      <c r="AF121" s="44">
        <f t="shared" si="32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30"/>
        <v>9.3000000000000007</v>
      </c>
      <c r="C122" s="55">
        <v>9.3000000000000007</v>
      </c>
      <c r="D122" s="44">
        <f t="shared" si="33"/>
        <v>9.3000000000000007</v>
      </c>
      <c r="E122" s="44">
        <f t="shared" si="33"/>
        <v>9.3000000000000007</v>
      </c>
      <c r="F122" s="44">
        <f t="shared" si="33"/>
        <v>9.3000000000000007</v>
      </c>
      <c r="G122" s="44">
        <f t="shared" si="33"/>
        <v>9.3000000000000007</v>
      </c>
      <c r="H122" s="44">
        <f t="shared" si="33"/>
        <v>9.3000000000000007</v>
      </c>
      <c r="I122" s="44">
        <f t="shared" si="33"/>
        <v>9.3000000000000007</v>
      </c>
      <c r="J122" s="44">
        <f t="shared" si="33"/>
        <v>9.3000000000000007</v>
      </c>
      <c r="K122" s="44">
        <f t="shared" si="33"/>
        <v>9.3000000000000007</v>
      </c>
      <c r="L122" s="44">
        <f t="shared" si="33"/>
        <v>9.3000000000000007</v>
      </c>
      <c r="M122" s="44">
        <f t="shared" si="33"/>
        <v>9.3000000000000007</v>
      </c>
      <c r="N122" s="44">
        <f t="shared" si="33"/>
        <v>9.3000000000000007</v>
      </c>
      <c r="O122" s="44">
        <f t="shared" si="33"/>
        <v>9.3000000000000007</v>
      </c>
      <c r="P122" s="44">
        <f t="shared" si="33"/>
        <v>9.3000000000000007</v>
      </c>
      <c r="Q122" s="44">
        <f t="shared" si="33"/>
        <v>9.3000000000000007</v>
      </c>
      <c r="R122" s="44">
        <f t="shared" si="33"/>
        <v>9.3000000000000007</v>
      </c>
      <c r="S122" s="44">
        <f t="shared" si="33"/>
        <v>9.3000000000000007</v>
      </c>
      <c r="T122" s="44">
        <f t="shared" si="32"/>
        <v>9.3000000000000007</v>
      </c>
      <c r="U122" s="44">
        <f t="shared" si="32"/>
        <v>9.3000000000000007</v>
      </c>
      <c r="V122" s="44">
        <f t="shared" si="32"/>
        <v>9.3000000000000007</v>
      </c>
      <c r="W122" s="44">
        <f t="shared" si="32"/>
        <v>9.3000000000000007</v>
      </c>
      <c r="X122" s="44">
        <f t="shared" si="32"/>
        <v>9.3000000000000007</v>
      </c>
      <c r="Y122" s="44">
        <f t="shared" si="32"/>
        <v>9.3000000000000007</v>
      </c>
      <c r="Z122" s="44">
        <f t="shared" si="32"/>
        <v>9.3000000000000007</v>
      </c>
      <c r="AA122" s="44">
        <f t="shared" si="32"/>
        <v>9.3000000000000007</v>
      </c>
      <c r="AB122" s="44">
        <f t="shared" si="32"/>
        <v>9.3000000000000007</v>
      </c>
      <c r="AC122" s="44">
        <f t="shared" si="32"/>
        <v>9.3000000000000007</v>
      </c>
      <c r="AD122" s="44">
        <f t="shared" si="32"/>
        <v>9.3000000000000007</v>
      </c>
      <c r="AE122" s="44">
        <f t="shared" si="32"/>
        <v>9.3000000000000007</v>
      </c>
      <c r="AF122" s="44">
        <f t="shared" si="32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30"/>
        <v>0</v>
      </c>
      <c r="C123" s="55">
        <v>0</v>
      </c>
      <c r="D123" s="44">
        <f t="shared" si="33"/>
        <v>0</v>
      </c>
      <c r="E123" s="44">
        <f t="shared" si="33"/>
        <v>0</v>
      </c>
      <c r="F123" s="44">
        <f t="shared" si="33"/>
        <v>0</v>
      </c>
      <c r="G123" s="44">
        <f t="shared" si="33"/>
        <v>0</v>
      </c>
      <c r="H123" s="44">
        <f t="shared" si="33"/>
        <v>0</v>
      </c>
      <c r="I123" s="44">
        <f t="shared" si="33"/>
        <v>0</v>
      </c>
      <c r="J123" s="44">
        <f t="shared" si="33"/>
        <v>0</v>
      </c>
      <c r="K123" s="44">
        <f t="shared" si="33"/>
        <v>0</v>
      </c>
      <c r="L123" s="44">
        <f t="shared" si="33"/>
        <v>0</v>
      </c>
      <c r="M123" s="44">
        <f t="shared" si="33"/>
        <v>0</v>
      </c>
      <c r="N123" s="44">
        <f t="shared" si="33"/>
        <v>0</v>
      </c>
      <c r="O123" s="44">
        <f t="shared" si="33"/>
        <v>0</v>
      </c>
      <c r="P123" s="44">
        <f t="shared" si="33"/>
        <v>0</v>
      </c>
      <c r="Q123" s="44">
        <f t="shared" si="33"/>
        <v>0</v>
      </c>
      <c r="R123" s="44">
        <f t="shared" si="33"/>
        <v>0</v>
      </c>
      <c r="S123" s="44">
        <f t="shared" si="33"/>
        <v>0</v>
      </c>
      <c r="T123" s="44">
        <f t="shared" si="32"/>
        <v>0</v>
      </c>
      <c r="U123" s="44">
        <f t="shared" si="32"/>
        <v>0</v>
      </c>
      <c r="V123" s="44">
        <f t="shared" si="32"/>
        <v>0</v>
      </c>
      <c r="W123" s="44">
        <f t="shared" si="32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  <c r="AF123" s="44">
        <f t="shared" si="32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30"/>
        <v>0</v>
      </c>
      <c r="C124" s="55">
        <v>0</v>
      </c>
      <c r="D124" s="44">
        <f t="shared" si="33"/>
        <v>0</v>
      </c>
      <c r="E124" s="44">
        <f t="shared" si="33"/>
        <v>0</v>
      </c>
      <c r="F124" s="44">
        <f t="shared" si="33"/>
        <v>0</v>
      </c>
      <c r="G124" s="44">
        <f t="shared" si="33"/>
        <v>0</v>
      </c>
      <c r="H124" s="44">
        <f t="shared" si="33"/>
        <v>0</v>
      </c>
      <c r="I124" s="44">
        <f t="shared" si="33"/>
        <v>0</v>
      </c>
      <c r="J124" s="44">
        <f t="shared" si="33"/>
        <v>0</v>
      </c>
      <c r="K124" s="44">
        <f t="shared" si="33"/>
        <v>0</v>
      </c>
      <c r="L124" s="44">
        <f t="shared" si="33"/>
        <v>0</v>
      </c>
      <c r="M124" s="44">
        <f t="shared" si="33"/>
        <v>0</v>
      </c>
      <c r="N124" s="44">
        <f t="shared" si="33"/>
        <v>0</v>
      </c>
      <c r="O124" s="44">
        <f t="shared" si="33"/>
        <v>0</v>
      </c>
      <c r="P124" s="44">
        <f t="shared" si="33"/>
        <v>0</v>
      </c>
      <c r="Q124" s="44">
        <f t="shared" si="33"/>
        <v>0</v>
      </c>
      <c r="R124" s="44">
        <f t="shared" si="33"/>
        <v>0</v>
      </c>
      <c r="S124" s="44">
        <f t="shared" si="33"/>
        <v>0</v>
      </c>
      <c r="T124" s="44">
        <f t="shared" si="32"/>
        <v>0</v>
      </c>
      <c r="U124" s="44">
        <f t="shared" si="32"/>
        <v>0</v>
      </c>
      <c r="V124" s="44">
        <f t="shared" si="32"/>
        <v>0</v>
      </c>
      <c r="W124" s="44">
        <f t="shared" si="32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  <c r="AF124" s="44">
        <f t="shared" si="32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30"/>
        <v>5</v>
      </c>
      <c r="C125" s="55">
        <v>5</v>
      </c>
      <c r="D125" s="44">
        <f t="shared" si="33"/>
        <v>5</v>
      </c>
      <c r="E125" s="44">
        <f t="shared" si="33"/>
        <v>5</v>
      </c>
      <c r="F125" s="44">
        <f t="shared" si="33"/>
        <v>5</v>
      </c>
      <c r="G125" s="44">
        <f t="shared" si="33"/>
        <v>5</v>
      </c>
      <c r="H125" s="44">
        <f t="shared" si="33"/>
        <v>5</v>
      </c>
      <c r="I125" s="44">
        <f t="shared" si="33"/>
        <v>5</v>
      </c>
      <c r="J125" s="44">
        <f t="shared" si="33"/>
        <v>5</v>
      </c>
      <c r="K125" s="44">
        <f t="shared" si="33"/>
        <v>5</v>
      </c>
      <c r="L125" s="44">
        <f t="shared" si="33"/>
        <v>5</v>
      </c>
      <c r="M125" s="44">
        <f t="shared" si="33"/>
        <v>5</v>
      </c>
      <c r="N125" s="44">
        <f t="shared" si="33"/>
        <v>5</v>
      </c>
      <c r="O125" s="44">
        <f t="shared" si="33"/>
        <v>5</v>
      </c>
      <c r="P125" s="44">
        <f t="shared" si="33"/>
        <v>5</v>
      </c>
      <c r="Q125" s="44">
        <f t="shared" si="33"/>
        <v>5</v>
      </c>
      <c r="R125" s="44">
        <f t="shared" si="33"/>
        <v>5</v>
      </c>
      <c r="S125" s="44">
        <f t="shared" si="33"/>
        <v>5</v>
      </c>
      <c r="T125" s="44">
        <f t="shared" si="32"/>
        <v>5</v>
      </c>
      <c r="U125" s="44">
        <f t="shared" si="32"/>
        <v>5</v>
      </c>
      <c r="V125" s="44">
        <f t="shared" si="32"/>
        <v>5</v>
      </c>
      <c r="W125" s="44">
        <f t="shared" si="32"/>
        <v>5</v>
      </c>
      <c r="X125" s="44">
        <f t="shared" si="32"/>
        <v>5</v>
      </c>
      <c r="Y125" s="44">
        <f t="shared" si="32"/>
        <v>5</v>
      </c>
      <c r="Z125" s="44">
        <f t="shared" si="32"/>
        <v>5</v>
      </c>
      <c r="AA125" s="44">
        <f t="shared" si="32"/>
        <v>5</v>
      </c>
      <c r="AB125" s="44">
        <f t="shared" si="32"/>
        <v>5</v>
      </c>
      <c r="AC125" s="44">
        <f t="shared" si="32"/>
        <v>5</v>
      </c>
      <c r="AD125" s="44">
        <f t="shared" si="32"/>
        <v>5</v>
      </c>
      <c r="AE125" s="44">
        <f t="shared" si="32"/>
        <v>5</v>
      </c>
      <c r="AF125" s="44">
        <f t="shared" si="32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30"/>
        <v>1</v>
      </c>
      <c r="C126" s="55">
        <v>1</v>
      </c>
      <c r="D126" s="44">
        <f t="shared" si="33"/>
        <v>1</v>
      </c>
      <c r="E126" s="44">
        <f t="shared" si="33"/>
        <v>1</v>
      </c>
      <c r="F126" s="44">
        <f t="shared" si="33"/>
        <v>1</v>
      </c>
      <c r="G126" s="44">
        <f t="shared" si="33"/>
        <v>1</v>
      </c>
      <c r="H126" s="44">
        <f t="shared" si="33"/>
        <v>1</v>
      </c>
      <c r="I126" s="44">
        <f t="shared" si="33"/>
        <v>1</v>
      </c>
      <c r="J126" s="44">
        <f t="shared" si="33"/>
        <v>1</v>
      </c>
      <c r="K126" s="44">
        <f t="shared" si="33"/>
        <v>1</v>
      </c>
      <c r="L126" s="44">
        <f t="shared" si="33"/>
        <v>1</v>
      </c>
      <c r="M126" s="44">
        <f t="shared" si="33"/>
        <v>1</v>
      </c>
      <c r="N126" s="44">
        <f t="shared" si="33"/>
        <v>1</v>
      </c>
      <c r="O126" s="44">
        <f t="shared" si="33"/>
        <v>1</v>
      </c>
      <c r="P126" s="44">
        <f t="shared" si="33"/>
        <v>1</v>
      </c>
      <c r="Q126" s="44">
        <f t="shared" si="33"/>
        <v>1</v>
      </c>
      <c r="R126" s="44">
        <f t="shared" si="33"/>
        <v>1</v>
      </c>
      <c r="S126" s="44">
        <f t="shared" si="33"/>
        <v>1</v>
      </c>
      <c r="T126" s="44">
        <f t="shared" si="32"/>
        <v>1</v>
      </c>
      <c r="U126" s="44">
        <f t="shared" si="32"/>
        <v>1</v>
      </c>
      <c r="V126" s="44">
        <f t="shared" si="32"/>
        <v>1</v>
      </c>
      <c r="W126" s="44">
        <f t="shared" si="32"/>
        <v>1</v>
      </c>
      <c r="X126" s="44">
        <f t="shared" si="32"/>
        <v>1</v>
      </c>
      <c r="Y126" s="44">
        <f t="shared" si="32"/>
        <v>1</v>
      </c>
      <c r="Z126" s="44">
        <f t="shared" si="32"/>
        <v>1</v>
      </c>
      <c r="AA126" s="44">
        <f t="shared" si="32"/>
        <v>1</v>
      </c>
      <c r="AB126" s="44">
        <f t="shared" si="32"/>
        <v>1</v>
      </c>
      <c r="AC126" s="44">
        <f t="shared" si="32"/>
        <v>1</v>
      </c>
      <c r="AD126" s="44">
        <f t="shared" si="32"/>
        <v>1</v>
      </c>
      <c r="AE126" s="44">
        <f t="shared" si="32"/>
        <v>1</v>
      </c>
      <c r="AF126" s="44">
        <f t="shared" si="32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30"/>
        <v>1.58</v>
      </c>
      <c r="C127" s="55">
        <v>1.58</v>
      </c>
      <c r="D127" s="44">
        <f t="shared" si="33"/>
        <v>1.58</v>
      </c>
      <c r="E127" s="44">
        <f t="shared" si="33"/>
        <v>1.58</v>
      </c>
      <c r="F127" s="44">
        <f t="shared" si="33"/>
        <v>1.58</v>
      </c>
      <c r="G127" s="44">
        <f t="shared" si="33"/>
        <v>1.58</v>
      </c>
      <c r="H127" s="44">
        <f t="shared" si="33"/>
        <v>1.58</v>
      </c>
      <c r="I127" s="44">
        <f t="shared" si="33"/>
        <v>1.58</v>
      </c>
      <c r="J127" s="44">
        <f t="shared" si="33"/>
        <v>1.58</v>
      </c>
      <c r="K127" s="44">
        <f t="shared" si="33"/>
        <v>1.58</v>
      </c>
      <c r="L127" s="44">
        <f t="shared" si="33"/>
        <v>1.58</v>
      </c>
      <c r="M127" s="44">
        <f t="shared" si="33"/>
        <v>1.58</v>
      </c>
      <c r="N127" s="44">
        <f t="shared" si="33"/>
        <v>1.58</v>
      </c>
      <c r="O127" s="44">
        <f t="shared" si="33"/>
        <v>1.58</v>
      </c>
      <c r="P127" s="44">
        <f t="shared" si="33"/>
        <v>1.58</v>
      </c>
      <c r="Q127" s="44">
        <f t="shared" si="33"/>
        <v>1.58</v>
      </c>
      <c r="R127" s="44">
        <f t="shared" si="33"/>
        <v>1.58</v>
      </c>
      <c r="S127" s="44">
        <f t="shared" si="33"/>
        <v>1.58</v>
      </c>
      <c r="T127" s="44">
        <f t="shared" si="32"/>
        <v>1.58</v>
      </c>
      <c r="U127" s="44">
        <f t="shared" si="32"/>
        <v>1.58</v>
      </c>
      <c r="V127" s="44">
        <f t="shared" si="32"/>
        <v>1.58</v>
      </c>
      <c r="W127" s="44">
        <f t="shared" si="32"/>
        <v>1.58</v>
      </c>
      <c r="X127" s="44">
        <f t="shared" si="32"/>
        <v>1.58</v>
      </c>
      <c r="Y127" s="44">
        <f t="shared" si="32"/>
        <v>1.58</v>
      </c>
      <c r="Z127" s="44">
        <f t="shared" si="32"/>
        <v>1.58</v>
      </c>
      <c r="AA127" s="44">
        <f t="shared" si="32"/>
        <v>1.58</v>
      </c>
      <c r="AB127" s="44">
        <f t="shared" si="32"/>
        <v>1.58</v>
      </c>
      <c r="AC127" s="44">
        <f t="shared" si="32"/>
        <v>1.58</v>
      </c>
      <c r="AD127" s="44">
        <f t="shared" si="32"/>
        <v>1.58</v>
      </c>
      <c r="AE127" s="44">
        <f t="shared" si="32"/>
        <v>1.58</v>
      </c>
      <c r="AF127" s="44">
        <f t="shared" si="32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30"/>
        <v>1.46</v>
      </c>
      <c r="C128" s="55">
        <v>1.46</v>
      </c>
      <c r="D128" s="44">
        <f t="shared" si="33"/>
        <v>1.46</v>
      </c>
      <c r="E128" s="44">
        <f t="shared" si="33"/>
        <v>1.46</v>
      </c>
      <c r="F128" s="44">
        <f t="shared" si="33"/>
        <v>1.46</v>
      </c>
      <c r="G128" s="44">
        <f t="shared" si="33"/>
        <v>1.46</v>
      </c>
      <c r="H128" s="44">
        <f t="shared" si="33"/>
        <v>1.46</v>
      </c>
      <c r="I128" s="44">
        <f t="shared" si="33"/>
        <v>1.46</v>
      </c>
      <c r="J128" s="44">
        <f t="shared" si="33"/>
        <v>1.46</v>
      </c>
      <c r="K128" s="44">
        <f t="shared" si="33"/>
        <v>1.46</v>
      </c>
      <c r="L128" s="44">
        <f t="shared" si="33"/>
        <v>1.46</v>
      </c>
      <c r="M128" s="44">
        <f t="shared" si="33"/>
        <v>1.46</v>
      </c>
      <c r="N128" s="44">
        <f t="shared" si="33"/>
        <v>1.46</v>
      </c>
      <c r="O128" s="44">
        <f t="shared" si="33"/>
        <v>1.46</v>
      </c>
      <c r="P128" s="44">
        <f t="shared" si="33"/>
        <v>1.46</v>
      </c>
      <c r="Q128" s="44">
        <f t="shared" si="33"/>
        <v>1.46</v>
      </c>
      <c r="R128" s="44">
        <f t="shared" si="33"/>
        <v>1.46</v>
      </c>
      <c r="S128" s="44">
        <f t="shared" si="33"/>
        <v>1.46</v>
      </c>
      <c r="T128" s="44">
        <f t="shared" ref="T128:AF129" si="34">S128</f>
        <v>1.46</v>
      </c>
      <c r="U128" s="44">
        <f t="shared" si="34"/>
        <v>1.46</v>
      </c>
      <c r="V128" s="44">
        <f t="shared" si="34"/>
        <v>1.46</v>
      </c>
      <c r="W128" s="44">
        <f t="shared" si="34"/>
        <v>1.46</v>
      </c>
      <c r="X128" s="44">
        <f t="shared" si="34"/>
        <v>1.46</v>
      </c>
      <c r="Y128" s="44">
        <f t="shared" si="34"/>
        <v>1.46</v>
      </c>
      <c r="Z128" s="44">
        <f t="shared" si="34"/>
        <v>1.46</v>
      </c>
      <c r="AA128" s="44">
        <f t="shared" si="34"/>
        <v>1.46</v>
      </c>
      <c r="AB128" s="44">
        <f t="shared" si="34"/>
        <v>1.46</v>
      </c>
      <c r="AC128" s="44">
        <f t="shared" si="34"/>
        <v>1.46</v>
      </c>
      <c r="AD128" s="44">
        <f t="shared" si="34"/>
        <v>1.46</v>
      </c>
      <c r="AE128" s="44">
        <f t="shared" si="34"/>
        <v>1.46</v>
      </c>
      <c r="AF128" s="44">
        <f t="shared" si="34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30"/>
        <v>1.48</v>
      </c>
      <c r="C129" s="55">
        <v>1.48</v>
      </c>
      <c r="D129" s="44">
        <f t="shared" si="33"/>
        <v>1.48</v>
      </c>
      <c r="E129" s="44">
        <f t="shared" si="33"/>
        <v>1.48</v>
      </c>
      <c r="F129" s="44">
        <f t="shared" si="33"/>
        <v>1.48</v>
      </c>
      <c r="G129" s="44">
        <f t="shared" si="33"/>
        <v>1.48</v>
      </c>
      <c r="H129" s="44">
        <f t="shared" si="33"/>
        <v>1.48</v>
      </c>
      <c r="I129" s="44">
        <f t="shared" si="33"/>
        <v>1.48</v>
      </c>
      <c r="J129" s="44">
        <f t="shared" si="33"/>
        <v>1.48</v>
      </c>
      <c r="K129" s="44">
        <f t="shared" si="33"/>
        <v>1.48</v>
      </c>
      <c r="L129" s="44">
        <f t="shared" si="33"/>
        <v>1.48</v>
      </c>
      <c r="M129" s="44">
        <f t="shared" si="33"/>
        <v>1.48</v>
      </c>
      <c r="N129" s="44">
        <f t="shared" si="33"/>
        <v>1.48</v>
      </c>
      <c r="O129" s="44">
        <f t="shared" si="33"/>
        <v>1.48</v>
      </c>
      <c r="P129" s="44">
        <f t="shared" si="33"/>
        <v>1.48</v>
      </c>
      <c r="Q129" s="44">
        <f t="shared" si="33"/>
        <v>1.48</v>
      </c>
      <c r="R129" s="44">
        <f t="shared" si="33"/>
        <v>1.48</v>
      </c>
      <c r="S129" s="44">
        <f t="shared" si="33"/>
        <v>1.48</v>
      </c>
      <c r="T129" s="44">
        <f t="shared" si="34"/>
        <v>1.48</v>
      </c>
      <c r="U129" s="44">
        <f t="shared" si="34"/>
        <v>1.48</v>
      </c>
      <c r="V129" s="44">
        <f t="shared" si="34"/>
        <v>1.48</v>
      </c>
      <c r="W129" s="44">
        <f t="shared" si="34"/>
        <v>1.48</v>
      </c>
      <c r="X129" s="44">
        <f t="shared" si="34"/>
        <v>1.48</v>
      </c>
      <c r="Y129" s="44">
        <f t="shared" si="34"/>
        <v>1.48</v>
      </c>
      <c r="Z129" s="44">
        <f t="shared" si="34"/>
        <v>1.48</v>
      </c>
      <c r="AA129" s="44">
        <f t="shared" si="34"/>
        <v>1.48</v>
      </c>
      <c r="AB129" s="44">
        <f t="shared" si="34"/>
        <v>1.48</v>
      </c>
      <c r="AC129" s="44">
        <f t="shared" si="34"/>
        <v>1.48</v>
      </c>
      <c r="AD129" s="44">
        <f t="shared" si="34"/>
        <v>1.48</v>
      </c>
      <c r="AE129" s="44">
        <f t="shared" si="34"/>
        <v>1.48</v>
      </c>
      <c r="AF129" s="44">
        <f t="shared" si="34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5">AF131</f>
        <v>2.2000000000000002</v>
      </c>
      <c r="C131" s="55">
        <v>2.2000000000000002</v>
      </c>
      <c r="D131" s="44">
        <f t="shared" ref="D131:S138" si="36">C131</f>
        <v>2.2000000000000002</v>
      </c>
      <c r="E131" s="44">
        <f t="shared" si="36"/>
        <v>2.2000000000000002</v>
      </c>
      <c r="F131" s="44">
        <f t="shared" si="36"/>
        <v>2.2000000000000002</v>
      </c>
      <c r="G131" s="44">
        <f t="shared" si="36"/>
        <v>2.2000000000000002</v>
      </c>
      <c r="H131" s="44">
        <f t="shared" si="36"/>
        <v>2.2000000000000002</v>
      </c>
      <c r="I131" s="44">
        <f t="shared" si="36"/>
        <v>2.2000000000000002</v>
      </c>
      <c r="J131" s="44">
        <f t="shared" si="36"/>
        <v>2.2000000000000002</v>
      </c>
      <c r="K131" s="44">
        <f t="shared" si="36"/>
        <v>2.2000000000000002</v>
      </c>
      <c r="L131" s="44">
        <f t="shared" si="36"/>
        <v>2.2000000000000002</v>
      </c>
      <c r="M131" s="44">
        <f t="shared" si="36"/>
        <v>2.2000000000000002</v>
      </c>
      <c r="N131" s="44">
        <f t="shared" si="36"/>
        <v>2.2000000000000002</v>
      </c>
      <c r="O131" s="44">
        <f t="shared" si="36"/>
        <v>2.2000000000000002</v>
      </c>
      <c r="P131" s="44">
        <f t="shared" si="36"/>
        <v>2.2000000000000002</v>
      </c>
      <c r="Q131" s="44">
        <f t="shared" si="36"/>
        <v>2.2000000000000002</v>
      </c>
      <c r="R131" s="44">
        <f t="shared" si="36"/>
        <v>2.2000000000000002</v>
      </c>
      <c r="S131" s="44">
        <f t="shared" si="36"/>
        <v>2.2000000000000002</v>
      </c>
      <c r="T131" s="44">
        <f t="shared" ref="T131:AF138" si="37">S131</f>
        <v>2.2000000000000002</v>
      </c>
      <c r="U131" s="44">
        <f t="shared" si="37"/>
        <v>2.2000000000000002</v>
      </c>
      <c r="V131" s="44">
        <f t="shared" si="37"/>
        <v>2.2000000000000002</v>
      </c>
      <c r="W131" s="44">
        <f t="shared" si="37"/>
        <v>2.2000000000000002</v>
      </c>
      <c r="X131" s="44">
        <f t="shared" si="37"/>
        <v>2.2000000000000002</v>
      </c>
      <c r="Y131" s="44">
        <f t="shared" si="37"/>
        <v>2.2000000000000002</v>
      </c>
      <c r="Z131" s="44">
        <f t="shared" si="37"/>
        <v>2.2000000000000002</v>
      </c>
      <c r="AA131" s="44">
        <f t="shared" si="37"/>
        <v>2.2000000000000002</v>
      </c>
      <c r="AB131" s="44">
        <f t="shared" si="37"/>
        <v>2.2000000000000002</v>
      </c>
      <c r="AC131" s="44">
        <f t="shared" si="37"/>
        <v>2.2000000000000002</v>
      </c>
      <c r="AD131" s="44">
        <f t="shared" si="37"/>
        <v>2.2000000000000002</v>
      </c>
      <c r="AE131" s="44">
        <f t="shared" si="37"/>
        <v>2.2000000000000002</v>
      </c>
      <c r="AF131" s="44">
        <f t="shared" si="37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5"/>
        <v>2</v>
      </c>
      <c r="C132" s="55">
        <v>2</v>
      </c>
      <c r="D132" s="44">
        <f t="shared" si="36"/>
        <v>2</v>
      </c>
      <c r="E132" s="44">
        <f t="shared" si="36"/>
        <v>2</v>
      </c>
      <c r="F132" s="44">
        <f t="shared" si="36"/>
        <v>2</v>
      </c>
      <c r="G132" s="44">
        <f t="shared" si="36"/>
        <v>2</v>
      </c>
      <c r="H132" s="44">
        <f t="shared" si="36"/>
        <v>2</v>
      </c>
      <c r="I132" s="44">
        <f t="shared" si="36"/>
        <v>2</v>
      </c>
      <c r="J132" s="44">
        <f t="shared" si="36"/>
        <v>2</v>
      </c>
      <c r="K132" s="44">
        <f t="shared" si="36"/>
        <v>2</v>
      </c>
      <c r="L132" s="44">
        <f t="shared" si="36"/>
        <v>2</v>
      </c>
      <c r="M132" s="44">
        <f t="shared" si="36"/>
        <v>2</v>
      </c>
      <c r="N132" s="44">
        <f t="shared" si="36"/>
        <v>2</v>
      </c>
      <c r="O132" s="44">
        <f t="shared" si="36"/>
        <v>2</v>
      </c>
      <c r="P132" s="44">
        <f t="shared" si="36"/>
        <v>2</v>
      </c>
      <c r="Q132" s="44">
        <f t="shared" si="36"/>
        <v>2</v>
      </c>
      <c r="R132" s="44">
        <f t="shared" si="36"/>
        <v>2</v>
      </c>
      <c r="S132" s="44">
        <f t="shared" si="36"/>
        <v>2</v>
      </c>
      <c r="T132" s="44">
        <f t="shared" si="37"/>
        <v>2</v>
      </c>
      <c r="U132" s="44">
        <f t="shared" si="37"/>
        <v>2</v>
      </c>
      <c r="V132" s="44">
        <f t="shared" si="37"/>
        <v>2</v>
      </c>
      <c r="W132" s="44">
        <f t="shared" si="37"/>
        <v>2</v>
      </c>
      <c r="X132" s="44">
        <f t="shared" si="37"/>
        <v>2</v>
      </c>
      <c r="Y132" s="44">
        <f t="shared" si="37"/>
        <v>2</v>
      </c>
      <c r="Z132" s="44">
        <f t="shared" si="37"/>
        <v>2</v>
      </c>
      <c r="AA132" s="44">
        <f t="shared" si="37"/>
        <v>2</v>
      </c>
      <c r="AB132" s="44">
        <f t="shared" si="37"/>
        <v>2</v>
      </c>
      <c r="AC132" s="44">
        <f t="shared" si="37"/>
        <v>2</v>
      </c>
      <c r="AD132" s="44">
        <f t="shared" si="37"/>
        <v>2</v>
      </c>
      <c r="AE132" s="44">
        <f t="shared" si="37"/>
        <v>2</v>
      </c>
      <c r="AF132" s="44">
        <f t="shared" si="37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5"/>
        <v>1.25</v>
      </c>
      <c r="C133" s="55">
        <v>1.25</v>
      </c>
      <c r="D133" s="44">
        <f t="shared" si="36"/>
        <v>1.25</v>
      </c>
      <c r="E133" s="44">
        <f t="shared" si="36"/>
        <v>1.25</v>
      </c>
      <c r="F133" s="44">
        <f t="shared" si="36"/>
        <v>1.25</v>
      </c>
      <c r="G133" s="44">
        <f t="shared" si="36"/>
        <v>1.25</v>
      </c>
      <c r="H133" s="44">
        <f t="shared" si="36"/>
        <v>1.25</v>
      </c>
      <c r="I133" s="44">
        <f t="shared" si="36"/>
        <v>1.25</v>
      </c>
      <c r="J133" s="44">
        <f t="shared" si="36"/>
        <v>1.25</v>
      </c>
      <c r="K133" s="44">
        <f t="shared" si="36"/>
        <v>1.25</v>
      </c>
      <c r="L133" s="44">
        <f t="shared" si="36"/>
        <v>1.25</v>
      </c>
      <c r="M133" s="44">
        <f t="shared" si="36"/>
        <v>1.25</v>
      </c>
      <c r="N133" s="44">
        <f t="shared" si="36"/>
        <v>1.25</v>
      </c>
      <c r="O133" s="44">
        <f t="shared" si="36"/>
        <v>1.25</v>
      </c>
      <c r="P133" s="44">
        <f t="shared" si="36"/>
        <v>1.25</v>
      </c>
      <c r="Q133" s="44">
        <f t="shared" si="36"/>
        <v>1.25</v>
      </c>
      <c r="R133" s="44">
        <f t="shared" si="36"/>
        <v>1.25</v>
      </c>
      <c r="S133" s="44">
        <f t="shared" si="36"/>
        <v>1.25</v>
      </c>
      <c r="T133" s="44">
        <f t="shared" si="37"/>
        <v>1.25</v>
      </c>
      <c r="U133" s="44">
        <f t="shared" si="37"/>
        <v>1.25</v>
      </c>
      <c r="V133" s="44">
        <f t="shared" si="37"/>
        <v>1.25</v>
      </c>
      <c r="W133" s="44">
        <f t="shared" si="37"/>
        <v>1.25</v>
      </c>
      <c r="X133" s="44">
        <f t="shared" si="37"/>
        <v>1.25</v>
      </c>
      <c r="Y133" s="44">
        <f t="shared" si="37"/>
        <v>1.25</v>
      </c>
      <c r="Z133" s="44">
        <f t="shared" si="37"/>
        <v>1.25</v>
      </c>
      <c r="AA133" s="44">
        <f t="shared" si="37"/>
        <v>1.25</v>
      </c>
      <c r="AB133" s="44">
        <f t="shared" si="37"/>
        <v>1.25</v>
      </c>
      <c r="AC133" s="44">
        <f t="shared" si="37"/>
        <v>1.25</v>
      </c>
      <c r="AD133" s="44">
        <f t="shared" si="37"/>
        <v>1.25</v>
      </c>
      <c r="AE133" s="44">
        <f t="shared" si="37"/>
        <v>1.25</v>
      </c>
      <c r="AF133" s="44">
        <f t="shared" si="37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5"/>
        <v>1.1499999999999999</v>
      </c>
      <c r="C134" s="55">
        <v>1.1499999999999999</v>
      </c>
      <c r="D134" s="44">
        <f t="shared" si="36"/>
        <v>1.1499999999999999</v>
      </c>
      <c r="E134" s="44">
        <f t="shared" si="36"/>
        <v>1.1499999999999999</v>
      </c>
      <c r="F134" s="44">
        <f t="shared" si="36"/>
        <v>1.1499999999999999</v>
      </c>
      <c r="G134" s="44">
        <f t="shared" si="36"/>
        <v>1.1499999999999999</v>
      </c>
      <c r="H134" s="44">
        <f t="shared" si="36"/>
        <v>1.1499999999999999</v>
      </c>
      <c r="I134" s="44">
        <f t="shared" si="36"/>
        <v>1.1499999999999999</v>
      </c>
      <c r="J134" s="44">
        <f t="shared" si="36"/>
        <v>1.1499999999999999</v>
      </c>
      <c r="K134" s="44">
        <f t="shared" si="36"/>
        <v>1.1499999999999999</v>
      </c>
      <c r="L134" s="44">
        <f t="shared" si="36"/>
        <v>1.1499999999999999</v>
      </c>
      <c r="M134" s="44">
        <f t="shared" si="36"/>
        <v>1.1499999999999999</v>
      </c>
      <c r="N134" s="44">
        <f t="shared" si="36"/>
        <v>1.1499999999999999</v>
      </c>
      <c r="O134" s="44">
        <f t="shared" si="36"/>
        <v>1.1499999999999999</v>
      </c>
      <c r="P134" s="44">
        <f t="shared" si="36"/>
        <v>1.1499999999999999</v>
      </c>
      <c r="Q134" s="44">
        <f t="shared" si="36"/>
        <v>1.1499999999999999</v>
      </c>
      <c r="R134" s="44">
        <f t="shared" si="36"/>
        <v>1.1499999999999999</v>
      </c>
      <c r="S134" s="44">
        <f t="shared" si="36"/>
        <v>1.1499999999999999</v>
      </c>
      <c r="T134" s="44">
        <f t="shared" si="37"/>
        <v>1.1499999999999999</v>
      </c>
      <c r="U134" s="44">
        <f t="shared" si="37"/>
        <v>1.1499999999999999</v>
      </c>
      <c r="V134" s="44">
        <f t="shared" si="37"/>
        <v>1.1499999999999999</v>
      </c>
      <c r="W134" s="44">
        <f t="shared" si="37"/>
        <v>1.1499999999999999</v>
      </c>
      <c r="X134" s="44">
        <f t="shared" si="37"/>
        <v>1.1499999999999999</v>
      </c>
      <c r="Y134" s="44">
        <f t="shared" si="37"/>
        <v>1.1499999999999999</v>
      </c>
      <c r="Z134" s="44">
        <f t="shared" si="37"/>
        <v>1.1499999999999999</v>
      </c>
      <c r="AA134" s="44">
        <f t="shared" si="37"/>
        <v>1.1499999999999999</v>
      </c>
      <c r="AB134" s="44">
        <f t="shared" si="37"/>
        <v>1.1499999999999999</v>
      </c>
      <c r="AC134" s="44">
        <f t="shared" si="37"/>
        <v>1.1499999999999999</v>
      </c>
      <c r="AD134" s="44">
        <f t="shared" si="37"/>
        <v>1.1499999999999999</v>
      </c>
      <c r="AE134" s="44">
        <f t="shared" si="37"/>
        <v>1.1499999999999999</v>
      </c>
      <c r="AF134" s="44">
        <f t="shared" si="37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5"/>
        <v>2.133</v>
      </c>
      <c r="C135" s="55">
        <v>2.133</v>
      </c>
      <c r="D135" s="44">
        <f t="shared" si="36"/>
        <v>2.133</v>
      </c>
      <c r="E135" s="44">
        <f t="shared" si="36"/>
        <v>2.133</v>
      </c>
      <c r="F135" s="44">
        <f t="shared" si="36"/>
        <v>2.133</v>
      </c>
      <c r="G135" s="44">
        <f t="shared" si="36"/>
        <v>2.133</v>
      </c>
      <c r="H135" s="44">
        <f t="shared" si="36"/>
        <v>2.133</v>
      </c>
      <c r="I135" s="44">
        <f t="shared" si="36"/>
        <v>2.133</v>
      </c>
      <c r="J135" s="44">
        <f t="shared" si="36"/>
        <v>2.133</v>
      </c>
      <c r="K135" s="44">
        <f t="shared" si="36"/>
        <v>2.133</v>
      </c>
      <c r="L135" s="44">
        <f t="shared" si="36"/>
        <v>2.133</v>
      </c>
      <c r="M135" s="44">
        <f t="shared" si="36"/>
        <v>2.133</v>
      </c>
      <c r="N135" s="44">
        <f t="shared" si="36"/>
        <v>2.133</v>
      </c>
      <c r="O135" s="44">
        <f t="shared" si="36"/>
        <v>2.133</v>
      </c>
      <c r="P135" s="44">
        <f t="shared" si="36"/>
        <v>2.133</v>
      </c>
      <c r="Q135" s="44">
        <f t="shared" si="36"/>
        <v>2.133</v>
      </c>
      <c r="R135" s="44">
        <f t="shared" si="36"/>
        <v>2.133</v>
      </c>
      <c r="S135" s="44">
        <f t="shared" si="36"/>
        <v>2.133</v>
      </c>
      <c r="T135" s="44">
        <f t="shared" si="37"/>
        <v>2.133</v>
      </c>
      <c r="U135" s="44">
        <f t="shared" si="37"/>
        <v>2.133</v>
      </c>
      <c r="V135" s="44">
        <f t="shared" si="37"/>
        <v>2.133</v>
      </c>
      <c r="W135" s="44">
        <f t="shared" si="37"/>
        <v>2.133</v>
      </c>
      <c r="X135" s="44">
        <f t="shared" si="37"/>
        <v>2.133</v>
      </c>
      <c r="Y135" s="44">
        <f t="shared" si="37"/>
        <v>2.133</v>
      </c>
      <c r="Z135" s="44">
        <f t="shared" si="37"/>
        <v>2.133</v>
      </c>
      <c r="AA135" s="44">
        <f t="shared" si="37"/>
        <v>2.133</v>
      </c>
      <c r="AB135" s="44">
        <f t="shared" si="37"/>
        <v>2.133</v>
      </c>
      <c r="AC135" s="44">
        <f t="shared" si="37"/>
        <v>2.133</v>
      </c>
      <c r="AD135" s="44">
        <f t="shared" si="37"/>
        <v>2.133</v>
      </c>
      <c r="AE135" s="44">
        <f t="shared" si="37"/>
        <v>2.133</v>
      </c>
      <c r="AF135" s="44">
        <f t="shared" si="37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5"/>
        <v>2.09</v>
      </c>
      <c r="C136" s="55">
        <v>2.09</v>
      </c>
      <c r="D136" s="44">
        <f t="shared" si="36"/>
        <v>2.09</v>
      </c>
      <c r="E136" s="44">
        <f t="shared" si="36"/>
        <v>2.09</v>
      </c>
      <c r="F136" s="44">
        <f t="shared" si="36"/>
        <v>2.09</v>
      </c>
      <c r="G136" s="44">
        <f t="shared" si="36"/>
        <v>2.09</v>
      </c>
      <c r="H136" s="44">
        <f t="shared" si="36"/>
        <v>2.09</v>
      </c>
      <c r="I136" s="44">
        <f t="shared" si="36"/>
        <v>2.09</v>
      </c>
      <c r="J136" s="44">
        <f t="shared" si="36"/>
        <v>2.09</v>
      </c>
      <c r="K136" s="44">
        <f t="shared" si="36"/>
        <v>2.09</v>
      </c>
      <c r="L136" s="44">
        <f t="shared" si="36"/>
        <v>2.09</v>
      </c>
      <c r="M136" s="44">
        <f t="shared" si="36"/>
        <v>2.09</v>
      </c>
      <c r="N136" s="44">
        <f t="shared" si="36"/>
        <v>2.09</v>
      </c>
      <c r="O136" s="44">
        <f t="shared" si="36"/>
        <v>2.09</v>
      </c>
      <c r="P136" s="44">
        <f t="shared" si="36"/>
        <v>2.09</v>
      </c>
      <c r="Q136" s="44">
        <f t="shared" si="36"/>
        <v>2.09</v>
      </c>
      <c r="R136" s="44">
        <f t="shared" si="36"/>
        <v>2.09</v>
      </c>
      <c r="S136" s="44">
        <f t="shared" si="36"/>
        <v>2.09</v>
      </c>
      <c r="T136" s="44">
        <f t="shared" si="37"/>
        <v>2.09</v>
      </c>
      <c r="U136" s="44">
        <f t="shared" si="37"/>
        <v>2.09</v>
      </c>
      <c r="V136" s="44">
        <f t="shared" si="37"/>
        <v>2.09</v>
      </c>
      <c r="W136" s="44">
        <f t="shared" si="37"/>
        <v>2.09</v>
      </c>
      <c r="X136" s="44">
        <f t="shared" si="37"/>
        <v>2.09</v>
      </c>
      <c r="Y136" s="44">
        <f t="shared" si="37"/>
        <v>2.09</v>
      </c>
      <c r="Z136" s="44">
        <f t="shared" si="37"/>
        <v>2.09</v>
      </c>
      <c r="AA136" s="44">
        <f t="shared" si="37"/>
        <v>2.09</v>
      </c>
      <c r="AB136" s="44">
        <f t="shared" si="37"/>
        <v>2.09</v>
      </c>
      <c r="AC136" s="44">
        <f t="shared" si="37"/>
        <v>2.09</v>
      </c>
      <c r="AD136" s="44">
        <f t="shared" si="37"/>
        <v>2.09</v>
      </c>
      <c r="AE136" s="44">
        <f t="shared" si="37"/>
        <v>2.09</v>
      </c>
      <c r="AF136" s="44">
        <f t="shared" si="37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5"/>
        <v>1.1399999999999999</v>
      </c>
      <c r="C137" s="55">
        <v>1.1399999999999999</v>
      </c>
      <c r="D137" s="44">
        <f t="shared" si="36"/>
        <v>1.1399999999999999</v>
      </c>
      <c r="E137" s="44">
        <f t="shared" si="36"/>
        <v>1.1399999999999999</v>
      </c>
      <c r="F137" s="44">
        <f t="shared" si="36"/>
        <v>1.1399999999999999</v>
      </c>
      <c r="G137" s="44">
        <f t="shared" si="36"/>
        <v>1.1399999999999999</v>
      </c>
      <c r="H137" s="44">
        <f t="shared" si="36"/>
        <v>1.1399999999999999</v>
      </c>
      <c r="I137" s="44">
        <f t="shared" si="36"/>
        <v>1.1399999999999999</v>
      </c>
      <c r="J137" s="44">
        <f t="shared" si="36"/>
        <v>1.1399999999999999</v>
      </c>
      <c r="K137" s="44">
        <f t="shared" si="36"/>
        <v>1.1399999999999999</v>
      </c>
      <c r="L137" s="44">
        <f t="shared" si="36"/>
        <v>1.1399999999999999</v>
      </c>
      <c r="M137" s="44">
        <f t="shared" si="36"/>
        <v>1.1399999999999999</v>
      </c>
      <c r="N137" s="44">
        <f t="shared" si="36"/>
        <v>1.1399999999999999</v>
      </c>
      <c r="O137" s="44">
        <f t="shared" si="36"/>
        <v>1.1399999999999999</v>
      </c>
      <c r="P137" s="44">
        <f t="shared" si="36"/>
        <v>1.1399999999999999</v>
      </c>
      <c r="Q137" s="44">
        <f t="shared" si="36"/>
        <v>1.1399999999999999</v>
      </c>
      <c r="R137" s="44">
        <f t="shared" si="36"/>
        <v>1.1399999999999999</v>
      </c>
      <c r="S137" s="44">
        <f t="shared" si="36"/>
        <v>1.1399999999999999</v>
      </c>
      <c r="T137" s="44">
        <f t="shared" si="37"/>
        <v>1.1399999999999999</v>
      </c>
      <c r="U137" s="44">
        <f t="shared" si="37"/>
        <v>1.1399999999999999</v>
      </c>
      <c r="V137" s="44">
        <f t="shared" si="37"/>
        <v>1.1399999999999999</v>
      </c>
      <c r="W137" s="44">
        <f t="shared" si="37"/>
        <v>1.1399999999999999</v>
      </c>
      <c r="X137" s="44">
        <f t="shared" si="37"/>
        <v>1.1399999999999999</v>
      </c>
      <c r="Y137" s="44">
        <f t="shared" si="37"/>
        <v>1.1399999999999999</v>
      </c>
      <c r="Z137" s="44">
        <f t="shared" si="37"/>
        <v>1.1399999999999999</v>
      </c>
      <c r="AA137" s="44">
        <f t="shared" si="37"/>
        <v>1.1399999999999999</v>
      </c>
      <c r="AB137" s="44">
        <f t="shared" si="37"/>
        <v>1.1399999999999999</v>
      </c>
      <c r="AC137" s="44">
        <f t="shared" si="37"/>
        <v>1.1399999999999999</v>
      </c>
      <c r="AD137" s="44">
        <f t="shared" si="37"/>
        <v>1.1399999999999999</v>
      </c>
      <c r="AE137" s="44">
        <f t="shared" si="37"/>
        <v>1.1399999999999999</v>
      </c>
      <c r="AF137" s="44">
        <f t="shared" si="37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5"/>
        <v>0.82</v>
      </c>
      <c r="C138" s="55">
        <v>0.82</v>
      </c>
      <c r="D138" s="44">
        <f t="shared" si="36"/>
        <v>0.82</v>
      </c>
      <c r="E138" s="44">
        <f t="shared" si="36"/>
        <v>0.82</v>
      </c>
      <c r="F138" s="44">
        <f t="shared" si="36"/>
        <v>0.82</v>
      </c>
      <c r="G138" s="44">
        <f t="shared" si="36"/>
        <v>0.82</v>
      </c>
      <c r="H138" s="44">
        <f t="shared" si="36"/>
        <v>0.82</v>
      </c>
      <c r="I138" s="44">
        <f t="shared" si="36"/>
        <v>0.82</v>
      </c>
      <c r="J138" s="44">
        <f t="shared" si="36"/>
        <v>0.82</v>
      </c>
      <c r="K138" s="44">
        <f t="shared" si="36"/>
        <v>0.82</v>
      </c>
      <c r="L138" s="44">
        <f t="shared" si="36"/>
        <v>0.82</v>
      </c>
      <c r="M138" s="44">
        <f t="shared" si="36"/>
        <v>0.82</v>
      </c>
      <c r="N138" s="44">
        <f t="shared" si="36"/>
        <v>0.82</v>
      </c>
      <c r="O138" s="44">
        <f t="shared" si="36"/>
        <v>0.82</v>
      </c>
      <c r="P138" s="44">
        <f t="shared" si="36"/>
        <v>0.82</v>
      </c>
      <c r="Q138" s="44">
        <f t="shared" si="36"/>
        <v>0.82</v>
      </c>
      <c r="R138" s="44">
        <f t="shared" si="36"/>
        <v>0.82</v>
      </c>
      <c r="S138" s="44">
        <f t="shared" si="36"/>
        <v>0.82</v>
      </c>
      <c r="T138" s="44">
        <f t="shared" si="37"/>
        <v>0.82</v>
      </c>
      <c r="U138" s="44">
        <f t="shared" si="37"/>
        <v>0.82</v>
      </c>
      <c r="V138" s="44">
        <f t="shared" si="37"/>
        <v>0.82</v>
      </c>
      <c r="W138" s="44">
        <f t="shared" si="37"/>
        <v>0.82</v>
      </c>
      <c r="X138" s="44">
        <f t="shared" si="37"/>
        <v>0.82</v>
      </c>
      <c r="Y138" s="44">
        <f t="shared" si="37"/>
        <v>0.82</v>
      </c>
      <c r="Z138" s="44">
        <f t="shared" si="37"/>
        <v>0.82</v>
      </c>
      <c r="AA138" s="44">
        <f t="shared" si="37"/>
        <v>0.82</v>
      </c>
      <c r="AB138" s="44">
        <f t="shared" si="37"/>
        <v>0.82</v>
      </c>
      <c r="AC138" s="44">
        <f t="shared" si="37"/>
        <v>0.82</v>
      </c>
      <c r="AD138" s="44">
        <f t="shared" si="37"/>
        <v>0.82</v>
      </c>
      <c r="AE138" s="44">
        <f t="shared" si="37"/>
        <v>0.82</v>
      </c>
      <c r="AF138" s="44">
        <f t="shared" si="37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8">AF140</f>
        <v>2</v>
      </c>
      <c r="C140" s="55">
        <v>2</v>
      </c>
      <c r="D140" s="44">
        <f t="shared" ref="D140:S146" si="39">C140</f>
        <v>2</v>
      </c>
      <c r="E140" s="44">
        <f t="shared" si="39"/>
        <v>2</v>
      </c>
      <c r="F140" s="44">
        <f t="shared" si="39"/>
        <v>2</v>
      </c>
      <c r="G140" s="44">
        <f t="shared" si="39"/>
        <v>2</v>
      </c>
      <c r="H140" s="44">
        <f t="shared" si="39"/>
        <v>2</v>
      </c>
      <c r="I140" s="44">
        <f t="shared" si="39"/>
        <v>2</v>
      </c>
      <c r="J140" s="44">
        <f t="shared" si="39"/>
        <v>2</v>
      </c>
      <c r="K140" s="44">
        <f t="shared" si="39"/>
        <v>2</v>
      </c>
      <c r="L140" s="44">
        <f t="shared" si="39"/>
        <v>2</v>
      </c>
      <c r="M140" s="44">
        <f t="shared" si="39"/>
        <v>2</v>
      </c>
      <c r="N140" s="44">
        <f t="shared" si="39"/>
        <v>2</v>
      </c>
      <c r="O140" s="44">
        <f t="shared" si="39"/>
        <v>2</v>
      </c>
      <c r="P140" s="44">
        <f t="shared" si="39"/>
        <v>2</v>
      </c>
      <c r="Q140" s="44">
        <f t="shared" si="39"/>
        <v>2</v>
      </c>
      <c r="R140" s="44">
        <f t="shared" si="39"/>
        <v>2</v>
      </c>
      <c r="S140" s="44">
        <f t="shared" si="39"/>
        <v>2</v>
      </c>
      <c r="T140" s="44">
        <f t="shared" ref="T140:AF146" si="40">S140</f>
        <v>2</v>
      </c>
      <c r="U140" s="44">
        <f t="shared" si="40"/>
        <v>2</v>
      </c>
      <c r="V140" s="44">
        <f t="shared" si="40"/>
        <v>2</v>
      </c>
      <c r="W140" s="44">
        <f t="shared" si="40"/>
        <v>2</v>
      </c>
      <c r="X140" s="44">
        <f t="shared" si="40"/>
        <v>2</v>
      </c>
      <c r="Y140" s="44">
        <f t="shared" si="40"/>
        <v>2</v>
      </c>
      <c r="Z140" s="44">
        <f t="shared" si="40"/>
        <v>2</v>
      </c>
      <c r="AA140" s="44">
        <f t="shared" si="40"/>
        <v>2</v>
      </c>
      <c r="AB140" s="44">
        <f t="shared" si="40"/>
        <v>2</v>
      </c>
      <c r="AC140" s="44">
        <f t="shared" si="40"/>
        <v>2</v>
      </c>
      <c r="AD140" s="44">
        <f t="shared" si="40"/>
        <v>2</v>
      </c>
      <c r="AE140" s="44">
        <f t="shared" si="40"/>
        <v>2</v>
      </c>
      <c r="AF140" s="44">
        <f t="shared" si="40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8"/>
        <v>5.61</v>
      </c>
      <c r="C141" s="55">
        <v>5.61</v>
      </c>
      <c r="D141" s="44">
        <f t="shared" si="39"/>
        <v>5.61</v>
      </c>
      <c r="E141" s="44">
        <f t="shared" si="39"/>
        <v>5.61</v>
      </c>
      <c r="F141" s="44">
        <f t="shared" si="39"/>
        <v>5.61</v>
      </c>
      <c r="G141" s="44">
        <f t="shared" si="39"/>
        <v>5.61</v>
      </c>
      <c r="H141" s="44">
        <f t="shared" si="39"/>
        <v>5.61</v>
      </c>
      <c r="I141" s="44">
        <f t="shared" si="39"/>
        <v>5.61</v>
      </c>
      <c r="J141" s="44">
        <f t="shared" si="39"/>
        <v>5.61</v>
      </c>
      <c r="K141" s="44">
        <f t="shared" si="39"/>
        <v>5.61</v>
      </c>
      <c r="L141" s="44">
        <f t="shared" si="39"/>
        <v>5.61</v>
      </c>
      <c r="M141" s="44">
        <f t="shared" si="39"/>
        <v>5.61</v>
      </c>
      <c r="N141" s="44">
        <f t="shared" si="39"/>
        <v>5.61</v>
      </c>
      <c r="O141" s="44">
        <f t="shared" si="39"/>
        <v>5.61</v>
      </c>
      <c r="P141" s="44">
        <f t="shared" si="39"/>
        <v>5.61</v>
      </c>
      <c r="Q141" s="44">
        <f t="shared" si="39"/>
        <v>5.61</v>
      </c>
      <c r="R141" s="44">
        <f t="shared" si="39"/>
        <v>5.61</v>
      </c>
      <c r="S141" s="44">
        <f t="shared" si="39"/>
        <v>5.61</v>
      </c>
      <c r="T141" s="44">
        <f t="shared" si="40"/>
        <v>5.61</v>
      </c>
      <c r="U141" s="44">
        <f t="shared" si="40"/>
        <v>5.61</v>
      </c>
      <c r="V141" s="44">
        <f t="shared" si="40"/>
        <v>5.61</v>
      </c>
      <c r="W141" s="44">
        <f t="shared" si="40"/>
        <v>5.61</v>
      </c>
      <c r="X141" s="44">
        <f t="shared" si="40"/>
        <v>5.61</v>
      </c>
      <c r="Y141" s="44">
        <f t="shared" si="40"/>
        <v>5.61</v>
      </c>
      <c r="Z141" s="44">
        <f t="shared" si="40"/>
        <v>5.61</v>
      </c>
      <c r="AA141" s="44">
        <f t="shared" si="40"/>
        <v>5.61</v>
      </c>
      <c r="AB141" s="44">
        <f t="shared" si="40"/>
        <v>5.61</v>
      </c>
      <c r="AC141" s="44">
        <f t="shared" si="40"/>
        <v>5.61</v>
      </c>
      <c r="AD141" s="44">
        <f t="shared" si="40"/>
        <v>5.61</v>
      </c>
      <c r="AE141" s="44">
        <f t="shared" si="40"/>
        <v>5.61</v>
      </c>
      <c r="AF141" s="44">
        <f t="shared" si="40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8"/>
        <v>1.25</v>
      </c>
      <c r="C142" s="55">
        <v>1.25</v>
      </c>
      <c r="D142" s="44">
        <f t="shared" si="39"/>
        <v>1.25</v>
      </c>
      <c r="E142" s="44">
        <f t="shared" si="39"/>
        <v>1.25</v>
      </c>
      <c r="F142" s="44">
        <f t="shared" si="39"/>
        <v>1.25</v>
      </c>
      <c r="G142" s="44">
        <f t="shared" si="39"/>
        <v>1.25</v>
      </c>
      <c r="H142" s="44">
        <f t="shared" si="39"/>
        <v>1.25</v>
      </c>
      <c r="I142" s="44">
        <f t="shared" si="39"/>
        <v>1.25</v>
      </c>
      <c r="J142" s="44">
        <f t="shared" si="39"/>
        <v>1.25</v>
      </c>
      <c r="K142" s="44">
        <f t="shared" si="39"/>
        <v>1.25</v>
      </c>
      <c r="L142" s="44">
        <f t="shared" si="39"/>
        <v>1.25</v>
      </c>
      <c r="M142" s="44">
        <f t="shared" si="39"/>
        <v>1.25</v>
      </c>
      <c r="N142" s="44">
        <f t="shared" si="39"/>
        <v>1.25</v>
      </c>
      <c r="O142" s="44">
        <f t="shared" si="39"/>
        <v>1.25</v>
      </c>
      <c r="P142" s="44">
        <f t="shared" si="39"/>
        <v>1.25</v>
      </c>
      <c r="Q142" s="44">
        <f t="shared" si="39"/>
        <v>1.25</v>
      </c>
      <c r="R142" s="44">
        <f t="shared" si="39"/>
        <v>1.25</v>
      </c>
      <c r="S142" s="44">
        <f t="shared" si="39"/>
        <v>1.25</v>
      </c>
      <c r="T142" s="44">
        <f t="shared" si="40"/>
        <v>1.25</v>
      </c>
      <c r="U142" s="44">
        <f t="shared" si="40"/>
        <v>1.25</v>
      </c>
      <c r="V142" s="44">
        <f t="shared" si="40"/>
        <v>1.25</v>
      </c>
      <c r="W142" s="44">
        <f t="shared" si="40"/>
        <v>1.25</v>
      </c>
      <c r="X142" s="44">
        <f t="shared" si="40"/>
        <v>1.25</v>
      </c>
      <c r="Y142" s="44">
        <f t="shared" si="40"/>
        <v>1.25</v>
      </c>
      <c r="Z142" s="44">
        <f t="shared" si="40"/>
        <v>1.25</v>
      </c>
      <c r="AA142" s="44">
        <f t="shared" si="40"/>
        <v>1.25</v>
      </c>
      <c r="AB142" s="44">
        <f t="shared" si="40"/>
        <v>1.25</v>
      </c>
      <c r="AC142" s="44">
        <f t="shared" si="40"/>
        <v>1.25</v>
      </c>
      <c r="AD142" s="44">
        <f t="shared" si="40"/>
        <v>1.25</v>
      </c>
      <c r="AE142" s="44">
        <f t="shared" si="40"/>
        <v>1.25</v>
      </c>
      <c r="AF142" s="44">
        <f t="shared" si="40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8"/>
        <v>1.25</v>
      </c>
      <c r="C143" s="55">
        <v>1.25</v>
      </c>
      <c r="D143" s="44">
        <f t="shared" si="39"/>
        <v>1.25</v>
      </c>
      <c r="E143" s="44">
        <f t="shared" si="39"/>
        <v>1.25</v>
      </c>
      <c r="F143" s="44">
        <f t="shared" si="39"/>
        <v>1.25</v>
      </c>
      <c r="G143" s="44">
        <f t="shared" si="39"/>
        <v>1.25</v>
      </c>
      <c r="H143" s="44">
        <f t="shared" si="39"/>
        <v>1.25</v>
      </c>
      <c r="I143" s="44">
        <f t="shared" si="39"/>
        <v>1.25</v>
      </c>
      <c r="J143" s="44">
        <f t="shared" si="39"/>
        <v>1.25</v>
      </c>
      <c r="K143" s="44">
        <f t="shared" si="39"/>
        <v>1.25</v>
      </c>
      <c r="L143" s="44">
        <f t="shared" si="39"/>
        <v>1.25</v>
      </c>
      <c r="M143" s="44">
        <f t="shared" si="39"/>
        <v>1.25</v>
      </c>
      <c r="N143" s="44">
        <f t="shared" si="39"/>
        <v>1.25</v>
      </c>
      <c r="O143" s="44">
        <f t="shared" si="39"/>
        <v>1.25</v>
      </c>
      <c r="P143" s="44">
        <f t="shared" si="39"/>
        <v>1.25</v>
      </c>
      <c r="Q143" s="44">
        <f t="shared" si="39"/>
        <v>1.25</v>
      </c>
      <c r="R143" s="44">
        <f t="shared" si="39"/>
        <v>1.25</v>
      </c>
      <c r="S143" s="44">
        <f t="shared" si="39"/>
        <v>1.25</v>
      </c>
      <c r="T143" s="44">
        <f t="shared" si="40"/>
        <v>1.25</v>
      </c>
      <c r="U143" s="44">
        <f t="shared" si="40"/>
        <v>1.25</v>
      </c>
      <c r="V143" s="44">
        <f t="shared" si="40"/>
        <v>1.25</v>
      </c>
      <c r="W143" s="44">
        <f t="shared" si="40"/>
        <v>1.25</v>
      </c>
      <c r="X143" s="44">
        <f t="shared" si="40"/>
        <v>1.25</v>
      </c>
      <c r="Y143" s="44">
        <f t="shared" si="40"/>
        <v>1.25</v>
      </c>
      <c r="Z143" s="44">
        <f t="shared" si="40"/>
        <v>1.25</v>
      </c>
      <c r="AA143" s="44">
        <f t="shared" si="40"/>
        <v>1.25</v>
      </c>
      <c r="AB143" s="44">
        <f t="shared" si="40"/>
        <v>1.25</v>
      </c>
      <c r="AC143" s="44">
        <f t="shared" si="40"/>
        <v>1.25</v>
      </c>
      <c r="AD143" s="44">
        <f t="shared" si="40"/>
        <v>1.25</v>
      </c>
      <c r="AE143" s="44">
        <f t="shared" si="40"/>
        <v>1.25</v>
      </c>
      <c r="AF143" s="44">
        <f t="shared" si="40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8"/>
        <v>1.46</v>
      </c>
      <c r="C144" s="55">
        <v>1.46</v>
      </c>
      <c r="D144" s="44">
        <f t="shared" si="39"/>
        <v>1.46</v>
      </c>
      <c r="E144" s="44">
        <f t="shared" si="39"/>
        <v>1.46</v>
      </c>
      <c r="F144" s="44">
        <f t="shared" si="39"/>
        <v>1.46</v>
      </c>
      <c r="G144" s="44">
        <f t="shared" si="39"/>
        <v>1.46</v>
      </c>
      <c r="H144" s="44">
        <f t="shared" si="39"/>
        <v>1.46</v>
      </c>
      <c r="I144" s="44">
        <f t="shared" si="39"/>
        <v>1.46</v>
      </c>
      <c r="J144" s="44">
        <f t="shared" si="39"/>
        <v>1.46</v>
      </c>
      <c r="K144" s="44">
        <f t="shared" si="39"/>
        <v>1.46</v>
      </c>
      <c r="L144" s="44">
        <f t="shared" si="39"/>
        <v>1.46</v>
      </c>
      <c r="M144" s="44">
        <f t="shared" si="39"/>
        <v>1.46</v>
      </c>
      <c r="N144" s="44">
        <f t="shared" si="39"/>
        <v>1.46</v>
      </c>
      <c r="O144" s="44">
        <f t="shared" si="39"/>
        <v>1.46</v>
      </c>
      <c r="P144" s="44">
        <f t="shared" si="39"/>
        <v>1.46</v>
      </c>
      <c r="Q144" s="44">
        <f t="shared" si="39"/>
        <v>1.46</v>
      </c>
      <c r="R144" s="44">
        <f t="shared" si="39"/>
        <v>1.46</v>
      </c>
      <c r="S144" s="44">
        <f t="shared" si="39"/>
        <v>1.46</v>
      </c>
      <c r="T144" s="44">
        <f t="shared" si="40"/>
        <v>1.46</v>
      </c>
      <c r="U144" s="44">
        <f t="shared" si="40"/>
        <v>1.46</v>
      </c>
      <c r="V144" s="44">
        <f t="shared" si="40"/>
        <v>1.46</v>
      </c>
      <c r="W144" s="44">
        <f t="shared" si="40"/>
        <v>1.46</v>
      </c>
      <c r="X144" s="44">
        <f t="shared" si="40"/>
        <v>1.46</v>
      </c>
      <c r="Y144" s="44">
        <f t="shared" si="40"/>
        <v>1.46</v>
      </c>
      <c r="Z144" s="44">
        <f t="shared" si="40"/>
        <v>1.46</v>
      </c>
      <c r="AA144" s="44">
        <f t="shared" si="40"/>
        <v>1.46</v>
      </c>
      <c r="AB144" s="44">
        <f t="shared" si="40"/>
        <v>1.46</v>
      </c>
      <c r="AC144" s="44">
        <f t="shared" si="40"/>
        <v>1.46</v>
      </c>
      <c r="AD144" s="44">
        <f t="shared" si="40"/>
        <v>1.46</v>
      </c>
      <c r="AE144" s="44">
        <f t="shared" si="40"/>
        <v>1.46</v>
      </c>
      <c r="AF144" s="44">
        <f t="shared" si="40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8"/>
        <v>3</v>
      </c>
      <c r="C145" s="55">
        <v>3</v>
      </c>
      <c r="D145" s="44">
        <f t="shared" si="39"/>
        <v>3</v>
      </c>
      <c r="E145" s="44">
        <f t="shared" si="39"/>
        <v>3</v>
      </c>
      <c r="F145" s="44">
        <f t="shared" si="39"/>
        <v>3</v>
      </c>
      <c r="G145" s="44">
        <f t="shared" si="39"/>
        <v>3</v>
      </c>
      <c r="H145" s="44">
        <f t="shared" si="39"/>
        <v>3</v>
      </c>
      <c r="I145" s="44">
        <f t="shared" si="39"/>
        <v>3</v>
      </c>
      <c r="J145" s="44">
        <f t="shared" si="39"/>
        <v>3</v>
      </c>
      <c r="K145" s="44">
        <f t="shared" si="39"/>
        <v>3</v>
      </c>
      <c r="L145" s="44">
        <f t="shared" si="39"/>
        <v>3</v>
      </c>
      <c r="M145" s="44">
        <f t="shared" si="39"/>
        <v>3</v>
      </c>
      <c r="N145" s="44">
        <f t="shared" si="39"/>
        <v>3</v>
      </c>
      <c r="O145" s="44">
        <f t="shared" si="39"/>
        <v>3</v>
      </c>
      <c r="P145" s="44">
        <f t="shared" si="39"/>
        <v>3</v>
      </c>
      <c r="Q145" s="44">
        <f t="shared" si="39"/>
        <v>3</v>
      </c>
      <c r="R145" s="44">
        <f t="shared" si="39"/>
        <v>3</v>
      </c>
      <c r="S145" s="44">
        <f t="shared" si="39"/>
        <v>3</v>
      </c>
      <c r="T145" s="44">
        <f t="shared" si="40"/>
        <v>3</v>
      </c>
      <c r="U145" s="44">
        <f t="shared" si="40"/>
        <v>3</v>
      </c>
      <c r="V145" s="44">
        <f t="shared" si="40"/>
        <v>3</v>
      </c>
      <c r="W145" s="44">
        <f t="shared" si="40"/>
        <v>3</v>
      </c>
      <c r="X145" s="44">
        <f t="shared" si="40"/>
        <v>3</v>
      </c>
      <c r="Y145" s="44">
        <f t="shared" si="40"/>
        <v>3</v>
      </c>
      <c r="Z145" s="44">
        <f t="shared" si="40"/>
        <v>3</v>
      </c>
      <c r="AA145" s="44">
        <f t="shared" si="40"/>
        <v>3</v>
      </c>
      <c r="AB145" s="44">
        <f t="shared" si="40"/>
        <v>3</v>
      </c>
      <c r="AC145" s="44">
        <f t="shared" si="40"/>
        <v>3</v>
      </c>
      <c r="AD145" s="44">
        <f t="shared" si="40"/>
        <v>3</v>
      </c>
      <c r="AE145" s="44">
        <f t="shared" si="40"/>
        <v>3</v>
      </c>
      <c r="AF145" s="44">
        <f t="shared" si="40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8"/>
        <v>3.3</v>
      </c>
      <c r="C146" s="55">
        <v>3.3</v>
      </c>
      <c r="D146" s="44">
        <f t="shared" si="39"/>
        <v>3.3</v>
      </c>
      <c r="E146" s="44">
        <f t="shared" si="39"/>
        <v>3.3</v>
      </c>
      <c r="F146" s="44">
        <f t="shared" si="39"/>
        <v>3.3</v>
      </c>
      <c r="G146" s="44">
        <f t="shared" si="39"/>
        <v>3.3</v>
      </c>
      <c r="H146" s="44">
        <f t="shared" si="39"/>
        <v>3.3</v>
      </c>
      <c r="I146" s="44">
        <f t="shared" si="39"/>
        <v>3.3</v>
      </c>
      <c r="J146" s="44">
        <f t="shared" si="39"/>
        <v>3.3</v>
      </c>
      <c r="K146" s="44">
        <f t="shared" si="39"/>
        <v>3.3</v>
      </c>
      <c r="L146" s="44">
        <f t="shared" si="39"/>
        <v>3.3</v>
      </c>
      <c r="M146" s="44">
        <f t="shared" si="39"/>
        <v>3.3</v>
      </c>
      <c r="N146" s="44">
        <f t="shared" si="39"/>
        <v>3.3</v>
      </c>
      <c r="O146" s="44">
        <f t="shared" si="39"/>
        <v>3.3</v>
      </c>
      <c r="P146" s="44">
        <f t="shared" si="39"/>
        <v>3.3</v>
      </c>
      <c r="Q146" s="44">
        <f t="shared" si="39"/>
        <v>3.3</v>
      </c>
      <c r="R146" s="44">
        <f t="shared" si="39"/>
        <v>3.3</v>
      </c>
      <c r="S146" s="44">
        <f t="shared" si="39"/>
        <v>3.3</v>
      </c>
      <c r="T146" s="44">
        <f t="shared" si="40"/>
        <v>3.3</v>
      </c>
      <c r="U146" s="44">
        <f t="shared" si="40"/>
        <v>3.3</v>
      </c>
      <c r="V146" s="44">
        <f t="shared" si="40"/>
        <v>3.3</v>
      </c>
      <c r="W146" s="44">
        <f t="shared" si="40"/>
        <v>3.3</v>
      </c>
      <c r="X146" s="44">
        <f t="shared" si="40"/>
        <v>3.3</v>
      </c>
      <c r="Y146" s="44">
        <f t="shared" si="40"/>
        <v>3.3</v>
      </c>
      <c r="Z146" s="44">
        <f t="shared" si="40"/>
        <v>3.3</v>
      </c>
      <c r="AA146" s="44">
        <f t="shared" si="40"/>
        <v>3.3</v>
      </c>
      <c r="AB146" s="44">
        <f t="shared" si="40"/>
        <v>3.3</v>
      </c>
      <c r="AC146" s="44">
        <f t="shared" si="40"/>
        <v>3.3</v>
      </c>
      <c r="AD146" s="44">
        <f t="shared" si="40"/>
        <v>3.3</v>
      </c>
      <c r="AE146" s="44">
        <f t="shared" si="40"/>
        <v>3.3</v>
      </c>
      <c r="AF146" s="44">
        <f t="shared" si="40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41">C148</f>
        <v>1.76</v>
      </c>
      <c r="E148" s="44">
        <f t="shared" si="41"/>
        <v>1.76</v>
      </c>
      <c r="F148" s="44">
        <f t="shared" si="41"/>
        <v>1.76</v>
      </c>
      <c r="G148" s="44">
        <f t="shared" si="41"/>
        <v>1.76</v>
      </c>
      <c r="H148" s="44">
        <f t="shared" si="41"/>
        <v>1.76</v>
      </c>
      <c r="I148" s="44">
        <f t="shared" si="41"/>
        <v>1.76</v>
      </c>
      <c r="J148" s="44">
        <f t="shared" si="41"/>
        <v>1.76</v>
      </c>
      <c r="K148" s="44">
        <f t="shared" si="41"/>
        <v>1.76</v>
      </c>
      <c r="L148" s="44">
        <f t="shared" si="41"/>
        <v>1.76</v>
      </c>
      <c r="M148" s="44">
        <f t="shared" si="41"/>
        <v>1.76</v>
      </c>
      <c r="N148" s="44">
        <f t="shared" si="41"/>
        <v>1.76</v>
      </c>
      <c r="O148" s="44">
        <f t="shared" si="41"/>
        <v>1.76</v>
      </c>
      <c r="P148" s="44">
        <f t="shared" si="41"/>
        <v>1.76</v>
      </c>
      <c r="Q148" s="44">
        <f t="shared" si="41"/>
        <v>1.76</v>
      </c>
      <c r="R148" s="44">
        <f t="shared" si="41"/>
        <v>1.76</v>
      </c>
      <c r="S148" s="44">
        <f t="shared" si="41"/>
        <v>1.76</v>
      </c>
      <c r="T148" s="44">
        <f t="shared" ref="T148:AF149" si="42">S148</f>
        <v>1.76</v>
      </c>
      <c r="U148" s="44">
        <f t="shared" si="42"/>
        <v>1.76</v>
      </c>
      <c r="V148" s="44">
        <f t="shared" si="42"/>
        <v>1.76</v>
      </c>
      <c r="W148" s="44">
        <f t="shared" si="42"/>
        <v>1.76</v>
      </c>
      <c r="X148" s="44">
        <f t="shared" si="42"/>
        <v>1.76</v>
      </c>
      <c r="Y148" s="44">
        <f t="shared" si="42"/>
        <v>1.76</v>
      </c>
      <c r="Z148" s="44">
        <f t="shared" si="42"/>
        <v>1.76</v>
      </c>
      <c r="AA148" s="44">
        <f t="shared" si="42"/>
        <v>1.76</v>
      </c>
      <c r="AB148" s="44">
        <f t="shared" si="42"/>
        <v>1.76</v>
      </c>
      <c r="AC148" s="44">
        <f t="shared" si="42"/>
        <v>1.76</v>
      </c>
      <c r="AD148" s="44">
        <f t="shared" si="42"/>
        <v>1.76</v>
      </c>
      <c r="AE148" s="44">
        <f t="shared" si="42"/>
        <v>1.76</v>
      </c>
      <c r="AF148" s="44">
        <f t="shared" si="42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41"/>
        <v>0</v>
      </c>
      <c r="E149" s="44">
        <f t="shared" si="41"/>
        <v>0</v>
      </c>
      <c r="F149" s="44">
        <f t="shared" si="41"/>
        <v>0</v>
      </c>
      <c r="G149" s="44">
        <f t="shared" si="41"/>
        <v>0</v>
      </c>
      <c r="H149" s="44">
        <f t="shared" si="41"/>
        <v>0</v>
      </c>
      <c r="I149" s="44">
        <f t="shared" si="41"/>
        <v>0</v>
      </c>
      <c r="J149" s="44">
        <f t="shared" si="41"/>
        <v>0</v>
      </c>
      <c r="K149" s="44">
        <f t="shared" si="41"/>
        <v>0</v>
      </c>
      <c r="L149" s="44">
        <f t="shared" si="41"/>
        <v>0</v>
      </c>
      <c r="M149" s="44">
        <f t="shared" si="41"/>
        <v>0</v>
      </c>
      <c r="N149" s="44">
        <f t="shared" si="41"/>
        <v>0</v>
      </c>
      <c r="O149" s="44">
        <f t="shared" si="41"/>
        <v>0</v>
      </c>
      <c r="P149" s="44">
        <f t="shared" si="41"/>
        <v>0</v>
      </c>
      <c r="Q149" s="44">
        <f t="shared" si="41"/>
        <v>0</v>
      </c>
      <c r="R149" s="44">
        <f t="shared" si="41"/>
        <v>0</v>
      </c>
      <c r="S149" s="44">
        <f t="shared" si="41"/>
        <v>0</v>
      </c>
      <c r="T149" s="44">
        <f t="shared" si="42"/>
        <v>0</v>
      </c>
      <c r="U149" s="44">
        <f t="shared" si="42"/>
        <v>0</v>
      </c>
      <c r="V149" s="44">
        <f t="shared" si="42"/>
        <v>0</v>
      </c>
      <c r="W149" s="44">
        <f t="shared" si="42"/>
        <v>0</v>
      </c>
      <c r="X149" s="44">
        <f t="shared" si="42"/>
        <v>0</v>
      </c>
      <c r="Y149" s="44">
        <f t="shared" si="42"/>
        <v>0</v>
      </c>
      <c r="Z149" s="44">
        <f t="shared" si="42"/>
        <v>0</v>
      </c>
      <c r="AA149" s="44">
        <f t="shared" si="42"/>
        <v>0</v>
      </c>
      <c r="AB149" s="44">
        <f t="shared" si="42"/>
        <v>0</v>
      </c>
      <c r="AC149" s="44">
        <f t="shared" si="42"/>
        <v>0</v>
      </c>
      <c r="AD149" s="44">
        <f t="shared" si="42"/>
        <v>0</v>
      </c>
      <c r="AE149" s="44">
        <f t="shared" si="42"/>
        <v>0</v>
      </c>
      <c r="AF149" s="44">
        <f t="shared" si="42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3">C151</f>
        <v>0.1</v>
      </c>
      <c r="E151" s="44">
        <f t="shared" si="43"/>
        <v>0.1</v>
      </c>
      <c r="F151" s="44">
        <f t="shared" si="43"/>
        <v>0.1</v>
      </c>
      <c r="G151" s="44">
        <f t="shared" si="43"/>
        <v>0.1</v>
      </c>
      <c r="H151" s="44">
        <f t="shared" si="43"/>
        <v>0.1</v>
      </c>
      <c r="I151" s="44">
        <f t="shared" si="43"/>
        <v>0.1</v>
      </c>
      <c r="J151" s="44">
        <f t="shared" si="43"/>
        <v>0.1</v>
      </c>
      <c r="K151" s="44">
        <f t="shared" si="43"/>
        <v>0.1</v>
      </c>
      <c r="L151" s="44">
        <f t="shared" si="43"/>
        <v>0.1</v>
      </c>
      <c r="M151" s="44">
        <f t="shared" si="43"/>
        <v>0.1</v>
      </c>
      <c r="N151" s="44">
        <f t="shared" si="43"/>
        <v>0.1</v>
      </c>
      <c r="O151" s="44">
        <f t="shared" si="43"/>
        <v>0.1</v>
      </c>
      <c r="P151" s="44">
        <f t="shared" si="43"/>
        <v>0.1</v>
      </c>
      <c r="Q151" s="44">
        <f t="shared" si="43"/>
        <v>0.1</v>
      </c>
      <c r="R151" s="44">
        <f t="shared" si="43"/>
        <v>0.1</v>
      </c>
      <c r="S151" s="44">
        <f t="shared" si="43"/>
        <v>0.1</v>
      </c>
      <c r="T151" s="44">
        <f t="shared" ref="T151:AF154" si="44">S151</f>
        <v>0.1</v>
      </c>
      <c r="U151" s="44">
        <f t="shared" si="44"/>
        <v>0.1</v>
      </c>
      <c r="V151" s="44">
        <f t="shared" si="44"/>
        <v>0.1</v>
      </c>
      <c r="W151" s="44">
        <f t="shared" si="44"/>
        <v>0.1</v>
      </c>
      <c r="X151" s="44">
        <f t="shared" si="44"/>
        <v>0.1</v>
      </c>
      <c r="Y151" s="44">
        <f t="shared" si="44"/>
        <v>0.1</v>
      </c>
      <c r="Z151" s="44">
        <f t="shared" si="44"/>
        <v>0.1</v>
      </c>
      <c r="AA151" s="44">
        <f t="shared" si="44"/>
        <v>0.1</v>
      </c>
      <c r="AB151" s="44">
        <f t="shared" si="44"/>
        <v>0.1</v>
      </c>
      <c r="AC151" s="44">
        <f t="shared" si="44"/>
        <v>0.1</v>
      </c>
      <c r="AD151" s="44">
        <f t="shared" si="44"/>
        <v>0.1</v>
      </c>
      <c r="AE151" s="44">
        <f t="shared" si="44"/>
        <v>0.1</v>
      </c>
      <c r="AF151" s="44">
        <f t="shared" si="44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3"/>
        <v>2.0499999999999998</v>
      </c>
      <c r="E152" s="44">
        <f t="shared" si="43"/>
        <v>2.0499999999999998</v>
      </c>
      <c r="F152" s="44">
        <f t="shared" si="43"/>
        <v>2.0499999999999998</v>
      </c>
      <c r="G152" s="44">
        <f t="shared" si="43"/>
        <v>2.0499999999999998</v>
      </c>
      <c r="H152" s="44">
        <f t="shared" si="43"/>
        <v>2.0499999999999998</v>
      </c>
      <c r="I152" s="44">
        <f t="shared" si="43"/>
        <v>2.0499999999999998</v>
      </c>
      <c r="J152" s="44">
        <f t="shared" si="43"/>
        <v>2.0499999999999998</v>
      </c>
      <c r="K152" s="44">
        <f t="shared" si="43"/>
        <v>2.0499999999999998</v>
      </c>
      <c r="L152" s="44">
        <f t="shared" si="43"/>
        <v>2.0499999999999998</v>
      </c>
      <c r="M152" s="44">
        <f t="shared" si="43"/>
        <v>2.0499999999999998</v>
      </c>
      <c r="N152" s="44">
        <f t="shared" si="43"/>
        <v>2.0499999999999998</v>
      </c>
      <c r="O152" s="44">
        <f t="shared" si="43"/>
        <v>2.0499999999999998</v>
      </c>
      <c r="P152" s="44">
        <f t="shared" si="43"/>
        <v>2.0499999999999998</v>
      </c>
      <c r="Q152" s="44">
        <f t="shared" si="43"/>
        <v>2.0499999999999998</v>
      </c>
      <c r="R152" s="44">
        <f t="shared" si="43"/>
        <v>2.0499999999999998</v>
      </c>
      <c r="S152" s="44">
        <f t="shared" si="43"/>
        <v>2.0499999999999998</v>
      </c>
      <c r="T152" s="44">
        <f t="shared" si="44"/>
        <v>2.0499999999999998</v>
      </c>
      <c r="U152" s="44">
        <f t="shared" si="44"/>
        <v>2.0499999999999998</v>
      </c>
      <c r="V152" s="44">
        <f t="shared" si="44"/>
        <v>2.0499999999999998</v>
      </c>
      <c r="W152" s="44">
        <f t="shared" si="44"/>
        <v>2.0499999999999998</v>
      </c>
      <c r="X152" s="44">
        <f t="shared" si="44"/>
        <v>2.0499999999999998</v>
      </c>
      <c r="Y152" s="44">
        <f t="shared" si="44"/>
        <v>2.0499999999999998</v>
      </c>
      <c r="Z152" s="44">
        <f t="shared" si="44"/>
        <v>2.0499999999999998</v>
      </c>
      <c r="AA152" s="44">
        <f t="shared" si="44"/>
        <v>2.0499999999999998</v>
      </c>
      <c r="AB152" s="44">
        <f t="shared" si="44"/>
        <v>2.0499999999999998</v>
      </c>
      <c r="AC152" s="44">
        <f t="shared" si="44"/>
        <v>2.0499999999999998</v>
      </c>
      <c r="AD152" s="44">
        <f t="shared" si="44"/>
        <v>2.0499999999999998</v>
      </c>
      <c r="AE152" s="44">
        <f t="shared" si="44"/>
        <v>2.0499999999999998</v>
      </c>
      <c r="AF152" s="44">
        <f t="shared" si="44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3"/>
        <v>2.7</v>
      </c>
      <c r="E153" s="44">
        <f t="shared" si="43"/>
        <v>2.7</v>
      </c>
      <c r="F153" s="44">
        <f t="shared" si="43"/>
        <v>2.7</v>
      </c>
      <c r="G153" s="44">
        <f t="shared" si="43"/>
        <v>2.7</v>
      </c>
      <c r="H153" s="44">
        <f t="shared" si="43"/>
        <v>2.7</v>
      </c>
      <c r="I153" s="44">
        <f t="shared" si="43"/>
        <v>2.7</v>
      </c>
      <c r="J153" s="44">
        <f t="shared" si="43"/>
        <v>2.7</v>
      </c>
      <c r="K153" s="44">
        <f t="shared" si="43"/>
        <v>2.7</v>
      </c>
      <c r="L153" s="44">
        <f t="shared" si="43"/>
        <v>2.7</v>
      </c>
      <c r="M153" s="44">
        <f t="shared" si="43"/>
        <v>2.7</v>
      </c>
      <c r="N153" s="44">
        <f t="shared" si="43"/>
        <v>2.7</v>
      </c>
      <c r="O153" s="44">
        <f t="shared" si="43"/>
        <v>2.7</v>
      </c>
      <c r="P153" s="44">
        <f t="shared" si="43"/>
        <v>2.7</v>
      </c>
      <c r="Q153" s="44">
        <f t="shared" si="43"/>
        <v>2.7</v>
      </c>
      <c r="R153" s="44">
        <f t="shared" si="43"/>
        <v>2.7</v>
      </c>
      <c r="S153" s="44">
        <f t="shared" si="43"/>
        <v>2.7</v>
      </c>
      <c r="T153" s="44">
        <f t="shared" si="44"/>
        <v>2.7</v>
      </c>
      <c r="U153" s="44">
        <f t="shared" si="44"/>
        <v>2.7</v>
      </c>
      <c r="V153" s="44">
        <f t="shared" si="44"/>
        <v>2.7</v>
      </c>
      <c r="W153" s="44">
        <f t="shared" si="44"/>
        <v>2.7</v>
      </c>
      <c r="X153" s="44">
        <f t="shared" si="44"/>
        <v>2.7</v>
      </c>
      <c r="Y153" s="44">
        <f t="shared" si="44"/>
        <v>2.7</v>
      </c>
      <c r="Z153" s="44">
        <f t="shared" si="44"/>
        <v>2.7</v>
      </c>
      <c r="AA153" s="44">
        <f t="shared" si="44"/>
        <v>2.7</v>
      </c>
      <c r="AB153" s="44">
        <f t="shared" si="44"/>
        <v>2.7</v>
      </c>
      <c r="AC153" s="44">
        <f t="shared" si="44"/>
        <v>2.7</v>
      </c>
      <c r="AD153" s="44">
        <f t="shared" si="44"/>
        <v>2.7</v>
      </c>
      <c r="AE153" s="44">
        <f t="shared" si="44"/>
        <v>2.7</v>
      </c>
      <c r="AF153" s="44">
        <f t="shared" si="44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3"/>
        <v>2.15</v>
      </c>
      <c r="E154" s="44">
        <f t="shared" si="43"/>
        <v>2.15</v>
      </c>
      <c r="F154" s="44">
        <f t="shared" si="43"/>
        <v>2.15</v>
      </c>
      <c r="G154" s="44">
        <f t="shared" si="43"/>
        <v>2.15</v>
      </c>
      <c r="H154" s="44">
        <f t="shared" si="43"/>
        <v>2.15</v>
      </c>
      <c r="I154" s="44">
        <f t="shared" si="43"/>
        <v>2.15</v>
      </c>
      <c r="J154" s="44">
        <f t="shared" si="43"/>
        <v>2.15</v>
      </c>
      <c r="K154" s="44">
        <f t="shared" si="43"/>
        <v>2.15</v>
      </c>
      <c r="L154" s="44">
        <f t="shared" si="43"/>
        <v>2.15</v>
      </c>
      <c r="M154" s="44">
        <f t="shared" si="43"/>
        <v>2.15</v>
      </c>
      <c r="N154" s="44">
        <f t="shared" si="43"/>
        <v>2.15</v>
      </c>
      <c r="O154" s="44">
        <f t="shared" si="43"/>
        <v>2.15</v>
      </c>
      <c r="P154" s="44">
        <f t="shared" si="43"/>
        <v>2.15</v>
      </c>
      <c r="Q154" s="44">
        <f t="shared" si="43"/>
        <v>2.15</v>
      </c>
      <c r="R154" s="44">
        <f t="shared" si="43"/>
        <v>2.15</v>
      </c>
      <c r="S154" s="44">
        <f t="shared" si="43"/>
        <v>2.15</v>
      </c>
      <c r="T154" s="44">
        <f t="shared" si="44"/>
        <v>2.15</v>
      </c>
      <c r="U154" s="44">
        <f t="shared" si="44"/>
        <v>2.15</v>
      </c>
      <c r="V154" s="44">
        <f t="shared" si="44"/>
        <v>2.15</v>
      </c>
      <c r="W154" s="44">
        <f t="shared" si="44"/>
        <v>2.15</v>
      </c>
      <c r="X154" s="44">
        <f t="shared" si="44"/>
        <v>2.15</v>
      </c>
      <c r="Y154" s="44">
        <f t="shared" si="44"/>
        <v>2.15</v>
      </c>
      <c r="Z154" s="44">
        <f t="shared" si="44"/>
        <v>2.15</v>
      </c>
      <c r="AA154" s="44">
        <f t="shared" si="44"/>
        <v>2.15</v>
      </c>
      <c r="AB154" s="44">
        <f t="shared" si="44"/>
        <v>2.15</v>
      </c>
      <c r="AC154" s="44">
        <f t="shared" si="44"/>
        <v>2.15</v>
      </c>
      <c r="AD154" s="44">
        <f t="shared" si="44"/>
        <v>2.15</v>
      </c>
      <c r="AE154" s="44">
        <f t="shared" si="44"/>
        <v>2.15</v>
      </c>
      <c r="AF154" s="44">
        <f t="shared" si="44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5">AF156</f>
        <v>0.9</v>
      </c>
      <c r="C156" s="55">
        <v>0.9</v>
      </c>
      <c r="D156" s="44">
        <f t="shared" ref="D156:S168" si="46">C156</f>
        <v>0.9</v>
      </c>
      <c r="E156" s="44">
        <f t="shared" si="46"/>
        <v>0.9</v>
      </c>
      <c r="F156" s="44">
        <f t="shared" si="46"/>
        <v>0.9</v>
      </c>
      <c r="G156" s="44">
        <f t="shared" si="46"/>
        <v>0.9</v>
      </c>
      <c r="H156" s="44">
        <f t="shared" si="46"/>
        <v>0.9</v>
      </c>
      <c r="I156" s="44">
        <f t="shared" si="46"/>
        <v>0.9</v>
      </c>
      <c r="J156" s="44">
        <f t="shared" si="46"/>
        <v>0.9</v>
      </c>
      <c r="K156" s="44">
        <f t="shared" si="46"/>
        <v>0.9</v>
      </c>
      <c r="L156" s="44">
        <f t="shared" si="46"/>
        <v>0.9</v>
      </c>
      <c r="M156" s="44">
        <f t="shared" si="46"/>
        <v>0.9</v>
      </c>
      <c r="N156" s="44">
        <f t="shared" si="46"/>
        <v>0.9</v>
      </c>
      <c r="O156" s="44">
        <f t="shared" si="46"/>
        <v>0.9</v>
      </c>
      <c r="P156" s="44">
        <f t="shared" si="46"/>
        <v>0.9</v>
      </c>
      <c r="Q156" s="44">
        <f t="shared" si="46"/>
        <v>0.9</v>
      </c>
      <c r="R156" s="44">
        <f t="shared" si="46"/>
        <v>0.9</v>
      </c>
      <c r="S156" s="44">
        <f t="shared" si="46"/>
        <v>0.9</v>
      </c>
      <c r="T156" s="44">
        <f t="shared" ref="S156:AF168" si="47">S156</f>
        <v>0.9</v>
      </c>
      <c r="U156" s="44">
        <f t="shared" si="47"/>
        <v>0.9</v>
      </c>
      <c r="V156" s="44">
        <f t="shared" si="47"/>
        <v>0.9</v>
      </c>
      <c r="W156" s="44">
        <f t="shared" si="47"/>
        <v>0.9</v>
      </c>
      <c r="X156" s="44">
        <f t="shared" si="47"/>
        <v>0.9</v>
      </c>
      <c r="Y156" s="44">
        <f t="shared" si="47"/>
        <v>0.9</v>
      </c>
      <c r="Z156" s="44">
        <f t="shared" si="47"/>
        <v>0.9</v>
      </c>
      <c r="AA156" s="44">
        <f t="shared" si="47"/>
        <v>0.9</v>
      </c>
      <c r="AB156" s="44">
        <f t="shared" si="47"/>
        <v>0.9</v>
      </c>
      <c r="AC156" s="44">
        <f t="shared" si="47"/>
        <v>0.9</v>
      </c>
      <c r="AD156" s="44">
        <f t="shared" si="47"/>
        <v>0.9</v>
      </c>
      <c r="AE156" s="44">
        <f t="shared" si="47"/>
        <v>0.9</v>
      </c>
      <c r="AF156" s="44">
        <f t="shared" si="47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5"/>
        <v>1.08</v>
      </c>
      <c r="C157" s="55">
        <v>1.08</v>
      </c>
      <c r="D157" s="44">
        <f t="shared" si="46"/>
        <v>1.08</v>
      </c>
      <c r="E157" s="44">
        <f t="shared" si="46"/>
        <v>1.08</v>
      </c>
      <c r="F157" s="44">
        <f t="shared" si="46"/>
        <v>1.08</v>
      </c>
      <c r="G157" s="44">
        <f t="shared" si="46"/>
        <v>1.08</v>
      </c>
      <c r="H157" s="44">
        <f t="shared" si="46"/>
        <v>1.08</v>
      </c>
      <c r="I157" s="44">
        <f t="shared" si="46"/>
        <v>1.08</v>
      </c>
      <c r="J157" s="44">
        <f t="shared" si="46"/>
        <v>1.08</v>
      </c>
      <c r="K157" s="44">
        <f t="shared" si="46"/>
        <v>1.08</v>
      </c>
      <c r="L157" s="44">
        <f t="shared" si="46"/>
        <v>1.08</v>
      </c>
      <c r="M157" s="44">
        <f t="shared" si="46"/>
        <v>1.08</v>
      </c>
      <c r="N157" s="44">
        <f t="shared" si="46"/>
        <v>1.08</v>
      </c>
      <c r="O157" s="44">
        <f t="shared" si="46"/>
        <v>1.08</v>
      </c>
      <c r="P157" s="44">
        <f t="shared" si="46"/>
        <v>1.08</v>
      </c>
      <c r="Q157" s="44">
        <f t="shared" si="46"/>
        <v>1.08</v>
      </c>
      <c r="R157" s="44">
        <f t="shared" si="46"/>
        <v>1.08</v>
      </c>
      <c r="S157" s="44">
        <f t="shared" si="46"/>
        <v>1.08</v>
      </c>
      <c r="T157" s="44">
        <f t="shared" si="47"/>
        <v>1.08</v>
      </c>
      <c r="U157" s="44">
        <f t="shared" si="47"/>
        <v>1.08</v>
      </c>
      <c r="V157" s="44">
        <f t="shared" si="47"/>
        <v>1.08</v>
      </c>
      <c r="W157" s="44">
        <f t="shared" si="47"/>
        <v>1.08</v>
      </c>
      <c r="X157" s="44">
        <f t="shared" si="47"/>
        <v>1.08</v>
      </c>
      <c r="Y157" s="44">
        <f t="shared" si="47"/>
        <v>1.08</v>
      </c>
      <c r="Z157" s="44">
        <f t="shared" si="47"/>
        <v>1.08</v>
      </c>
      <c r="AA157" s="44">
        <f t="shared" si="47"/>
        <v>1.08</v>
      </c>
      <c r="AB157" s="44">
        <f t="shared" si="47"/>
        <v>1.08</v>
      </c>
      <c r="AC157" s="44">
        <f t="shared" si="47"/>
        <v>1.08</v>
      </c>
      <c r="AD157" s="44">
        <f t="shared" si="47"/>
        <v>1.08</v>
      </c>
      <c r="AE157" s="44">
        <f t="shared" si="47"/>
        <v>1.08</v>
      </c>
      <c r="AF157" s="44">
        <f t="shared" si="47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5"/>
        <v>2.37</v>
      </c>
      <c r="C158" s="55">
        <v>2.37</v>
      </c>
      <c r="D158" s="44">
        <f t="shared" si="46"/>
        <v>2.37</v>
      </c>
      <c r="E158" s="44">
        <f t="shared" si="46"/>
        <v>2.37</v>
      </c>
      <c r="F158" s="44">
        <f t="shared" si="46"/>
        <v>2.37</v>
      </c>
      <c r="G158" s="44">
        <f t="shared" si="46"/>
        <v>2.37</v>
      </c>
      <c r="H158" s="44">
        <f t="shared" si="46"/>
        <v>2.37</v>
      </c>
      <c r="I158" s="44">
        <f t="shared" si="46"/>
        <v>2.37</v>
      </c>
      <c r="J158" s="44">
        <f t="shared" si="46"/>
        <v>2.37</v>
      </c>
      <c r="K158" s="44">
        <f t="shared" si="46"/>
        <v>2.37</v>
      </c>
      <c r="L158" s="44">
        <f t="shared" si="46"/>
        <v>2.37</v>
      </c>
      <c r="M158" s="44">
        <f t="shared" si="46"/>
        <v>2.37</v>
      </c>
      <c r="N158" s="44">
        <f t="shared" si="46"/>
        <v>2.37</v>
      </c>
      <c r="O158" s="44">
        <f t="shared" si="46"/>
        <v>2.37</v>
      </c>
      <c r="P158" s="44">
        <f t="shared" si="46"/>
        <v>2.37</v>
      </c>
      <c r="Q158" s="44">
        <f t="shared" si="46"/>
        <v>2.37</v>
      </c>
      <c r="R158" s="44">
        <f t="shared" si="46"/>
        <v>2.37</v>
      </c>
      <c r="S158" s="44">
        <f t="shared" si="46"/>
        <v>2.37</v>
      </c>
      <c r="T158" s="44">
        <f t="shared" si="47"/>
        <v>2.37</v>
      </c>
      <c r="U158" s="44">
        <f t="shared" si="47"/>
        <v>2.37</v>
      </c>
      <c r="V158" s="44">
        <f t="shared" si="47"/>
        <v>2.37</v>
      </c>
      <c r="W158" s="44">
        <f t="shared" si="47"/>
        <v>2.37</v>
      </c>
      <c r="X158" s="44">
        <f t="shared" si="47"/>
        <v>2.37</v>
      </c>
      <c r="Y158" s="44">
        <f t="shared" si="47"/>
        <v>2.37</v>
      </c>
      <c r="Z158" s="44">
        <f t="shared" si="47"/>
        <v>2.37</v>
      </c>
      <c r="AA158" s="44">
        <f t="shared" si="47"/>
        <v>2.37</v>
      </c>
      <c r="AB158" s="44">
        <f t="shared" si="47"/>
        <v>2.37</v>
      </c>
      <c r="AC158" s="44">
        <f t="shared" si="47"/>
        <v>2.37</v>
      </c>
      <c r="AD158" s="44">
        <f t="shared" si="47"/>
        <v>2.37</v>
      </c>
      <c r="AE158" s="44">
        <f t="shared" si="47"/>
        <v>2.37</v>
      </c>
      <c r="AF158" s="44">
        <f t="shared" si="47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5"/>
        <v>1.81</v>
      </c>
      <c r="C159" s="55">
        <v>1.81</v>
      </c>
      <c r="D159" s="44">
        <f t="shared" si="46"/>
        <v>1.81</v>
      </c>
      <c r="E159" s="44">
        <f t="shared" si="46"/>
        <v>1.81</v>
      </c>
      <c r="F159" s="44">
        <f t="shared" si="46"/>
        <v>1.81</v>
      </c>
      <c r="G159" s="44">
        <f t="shared" si="46"/>
        <v>1.81</v>
      </c>
      <c r="H159" s="44">
        <f t="shared" si="46"/>
        <v>1.81</v>
      </c>
      <c r="I159" s="44">
        <f t="shared" si="46"/>
        <v>1.81</v>
      </c>
      <c r="J159" s="44">
        <f t="shared" si="46"/>
        <v>1.81</v>
      </c>
      <c r="K159" s="44">
        <f t="shared" si="46"/>
        <v>1.81</v>
      </c>
      <c r="L159" s="44">
        <f t="shared" si="46"/>
        <v>1.81</v>
      </c>
      <c r="M159" s="44">
        <f t="shared" si="46"/>
        <v>1.81</v>
      </c>
      <c r="N159" s="44">
        <f t="shared" si="46"/>
        <v>1.81</v>
      </c>
      <c r="O159" s="44">
        <f t="shared" si="46"/>
        <v>1.81</v>
      </c>
      <c r="P159" s="44">
        <f t="shared" si="46"/>
        <v>1.81</v>
      </c>
      <c r="Q159" s="44">
        <f t="shared" si="46"/>
        <v>1.81</v>
      </c>
      <c r="R159" s="44">
        <f t="shared" si="46"/>
        <v>1.81</v>
      </c>
      <c r="S159" s="44">
        <f t="shared" si="46"/>
        <v>1.81</v>
      </c>
      <c r="T159" s="44">
        <f t="shared" si="47"/>
        <v>1.81</v>
      </c>
      <c r="U159" s="44">
        <f t="shared" si="47"/>
        <v>1.81</v>
      </c>
      <c r="V159" s="44">
        <f t="shared" si="47"/>
        <v>1.81</v>
      </c>
      <c r="W159" s="44">
        <f t="shared" si="47"/>
        <v>1.81</v>
      </c>
      <c r="X159" s="44">
        <f t="shared" si="47"/>
        <v>1.81</v>
      </c>
      <c r="Y159" s="44">
        <f t="shared" si="47"/>
        <v>1.81</v>
      </c>
      <c r="Z159" s="44">
        <f t="shared" si="47"/>
        <v>1.81</v>
      </c>
      <c r="AA159" s="44">
        <f t="shared" si="47"/>
        <v>1.81</v>
      </c>
      <c r="AB159" s="44">
        <f t="shared" si="47"/>
        <v>1.81</v>
      </c>
      <c r="AC159" s="44">
        <f t="shared" si="47"/>
        <v>1.81</v>
      </c>
      <c r="AD159" s="44">
        <f t="shared" si="47"/>
        <v>1.81</v>
      </c>
      <c r="AE159" s="44">
        <f t="shared" si="47"/>
        <v>1.81</v>
      </c>
      <c r="AF159" s="44">
        <f t="shared" si="47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5"/>
        <v>1.0900000000000001</v>
      </c>
      <c r="C160" s="55">
        <v>1.0900000000000001</v>
      </c>
      <c r="D160" s="44">
        <f t="shared" si="46"/>
        <v>1.0900000000000001</v>
      </c>
      <c r="E160" s="44">
        <f t="shared" si="46"/>
        <v>1.0900000000000001</v>
      </c>
      <c r="F160" s="44">
        <f t="shared" si="46"/>
        <v>1.0900000000000001</v>
      </c>
      <c r="G160" s="44">
        <f t="shared" si="46"/>
        <v>1.0900000000000001</v>
      </c>
      <c r="H160" s="44">
        <f t="shared" si="46"/>
        <v>1.0900000000000001</v>
      </c>
      <c r="I160" s="44">
        <f t="shared" si="46"/>
        <v>1.0900000000000001</v>
      </c>
      <c r="J160" s="44">
        <f t="shared" si="46"/>
        <v>1.0900000000000001</v>
      </c>
      <c r="K160" s="44">
        <f t="shared" si="46"/>
        <v>1.0900000000000001</v>
      </c>
      <c r="L160" s="44">
        <f t="shared" si="46"/>
        <v>1.0900000000000001</v>
      </c>
      <c r="M160" s="44">
        <f t="shared" si="46"/>
        <v>1.0900000000000001</v>
      </c>
      <c r="N160" s="44">
        <f t="shared" si="46"/>
        <v>1.0900000000000001</v>
      </c>
      <c r="O160" s="44">
        <f t="shared" si="46"/>
        <v>1.0900000000000001</v>
      </c>
      <c r="P160" s="44">
        <f t="shared" si="46"/>
        <v>1.0900000000000001</v>
      </c>
      <c r="Q160" s="44">
        <f t="shared" si="46"/>
        <v>1.0900000000000001</v>
      </c>
      <c r="R160" s="44">
        <f t="shared" si="46"/>
        <v>1.0900000000000001</v>
      </c>
      <c r="S160" s="44">
        <f t="shared" si="46"/>
        <v>1.0900000000000001</v>
      </c>
      <c r="T160" s="44">
        <f t="shared" si="47"/>
        <v>1.0900000000000001</v>
      </c>
      <c r="U160" s="44">
        <f t="shared" si="47"/>
        <v>1.0900000000000001</v>
      </c>
      <c r="V160" s="44">
        <f t="shared" si="47"/>
        <v>1.0900000000000001</v>
      </c>
      <c r="W160" s="44">
        <f t="shared" si="47"/>
        <v>1.0900000000000001</v>
      </c>
      <c r="X160" s="44">
        <f t="shared" si="47"/>
        <v>1.0900000000000001</v>
      </c>
      <c r="Y160" s="44">
        <f t="shared" si="47"/>
        <v>1.0900000000000001</v>
      </c>
      <c r="Z160" s="44">
        <f t="shared" si="47"/>
        <v>1.0900000000000001</v>
      </c>
      <c r="AA160" s="44">
        <f t="shared" si="47"/>
        <v>1.0900000000000001</v>
      </c>
      <c r="AB160" s="44">
        <f t="shared" si="47"/>
        <v>1.0900000000000001</v>
      </c>
      <c r="AC160" s="44">
        <f t="shared" si="47"/>
        <v>1.0900000000000001</v>
      </c>
      <c r="AD160" s="44">
        <f t="shared" si="47"/>
        <v>1.0900000000000001</v>
      </c>
      <c r="AE160" s="44">
        <f t="shared" si="47"/>
        <v>1.0900000000000001</v>
      </c>
      <c r="AF160" s="44">
        <f t="shared" si="47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5"/>
        <v>1.58</v>
      </c>
      <c r="C161" s="55">
        <v>1.58</v>
      </c>
      <c r="D161" s="44">
        <f t="shared" si="46"/>
        <v>1.58</v>
      </c>
      <c r="E161" s="44">
        <f t="shared" si="46"/>
        <v>1.58</v>
      </c>
      <c r="F161" s="44">
        <f t="shared" si="46"/>
        <v>1.58</v>
      </c>
      <c r="G161" s="44">
        <f t="shared" si="46"/>
        <v>1.58</v>
      </c>
      <c r="H161" s="44">
        <f t="shared" si="46"/>
        <v>1.58</v>
      </c>
      <c r="I161" s="44">
        <f t="shared" si="46"/>
        <v>1.58</v>
      </c>
      <c r="J161" s="44">
        <f t="shared" si="46"/>
        <v>1.58</v>
      </c>
      <c r="K161" s="44">
        <f t="shared" si="46"/>
        <v>1.58</v>
      </c>
      <c r="L161" s="44">
        <f t="shared" si="46"/>
        <v>1.58</v>
      </c>
      <c r="M161" s="44">
        <f t="shared" si="46"/>
        <v>1.58</v>
      </c>
      <c r="N161" s="44">
        <f t="shared" si="46"/>
        <v>1.58</v>
      </c>
      <c r="O161" s="44">
        <f t="shared" si="46"/>
        <v>1.58</v>
      </c>
      <c r="P161" s="44">
        <f t="shared" si="46"/>
        <v>1.58</v>
      </c>
      <c r="Q161" s="44">
        <f t="shared" si="46"/>
        <v>1.58</v>
      </c>
      <c r="R161" s="44">
        <f t="shared" si="46"/>
        <v>1.58</v>
      </c>
      <c r="S161" s="44">
        <f t="shared" si="46"/>
        <v>1.58</v>
      </c>
      <c r="T161" s="44">
        <f t="shared" si="47"/>
        <v>1.58</v>
      </c>
      <c r="U161" s="44">
        <f t="shared" si="47"/>
        <v>1.58</v>
      </c>
      <c r="V161" s="44">
        <f t="shared" si="47"/>
        <v>1.58</v>
      </c>
      <c r="W161" s="44">
        <f t="shared" si="47"/>
        <v>1.58</v>
      </c>
      <c r="X161" s="44">
        <f t="shared" si="47"/>
        <v>1.58</v>
      </c>
      <c r="Y161" s="44">
        <f t="shared" si="47"/>
        <v>1.58</v>
      </c>
      <c r="Z161" s="44">
        <f t="shared" si="47"/>
        <v>1.58</v>
      </c>
      <c r="AA161" s="44">
        <f t="shared" si="47"/>
        <v>1.58</v>
      </c>
      <c r="AB161" s="44">
        <f t="shared" si="47"/>
        <v>1.58</v>
      </c>
      <c r="AC161" s="44">
        <f t="shared" si="47"/>
        <v>1.58</v>
      </c>
      <c r="AD161" s="44">
        <f t="shared" si="47"/>
        <v>1.58</v>
      </c>
      <c r="AE161" s="44">
        <f t="shared" si="47"/>
        <v>1.58</v>
      </c>
      <c r="AF161" s="44">
        <f t="shared" si="47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5"/>
        <v>2</v>
      </c>
      <c r="C162" s="55">
        <v>2</v>
      </c>
      <c r="D162" s="44">
        <f t="shared" si="46"/>
        <v>2</v>
      </c>
      <c r="E162" s="44">
        <f t="shared" si="46"/>
        <v>2</v>
      </c>
      <c r="F162" s="44">
        <f t="shared" si="46"/>
        <v>2</v>
      </c>
      <c r="G162" s="44">
        <f t="shared" si="46"/>
        <v>2</v>
      </c>
      <c r="H162" s="44">
        <f t="shared" si="46"/>
        <v>2</v>
      </c>
      <c r="I162" s="44">
        <f t="shared" si="46"/>
        <v>2</v>
      </c>
      <c r="J162" s="44">
        <f t="shared" si="46"/>
        <v>2</v>
      </c>
      <c r="K162" s="44">
        <f t="shared" si="46"/>
        <v>2</v>
      </c>
      <c r="L162" s="44">
        <f t="shared" si="46"/>
        <v>2</v>
      </c>
      <c r="M162" s="44">
        <f t="shared" si="46"/>
        <v>2</v>
      </c>
      <c r="N162" s="44">
        <f t="shared" si="46"/>
        <v>2</v>
      </c>
      <c r="O162" s="44">
        <f t="shared" si="46"/>
        <v>2</v>
      </c>
      <c r="P162" s="44">
        <f t="shared" si="46"/>
        <v>2</v>
      </c>
      <c r="Q162" s="44">
        <f t="shared" si="46"/>
        <v>2</v>
      </c>
      <c r="R162" s="44">
        <f t="shared" si="46"/>
        <v>2</v>
      </c>
      <c r="S162" s="44">
        <f t="shared" si="46"/>
        <v>2</v>
      </c>
      <c r="T162" s="44">
        <f t="shared" si="47"/>
        <v>2</v>
      </c>
      <c r="U162" s="44">
        <f t="shared" si="47"/>
        <v>2</v>
      </c>
      <c r="V162" s="44">
        <f t="shared" si="47"/>
        <v>2</v>
      </c>
      <c r="W162" s="44">
        <f t="shared" si="47"/>
        <v>2</v>
      </c>
      <c r="X162" s="44">
        <f t="shared" si="47"/>
        <v>2</v>
      </c>
      <c r="Y162" s="44">
        <f t="shared" si="47"/>
        <v>2</v>
      </c>
      <c r="Z162" s="44">
        <f t="shared" si="47"/>
        <v>2</v>
      </c>
      <c r="AA162" s="44">
        <f t="shared" si="47"/>
        <v>2</v>
      </c>
      <c r="AB162" s="44">
        <f t="shared" si="47"/>
        <v>2</v>
      </c>
      <c r="AC162" s="44">
        <f t="shared" si="47"/>
        <v>2</v>
      </c>
      <c r="AD162" s="44">
        <f t="shared" si="47"/>
        <v>2</v>
      </c>
      <c r="AE162" s="44">
        <f t="shared" si="47"/>
        <v>2</v>
      </c>
      <c r="AF162" s="44">
        <f t="shared" si="47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5"/>
        <v>0.47</v>
      </c>
      <c r="C163" s="55">
        <v>0.47</v>
      </c>
      <c r="D163" s="44">
        <f t="shared" si="46"/>
        <v>0.47</v>
      </c>
      <c r="E163" s="44">
        <f t="shared" si="46"/>
        <v>0.47</v>
      </c>
      <c r="F163" s="44">
        <f t="shared" si="46"/>
        <v>0.47</v>
      </c>
      <c r="G163" s="44">
        <f t="shared" si="46"/>
        <v>0.47</v>
      </c>
      <c r="H163" s="44">
        <f t="shared" si="46"/>
        <v>0.47</v>
      </c>
      <c r="I163" s="44">
        <f t="shared" si="46"/>
        <v>0.47</v>
      </c>
      <c r="J163" s="44">
        <f t="shared" si="46"/>
        <v>0.47</v>
      </c>
      <c r="K163" s="44">
        <f t="shared" si="46"/>
        <v>0.47</v>
      </c>
      <c r="L163" s="44">
        <f t="shared" si="46"/>
        <v>0.47</v>
      </c>
      <c r="M163" s="44">
        <f t="shared" si="46"/>
        <v>0.47</v>
      </c>
      <c r="N163" s="44">
        <f t="shared" si="46"/>
        <v>0.47</v>
      </c>
      <c r="O163" s="44">
        <f t="shared" si="46"/>
        <v>0.47</v>
      </c>
      <c r="P163" s="44">
        <f t="shared" si="46"/>
        <v>0.47</v>
      </c>
      <c r="Q163" s="44">
        <f t="shared" si="46"/>
        <v>0.47</v>
      </c>
      <c r="R163" s="44">
        <f t="shared" si="46"/>
        <v>0.47</v>
      </c>
      <c r="S163" s="44">
        <f t="shared" si="46"/>
        <v>0.47</v>
      </c>
      <c r="T163" s="44">
        <f t="shared" si="47"/>
        <v>0.47</v>
      </c>
      <c r="U163" s="44">
        <f t="shared" si="47"/>
        <v>0.47</v>
      </c>
      <c r="V163" s="44">
        <f t="shared" si="47"/>
        <v>0.47</v>
      </c>
      <c r="W163" s="44">
        <f t="shared" si="47"/>
        <v>0.47</v>
      </c>
      <c r="X163" s="44">
        <f t="shared" si="47"/>
        <v>0.47</v>
      </c>
      <c r="Y163" s="44">
        <f t="shared" si="47"/>
        <v>0.47</v>
      </c>
      <c r="Z163" s="44">
        <f t="shared" si="47"/>
        <v>0.47</v>
      </c>
      <c r="AA163" s="44">
        <f t="shared" si="47"/>
        <v>0.47</v>
      </c>
      <c r="AB163" s="44">
        <f t="shared" si="47"/>
        <v>0.47</v>
      </c>
      <c r="AC163" s="44">
        <f t="shared" si="47"/>
        <v>0.47</v>
      </c>
      <c r="AD163" s="44">
        <f t="shared" si="47"/>
        <v>0.47</v>
      </c>
      <c r="AE163" s="44">
        <f t="shared" si="47"/>
        <v>0.47</v>
      </c>
      <c r="AF163" s="44">
        <f t="shared" si="47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5"/>
        <v>0</v>
      </c>
      <c r="C164" s="55">
        <v>0</v>
      </c>
      <c r="D164" s="44">
        <f t="shared" si="46"/>
        <v>0</v>
      </c>
      <c r="E164" s="44">
        <f t="shared" si="46"/>
        <v>0</v>
      </c>
      <c r="F164" s="44">
        <f t="shared" si="46"/>
        <v>0</v>
      </c>
      <c r="G164" s="44">
        <f t="shared" si="46"/>
        <v>0</v>
      </c>
      <c r="H164" s="44">
        <f t="shared" si="46"/>
        <v>0</v>
      </c>
      <c r="I164" s="44">
        <f t="shared" si="46"/>
        <v>0</v>
      </c>
      <c r="J164" s="44">
        <f t="shared" si="46"/>
        <v>0</v>
      </c>
      <c r="K164" s="44">
        <f t="shared" si="46"/>
        <v>0</v>
      </c>
      <c r="L164" s="44">
        <f t="shared" si="46"/>
        <v>0</v>
      </c>
      <c r="M164" s="44">
        <f t="shared" si="46"/>
        <v>0</v>
      </c>
      <c r="N164" s="44">
        <f t="shared" si="46"/>
        <v>0</v>
      </c>
      <c r="O164" s="44">
        <f t="shared" si="46"/>
        <v>0</v>
      </c>
      <c r="P164" s="44">
        <f t="shared" si="46"/>
        <v>0</v>
      </c>
      <c r="Q164" s="44">
        <f t="shared" si="46"/>
        <v>0</v>
      </c>
      <c r="R164" s="44">
        <f t="shared" si="46"/>
        <v>0</v>
      </c>
      <c r="S164" s="44">
        <f t="shared" si="46"/>
        <v>0</v>
      </c>
      <c r="T164" s="44">
        <f t="shared" si="47"/>
        <v>0</v>
      </c>
      <c r="U164" s="44">
        <f t="shared" si="47"/>
        <v>0</v>
      </c>
      <c r="V164" s="44">
        <f t="shared" si="47"/>
        <v>0</v>
      </c>
      <c r="W164" s="44">
        <f t="shared" si="47"/>
        <v>0</v>
      </c>
      <c r="X164" s="44">
        <f t="shared" si="47"/>
        <v>0</v>
      </c>
      <c r="Y164" s="44">
        <f t="shared" si="47"/>
        <v>0</v>
      </c>
      <c r="Z164" s="44">
        <f t="shared" si="47"/>
        <v>0</v>
      </c>
      <c r="AA164" s="44">
        <f t="shared" si="47"/>
        <v>0</v>
      </c>
      <c r="AB164" s="44">
        <f t="shared" si="47"/>
        <v>0</v>
      </c>
      <c r="AC164" s="44">
        <f t="shared" si="47"/>
        <v>0</v>
      </c>
      <c r="AD164" s="44">
        <f t="shared" si="47"/>
        <v>0</v>
      </c>
      <c r="AE164" s="44">
        <f t="shared" si="47"/>
        <v>0</v>
      </c>
      <c r="AF164" s="44">
        <f t="shared" si="47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5"/>
        <v>0</v>
      </c>
      <c r="C165" s="55">
        <v>0</v>
      </c>
      <c r="D165" s="44">
        <f t="shared" si="46"/>
        <v>0</v>
      </c>
      <c r="E165" s="44">
        <f t="shared" si="46"/>
        <v>0</v>
      </c>
      <c r="F165" s="44">
        <f t="shared" si="46"/>
        <v>0</v>
      </c>
      <c r="G165" s="44">
        <f t="shared" si="46"/>
        <v>0</v>
      </c>
      <c r="H165" s="44">
        <f t="shared" si="46"/>
        <v>0</v>
      </c>
      <c r="I165" s="44">
        <f t="shared" si="46"/>
        <v>0</v>
      </c>
      <c r="J165" s="44">
        <f t="shared" si="46"/>
        <v>0</v>
      </c>
      <c r="K165" s="44">
        <f t="shared" si="46"/>
        <v>0</v>
      </c>
      <c r="L165" s="44">
        <f t="shared" si="46"/>
        <v>0</v>
      </c>
      <c r="M165" s="44">
        <f t="shared" si="46"/>
        <v>0</v>
      </c>
      <c r="N165" s="44">
        <f t="shared" si="46"/>
        <v>0</v>
      </c>
      <c r="O165" s="44">
        <f t="shared" si="46"/>
        <v>0</v>
      </c>
      <c r="P165" s="44">
        <f t="shared" si="46"/>
        <v>0</v>
      </c>
      <c r="Q165" s="44">
        <f t="shared" si="46"/>
        <v>0</v>
      </c>
      <c r="R165" s="44">
        <f t="shared" si="46"/>
        <v>0</v>
      </c>
      <c r="S165" s="44">
        <f t="shared" si="47"/>
        <v>0</v>
      </c>
      <c r="T165" s="44">
        <f t="shared" si="47"/>
        <v>0</v>
      </c>
      <c r="U165" s="44">
        <f t="shared" si="47"/>
        <v>0</v>
      </c>
      <c r="V165" s="44">
        <f t="shared" si="47"/>
        <v>0</v>
      </c>
      <c r="W165" s="44">
        <f t="shared" si="47"/>
        <v>0</v>
      </c>
      <c r="X165" s="44">
        <f t="shared" si="47"/>
        <v>0</v>
      </c>
      <c r="Y165" s="44">
        <f t="shared" si="47"/>
        <v>0</v>
      </c>
      <c r="Z165" s="44">
        <f t="shared" si="47"/>
        <v>0</v>
      </c>
      <c r="AA165" s="44">
        <f t="shared" si="47"/>
        <v>0</v>
      </c>
      <c r="AB165" s="44">
        <f t="shared" si="47"/>
        <v>0</v>
      </c>
      <c r="AC165" s="44">
        <f t="shared" si="47"/>
        <v>0</v>
      </c>
      <c r="AD165" s="44">
        <f t="shared" si="47"/>
        <v>0</v>
      </c>
      <c r="AE165" s="44">
        <f t="shared" si="47"/>
        <v>0</v>
      </c>
      <c r="AF165" s="44">
        <f t="shared" si="47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5"/>
        <v>0.8</v>
      </c>
      <c r="C166" s="55">
        <v>0.8</v>
      </c>
      <c r="D166" s="44">
        <f t="shared" si="46"/>
        <v>0.8</v>
      </c>
      <c r="E166" s="44">
        <f t="shared" si="46"/>
        <v>0.8</v>
      </c>
      <c r="F166" s="44">
        <f t="shared" si="46"/>
        <v>0.8</v>
      </c>
      <c r="G166" s="44">
        <f t="shared" si="46"/>
        <v>0.8</v>
      </c>
      <c r="H166" s="44">
        <f t="shared" si="46"/>
        <v>0.8</v>
      </c>
      <c r="I166" s="44">
        <f t="shared" si="46"/>
        <v>0.8</v>
      </c>
      <c r="J166" s="44">
        <f t="shared" si="46"/>
        <v>0.8</v>
      </c>
      <c r="K166" s="44">
        <f t="shared" si="46"/>
        <v>0.8</v>
      </c>
      <c r="L166" s="44">
        <f t="shared" si="46"/>
        <v>0.8</v>
      </c>
      <c r="M166" s="44">
        <f t="shared" si="46"/>
        <v>0.8</v>
      </c>
      <c r="N166" s="44">
        <f t="shared" si="46"/>
        <v>0.8</v>
      </c>
      <c r="O166" s="44">
        <f t="shared" si="46"/>
        <v>0.8</v>
      </c>
      <c r="P166" s="44">
        <f t="shared" si="46"/>
        <v>0.8</v>
      </c>
      <c r="Q166" s="44">
        <f t="shared" si="46"/>
        <v>0.8</v>
      </c>
      <c r="R166" s="44">
        <f t="shared" si="46"/>
        <v>0.8</v>
      </c>
      <c r="S166" s="44">
        <f t="shared" si="47"/>
        <v>0.8</v>
      </c>
      <c r="T166" s="44">
        <f t="shared" si="47"/>
        <v>0.8</v>
      </c>
      <c r="U166" s="44">
        <f t="shared" si="47"/>
        <v>0.8</v>
      </c>
      <c r="V166" s="44">
        <f t="shared" si="47"/>
        <v>0.8</v>
      </c>
      <c r="W166" s="44">
        <f t="shared" si="47"/>
        <v>0.8</v>
      </c>
      <c r="X166" s="44">
        <f t="shared" si="47"/>
        <v>0.8</v>
      </c>
      <c r="Y166" s="44">
        <f t="shared" si="47"/>
        <v>0.8</v>
      </c>
      <c r="Z166" s="44">
        <f t="shared" si="47"/>
        <v>0.8</v>
      </c>
      <c r="AA166" s="44">
        <f t="shared" si="47"/>
        <v>0.8</v>
      </c>
      <c r="AB166" s="44">
        <f t="shared" si="47"/>
        <v>0.8</v>
      </c>
      <c r="AC166" s="44">
        <f t="shared" si="47"/>
        <v>0.8</v>
      </c>
      <c r="AD166" s="44">
        <f t="shared" si="47"/>
        <v>0.8</v>
      </c>
      <c r="AE166" s="44">
        <f t="shared" si="47"/>
        <v>0.8</v>
      </c>
      <c r="AF166" s="44">
        <f t="shared" si="47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5"/>
        <v>1.5</v>
      </c>
      <c r="C167" s="55">
        <v>1.5</v>
      </c>
      <c r="D167" s="44">
        <f t="shared" si="46"/>
        <v>1.5</v>
      </c>
      <c r="E167" s="44">
        <f t="shared" si="46"/>
        <v>1.5</v>
      </c>
      <c r="F167" s="44">
        <f t="shared" si="46"/>
        <v>1.5</v>
      </c>
      <c r="G167" s="44">
        <f t="shared" si="46"/>
        <v>1.5</v>
      </c>
      <c r="H167" s="44">
        <f t="shared" si="46"/>
        <v>1.5</v>
      </c>
      <c r="I167" s="44">
        <f t="shared" si="46"/>
        <v>1.5</v>
      </c>
      <c r="J167" s="44">
        <f t="shared" si="46"/>
        <v>1.5</v>
      </c>
      <c r="K167" s="44">
        <f t="shared" si="46"/>
        <v>1.5</v>
      </c>
      <c r="L167" s="44">
        <f t="shared" si="46"/>
        <v>1.5</v>
      </c>
      <c r="M167" s="44">
        <f t="shared" si="46"/>
        <v>1.5</v>
      </c>
      <c r="N167" s="44">
        <f t="shared" si="46"/>
        <v>1.5</v>
      </c>
      <c r="O167" s="44">
        <f t="shared" si="46"/>
        <v>1.5</v>
      </c>
      <c r="P167" s="44">
        <f t="shared" si="46"/>
        <v>1.5</v>
      </c>
      <c r="Q167" s="44">
        <f t="shared" si="46"/>
        <v>1.5</v>
      </c>
      <c r="R167" s="44">
        <f t="shared" si="46"/>
        <v>1.5</v>
      </c>
      <c r="S167" s="44">
        <f t="shared" si="47"/>
        <v>1.5</v>
      </c>
      <c r="T167" s="44">
        <f t="shared" si="47"/>
        <v>1.5</v>
      </c>
      <c r="U167" s="44">
        <f t="shared" si="47"/>
        <v>1.5</v>
      </c>
      <c r="V167" s="44">
        <f t="shared" si="47"/>
        <v>1.5</v>
      </c>
      <c r="W167" s="44">
        <f t="shared" si="47"/>
        <v>1.5</v>
      </c>
      <c r="X167" s="44">
        <f t="shared" si="47"/>
        <v>1.5</v>
      </c>
      <c r="Y167" s="44">
        <f t="shared" si="47"/>
        <v>1.5</v>
      </c>
      <c r="Z167" s="44">
        <f t="shared" si="47"/>
        <v>1.5</v>
      </c>
      <c r="AA167" s="44">
        <f t="shared" si="47"/>
        <v>1.5</v>
      </c>
      <c r="AB167" s="44">
        <f t="shared" si="47"/>
        <v>1.5</v>
      </c>
      <c r="AC167" s="44">
        <f t="shared" si="47"/>
        <v>1.5</v>
      </c>
      <c r="AD167" s="44">
        <f t="shared" si="47"/>
        <v>1.5</v>
      </c>
      <c r="AE167" s="44">
        <f t="shared" si="47"/>
        <v>1.5</v>
      </c>
      <c r="AF167" s="44">
        <f t="shared" si="47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5"/>
        <v>1</v>
      </c>
      <c r="C168" s="55">
        <v>1</v>
      </c>
      <c r="D168" s="44">
        <f t="shared" si="46"/>
        <v>1</v>
      </c>
      <c r="E168" s="44">
        <f t="shared" si="46"/>
        <v>1</v>
      </c>
      <c r="F168" s="44">
        <f t="shared" si="46"/>
        <v>1</v>
      </c>
      <c r="G168" s="44">
        <f t="shared" si="46"/>
        <v>1</v>
      </c>
      <c r="H168" s="44">
        <f t="shared" si="46"/>
        <v>1</v>
      </c>
      <c r="I168" s="44">
        <f t="shared" si="46"/>
        <v>1</v>
      </c>
      <c r="J168" s="44">
        <f t="shared" si="46"/>
        <v>1</v>
      </c>
      <c r="K168" s="44">
        <f t="shared" si="46"/>
        <v>1</v>
      </c>
      <c r="L168" s="44">
        <f t="shared" si="46"/>
        <v>1</v>
      </c>
      <c r="M168" s="44">
        <f t="shared" si="46"/>
        <v>1</v>
      </c>
      <c r="N168" s="44">
        <f t="shared" si="46"/>
        <v>1</v>
      </c>
      <c r="O168" s="44">
        <f t="shared" si="46"/>
        <v>1</v>
      </c>
      <c r="P168" s="44">
        <f t="shared" si="46"/>
        <v>1</v>
      </c>
      <c r="Q168" s="44">
        <f t="shared" si="46"/>
        <v>1</v>
      </c>
      <c r="R168" s="44">
        <f t="shared" si="46"/>
        <v>1</v>
      </c>
      <c r="S168" s="44">
        <f t="shared" si="47"/>
        <v>1</v>
      </c>
      <c r="T168" s="44">
        <f t="shared" si="47"/>
        <v>1</v>
      </c>
      <c r="U168" s="44">
        <f t="shared" si="47"/>
        <v>1</v>
      </c>
      <c r="V168" s="44">
        <f t="shared" si="47"/>
        <v>1</v>
      </c>
      <c r="W168" s="44">
        <f t="shared" si="47"/>
        <v>1</v>
      </c>
      <c r="X168" s="44">
        <f t="shared" si="47"/>
        <v>1</v>
      </c>
      <c r="Y168" s="44">
        <f t="shared" si="47"/>
        <v>1</v>
      </c>
      <c r="Z168" s="44">
        <f t="shared" si="47"/>
        <v>1</v>
      </c>
      <c r="AA168" s="44">
        <f t="shared" si="47"/>
        <v>1</v>
      </c>
      <c r="AB168" s="44">
        <f t="shared" si="47"/>
        <v>1</v>
      </c>
      <c r="AC168" s="44">
        <f t="shared" si="47"/>
        <v>1</v>
      </c>
      <c r="AD168" s="44">
        <f t="shared" si="47"/>
        <v>1</v>
      </c>
      <c r="AE168" s="44">
        <f t="shared" si="47"/>
        <v>1</v>
      </c>
      <c r="AF168" s="44">
        <f t="shared" si="47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8">AF170</f>
        <v>1</v>
      </c>
      <c r="C170" s="55">
        <v>1</v>
      </c>
      <c r="D170" s="44">
        <f t="shared" ref="D170:S177" si="49">C170</f>
        <v>1</v>
      </c>
      <c r="E170" s="44">
        <f t="shared" si="49"/>
        <v>1</v>
      </c>
      <c r="F170" s="44">
        <f t="shared" si="49"/>
        <v>1</v>
      </c>
      <c r="G170" s="44">
        <f t="shared" si="49"/>
        <v>1</v>
      </c>
      <c r="H170" s="44">
        <f t="shared" si="49"/>
        <v>1</v>
      </c>
      <c r="I170" s="44">
        <f t="shared" si="49"/>
        <v>1</v>
      </c>
      <c r="J170" s="44">
        <f t="shared" si="49"/>
        <v>1</v>
      </c>
      <c r="K170" s="44">
        <f t="shared" si="49"/>
        <v>1</v>
      </c>
      <c r="L170" s="44">
        <f t="shared" si="49"/>
        <v>1</v>
      </c>
      <c r="M170" s="44">
        <f t="shared" si="49"/>
        <v>1</v>
      </c>
      <c r="N170" s="44">
        <f t="shared" si="49"/>
        <v>1</v>
      </c>
      <c r="O170" s="44">
        <f t="shared" si="49"/>
        <v>1</v>
      </c>
      <c r="P170" s="44">
        <f t="shared" si="49"/>
        <v>1</v>
      </c>
      <c r="Q170" s="44">
        <f t="shared" si="49"/>
        <v>1</v>
      </c>
      <c r="R170" s="44">
        <f t="shared" si="49"/>
        <v>1</v>
      </c>
      <c r="S170" s="44">
        <f t="shared" si="49"/>
        <v>1</v>
      </c>
      <c r="T170" s="44">
        <f t="shared" ref="S170:AF177" si="50">S170</f>
        <v>1</v>
      </c>
      <c r="U170" s="44">
        <f t="shared" si="50"/>
        <v>1</v>
      </c>
      <c r="V170" s="44">
        <f t="shared" si="50"/>
        <v>1</v>
      </c>
      <c r="W170" s="44">
        <f t="shared" si="50"/>
        <v>1</v>
      </c>
      <c r="X170" s="44">
        <f t="shared" si="50"/>
        <v>1</v>
      </c>
      <c r="Y170" s="44">
        <f t="shared" si="50"/>
        <v>1</v>
      </c>
      <c r="Z170" s="44">
        <f t="shared" si="50"/>
        <v>1</v>
      </c>
      <c r="AA170" s="44">
        <f t="shared" si="50"/>
        <v>1</v>
      </c>
      <c r="AB170" s="44">
        <f t="shared" si="50"/>
        <v>1</v>
      </c>
      <c r="AC170" s="44">
        <f t="shared" si="50"/>
        <v>1</v>
      </c>
      <c r="AD170" s="44">
        <f t="shared" si="50"/>
        <v>1</v>
      </c>
      <c r="AE170" s="44">
        <f t="shared" si="50"/>
        <v>1</v>
      </c>
      <c r="AF170" s="44">
        <f t="shared" si="50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8"/>
        <v>0.42</v>
      </c>
      <c r="C171" s="55">
        <v>0.42</v>
      </c>
      <c r="D171" s="44">
        <f t="shared" si="49"/>
        <v>0.42</v>
      </c>
      <c r="E171" s="44">
        <f t="shared" si="49"/>
        <v>0.42</v>
      </c>
      <c r="F171" s="44">
        <f t="shared" si="49"/>
        <v>0.42</v>
      </c>
      <c r="G171" s="44">
        <f t="shared" si="49"/>
        <v>0.42</v>
      </c>
      <c r="H171" s="44">
        <f t="shared" si="49"/>
        <v>0.42</v>
      </c>
      <c r="I171" s="44">
        <f t="shared" si="49"/>
        <v>0.42</v>
      </c>
      <c r="J171" s="44">
        <f t="shared" si="49"/>
        <v>0.42</v>
      </c>
      <c r="K171" s="44">
        <f t="shared" si="49"/>
        <v>0.42</v>
      </c>
      <c r="L171" s="44">
        <f t="shared" si="49"/>
        <v>0.42</v>
      </c>
      <c r="M171" s="44">
        <f t="shared" si="49"/>
        <v>0.42</v>
      </c>
      <c r="N171" s="44">
        <f t="shared" si="49"/>
        <v>0.42</v>
      </c>
      <c r="O171" s="44">
        <f t="shared" si="49"/>
        <v>0.42</v>
      </c>
      <c r="P171" s="44">
        <f t="shared" si="49"/>
        <v>0.42</v>
      </c>
      <c r="Q171" s="44">
        <f t="shared" si="49"/>
        <v>0.42</v>
      </c>
      <c r="R171" s="44">
        <f t="shared" si="49"/>
        <v>0.42</v>
      </c>
      <c r="S171" s="44">
        <f t="shared" si="50"/>
        <v>0.42</v>
      </c>
      <c r="T171" s="44">
        <f t="shared" si="50"/>
        <v>0.42</v>
      </c>
      <c r="U171" s="44">
        <f t="shared" si="50"/>
        <v>0.42</v>
      </c>
      <c r="V171" s="44">
        <f t="shared" si="50"/>
        <v>0.42</v>
      </c>
      <c r="W171" s="44">
        <f t="shared" si="50"/>
        <v>0.42</v>
      </c>
      <c r="X171" s="44">
        <f t="shared" si="50"/>
        <v>0.42</v>
      </c>
      <c r="Y171" s="44">
        <f t="shared" si="50"/>
        <v>0.42</v>
      </c>
      <c r="Z171" s="44">
        <f t="shared" si="50"/>
        <v>0.42</v>
      </c>
      <c r="AA171" s="44">
        <f t="shared" si="50"/>
        <v>0.42</v>
      </c>
      <c r="AB171" s="44">
        <f t="shared" si="50"/>
        <v>0.42</v>
      </c>
      <c r="AC171" s="44">
        <f t="shared" si="50"/>
        <v>0.42</v>
      </c>
      <c r="AD171" s="44">
        <f t="shared" si="50"/>
        <v>0.42</v>
      </c>
      <c r="AE171" s="44">
        <f t="shared" si="50"/>
        <v>0.42</v>
      </c>
      <c r="AF171" s="44">
        <f t="shared" si="50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8"/>
        <v>0.46</v>
      </c>
      <c r="C172" s="55">
        <v>0.46</v>
      </c>
      <c r="D172" s="44">
        <f t="shared" si="49"/>
        <v>0.46</v>
      </c>
      <c r="E172" s="44">
        <f t="shared" si="49"/>
        <v>0.46</v>
      </c>
      <c r="F172" s="44">
        <f t="shared" si="49"/>
        <v>0.46</v>
      </c>
      <c r="G172" s="44">
        <f t="shared" si="49"/>
        <v>0.46</v>
      </c>
      <c r="H172" s="44">
        <f t="shared" si="49"/>
        <v>0.46</v>
      </c>
      <c r="I172" s="44">
        <f t="shared" si="49"/>
        <v>0.46</v>
      </c>
      <c r="J172" s="44">
        <f t="shared" si="49"/>
        <v>0.46</v>
      </c>
      <c r="K172" s="44">
        <f t="shared" si="49"/>
        <v>0.46</v>
      </c>
      <c r="L172" s="44">
        <f t="shared" si="49"/>
        <v>0.46</v>
      </c>
      <c r="M172" s="44">
        <f t="shared" si="49"/>
        <v>0.46</v>
      </c>
      <c r="N172" s="44">
        <f t="shared" si="49"/>
        <v>0.46</v>
      </c>
      <c r="O172" s="44">
        <f t="shared" si="49"/>
        <v>0.46</v>
      </c>
      <c r="P172" s="44">
        <f t="shared" si="49"/>
        <v>0.46</v>
      </c>
      <c r="Q172" s="44">
        <f t="shared" si="49"/>
        <v>0.46</v>
      </c>
      <c r="R172" s="44">
        <f t="shared" si="49"/>
        <v>0.46</v>
      </c>
      <c r="S172" s="44">
        <f t="shared" si="50"/>
        <v>0.46</v>
      </c>
      <c r="T172" s="44">
        <f t="shared" si="50"/>
        <v>0.46</v>
      </c>
      <c r="U172" s="44">
        <f t="shared" si="50"/>
        <v>0.46</v>
      </c>
      <c r="V172" s="44">
        <f t="shared" si="50"/>
        <v>0.46</v>
      </c>
      <c r="W172" s="44">
        <f t="shared" si="50"/>
        <v>0.46</v>
      </c>
      <c r="X172" s="44">
        <f t="shared" si="50"/>
        <v>0.46</v>
      </c>
      <c r="Y172" s="44">
        <f t="shared" si="50"/>
        <v>0.46</v>
      </c>
      <c r="Z172" s="44">
        <f t="shared" si="50"/>
        <v>0.46</v>
      </c>
      <c r="AA172" s="44">
        <f t="shared" si="50"/>
        <v>0.46</v>
      </c>
      <c r="AB172" s="44">
        <f t="shared" si="50"/>
        <v>0.46</v>
      </c>
      <c r="AC172" s="44">
        <f t="shared" si="50"/>
        <v>0.46</v>
      </c>
      <c r="AD172" s="44">
        <f t="shared" si="50"/>
        <v>0.46</v>
      </c>
      <c r="AE172" s="44">
        <f t="shared" si="50"/>
        <v>0.46</v>
      </c>
      <c r="AF172" s="44">
        <f t="shared" si="50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8"/>
        <v>0.85</v>
      </c>
      <c r="C173" s="55">
        <v>0.85</v>
      </c>
      <c r="D173" s="44">
        <f t="shared" si="49"/>
        <v>0.85</v>
      </c>
      <c r="E173" s="44">
        <f t="shared" si="49"/>
        <v>0.85</v>
      </c>
      <c r="F173" s="44">
        <f t="shared" si="49"/>
        <v>0.85</v>
      </c>
      <c r="G173" s="44">
        <f t="shared" si="49"/>
        <v>0.85</v>
      </c>
      <c r="H173" s="44">
        <f t="shared" si="49"/>
        <v>0.85</v>
      </c>
      <c r="I173" s="44">
        <f t="shared" si="49"/>
        <v>0.85</v>
      </c>
      <c r="J173" s="44">
        <f t="shared" si="49"/>
        <v>0.85</v>
      </c>
      <c r="K173" s="44">
        <f t="shared" si="49"/>
        <v>0.85</v>
      </c>
      <c r="L173" s="44">
        <f t="shared" si="49"/>
        <v>0.85</v>
      </c>
      <c r="M173" s="44">
        <f t="shared" si="49"/>
        <v>0.85</v>
      </c>
      <c r="N173" s="44">
        <f t="shared" si="49"/>
        <v>0.85</v>
      </c>
      <c r="O173" s="44">
        <f t="shared" si="49"/>
        <v>0.85</v>
      </c>
      <c r="P173" s="44">
        <f t="shared" si="49"/>
        <v>0.85</v>
      </c>
      <c r="Q173" s="44">
        <f t="shared" si="49"/>
        <v>0.85</v>
      </c>
      <c r="R173" s="44">
        <f t="shared" si="49"/>
        <v>0.85</v>
      </c>
      <c r="S173" s="44">
        <f t="shared" si="50"/>
        <v>0.85</v>
      </c>
      <c r="T173" s="44">
        <f t="shared" si="50"/>
        <v>0.85</v>
      </c>
      <c r="U173" s="44">
        <f t="shared" si="50"/>
        <v>0.85</v>
      </c>
      <c r="V173" s="44">
        <f t="shared" si="50"/>
        <v>0.85</v>
      </c>
      <c r="W173" s="44">
        <f t="shared" si="50"/>
        <v>0.85</v>
      </c>
      <c r="X173" s="44">
        <f t="shared" si="50"/>
        <v>0.85</v>
      </c>
      <c r="Y173" s="44">
        <f t="shared" si="50"/>
        <v>0.85</v>
      </c>
      <c r="Z173" s="44">
        <f t="shared" si="50"/>
        <v>0.85</v>
      </c>
      <c r="AA173" s="44">
        <f t="shared" si="50"/>
        <v>0.85</v>
      </c>
      <c r="AB173" s="44">
        <f t="shared" si="50"/>
        <v>0.85</v>
      </c>
      <c r="AC173" s="44">
        <f t="shared" si="50"/>
        <v>0.85</v>
      </c>
      <c r="AD173" s="44">
        <f t="shared" si="50"/>
        <v>0.85</v>
      </c>
      <c r="AE173" s="44">
        <f t="shared" si="50"/>
        <v>0.85</v>
      </c>
      <c r="AF173" s="44">
        <f t="shared" si="50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8"/>
        <v>0.9</v>
      </c>
      <c r="C174" s="55">
        <v>0.9</v>
      </c>
      <c r="D174" s="44">
        <f t="shared" si="49"/>
        <v>0.9</v>
      </c>
      <c r="E174" s="44">
        <f t="shared" si="49"/>
        <v>0.9</v>
      </c>
      <c r="F174" s="44">
        <f t="shared" si="49"/>
        <v>0.9</v>
      </c>
      <c r="G174" s="44">
        <f t="shared" si="49"/>
        <v>0.9</v>
      </c>
      <c r="H174" s="44">
        <f t="shared" si="49"/>
        <v>0.9</v>
      </c>
      <c r="I174" s="44">
        <f t="shared" si="49"/>
        <v>0.9</v>
      </c>
      <c r="J174" s="44">
        <f t="shared" si="49"/>
        <v>0.9</v>
      </c>
      <c r="K174" s="44">
        <f t="shared" si="49"/>
        <v>0.9</v>
      </c>
      <c r="L174" s="44">
        <f t="shared" si="49"/>
        <v>0.9</v>
      </c>
      <c r="M174" s="44">
        <f t="shared" si="49"/>
        <v>0.9</v>
      </c>
      <c r="N174" s="44">
        <f t="shared" si="49"/>
        <v>0.9</v>
      </c>
      <c r="O174" s="44">
        <f t="shared" si="49"/>
        <v>0.9</v>
      </c>
      <c r="P174" s="44">
        <f t="shared" si="49"/>
        <v>0.9</v>
      </c>
      <c r="Q174" s="44">
        <f t="shared" si="49"/>
        <v>0.9</v>
      </c>
      <c r="R174" s="44">
        <f t="shared" si="49"/>
        <v>0.9</v>
      </c>
      <c r="S174" s="44">
        <f t="shared" si="50"/>
        <v>0.9</v>
      </c>
      <c r="T174" s="44">
        <f t="shared" si="50"/>
        <v>0.9</v>
      </c>
      <c r="U174" s="44">
        <f t="shared" si="50"/>
        <v>0.9</v>
      </c>
      <c r="V174" s="44">
        <f t="shared" si="50"/>
        <v>0.9</v>
      </c>
      <c r="W174" s="44">
        <f t="shared" si="50"/>
        <v>0.9</v>
      </c>
      <c r="X174" s="44">
        <f t="shared" si="50"/>
        <v>0.9</v>
      </c>
      <c r="Y174" s="44">
        <f t="shared" si="50"/>
        <v>0.9</v>
      </c>
      <c r="Z174" s="44">
        <f t="shared" si="50"/>
        <v>0.9</v>
      </c>
      <c r="AA174" s="44">
        <f t="shared" si="50"/>
        <v>0.9</v>
      </c>
      <c r="AB174" s="44">
        <f t="shared" si="50"/>
        <v>0.9</v>
      </c>
      <c r="AC174" s="44">
        <f t="shared" si="50"/>
        <v>0.9</v>
      </c>
      <c r="AD174" s="44">
        <f t="shared" si="50"/>
        <v>0.9</v>
      </c>
      <c r="AE174" s="44">
        <f t="shared" si="50"/>
        <v>0.9</v>
      </c>
      <c r="AF174" s="44">
        <f t="shared" si="50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8"/>
        <v>0.44</v>
      </c>
      <c r="C175" s="55">
        <v>0.44</v>
      </c>
      <c r="D175" s="44">
        <f t="shared" si="49"/>
        <v>0.44</v>
      </c>
      <c r="E175" s="44">
        <f t="shared" si="49"/>
        <v>0.44</v>
      </c>
      <c r="F175" s="44">
        <f t="shared" si="49"/>
        <v>0.44</v>
      </c>
      <c r="G175" s="44">
        <f t="shared" si="49"/>
        <v>0.44</v>
      </c>
      <c r="H175" s="44">
        <f t="shared" si="49"/>
        <v>0.44</v>
      </c>
      <c r="I175" s="44">
        <f t="shared" si="49"/>
        <v>0.44</v>
      </c>
      <c r="J175" s="44">
        <f t="shared" si="49"/>
        <v>0.44</v>
      </c>
      <c r="K175" s="44">
        <f t="shared" si="49"/>
        <v>0.44</v>
      </c>
      <c r="L175" s="44">
        <f t="shared" si="49"/>
        <v>0.44</v>
      </c>
      <c r="M175" s="44">
        <f t="shared" si="49"/>
        <v>0.44</v>
      </c>
      <c r="N175" s="44">
        <f t="shared" si="49"/>
        <v>0.44</v>
      </c>
      <c r="O175" s="44">
        <f t="shared" si="49"/>
        <v>0.44</v>
      </c>
      <c r="P175" s="44">
        <f t="shared" si="49"/>
        <v>0.44</v>
      </c>
      <c r="Q175" s="44">
        <f t="shared" si="49"/>
        <v>0.44</v>
      </c>
      <c r="R175" s="44">
        <f t="shared" si="49"/>
        <v>0.44</v>
      </c>
      <c r="S175" s="44">
        <f t="shared" si="50"/>
        <v>0.44</v>
      </c>
      <c r="T175" s="44">
        <f t="shared" si="50"/>
        <v>0.44</v>
      </c>
      <c r="U175" s="44">
        <f t="shared" si="50"/>
        <v>0.44</v>
      </c>
      <c r="V175" s="44">
        <f t="shared" si="50"/>
        <v>0.44</v>
      </c>
      <c r="W175" s="44">
        <f t="shared" si="50"/>
        <v>0.44</v>
      </c>
      <c r="X175" s="44">
        <f t="shared" si="50"/>
        <v>0.44</v>
      </c>
      <c r="Y175" s="44">
        <f t="shared" si="50"/>
        <v>0.44</v>
      </c>
      <c r="Z175" s="44">
        <f t="shared" si="50"/>
        <v>0.44</v>
      </c>
      <c r="AA175" s="44">
        <f t="shared" si="50"/>
        <v>0.44</v>
      </c>
      <c r="AB175" s="44">
        <f t="shared" si="50"/>
        <v>0.44</v>
      </c>
      <c r="AC175" s="44">
        <f t="shared" si="50"/>
        <v>0.44</v>
      </c>
      <c r="AD175" s="44">
        <f t="shared" si="50"/>
        <v>0.44</v>
      </c>
      <c r="AE175" s="44">
        <f t="shared" si="50"/>
        <v>0.44</v>
      </c>
      <c r="AF175" s="44">
        <f t="shared" si="50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8"/>
        <v>2.1</v>
      </c>
      <c r="C176" s="55">
        <v>2.1</v>
      </c>
      <c r="D176" s="44">
        <f t="shared" si="49"/>
        <v>2.1</v>
      </c>
      <c r="E176" s="44">
        <f t="shared" si="49"/>
        <v>2.1</v>
      </c>
      <c r="F176" s="44">
        <f t="shared" si="49"/>
        <v>2.1</v>
      </c>
      <c r="G176" s="44">
        <f t="shared" si="49"/>
        <v>2.1</v>
      </c>
      <c r="H176" s="44">
        <f t="shared" si="49"/>
        <v>2.1</v>
      </c>
      <c r="I176" s="44">
        <f t="shared" si="49"/>
        <v>2.1</v>
      </c>
      <c r="J176" s="44">
        <f t="shared" si="49"/>
        <v>2.1</v>
      </c>
      <c r="K176" s="44">
        <f t="shared" si="49"/>
        <v>2.1</v>
      </c>
      <c r="L176" s="44">
        <f t="shared" si="49"/>
        <v>2.1</v>
      </c>
      <c r="M176" s="44">
        <f t="shared" si="49"/>
        <v>2.1</v>
      </c>
      <c r="N176" s="44">
        <f t="shared" si="49"/>
        <v>2.1</v>
      </c>
      <c r="O176" s="44">
        <f t="shared" si="49"/>
        <v>2.1</v>
      </c>
      <c r="P176" s="44">
        <f t="shared" si="49"/>
        <v>2.1</v>
      </c>
      <c r="Q176" s="44">
        <f t="shared" si="49"/>
        <v>2.1</v>
      </c>
      <c r="R176" s="44">
        <f t="shared" si="49"/>
        <v>2.1</v>
      </c>
      <c r="S176" s="44">
        <f t="shared" si="50"/>
        <v>2.1</v>
      </c>
      <c r="T176" s="44">
        <f t="shared" si="50"/>
        <v>2.1</v>
      </c>
      <c r="U176" s="44">
        <f t="shared" si="50"/>
        <v>2.1</v>
      </c>
      <c r="V176" s="44">
        <f t="shared" si="50"/>
        <v>2.1</v>
      </c>
      <c r="W176" s="44">
        <f t="shared" si="50"/>
        <v>2.1</v>
      </c>
      <c r="X176" s="44">
        <f t="shared" si="50"/>
        <v>2.1</v>
      </c>
      <c r="Y176" s="44">
        <f t="shared" si="50"/>
        <v>2.1</v>
      </c>
      <c r="Z176" s="44">
        <f t="shared" si="50"/>
        <v>2.1</v>
      </c>
      <c r="AA176" s="44">
        <f t="shared" si="50"/>
        <v>2.1</v>
      </c>
      <c r="AB176" s="44">
        <f t="shared" si="50"/>
        <v>2.1</v>
      </c>
      <c r="AC176" s="44">
        <f t="shared" si="50"/>
        <v>2.1</v>
      </c>
      <c r="AD176" s="44">
        <f t="shared" si="50"/>
        <v>2.1</v>
      </c>
      <c r="AE176" s="44">
        <f t="shared" si="50"/>
        <v>2.1</v>
      </c>
      <c r="AF176" s="44">
        <f t="shared" si="50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8"/>
        <v>0.9</v>
      </c>
      <c r="C177" s="55">
        <v>0.9</v>
      </c>
      <c r="D177" s="44">
        <f t="shared" si="49"/>
        <v>0.9</v>
      </c>
      <c r="E177" s="44">
        <f t="shared" si="49"/>
        <v>0.9</v>
      </c>
      <c r="F177" s="44">
        <f t="shared" si="49"/>
        <v>0.9</v>
      </c>
      <c r="G177" s="44">
        <f t="shared" si="49"/>
        <v>0.9</v>
      </c>
      <c r="H177" s="44">
        <f t="shared" si="49"/>
        <v>0.9</v>
      </c>
      <c r="I177" s="44">
        <f t="shared" si="49"/>
        <v>0.9</v>
      </c>
      <c r="J177" s="44">
        <f t="shared" si="49"/>
        <v>0.9</v>
      </c>
      <c r="K177" s="44">
        <f t="shared" si="49"/>
        <v>0.9</v>
      </c>
      <c r="L177" s="44">
        <f t="shared" si="49"/>
        <v>0.9</v>
      </c>
      <c r="M177" s="44">
        <f t="shared" si="49"/>
        <v>0.9</v>
      </c>
      <c r="N177" s="44">
        <f t="shared" si="49"/>
        <v>0.9</v>
      </c>
      <c r="O177" s="44">
        <f t="shared" si="49"/>
        <v>0.9</v>
      </c>
      <c r="P177" s="44">
        <f t="shared" si="49"/>
        <v>0.9</v>
      </c>
      <c r="Q177" s="44">
        <f t="shared" si="49"/>
        <v>0.9</v>
      </c>
      <c r="R177" s="44">
        <f t="shared" si="49"/>
        <v>0.9</v>
      </c>
      <c r="S177" s="44">
        <f t="shared" si="50"/>
        <v>0.9</v>
      </c>
      <c r="T177" s="44">
        <f t="shared" si="50"/>
        <v>0.9</v>
      </c>
      <c r="U177" s="44">
        <f t="shared" si="50"/>
        <v>0.9</v>
      </c>
      <c r="V177" s="44">
        <f t="shared" si="50"/>
        <v>0.9</v>
      </c>
      <c r="W177" s="44">
        <f t="shared" si="50"/>
        <v>0.9</v>
      </c>
      <c r="X177" s="44">
        <f t="shared" si="50"/>
        <v>0.9</v>
      </c>
      <c r="Y177" s="44">
        <f t="shared" si="50"/>
        <v>0.9</v>
      </c>
      <c r="Z177" s="44">
        <f t="shared" si="50"/>
        <v>0.9</v>
      </c>
      <c r="AA177" s="44">
        <f t="shared" si="50"/>
        <v>0.9</v>
      </c>
      <c r="AB177" s="44">
        <f t="shared" si="50"/>
        <v>0.9</v>
      </c>
      <c r="AC177" s="44">
        <f t="shared" si="50"/>
        <v>0.9</v>
      </c>
      <c r="AD177" s="44">
        <f t="shared" si="50"/>
        <v>0.9</v>
      </c>
      <c r="AE177" s="44">
        <f t="shared" si="50"/>
        <v>0.9</v>
      </c>
      <c r="AF177" s="44">
        <f t="shared" si="50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51">AF179</f>
        <v>0.57999999999999996</v>
      </c>
      <c r="C179" s="55">
        <v>0.57999999999999996</v>
      </c>
      <c r="D179" s="44">
        <f t="shared" ref="D179:S191" si="52">C179</f>
        <v>0.57999999999999996</v>
      </c>
      <c r="E179" s="44">
        <f t="shared" si="52"/>
        <v>0.57999999999999996</v>
      </c>
      <c r="F179" s="44">
        <f t="shared" si="52"/>
        <v>0.57999999999999996</v>
      </c>
      <c r="G179" s="44">
        <f t="shared" si="52"/>
        <v>0.57999999999999996</v>
      </c>
      <c r="H179" s="44">
        <f t="shared" si="52"/>
        <v>0.57999999999999996</v>
      </c>
      <c r="I179" s="44">
        <f t="shared" si="52"/>
        <v>0.57999999999999996</v>
      </c>
      <c r="J179" s="44">
        <f t="shared" si="52"/>
        <v>0.57999999999999996</v>
      </c>
      <c r="K179" s="44">
        <f t="shared" si="52"/>
        <v>0.57999999999999996</v>
      </c>
      <c r="L179" s="44">
        <f t="shared" si="52"/>
        <v>0.57999999999999996</v>
      </c>
      <c r="M179" s="44">
        <f t="shared" si="52"/>
        <v>0.57999999999999996</v>
      </c>
      <c r="N179" s="44">
        <f t="shared" si="52"/>
        <v>0.57999999999999996</v>
      </c>
      <c r="O179" s="44">
        <f t="shared" si="52"/>
        <v>0.57999999999999996</v>
      </c>
      <c r="P179" s="44">
        <f t="shared" si="52"/>
        <v>0.57999999999999996</v>
      </c>
      <c r="Q179" s="44">
        <f t="shared" si="52"/>
        <v>0.57999999999999996</v>
      </c>
      <c r="R179" s="44">
        <f t="shared" si="52"/>
        <v>0.57999999999999996</v>
      </c>
      <c r="S179" s="44">
        <f t="shared" si="52"/>
        <v>0.57999999999999996</v>
      </c>
      <c r="T179" s="44">
        <f t="shared" ref="S179:AF191" si="53">S179</f>
        <v>0.57999999999999996</v>
      </c>
      <c r="U179" s="44">
        <f t="shared" si="53"/>
        <v>0.57999999999999996</v>
      </c>
      <c r="V179" s="44">
        <f t="shared" si="53"/>
        <v>0.57999999999999996</v>
      </c>
      <c r="W179" s="44">
        <f t="shared" si="53"/>
        <v>0.57999999999999996</v>
      </c>
      <c r="X179" s="44">
        <f t="shared" si="53"/>
        <v>0.57999999999999996</v>
      </c>
      <c r="Y179" s="44">
        <f t="shared" si="53"/>
        <v>0.57999999999999996</v>
      </c>
      <c r="Z179" s="44">
        <f t="shared" si="53"/>
        <v>0.57999999999999996</v>
      </c>
      <c r="AA179" s="44">
        <f t="shared" si="53"/>
        <v>0.57999999999999996</v>
      </c>
      <c r="AB179" s="44">
        <f t="shared" si="53"/>
        <v>0.57999999999999996</v>
      </c>
      <c r="AC179" s="44">
        <f t="shared" si="53"/>
        <v>0.57999999999999996</v>
      </c>
      <c r="AD179" s="44">
        <f t="shared" si="53"/>
        <v>0.57999999999999996</v>
      </c>
      <c r="AE179" s="44">
        <f t="shared" si="53"/>
        <v>0.57999999999999996</v>
      </c>
      <c r="AF179" s="44">
        <f t="shared" si="53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51"/>
        <v>0.8</v>
      </c>
      <c r="C180" s="55">
        <v>0.8</v>
      </c>
      <c r="D180" s="44">
        <f t="shared" si="52"/>
        <v>0.8</v>
      </c>
      <c r="E180" s="44">
        <f t="shared" si="52"/>
        <v>0.8</v>
      </c>
      <c r="F180" s="44">
        <f t="shared" si="52"/>
        <v>0.8</v>
      </c>
      <c r="G180" s="44">
        <f t="shared" si="52"/>
        <v>0.8</v>
      </c>
      <c r="H180" s="44">
        <f t="shared" si="52"/>
        <v>0.8</v>
      </c>
      <c r="I180" s="44">
        <f t="shared" si="52"/>
        <v>0.8</v>
      </c>
      <c r="J180" s="44">
        <f t="shared" si="52"/>
        <v>0.8</v>
      </c>
      <c r="K180" s="44">
        <f t="shared" si="52"/>
        <v>0.8</v>
      </c>
      <c r="L180" s="44">
        <f t="shared" si="52"/>
        <v>0.8</v>
      </c>
      <c r="M180" s="44">
        <f t="shared" si="52"/>
        <v>0.8</v>
      </c>
      <c r="N180" s="44">
        <f t="shared" si="52"/>
        <v>0.8</v>
      </c>
      <c r="O180" s="44">
        <f t="shared" si="52"/>
        <v>0.8</v>
      </c>
      <c r="P180" s="44">
        <f t="shared" si="52"/>
        <v>0.8</v>
      </c>
      <c r="Q180" s="44">
        <f t="shared" si="52"/>
        <v>0.8</v>
      </c>
      <c r="R180" s="44">
        <f t="shared" si="52"/>
        <v>0.8</v>
      </c>
      <c r="S180" s="44">
        <f t="shared" si="52"/>
        <v>0.8</v>
      </c>
      <c r="T180" s="44">
        <f t="shared" si="53"/>
        <v>0.8</v>
      </c>
      <c r="U180" s="44">
        <f t="shared" si="53"/>
        <v>0.8</v>
      </c>
      <c r="V180" s="44">
        <f t="shared" si="53"/>
        <v>0.8</v>
      </c>
      <c r="W180" s="44">
        <f t="shared" si="53"/>
        <v>0.8</v>
      </c>
      <c r="X180" s="44">
        <f t="shared" si="53"/>
        <v>0.8</v>
      </c>
      <c r="Y180" s="44">
        <f t="shared" si="53"/>
        <v>0.8</v>
      </c>
      <c r="Z180" s="44">
        <f t="shared" si="53"/>
        <v>0.8</v>
      </c>
      <c r="AA180" s="44">
        <f t="shared" si="53"/>
        <v>0.8</v>
      </c>
      <c r="AB180" s="44">
        <f t="shared" si="53"/>
        <v>0.8</v>
      </c>
      <c r="AC180" s="44">
        <f t="shared" si="53"/>
        <v>0.8</v>
      </c>
      <c r="AD180" s="44">
        <f t="shared" si="53"/>
        <v>0.8</v>
      </c>
      <c r="AE180" s="44">
        <f t="shared" si="53"/>
        <v>0.8</v>
      </c>
      <c r="AF180" s="44">
        <f t="shared" si="53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51"/>
        <v>0</v>
      </c>
      <c r="C181" s="55">
        <v>0</v>
      </c>
      <c r="D181" s="44">
        <f t="shared" si="52"/>
        <v>0</v>
      </c>
      <c r="E181" s="44">
        <f t="shared" si="52"/>
        <v>0</v>
      </c>
      <c r="F181" s="44">
        <f t="shared" si="52"/>
        <v>0</v>
      </c>
      <c r="G181" s="44">
        <f t="shared" si="52"/>
        <v>0</v>
      </c>
      <c r="H181" s="44">
        <f t="shared" si="52"/>
        <v>0</v>
      </c>
      <c r="I181" s="44">
        <f t="shared" si="52"/>
        <v>0</v>
      </c>
      <c r="J181" s="44">
        <f t="shared" si="52"/>
        <v>0</v>
      </c>
      <c r="K181" s="44">
        <f t="shared" si="52"/>
        <v>0</v>
      </c>
      <c r="L181" s="44">
        <f t="shared" si="52"/>
        <v>0</v>
      </c>
      <c r="M181" s="44">
        <f t="shared" si="52"/>
        <v>0</v>
      </c>
      <c r="N181" s="44">
        <f t="shared" si="52"/>
        <v>0</v>
      </c>
      <c r="O181" s="44">
        <f t="shared" si="52"/>
        <v>0</v>
      </c>
      <c r="P181" s="44">
        <f t="shared" si="52"/>
        <v>0</v>
      </c>
      <c r="Q181" s="44">
        <f t="shared" si="52"/>
        <v>0</v>
      </c>
      <c r="R181" s="44">
        <f t="shared" si="52"/>
        <v>0</v>
      </c>
      <c r="S181" s="44">
        <f t="shared" si="52"/>
        <v>0</v>
      </c>
      <c r="T181" s="44">
        <f t="shared" si="53"/>
        <v>0</v>
      </c>
      <c r="U181" s="44">
        <f t="shared" si="53"/>
        <v>0</v>
      </c>
      <c r="V181" s="44">
        <f t="shared" si="53"/>
        <v>0</v>
      </c>
      <c r="W181" s="44">
        <f t="shared" si="53"/>
        <v>0</v>
      </c>
      <c r="X181" s="44">
        <f t="shared" si="53"/>
        <v>0</v>
      </c>
      <c r="Y181" s="44">
        <f t="shared" si="53"/>
        <v>0</v>
      </c>
      <c r="Z181" s="44">
        <f t="shared" si="53"/>
        <v>0</v>
      </c>
      <c r="AA181" s="44">
        <f t="shared" si="53"/>
        <v>0</v>
      </c>
      <c r="AB181" s="44">
        <f t="shared" si="53"/>
        <v>0</v>
      </c>
      <c r="AC181" s="44">
        <f t="shared" si="53"/>
        <v>0</v>
      </c>
      <c r="AD181" s="44">
        <f t="shared" si="53"/>
        <v>0</v>
      </c>
      <c r="AE181" s="44">
        <f t="shared" si="53"/>
        <v>0</v>
      </c>
      <c r="AF181" s="44">
        <f t="shared" si="53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51"/>
        <v>0.6</v>
      </c>
      <c r="C182" s="55">
        <v>0.6</v>
      </c>
      <c r="D182" s="44">
        <f t="shared" si="52"/>
        <v>0.6</v>
      </c>
      <c r="E182" s="44">
        <f t="shared" si="52"/>
        <v>0.6</v>
      </c>
      <c r="F182" s="44">
        <f t="shared" si="52"/>
        <v>0.6</v>
      </c>
      <c r="G182" s="44">
        <f t="shared" si="52"/>
        <v>0.6</v>
      </c>
      <c r="H182" s="44">
        <f t="shared" si="52"/>
        <v>0.6</v>
      </c>
      <c r="I182" s="44">
        <f t="shared" si="52"/>
        <v>0.6</v>
      </c>
      <c r="J182" s="44">
        <f t="shared" si="52"/>
        <v>0.6</v>
      </c>
      <c r="K182" s="44">
        <f t="shared" si="52"/>
        <v>0.6</v>
      </c>
      <c r="L182" s="44">
        <f t="shared" si="52"/>
        <v>0.6</v>
      </c>
      <c r="M182" s="44">
        <f t="shared" si="52"/>
        <v>0.6</v>
      </c>
      <c r="N182" s="44">
        <f t="shared" si="52"/>
        <v>0.6</v>
      </c>
      <c r="O182" s="44">
        <f t="shared" si="52"/>
        <v>0.6</v>
      </c>
      <c r="P182" s="44">
        <f t="shared" si="52"/>
        <v>0.6</v>
      </c>
      <c r="Q182" s="44">
        <f t="shared" si="52"/>
        <v>0.6</v>
      </c>
      <c r="R182" s="44">
        <f t="shared" si="52"/>
        <v>0.6</v>
      </c>
      <c r="S182" s="44">
        <f t="shared" si="52"/>
        <v>0.6</v>
      </c>
      <c r="T182" s="44">
        <f t="shared" si="53"/>
        <v>0.6</v>
      </c>
      <c r="U182" s="44">
        <f t="shared" si="53"/>
        <v>0.6</v>
      </c>
      <c r="V182" s="44">
        <f t="shared" si="53"/>
        <v>0.6</v>
      </c>
      <c r="W182" s="44">
        <f t="shared" si="53"/>
        <v>0.6</v>
      </c>
      <c r="X182" s="44">
        <f t="shared" si="53"/>
        <v>0.6</v>
      </c>
      <c r="Y182" s="44">
        <f t="shared" si="53"/>
        <v>0.6</v>
      </c>
      <c r="Z182" s="44">
        <f t="shared" si="53"/>
        <v>0.6</v>
      </c>
      <c r="AA182" s="44">
        <f t="shared" si="53"/>
        <v>0.6</v>
      </c>
      <c r="AB182" s="44">
        <f t="shared" si="53"/>
        <v>0.6</v>
      </c>
      <c r="AC182" s="44">
        <f t="shared" si="53"/>
        <v>0.6</v>
      </c>
      <c r="AD182" s="44">
        <f t="shared" si="53"/>
        <v>0.6</v>
      </c>
      <c r="AE182" s="44">
        <f t="shared" si="53"/>
        <v>0.6</v>
      </c>
      <c r="AF182" s="44">
        <f t="shared" si="53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51"/>
        <v>0.6</v>
      </c>
      <c r="C183" s="55">
        <v>0.6</v>
      </c>
      <c r="D183" s="44">
        <f t="shared" si="52"/>
        <v>0.6</v>
      </c>
      <c r="E183" s="44">
        <f t="shared" si="52"/>
        <v>0.6</v>
      </c>
      <c r="F183" s="44">
        <f t="shared" si="52"/>
        <v>0.6</v>
      </c>
      <c r="G183" s="44">
        <f t="shared" si="52"/>
        <v>0.6</v>
      </c>
      <c r="H183" s="44">
        <f t="shared" si="52"/>
        <v>0.6</v>
      </c>
      <c r="I183" s="44">
        <f t="shared" si="52"/>
        <v>0.6</v>
      </c>
      <c r="J183" s="44">
        <f t="shared" si="52"/>
        <v>0.6</v>
      </c>
      <c r="K183" s="44">
        <f t="shared" si="52"/>
        <v>0.6</v>
      </c>
      <c r="L183" s="44">
        <f t="shared" si="52"/>
        <v>0.6</v>
      </c>
      <c r="M183" s="44">
        <f t="shared" si="52"/>
        <v>0.6</v>
      </c>
      <c r="N183" s="44">
        <f t="shared" si="52"/>
        <v>0.6</v>
      </c>
      <c r="O183" s="44">
        <f t="shared" si="52"/>
        <v>0.6</v>
      </c>
      <c r="P183" s="44">
        <f t="shared" si="52"/>
        <v>0.6</v>
      </c>
      <c r="Q183" s="44">
        <f t="shared" si="52"/>
        <v>0.6</v>
      </c>
      <c r="R183" s="44">
        <f t="shared" si="52"/>
        <v>0.6</v>
      </c>
      <c r="S183" s="44">
        <f t="shared" si="52"/>
        <v>0.6</v>
      </c>
      <c r="T183" s="44">
        <f t="shared" si="53"/>
        <v>0.6</v>
      </c>
      <c r="U183" s="44">
        <f t="shared" si="53"/>
        <v>0.6</v>
      </c>
      <c r="V183" s="44">
        <f t="shared" si="53"/>
        <v>0.6</v>
      </c>
      <c r="W183" s="44">
        <f t="shared" si="53"/>
        <v>0.6</v>
      </c>
      <c r="X183" s="44">
        <f t="shared" si="53"/>
        <v>0.6</v>
      </c>
      <c r="Y183" s="44">
        <f t="shared" si="53"/>
        <v>0.6</v>
      </c>
      <c r="Z183" s="44">
        <f t="shared" si="53"/>
        <v>0.6</v>
      </c>
      <c r="AA183" s="44">
        <f t="shared" si="53"/>
        <v>0.6</v>
      </c>
      <c r="AB183" s="44">
        <f t="shared" si="53"/>
        <v>0.6</v>
      </c>
      <c r="AC183" s="44">
        <f t="shared" si="53"/>
        <v>0.6</v>
      </c>
      <c r="AD183" s="44">
        <f t="shared" si="53"/>
        <v>0.6</v>
      </c>
      <c r="AE183" s="44">
        <f t="shared" si="53"/>
        <v>0.6</v>
      </c>
      <c r="AF183" s="44">
        <f t="shared" si="53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51"/>
        <v>0.35</v>
      </c>
      <c r="C184" s="55">
        <v>0.35</v>
      </c>
      <c r="D184" s="44">
        <f t="shared" si="52"/>
        <v>0.35</v>
      </c>
      <c r="E184" s="44">
        <f t="shared" si="52"/>
        <v>0.35</v>
      </c>
      <c r="F184" s="44">
        <f t="shared" si="52"/>
        <v>0.35</v>
      </c>
      <c r="G184" s="44">
        <f t="shared" si="52"/>
        <v>0.35</v>
      </c>
      <c r="H184" s="44">
        <f t="shared" si="52"/>
        <v>0.35</v>
      </c>
      <c r="I184" s="44">
        <f t="shared" si="52"/>
        <v>0.35</v>
      </c>
      <c r="J184" s="44">
        <f t="shared" si="52"/>
        <v>0.35</v>
      </c>
      <c r="K184" s="44">
        <f t="shared" si="52"/>
        <v>0.35</v>
      </c>
      <c r="L184" s="44">
        <f t="shared" si="52"/>
        <v>0.35</v>
      </c>
      <c r="M184" s="44">
        <f t="shared" si="52"/>
        <v>0.35</v>
      </c>
      <c r="N184" s="44">
        <f t="shared" si="52"/>
        <v>0.35</v>
      </c>
      <c r="O184" s="44">
        <f t="shared" si="52"/>
        <v>0.35</v>
      </c>
      <c r="P184" s="44">
        <f t="shared" si="52"/>
        <v>0.35</v>
      </c>
      <c r="Q184" s="44">
        <f t="shared" si="52"/>
        <v>0.35</v>
      </c>
      <c r="R184" s="44">
        <f t="shared" si="52"/>
        <v>0.35</v>
      </c>
      <c r="S184" s="44">
        <f t="shared" si="52"/>
        <v>0.35</v>
      </c>
      <c r="T184" s="44">
        <f t="shared" si="53"/>
        <v>0.35</v>
      </c>
      <c r="U184" s="44">
        <f t="shared" si="53"/>
        <v>0.35</v>
      </c>
      <c r="V184" s="44">
        <f t="shared" si="53"/>
        <v>0.35</v>
      </c>
      <c r="W184" s="44">
        <f t="shared" si="53"/>
        <v>0.35</v>
      </c>
      <c r="X184" s="44">
        <f t="shared" si="53"/>
        <v>0.35</v>
      </c>
      <c r="Y184" s="44">
        <f t="shared" si="53"/>
        <v>0.35</v>
      </c>
      <c r="Z184" s="44">
        <f t="shared" si="53"/>
        <v>0.35</v>
      </c>
      <c r="AA184" s="44">
        <f t="shared" si="53"/>
        <v>0.35</v>
      </c>
      <c r="AB184" s="44">
        <f t="shared" si="53"/>
        <v>0.35</v>
      </c>
      <c r="AC184" s="44">
        <f t="shared" si="53"/>
        <v>0.35</v>
      </c>
      <c r="AD184" s="44">
        <f t="shared" si="53"/>
        <v>0.35</v>
      </c>
      <c r="AE184" s="44">
        <f t="shared" si="53"/>
        <v>0.35</v>
      </c>
      <c r="AF184" s="44">
        <f t="shared" si="53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51"/>
        <v>0.28999999999999998</v>
      </c>
      <c r="C185" s="55">
        <v>0.28999999999999998</v>
      </c>
      <c r="D185" s="44">
        <f t="shared" si="52"/>
        <v>0.28999999999999998</v>
      </c>
      <c r="E185" s="44">
        <f t="shared" si="52"/>
        <v>0.28999999999999998</v>
      </c>
      <c r="F185" s="44">
        <f t="shared" si="52"/>
        <v>0.28999999999999998</v>
      </c>
      <c r="G185" s="44">
        <f t="shared" si="52"/>
        <v>0.28999999999999998</v>
      </c>
      <c r="H185" s="44">
        <f t="shared" si="52"/>
        <v>0.28999999999999998</v>
      </c>
      <c r="I185" s="44">
        <f t="shared" si="52"/>
        <v>0.28999999999999998</v>
      </c>
      <c r="J185" s="44">
        <f t="shared" si="52"/>
        <v>0.28999999999999998</v>
      </c>
      <c r="K185" s="44">
        <f t="shared" si="52"/>
        <v>0.28999999999999998</v>
      </c>
      <c r="L185" s="44">
        <f t="shared" si="52"/>
        <v>0.28999999999999998</v>
      </c>
      <c r="M185" s="44">
        <f t="shared" si="52"/>
        <v>0.28999999999999998</v>
      </c>
      <c r="N185" s="44">
        <f t="shared" si="52"/>
        <v>0.28999999999999998</v>
      </c>
      <c r="O185" s="44">
        <f t="shared" si="52"/>
        <v>0.28999999999999998</v>
      </c>
      <c r="P185" s="44">
        <f t="shared" si="52"/>
        <v>0.28999999999999998</v>
      </c>
      <c r="Q185" s="44">
        <f t="shared" si="52"/>
        <v>0.28999999999999998</v>
      </c>
      <c r="R185" s="44">
        <f t="shared" si="52"/>
        <v>0.28999999999999998</v>
      </c>
      <c r="S185" s="44">
        <f t="shared" si="52"/>
        <v>0.28999999999999998</v>
      </c>
      <c r="T185" s="44">
        <f t="shared" si="53"/>
        <v>0.28999999999999998</v>
      </c>
      <c r="U185" s="44">
        <f t="shared" si="53"/>
        <v>0.28999999999999998</v>
      </c>
      <c r="V185" s="44">
        <f t="shared" si="53"/>
        <v>0.28999999999999998</v>
      </c>
      <c r="W185" s="44">
        <f t="shared" si="53"/>
        <v>0.28999999999999998</v>
      </c>
      <c r="X185" s="44">
        <f t="shared" si="53"/>
        <v>0.28999999999999998</v>
      </c>
      <c r="Y185" s="44">
        <f t="shared" si="53"/>
        <v>0.28999999999999998</v>
      </c>
      <c r="Z185" s="44">
        <f t="shared" si="53"/>
        <v>0.28999999999999998</v>
      </c>
      <c r="AA185" s="44">
        <f t="shared" si="53"/>
        <v>0.28999999999999998</v>
      </c>
      <c r="AB185" s="44">
        <f t="shared" si="53"/>
        <v>0.28999999999999998</v>
      </c>
      <c r="AC185" s="44">
        <f t="shared" si="53"/>
        <v>0.28999999999999998</v>
      </c>
      <c r="AD185" s="44">
        <f t="shared" si="53"/>
        <v>0.28999999999999998</v>
      </c>
      <c r="AE185" s="44">
        <f t="shared" si="53"/>
        <v>0.28999999999999998</v>
      </c>
      <c r="AF185" s="44">
        <f t="shared" si="53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51"/>
        <v>0.06</v>
      </c>
      <c r="C186" s="55">
        <v>0.06</v>
      </c>
      <c r="D186" s="44">
        <f t="shared" si="52"/>
        <v>0.06</v>
      </c>
      <c r="E186" s="44">
        <f t="shared" si="52"/>
        <v>0.06</v>
      </c>
      <c r="F186" s="44">
        <f t="shared" si="52"/>
        <v>0.06</v>
      </c>
      <c r="G186" s="44">
        <f t="shared" si="52"/>
        <v>0.06</v>
      </c>
      <c r="H186" s="44">
        <f t="shared" si="52"/>
        <v>0.06</v>
      </c>
      <c r="I186" s="44">
        <f t="shared" si="52"/>
        <v>0.06</v>
      </c>
      <c r="J186" s="44">
        <f t="shared" si="52"/>
        <v>0.06</v>
      </c>
      <c r="K186" s="44">
        <f t="shared" si="52"/>
        <v>0.06</v>
      </c>
      <c r="L186" s="44">
        <f t="shared" si="52"/>
        <v>0.06</v>
      </c>
      <c r="M186" s="44">
        <f t="shared" si="52"/>
        <v>0.06</v>
      </c>
      <c r="N186" s="44">
        <f t="shared" si="52"/>
        <v>0.06</v>
      </c>
      <c r="O186" s="44">
        <f t="shared" si="52"/>
        <v>0.06</v>
      </c>
      <c r="P186" s="44">
        <f t="shared" si="52"/>
        <v>0.06</v>
      </c>
      <c r="Q186" s="44">
        <f t="shared" si="52"/>
        <v>0.06</v>
      </c>
      <c r="R186" s="44">
        <f t="shared" si="52"/>
        <v>0.06</v>
      </c>
      <c r="S186" s="44">
        <f t="shared" si="52"/>
        <v>0.06</v>
      </c>
      <c r="T186" s="44">
        <f t="shared" si="53"/>
        <v>0.06</v>
      </c>
      <c r="U186" s="44">
        <f t="shared" si="53"/>
        <v>0.06</v>
      </c>
      <c r="V186" s="44">
        <f t="shared" si="53"/>
        <v>0.06</v>
      </c>
      <c r="W186" s="44">
        <f t="shared" si="53"/>
        <v>0.06</v>
      </c>
      <c r="X186" s="44">
        <f t="shared" si="53"/>
        <v>0.06</v>
      </c>
      <c r="Y186" s="44">
        <f t="shared" si="53"/>
        <v>0.06</v>
      </c>
      <c r="Z186" s="44">
        <f t="shared" si="53"/>
        <v>0.06</v>
      </c>
      <c r="AA186" s="44">
        <f t="shared" si="53"/>
        <v>0.06</v>
      </c>
      <c r="AB186" s="44">
        <f t="shared" si="53"/>
        <v>0.06</v>
      </c>
      <c r="AC186" s="44">
        <f t="shared" si="53"/>
        <v>0.06</v>
      </c>
      <c r="AD186" s="44">
        <f t="shared" si="53"/>
        <v>0.06</v>
      </c>
      <c r="AE186" s="44">
        <f t="shared" si="53"/>
        <v>0.06</v>
      </c>
      <c r="AF186" s="44">
        <f t="shared" si="53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51"/>
        <v>0.11</v>
      </c>
      <c r="C187" s="55">
        <v>0.11</v>
      </c>
      <c r="D187" s="44">
        <f t="shared" si="52"/>
        <v>0.11</v>
      </c>
      <c r="E187" s="44">
        <f t="shared" si="52"/>
        <v>0.11</v>
      </c>
      <c r="F187" s="44">
        <f t="shared" si="52"/>
        <v>0.11</v>
      </c>
      <c r="G187" s="44">
        <f t="shared" si="52"/>
        <v>0.11</v>
      </c>
      <c r="H187" s="44">
        <f t="shared" si="52"/>
        <v>0.11</v>
      </c>
      <c r="I187" s="44">
        <f t="shared" si="52"/>
        <v>0.11</v>
      </c>
      <c r="J187" s="44">
        <f t="shared" si="52"/>
        <v>0.11</v>
      </c>
      <c r="K187" s="44">
        <f t="shared" si="52"/>
        <v>0.11</v>
      </c>
      <c r="L187" s="44">
        <f t="shared" si="52"/>
        <v>0.11</v>
      </c>
      <c r="M187" s="44">
        <f t="shared" si="52"/>
        <v>0.11</v>
      </c>
      <c r="N187" s="44">
        <f t="shared" si="52"/>
        <v>0.11</v>
      </c>
      <c r="O187" s="44">
        <f t="shared" si="52"/>
        <v>0.11</v>
      </c>
      <c r="P187" s="44">
        <f t="shared" si="52"/>
        <v>0.11</v>
      </c>
      <c r="Q187" s="44">
        <f t="shared" si="52"/>
        <v>0.11</v>
      </c>
      <c r="R187" s="44">
        <f t="shared" si="52"/>
        <v>0.11</v>
      </c>
      <c r="S187" s="44">
        <f t="shared" si="52"/>
        <v>0.11</v>
      </c>
      <c r="T187" s="44">
        <f t="shared" si="53"/>
        <v>0.11</v>
      </c>
      <c r="U187" s="44">
        <f t="shared" si="53"/>
        <v>0.11</v>
      </c>
      <c r="V187" s="44">
        <f t="shared" si="53"/>
        <v>0.11</v>
      </c>
      <c r="W187" s="44">
        <f t="shared" si="53"/>
        <v>0.11</v>
      </c>
      <c r="X187" s="44">
        <f t="shared" si="53"/>
        <v>0.11</v>
      </c>
      <c r="Y187" s="44">
        <f t="shared" si="53"/>
        <v>0.11</v>
      </c>
      <c r="Z187" s="44">
        <f t="shared" si="53"/>
        <v>0.11</v>
      </c>
      <c r="AA187" s="44">
        <f t="shared" si="53"/>
        <v>0.11</v>
      </c>
      <c r="AB187" s="44">
        <f t="shared" si="53"/>
        <v>0.11</v>
      </c>
      <c r="AC187" s="44">
        <f t="shared" si="53"/>
        <v>0.11</v>
      </c>
      <c r="AD187" s="44">
        <f t="shared" si="53"/>
        <v>0.11</v>
      </c>
      <c r="AE187" s="44">
        <f t="shared" si="53"/>
        <v>0.11</v>
      </c>
      <c r="AF187" s="44">
        <f t="shared" si="53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51"/>
        <v>0.1</v>
      </c>
      <c r="C188" s="55">
        <v>0.1</v>
      </c>
      <c r="D188" s="44">
        <f t="shared" si="52"/>
        <v>0.1</v>
      </c>
      <c r="E188" s="44">
        <f t="shared" si="52"/>
        <v>0.1</v>
      </c>
      <c r="F188" s="44">
        <f t="shared" si="52"/>
        <v>0.1</v>
      </c>
      <c r="G188" s="44">
        <f t="shared" si="52"/>
        <v>0.1</v>
      </c>
      <c r="H188" s="44">
        <f t="shared" si="52"/>
        <v>0.1</v>
      </c>
      <c r="I188" s="44">
        <f t="shared" si="52"/>
        <v>0.1</v>
      </c>
      <c r="J188" s="44">
        <f t="shared" si="52"/>
        <v>0.1</v>
      </c>
      <c r="K188" s="44">
        <f t="shared" si="52"/>
        <v>0.1</v>
      </c>
      <c r="L188" s="44">
        <f t="shared" si="52"/>
        <v>0.1</v>
      </c>
      <c r="M188" s="44">
        <f t="shared" si="52"/>
        <v>0.1</v>
      </c>
      <c r="N188" s="44">
        <f t="shared" si="52"/>
        <v>0.1</v>
      </c>
      <c r="O188" s="44">
        <f t="shared" si="52"/>
        <v>0.1</v>
      </c>
      <c r="P188" s="44">
        <f t="shared" si="52"/>
        <v>0.1</v>
      </c>
      <c r="Q188" s="44">
        <f t="shared" si="52"/>
        <v>0.1</v>
      </c>
      <c r="R188" s="44">
        <f t="shared" si="52"/>
        <v>0.1</v>
      </c>
      <c r="S188" s="44">
        <f t="shared" si="53"/>
        <v>0.1</v>
      </c>
      <c r="T188" s="44">
        <f t="shared" si="53"/>
        <v>0.1</v>
      </c>
      <c r="U188" s="44">
        <f t="shared" si="53"/>
        <v>0.1</v>
      </c>
      <c r="V188" s="44">
        <f t="shared" si="53"/>
        <v>0.1</v>
      </c>
      <c r="W188" s="44">
        <f t="shared" si="53"/>
        <v>0.1</v>
      </c>
      <c r="X188" s="44">
        <f t="shared" si="53"/>
        <v>0.1</v>
      </c>
      <c r="Y188" s="44">
        <f t="shared" si="53"/>
        <v>0.1</v>
      </c>
      <c r="Z188" s="44">
        <f t="shared" si="53"/>
        <v>0.1</v>
      </c>
      <c r="AA188" s="44">
        <f t="shared" si="53"/>
        <v>0.1</v>
      </c>
      <c r="AB188" s="44">
        <f t="shared" si="53"/>
        <v>0.1</v>
      </c>
      <c r="AC188" s="44">
        <f t="shared" si="53"/>
        <v>0.1</v>
      </c>
      <c r="AD188" s="44">
        <f t="shared" si="53"/>
        <v>0.1</v>
      </c>
      <c r="AE188" s="44">
        <f t="shared" si="53"/>
        <v>0.1</v>
      </c>
      <c r="AF188" s="44">
        <f t="shared" si="53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51"/>
        <v>0.09</v>
      </c>
      <c r="C189" s="55">
        <v>0.09</v>
      </c>
      <c r="D189" s="44">
        <f t="shared" si="52"/>
        <v>0.09</v>
      </c>
      <c r="E189" s="44">
        <f t="shared" si="52"/>
        <v>0.09</v>
      </c>
      <c r="F189" s="44">
        <f t="shared" si="52"/>
        <v>0.09</v>
      </c>
      <c r="G189" s="44">
        <f t="shared" si="52"/>
        <v>0.09</v>
      </c>
      <c r="H189" s="44">
        <f t="shared" si="52"/>
        <v>0.09</v>
      </c>
      <c r="I189" s="44">
        <f t="shared" si="52"/>
        <v>0.09</v>
      </c>
      <c r="J189" s="44">
        <f t="shared" si="52"/>
        <v>0.09</v>
      </c>
      <c r="K189" s="44">
        <f t="shared" si="52"/>
        <v>0.09</v>
      </c>
      <c r="L189" s="44">
        <f t="shared" si="52"/>
        <v>0.09</v>
      </c>
      <c r="M189" s="44">
        <f t="shared" si="52"/>
        <v>0.09</v>
      </c>
      <c r="N189" s="44">
        <f t="shared" si="52"/>
        <v>0.09</v>
      </c>
      <c r="O189" s="44">
        <f t="shared" si="52"/>
        <v>0.09</v>
      </c>
      <c r="P189" s="44">
        <f t="shared" si="52"/>
        <v>0.09</v>
      </c>
      <c r="Q189" s="44">
        <f t="shared" si="52"/>
        <v>0.09</v>
      </c>
      <c r="R189" s="44">
        <f t="shared" si="52"/>
        <v>0.09</v>
      </c>
      <c r="S189" s="44">
        <f t="shared" si="53"/>
        <v>0.09</v>
      </c>
      <c r="T189" s="44">
        <f t="shared" si="53"/>
        <v>0.09</v>
      </c>
      <c r="U189" s="44">
        <f t="shared" si="53"/>
        <v>0.09</v>
      </c>
      <c r="V189" s="44">
        <f t="shared" si="53"/>
        <v>0.09</v>
      </c>
      <c r="W189" s="44">
        <f t="shared" si="53"/>
        <v>0.09</v>
      </c>
      <c r="X189" s="44">
        <f t="shared" si="53"/>
        <v>0.09</v>
      </c>
      <c r="Y189" s="44">
        <f t="shared" si="53"/>
        <v>0.09</v>
      </c>
      <c r="Z189" s="44">
        <f t="shared" si="53"/>
        <v>0.09</v>
      </c>
      <c r="AA189" s="44">
        <f t="shared" si="53"/>
        <v>0.09</v>
      </c>
      <c r="AB189" s="44">
        <f t="shared" si="53"/>
        <v>0.09</v>
      </c>
      <c r="AC189" s="44">
        <f t="shared" si="53"/>
        <v>0.09</v>
      </c>
      <c r="AD189" s="44">
        <f t="shared" si="53"/>
        <v>0.09</v>
      </c>
      <c r="AE189" s="44">
        <f t="shared" si="53"/>
        <v>0.09</v>
      </c>
      <c r="AF189" s="44">
        <f t="shared" si="53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51"/>
        <v>0.04</v>
      </c>
      <c r="C190" s="54">
        <v>0.04</v>
      </c>
      <c r="D190" s="44">
        <f t="shared" si="52"/>
        <v>0.04</v>
      </c>
      <c r="E190" s="44">
        <f t="shared" si="52"/>
        <v>0.04</v>
      </c>
      <c r="F190" s="44">
        <f t="shared" si="52"/>
        <v>0.04</v>
      </c>
      <c r="G190" s="44">
        <f t="shared" si="52"/>
        <v>0.04</v>
      </c>
      <c r="H190" s="44">
        <f t="shared" si="52"/>
        <v>0.04</v>
      </c>
      <c r="I190" s="44">
        <f t="shared" si="52"/>
        <v>0.04</v>
      </c>
      <c r="J190" s="44">
        <f t="shared" si="52"/>
        <v>0.04</v>
      </c>
      <c r="K190" s="44">
        <f t="shared" si="52"/>
        <v>0.04</v>
      </c>
      <c r="L190" s="44">
        <f t="shared" si="52"/>
        <v>0.04</v>
      </c>
      <c r="M190" s="44">
        <f t="shared" si="52"/>
        <v>0.04</v>
      </c>
      <c r="N190" s="44">
        <f t="shared" si="52"/>
        <v>0.04</v>
      </c>
      <c r="O190" s="44">
        <f t="shared" si="52"/>
        <v>0.04</v>
      </c>
      <c r="P190" s="44">
        <f t="shared" si="52"/>
        <v>0.04</v>
      </c>
      <c r="Q190" s="44">
        <f t="shared" si="52"/>
        <v>0.04</v>
      </c>
      <c r="R190" s="44">
        <f t="shared" si="52"/>
        <v>0.04</v>
      </c>
      <c r="S190" s="44">
        <f t="shared" si="53"/>
        <v>0.04</v>
      </c>
      <c r="T190" s="44">
        <f t="shared" si="53"/>
        <v>0.04</v>
      </c>
      <c r="U190" s="44">
        <f t="shared" si="53"/>
        <v>0.04</v>
      </c>
      <c r="V190" s="44">
        <f t="shared" si="53"/>
        <v>0.04</v>
      </c>
      <c r="W190" s="44">
        <f t="shared" si="53"/>
        <v>0.04</v>
      </c>
      <c r="X190" s="44">
        <f t="shared" si="53"/>
        <v>0.04</v>
      </c>
      <c r="Y190" s="44">
        <f t="shared" si="53"/>
        <v>0.04</v>
      </c>
      <c r="Z190" s="44">
        <f t="shared" si="53"/>
        <v>0.04</v>
      </c>
      <c r="AA190" s="44">
        <f t="shared" si="53"/>
        <v>0.04</v>
      </c>
      <c r="AB190" s="44">
        <f t="shared" si="53"/>
        <v>0.04</v>
      </c>
      <c r="AC190" s="44">
        <f t="shared" si="53"/>
        <v>0.04</v>
      </c>
      <c r="AD190" s="44">
        <f t="shared" si="53"/>
        <v>0.04</v>
      </c>
      <c r="AE190" s="44">
        <f t="shared" si="53"/>
        <v>0.04</v>
      </c>
      <c r="AF190" s="44">
        <f t="shared" si="53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51"/>
        <v>2.3E-2</v>
      </c>
      <c r="C191" s="54">
        <v>2.3E-2</v>
      </c>
      <c r="D191" s="44">
        <f>C191</f>
        <v>2.3E-2</v>
      </c>
      <c r="E191" s="44">
        <f t="shared" si="52"/>
        <v>2.3E-2</v>
      </c>
      <c r="F191" s="44">
        <f t="shared" si="52"/>
        <v>2.3E-2</v>
      </c>
      <c r="G191" s="44">
        <f t="shared" si="52"/>
        <v>2.3E-2</v>
      </c>
      <c r="H191" s="44">
        <f t="shared" si="52"/>
        <v>2.3E-2</v>
      </c>
      <c r="I191" s="44">
        <f t="shared" si="52"/>
        <v>2.3E-2</v>
      </c>
      <c r="J191" s="44">
        <f t="shared" si="52"/>
        <v>2.3E-2</v>
      </c>
      <c r="K191" s="44">
        <f t="shared" si="52"/>
        <v>2.3E-2</v>
      </c>
      <c r="L191" s="44">
        <f t="shared" si="52"/>
        <v>2.3E-2</v>
      </c>
      <c r="M191" s="44">
        <f t="shared" si="52"/>
        <v>2.3E-2</v>
      </c>
      <c r="N191" s="44">
        <f t="shared" si="52"/>
        <v>2.3E-2</v>
      </c>
      <c r="O191" s="44">
        <f t="shared" si="52"/>
        <v>2.3E-2</v>
      </c>
      <c r="P191" s="44">
        <f t="shared" si="52"/>
        <v>2.3E-2</v>
      </c>
      <c r="Q191" s="44">
        <f t="shared" si="52"/>
        <v>2.3E-2</v>
      </c>
      <c r="R191" s="44">
        <f t="shared" si="52"/>
        <v>2.3E-2</v>
      </c>
      <c r="S191" s="44">
        <f t="shared" si="53"/>
        <v>2.3E-2</v>
      </c>
      <c r="T191" s="44">
        <f t="shared" si="53"/>
        <v>2.3E-2</v>
      </c>
      <c r="U191" s="44">
        <f t="shared" si="53"/>
        <v>2.3E-2</v>
      </c>
      <c r="V191" s="44">
        <f t="shared" si="53"/>
        <v>2.3E-2</v>
      </c>
      <c r="W191" s="44">
        <f t="shared" si="53"/>
        <v>2.3E-2</v>
      </c>
      <c r="X191" s="44">
        <f t="shared" si="53"/>
        <v>2.3E-2</v>
      </c>
      <c r="Y191" s="44">
        <f t="shared" si="53"/>
        <v>2.3E-2</v>
      </c>
      <c r="Z191" s="44">
        <f t="shared" si="53"/>
        <v>2.3E-2</v>
      </c>
      <c r="AA191" s="44">
        <f t="shared" si="53"/>
        <v>2.3E-2</v>
      </c>
      <c r="AB191" s="44">
        <f t="shared" si="53"/>
        <v>2.3E-2</v>
      </c>
      <c r="AC191" s="44">
        <f t="shared" si="53"/>
        <v>2.3E-2</v>
      </c>
      <c r="AD191" s="44">
        <f t="shared" si="53"/>
        <v>2.3E-2</v>
      </c>
      <c r="AE191" s="44">
        <f t="shared" si="53"/>
        <v>2.3E-2</v>
      </c>
      <c r="AF191" s="44">
        <f t="shared" si="53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4">SUM(C102:C191)</f>
        <v>194.70600000000002</v>
      </c>
      <c r="D192" s="51">
        <f t="shared" si="54"/>
        <v>194.70600000000002</v>
      </c>
      <c r="E192" s="51">
        <f t="shared" si="54"/>
        <v>194.70600000000002</v>
      </c>
      <c r="F192" s="51">
        <f t="shared" si="54"/>
        <v>194.70600000000002</v>
      </c>
      <c r="G192" s="51">
        <f t="shared" si="54"/>
        <v>194.70600000000002</v>
      </c>
      <c r="H192" s="51">
        <f t="shared" si="54"/>
        <v>194.70600000000002</v>
      </c>
      <c r="I192" s="51">
        <f t="shared" si="54"/>
        <v>194.70600000000002</v>
      </c>
      <c r="J192" s="51">
        <f t="shared" si="54"/>
        <v>192.10600000000005</v>
      </c>
      <c r="K192" s="51">
        <f t="shared" si="54"/>
        <v>192.10600000000005</v>
      </c>
      <c r="L192" s="51">
        <f t="shared" si="54"/>
        <v>192.10600000000005</v>
      </c>
      <c r="M192" s="51">
        <f t="shared" si="54"/>
        <v>192.10600000000005</v>
      </c>
      <c r="N192" s="51">
        <f t="shared" si="54"/>
        <v>192.10600000000005</v>
      </c>
      <c r="O192" s="51">
        <f t="shared" si="54"/>
        <v>192.10600000000005</v>
      </c>
      <c r="P192" s="51">
        <f t="shared" si="54"/>
        <v>192.10600000000005</v>
      </c>
      <c r="Q192" s="51">
        <f t="shared" si="54"/>
        <v>192.10600000000005</v>
      </c>
      <c r="R192" s="51">
        <f t="shared" si="54"/>
        <v>192.10600000000005</v>
      </c>
      <c r="S192" s="51">
        <f t="shared" si="54"/>
        <v>192.10600000000005</v>
      </c>
      <c r="T192" s="51">
        <f t="shared" si="54"/>
        <v>192.10600000000005</v>
      </c>
      <c r="U192" s="51">
        <f t="shared" si="54"/>
        <v>192.10600000000005</v>
      </c>
      <c r="V192" s="51">
        <f t="shared" si="54"/>
        <v>192.10600000000005</v>
      </c>
      <c r="W192" s="51">
        <f t="shared" si="54"/>
        <v>192.10600000000005</v>
      </c>
      <c r="X192" s="51">
        <f t="shared" si="54"/>
        <v>192.10600000000005</v>
      </c>
      <c r="Y192" s="51">
        <f t="shared" si="54"/>
        <v>192.10600000000005</v>
      </c>
      <c r="Z192" s="51">
        <f t="shared" si="54"/>
        <v>192.10600000000005</v>
      </c>
      <c r="AA192" s="51">
        <f t="shared" si="54"/>
        <v>192.10600000000005</v>
      </c>
      <c r="AB192" s="51">
        <f t="shared" si="54"/>
        <v>192.10600000000005</v>
      </c>
      <c r="AC192" s="51">
        <f t="shared" si="54"/>
        <v>192.10600000000005</v>
      </c>
      <c r="AD192" s="51">
        <f t="shared" si="54"/>
        <v>192.10600000000005</v>
      </c>
      <c r="AE192" s="51">
        <f t="shared" si="54"/>
        <v>192.10600000000005</v>
      </c>
      <c r="AF192" s="51">
        <f t="shared" si="54"/>
        <v>192.10600000000005</v>
      </c>
      <c r="AG192" s="50">
        <f t="shared" si="54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5">AF194</f>
        <v>0.3</v>
      </c>
      <c r="C194" s="47">
        <v>0.3</v>
      </c>
      <c r="D194" s="47">
        <f t="shared" ref="D194:S199" si="56">C194</f>
        <v>0.3</v>
      </c>
      <c r="E194" s="47">
        <f t="shared" si="56"/>
        <v>0.3</v>
      </c>
      <c r="F194" s="47">
        <f t="shared" si="56"/>
        <v>0.3</v>
      </c>
      <c r="G194" s="47">
        <f t="shared" si="56"/>
        <v>0.3</v>
      </c>
      <c r="H194" s="47">
        <f t="shared" si="56"/>
        <v>0.3</v>
      </c>
      <c r="I194" s="47">
        <f t="shared" si="56"/>
        <v>0.3</v>
      </c>
      <c r="J194" s="47">
        <f t="shared" si="56"/>
        <v>0.3</v>
      </c>
      <c r="K194" s="47">
        <f t="shared" si="56"/>
        <v>0.3</v>
      </c>
      <c r="L194" s="47">
        <f t="shared" si="56"/>
        <v>0.3</v>
      </c>
      <c r="M194" s="47">
        <f t="shared" si="56"/>
        <v>0.3</v>
      </c>
      <c r="N194" s="47">
        <f t="shared" si="56"/>
        <v>0.3</v>
      </c>
      <c r="O194" s="47">
        <f t="shared" si="56"/>
        <v>0.3</v>
      </c>
      <c r="P194" s="47">
        <f t="shared" si="56"/>
        <v>0.3</v>
      </c>
      <c r="Q194" s="47">
        <f t="shared" si="56"/>
        <v>0.3</v>
      </c>
      <c r="R194" s="47">
        <f t="shared" si="56"/>
        <v>0.3</v>
      </c>
      <c r="S194" s="47">
        <f t="shared" si="56"/>
        <v>0.3</v>
      </c>
      <c r="T194" s="47">
        <f t="shared" ref="T194:AF199" si="57">S194</f>
        <v>0.3</v>
      </c>
      <c r="U194" s="47">
        <f t="shared" si="57"/>
        <v>0.3</v>
      </c>
      <c r="V194" s="47">
        <f t="shared" si="57"/>
        <v>0.3</v>
      </c>
      <c r="W194" s="47">
        <f t="shared" si="57"/>
        <v>0.3</v>
      </c>
      <c r="X194" s="47">
        <f t="shared" si="57"/>
        <v>0.3</v>
      </c>
      <c r="Y194" s="47">
        <f t="shared" si="57"/>
        <v>0.3</v>
      </c>
      <c r="Z194" s="47">
        <f t="shared" si="57"/>
        <v>0.3</v>
      </c>
      <c r="AA194" s="47">
        <f t="shared" si="57"/>
        <v>0.3</v>
      </c>
      <c r="AB194" s="47">
        <f t="shared" si="57"/>
        <v>0.3</v>
      </c>
      <c r="AC194" s="47">
        <f t="shared" si="57"/>
        <v>0.3</v>
      </c>
      <c r="AD194" s="47">
        <f t="shared" si="57"/>
        <v>0.3</v>
      </c>
      <c r="AE194" s="47">
        <f t="shared" si="57"/>
        <v>0.3</v>
      </c>
      <c r="AF194" s="47">
        <f t="shared" si="57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5"/>
        <v>0.4</v>
      </c>
      <c r="C195" s="44">
        <v>0.4</v>
      </c>
      <c r="D195" s="44">
        <f t="shared" si="56"/>
        <v>0.4</v>
      </c>
      <c r="E195" s="44">
        <f t="shared" si="56"/>
        <v>0.4</v>
      </c>
      <c r="F195" s="44">
        <f t="shared" si="56"/>
        <v>0.4</v>
      </c>
      <c r="G195" s="44">
        <f t="shared" si="56"/>
        <v>0.4</v>
      </c>
      <c r="H195" s="44">
        <f t="shared" si="56"/>
        <v>0.4</v>
      </c>
      <c r="I195" s="44">
        <f t="shared" si="56"/>
        <v>0.4</v>
      </c>
      <c r="J195" s="44">
        <f t="shared" si="56"/>
        <v>0.4</v>
      </c>
      <c r="K195" s="44">
        <f t="shared" si="56"/>
        <v>0.4</v>
      </c>
      <c r="L195" s="44">
        <f t="shared" si="56"/>
        <v>0.4</v>
      </c>
      <c r="M195" s="44">
        <f t="shared" si="56"/>
        <v>0.4</v>
      </c>
      <c r="N195" s="44">
        <f t="shared" si="56"/>
        <v>0.4</v>
      </c>
      <c r="O195" s="44">
        <f t="shared" si="56"/>
        <v>0.4</v>
      </c>
      <c r="P195" s="44">
        <f t="shared" si="56"/>
        <v>0.4</v>
      </c>
      <c r="Q195" s="44">
        <f t="shared" si="56"/>
        <v>0.4</v>
      </c>
      <c r="R195" s="44">
        <f t="shared" si="56"/>
        <v>0.4</v>
      </c>
      <c r="S195" s="44">
        <f t="shared" si="56"/>
        <v>0.4</v>
      </c>
      <c r="T195" s="44">
        <f t="shared" si="57"/>
        <v>0.4</v>
      </c>
      <c r="U195" s="44">
        <f t="shared" si="57"/>
        <v>0.4</v>
      </c>
      <c r="V195" s="44">
        <f t="shared" si="57"/>
        <v>0.4</v>
      </c>
      <c r="W195" s="44">
        <f>V195</f>
        <v>0.4</v>
      </c>
      <c r="X195" s="44">
        <f>W195</f>
        <v>0.4</v>
      </c>
      <c r="Y195" s="44">
        <f t="shared" si="57"/>
        <v>0.4</v>
      </c>
      <c r="Z195" s="44">
        <f t="shared" si="57"/>
        <v>0.4</v>
      </c>
      <c r="AA195" s="44">
        <f t="shared" si="57"/>
        <v>0.4</v>
      </c>
      <c r="AB195" s="44">
        <f t="shared" si="57"/>
        <v>0.4</v>
      </c>
      <c r="AC195" s="44">
        <f t="shared" si="57"/>
        <v>0.4</v>
      </c>
      <c r="AD195" s="44">
        <f t="shared" si="57"/>
        <v>0.4</v>
      </c>
      <c r="AE195" s="44">
        <f t="shared" si="57"/>
        <v>0.4</v>
      </c>
      <c r="AF195" s="44">
        <f t="shared" si="57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5"/>
        <v>1.5</v>
      </c>
      <c r="C196" s="44">
        <v>1.5</v>
      </c>
      <c r="D196" s="44">
        <f t="shared" si="56"/>
        <v>1.5</v>
      </c>
      <c r="E196" s="44">
        <f t="shared" si="56"/>
        <v>1.5</v>
      </c>
      <c r="F196" s="44">
        <f t="shared" si="56"/>
        <v>1.5</v>
      </c>
      <c r="G196" s="44">
        <f t="shared" si="56"/>
        <v>1.5</v>
      </c>
      <c r="H196" s="44">
        <f t="shared" si="56"/>
        <v>1.5</v>
      </c>
      <c r="I196" s="44">
        <f t="shared" si="56"/>
        <v>1.5</v>
      </c>
      <c r="J196" s="44">
        <f t="shared" si="56"/>
        <v>1.5</v>
      </c>
      <c r="K196" s="44">
        <f t="shared" si="56"/>
        <v>1.5</v>
      </c>
      <c r="L196" s="44">
        <f t="shared" si="56"/>
        <v>1.5</v>
      </c>
      <c r="M196" s="44">
        <f t="shared" si="56"/>
        <v>1.5</v>
      </c>
      <c r="N196" s="44">
        <f t="shared" si="56"/>
        <v>1.5</v>
      </c>
      <c r="O196" s="44">
        <f t="shared" si="56"/>
        <v>1.5</v>
      </c>
      <c r="P196" s="44">
        <f t="shared" si="56"/>
        <v>1.5</v>
      </c>
      <c r="Q196" s="44">
        <f t="shared" si="56"/>
        <v>1.5</v>
      </c>
      <c r="R196" s="44">
        <f t="shared" si="56"/>
        <v>1.5</v>
      </c>
      <c r="S196" s="44">
        <f t="shared" si="56"/>
        <v>1.5</v>
      </c>
      <c r="T196" s="44">
        <f t="shared" si="57"/>
        <v>1.5</v>
      </c>
      <c r="U196" s="44">
        <f t="shared" si="57"/>
        <v>1.5</v>
      </c>
      <c r="V196" s="44">
        <f t="shared" si="57"/>
        <v>1.5</v>
      </c>
      <c r="W196" s="44">
        <f t="shared" si="57"/>
        <v>1.5</v>
      </c>
      <c r="X196" s="44">
        <f t="shared" si="57"/>
        <v>1.5</v>
      </c>
      <c r="Y196" s="44">
        <f t="shared" si="57"/>
        <v>1.5</v>
      </c>
      <c r="Z196" s="44">
        <f t="shared" si="57"/>
        <v>1.5</v>
      </c>
      <c r="AA196" s="44">
        <f t="shared" si="57"/>
        <v>1.5</v>
      </c>
      <c r="AB196" s="44">
        <f t="shared" si="57"/>
        <v>1.5</v>
      </c>
      <c r="AC196" s="44">
        <f t="shared" si="57"/>
        <v>1.5</v>
      </c>
      <c r="AD196" s="44">
        <f t="shared" si="57"/>
        <v>1.5</v>
      </c>
      <c r="AE196" s="44">
        <f t="shared" si="57"/>
        <v>1.5</v>
      </c>
      <c r="AF196" s="44">
        <f t="shared" si="57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5"/>
        <v>0.3</v>
      </c>
      <c r="C197" s="44">
        <v>0.3</v>
      </c>
      <c r="D197" s="44">
        <f t="shared" si="56"/>
        <v>0.3</v>
      </c>
      <c r="E197" s="44">
        <f t="shared" si="56"/>
        <v>0.3</v>
      </c>
      <c r="F197" s="44">
        <f t="shared" si="56"/>
        <v>0.3</v>
      </c>
      <c r="G197" s="44">
        <f t="shared" si="56"/>
        <v>0.3</v>
      </c>
      <c r="H197" s="44">
        <f t="shared" si="56"/>
        <v>0.3</v>
      </c>
      <c r="I197" s="44">
        <f t="shared" si="56"/>
        <v>0.3</v>
      </c>
      <c r="J197" s="44">
        <f t="shared" si="56"/>
        <v>0.3</v>
      </c>
      <c r="K197" s="44">
        <f t="shared" si="56"/>
        <v>0.3</v>
      </c>
      <c r="L197" s="44">
        <f t="shared" si="56"/>
        <v>0.3</v>
      </c>
      <c r="M197" s="44">
        <f t="shared" si="56"/>
        <v>0.3</v>
      </c>
      <c r="N197" s="44">
        <f t="shared" si="56"/>
        <v>0.3</v>
      </c>
      <c r="O197" s="44">
        <f t="shared" si="56"/>
        <v>0.3</v>
      </c>
      <c r="P197" s="44">
        <f t="shared" si="56"/>
        <v>0.3</v>
      </c>
      <c r="Q197" s="44">
        <f t="shared" si="56"/>
        <v>0.3</v>
      </c>
      <c r="R197" s="44">
        <f t="shared" si="56"/>
        <v>0.3</v>
      </c>
      <c r="S197" s="44">
        <f t="shared" si="56"/>
        <v>0.3</v>
      </c>
      <c r="T197" s="44">
        <f t="shared" si="57"/>
        <v>0.3</v>
      </c>
      <c r="U197" s="44">
        <f t="shared" si="57"/>
        <v>0.3</v>
      </c>
      <c r="V197" s="44">
        <f t="shared" si="57"/>
        <v>0.3</v>
      </c>
      <c r="W197" s="44">
        <f t="shared" si="57"/>
        <v>0.3</v>
      </c>
      <c r="X197" s="44">
        <f t="shared" si="57"/>
        <v>0.3</v>
      </c>
      <c r="Y197" s="44">
        <f t="shared" si="57"/>
        <v>0.3</v>
      </c>
      <c r="Z197" s="44">
        <f t="shared" si="57"/>
        <v>0.3</v>
      </c>
      <c r="AA197" s="44">
        <f t="shared" si="57"/>
        <v>0.3</v>
      </c>
      <c r="AB197" s="44">
        <f t="shared" si="57"/>
        <v>0.3</v>
      </c>
      <c r="AC197" s="44">
        <f t="shared" si="57"/>
        <v>0.3</v>
      </c>
      <c r="AD197" s="44">
        <f t="shared" si="57"/>
        <v>0.3</v>
      </c>
      <c r="AE197" s="44">
        <f t="shared" si="57"/>
        <v>0.3</v>
      </c>
      <c r="AF197" s="44">
        <f t="shared" si="57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5"/>
        <v>0.4</v>
      </c>
      <c r="C198" s="44">
        <v>0.4</v>
      </c>
      <c r="D198" s="44">
        <f t="shared" si="56"/>
        <v>0.4</v>
      </c>
      <c r="E198" s="44">
        <f t="shared" si="56"/>
        <v>0.4</v>
      </c>
      <c r="F198" s="44">
        <f t="shared" si="56"/>
        <v>0.4</v>
      </c>
      <c r="G198" s="44">
        <f t="shared" si="56"/>
        <v>0.4</v>
      </c>
      <c r="H198" s="44">
        <f t="shared" si="56"/>
        <v>0.4</v>
      </c>
      <c r="I198" s="44">
        <f t="shared" si="56"/>
        <v>0.4</v>
      </c>
      <c r="J198" s="44">
        <f t="shared" si="56"/>
        <v>0.4</v>
      </c>
      <c r="K198" s="44">
        <f t="shared" si="56"/>
        <v>0.4</v>
      </c>
      <c r="L198" s="44">
        <f t="shared" si="56"/>
        <v>0.4</v>
      </c>
      <c r="M198" s="44">
        <f t="shared" si="56"/>
        <v>0.4</v>
      </c>
      <c r="N198" s="44">
        <f t="shared" si="56"/>
        <v>0.4</v>
      </c>
      <c r="O198" s="44">
        <f t="shared" si="56"/>
        <v>0.4</v>
      </c>
      <c r="P198" s="44">
        <f t="shared" si="56"/>
        <v>0.4</v>
      </c>
      <c r="Q198" s="44">
        <f t="shared" si="56"/>
        <v>0.4</v>
      </c>
      <c r="R198" s="44">
        <f t="shared" si="56"/>
        <v>0.4</v>
      </c>
      <c r="S198" s="44">
        <f t="shared" si="56"/>
        <v>0.4</v>
      </c>
      <c r="T198" s="44">
        <f t="shared" si="57"/>
        <v>0.4</v>
      </c>
      <c r="U198" s="44">
        <f t="shared" si="57"/>
        <v>0.4</v>
      </c>
      <c r="V198" s="44">
        <f t="shared" si="57"/>
        <v>0.4</v>
      </c>
      <c r="W198" s="44">
        <f t="shared" si="57"/>
        <v>0.4</v>
      </c>
      <c r="X198" s="44">
        <f t="shared" si="57"/>
        <v>0.4</v>
      </c>
      <c r="Y198" s="44">
        <f t="shared" si="57"/>
        <v>0.4</v>
      </c>
      <c r="Z198" s="44">
        <f t="shared" si="57"/>
        <v>0.4</v>
      </c>
      <c r="AA198" s="44">
        <f t="shared" si="57"/>
        <v>0.4</v>
      </c>
      <c r="AB198" s="44">
        <f t="shared" si="57"/>
        <v>0.4</v>
      </c>
      <c r="AC198" s="44">
        <f t="shared" si="57"/>
        <v>0.4</v>
      </c>
      <c r="AD198" s="44">
        <f t="shared" si="57"/>
        <v>0.4</v>
      </c>
      <c r="AE198" s="44">
        <f t="shared" si="57"/>
        <v>0.4</v>
      </c>
      <c r="AF198" s="44">
        <f t="shared" si="57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5"/>
        <v>0.64</v>
      </c>
      <c r="C199" s="40">
        <v>0.64</v>
      </c>
      <c r="D199" s="40">
        <f t="shared" si="56"/>
        <v>0.64</v>
      </c>
      <c r="E199" s="40">
        <f t="shared" si="56"/>
        <v>0.64</v>
      </c>
      <c r="F199" s="40">
        <f t="shared" si="56"/>
        <v>0.64</v>
      </c>
      <c r="G199" s="40">
        <f t="shared" si="56"/>
        <v>0.64</v>
      </c>
      <c r="H199" s="40">
        <f t="shared" si="56"/>
        <v>0.64</v>
      </c>
      <c r="I199" s="40">
        <f t="shared" si="56"/>
        <v>0.64</v>
      </c>
      <c r="J199" s="40">
        <f t="shared" si="56"/>
        <v>0.64</v>
      </c>
      <c r="K199" s="40">
        <f t="shared" si="56"/>
        <v>0.64</v>
      </c>
      <c r="L199" s="40">
        <f t="shared" si="56"/>
        <v>0.64</v>
      </c>
      <c r="M199" s="40">
        <f t="shared" si="56"/>
        <v>0.64</v>
      </c>
      <c r="N199" s="40">
        <f t="shared" si="56"/>
        <v>0.64</v>
      </c>
      <c r="O199" s="40">
        <f t="shared" si="56"/>
        <v>0.64</v>
      </c>
      <c r="P199" s="40">
        <f t="shared" si="56"/>
        <v>0.64</v>
      </c>
      <c r="Q199" s="40">
        <f t="shared" si="56"/>
        <v>0.64</v>
      </c>
      <c r="R199" s="40">
        <f t="shared" si="56"/>
        <v>0.64</v>
      </c>
      <c r="S199" s="40">
        <f t="shared" si="56"/>
        <v>0.64</v>
      </c>
      <c r="T199" s="40">
        <f t="shared" si="57"/>
        <v>0.64</v>
      </c>
      <c r="U199" s="40">
        <f t="shared" si="57"/>
        <v>0.64</v>
      </c>
      <c r="V199" s="40">
        <f t="shared" si="57"/>
        <v>0.64</v>
      </c>
      <c r="W199" s="40">
        <f t="shared" si="57"/>
        <v>0.64</v>
      </c>
      <c r="X199" s="40">
        <f t="shared" si="57"/>
        <v>0.64</v>
      </c>
      <c r="Y199" s="40">
        <f t="shared" si="57"/>
        <v>0.64</v>
      </c>
      <c r="Z199" s="40">
        <f t="shared" si="57"/>
        <v>0.64</v>
      </c>
      <c r="AA199" s="40">
        <f t="shared" si="57"/>
        <v>0.64</v>
      </c>
      <c r="AB199" s="40">
        <f t="shared" si="57"/>
        <v>0.64</v>
      </c>
      <c r="AC199" s="40">
        <f t="shared" si="57"/>
        <v>0.64</v>
      </c>
      <c r="AD199" s="40">
        <f t="shared" si="57"/>
        <v>0.64</v>
      </c>
      <c r="AE199" s="40">
        <f t="shared" si="57"/>
        <v>0.64</v>
      </c>
      <c r="AF199" s="40">
        <f t="shared" si="57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8">SUM(D194:D199)</f>
        <v>3.54</v>
      </c>
      <c r="E200" s="37">
        <f t="shared" si="58"/>
        <v>3.54</v>
      </c>
      <c r="F200" s="37">
        <f t="shared" si="58"/>
        <v>3.54</v>
      </c>
      <c r="G200" s="37">
        <f t="shared" si="58"/>
        <v>3.54</v>
      </c>
      <c r="H200" s="37">
        <f t="shared" si="58"/>
        <v>3.54</v>
      </c>
      <c r="I200" s="37">
        <f t="shared" si="58"/>
        <v>3.54</v>
      </c>
      <c r="J200" s="37">
        <f t="shared" si="58"/>
        <v>3.54</v>
      </c>
      <c r="K200" s="37">
        <f t="shared" si="58"/>
        <v>3.54</v>
      </c>
      <c r="L200" s="37">
        <f t="shared" si="58"/>
        <v>3.54</v>
      </c>
      <c r="M200" s="37">
        <f>SUM(M194:M199)</f>
        <v>3.54</v>
      </c>
      <c r="N200" s="37">
        <f t="shared" ref="N200:S200" si="59">SUM(N194:N199)</f>
        <v>3.54</v>
      </c>
      <c r="O200" s="37">
        <f t="shared" si="59"/>
        <v>3.54</v>
      </c>
      <c r="P200" s="37">
        <f t="shared" si="59"/>
        <v>3.54</v>
      </c>
      <c r="Q200" s="37">
        <f t="shared" si="59"/>
        <v>3.54</v>
      </c>
      <c r="R200" s="37">
        <f t="shared" si="59"/>
        <v>3.54</v>
      </c>
      <c r="S200" s="37">
        <f t="shared" si="59"/>
        <v>3.54</v>
      </c>
      <c r="T200" s="37">
        <f>SUM(T194:T199)</f>
        <v>3.54</v>
      </c>
      <c r="U200" s="37">
        <f t="shared" ref="U200:AG200" si="60">SUM(U194:U199)</f>
        <v>3.54</v>
      </c>
      <c r="V200" s="37">
        <f t="shared" si="60"/>
        <v>3.54</v>
      </c>
      <c r="W200" s="37">
        <f t="shared" si="60"/>
        <v>3.54</v>
      </c>
      <c r="X200" s="37">
        <f t="shared" si="60"/>
        <v>3.54</v>
      </c>
      <c r="Y200" s="37">
        <f t="shared" si="60"/>
        <v>3.54</v>
      </c>
      <c r="Z200" s="37">
        <f t="shared" si="60"/>
        <v>3.54</v>
      </c>
      <c r="AA200" s="37">
        <f t="shared" si="60"/>
        <v>3.54</v>
      </c>
      <c r="AB200" s="37">
        <f t="shared" si="60"/>
        <v>3.54</v>
      </c>
      <c r="AC200" s="37">
        <f t="shared" si="60"/>
        <v>3.54</v>
      </c>
      <c r="AD200" s="37">
        <f t="shared" si="60"/>
        <v>3.54</v>
      </c>
      <c r="AE200" s="37">
        <f t="shared" si="60"/>
        <v>3.54</v>
      </c>
      <c r="AF200" s="37">
        <f t="shared" si="60"/>
        <v>3.54</v>
      </c>
      <c r="AG200" s="36">
        <f t="shared" si="60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1468.92</v>
      </c>
      <c r="C209" s="17">
        <f>INDEX(G9:N9,1,MATCH(MAX(G75:N75),G75:N75,0))</f>
        <v>0.375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29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2078/12/29)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2078/12/29)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61">B75</f>
        <v>1282.06</v>
      </c>
      <c r="U214" s="9">
        <f t="shared" si="61"/>
        <v>1262.54</v>
      </c>
      <c r="V214" s="9">
        <f t="shared" si="61"/>
        <v>1261.94</v>
      </c>
      <c r="W214" s="9">
        <f t="shared" si="61"/>
        <v>1242.54</v>
      </c>
      <c r="X214" s="9">
        <f t="shared" si="61"/>
        <v>1235.54</v>
      </c>
      <c r="Y214" s="9">
        <f t="shared" si="61"/>
        <v>1266.3399999999999</v>
      </c>
      <c r="Z214" s="9">
        <f t="shared" si="61"/>
        <v>1284.04</v>
      </c>
      <c r="AA214" s="9">
        <f t="shared" si="61"/>
        <v>1283.04</v>
      </c>
      <c r="AB214" s="9">
        <f t="shared" si="61"/>
        <v>1326.09</v>
      </c>
      <c r="AC214" s="9">
        <f t="shared" si="61"/>
        <v>1402.54</v>
      </c>
      <c r="AD214" s="9">
        <f t="shared" si="61"/>
        <v>1431.64</v>
      </c>
      <c r="AE214" s="9">
        <f t="shared" si="61"/>
        <v>1467.64</v>
      </c>
      <c r="AF214" s="9">
        <f t="shared" si="61"/>
        <v>1468.92</v>
      </c>
      <c r="AG214" s="9">
        <f t="shared" si="61"/>
        <v>1457.24</v>
      </c>
      <c r="AH214" s="9">
        <f t="shared" si="61"/>
        <v>1464.04</v>
      </c>
      <c r="AI214" s="9">
        <f t="shared" si="61"/>
        <v>1446.84</v>
      </c>
      <c r="AJ214" s="9">
        <f t="shared" si="61"/>
        <v>1479.5400000000002</v>
      </c>
      <c r="AK214" s="9">
        <f t="shared" si="61"/>
        <v>1453.0400000000002</v>
      </c>
      <c r="AL214" s="9">
        <f t="shared" si="61"/>
        <v>1415.54</v>
      </c>
      <c r="AM214" s="9">
        <f t="shared" si="61"/>
        <v>1503.0400000000002</v>
      </c>
      <c r="AN214" s="9">
        <f t="shared" si="61"/>
        <v>1429.44</v>
      </c>
      <c r="AO214" s="9">
        <f t="shared" si="61"/>
        <v>1466.44</v>
      </c>
      <c r="AP214" s="9">
        <f t="shared" si="61"/>
        <v>1464.44</v>
      </c>
      <c r="AQ214" s="9">
        <f t="shared" si="61"/>
        <v>1593.24</v>
      </c>
      <c r="AR214" s="9">
        <f t="shared" si="61"/>
        <v>1679.3400000000001</v>
      </c>
      <c r="AS214" s="9">
        <f t="shared" si="61"/>
        <v>1681.94</v>
      </c>
      <c r="AT214" s="9">
        <f t="shared" si="61"/>
        <v>1639.04</v>
      </c>
      <c r="AU214" s="9">
        <f t="shared" si="61"/>
        <v>1591.1399999999999</v>
      </c>
      <c r="AV214" s="9">
        <f t="shared" si="61"/>
        <v>1523.74</v>
      </c>
      <c r="AW214" s="9">
        <f t="shared" si="61"/>
        <v>1436.6399999999999</v>
      </c>
      <c r="AX214" s="9">
        <f t="shared" si="61"/>
        <v>1360.24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62">C199</f>
        <v>0.64</v>
      </c>
      <c r="C235" s="4">
        <f t="shared" si="62"/>
        <v>0.64</v>
      </c>
      <c r="D235" s="4">
        <f t="shared" si="62"/>
        <v>0.64</v>
      </c>
      <c r="E235" s="4">
        <f t="shared" si="62"/>
        <v>0.64</v>
      </c>
      <c r="F235" s="4">
        <f t="shared" si="62"/>
        <v>0.64</v>
      </c>
      <c r="G235" s="4">
        <f t="shared" si="62"/>
        <v>0.64</v>
      </c>
      <c r="H235" s="4">
        <f t="shared" si="62"/>
        <v>0.64</v>
      </c>
      <c r="I235" s="4">
        <f t="shared" si="62"/>
        <v>0.64</v>
      </c>
      <c r="J235" s="4">
        <f t="shared" si="62"/>
        <v>0.64</v>
      </c>
      <c r="K235" s="4">
        <f t="shared" si="62"/>
        <v>0.64</v>
      </c>
      <c r="L235" s="4">
        <f t="shared" si="62"/>
        <v>0.64</v>
      </c>
      <c r="M235" s="4">
        <f t="shared" si="62"/>
        <v>0.64</v>
      </c>
      <c r="N235" s="4">
        <f t="shared" si="62"/>
        <v>0.64</v>
      </c>
      <c r="O235" s="4">
        <f t="shared" si="62"/>
        <v>0.64</v>
      </c>
      <c r="P235" s="4">
        <f t="shared" si="62"/>
        <v>0.64</v>
      </c>
      <c r="Q235" s="4">
        <f t="shared" si="62"/>
        <v>0.64</v>
      </c>
      <c r="R235" s="4">
        <f t="shared" si="62"/>
        <v>0.64</v>
      </c>
      <c r="S235" s="4">
        <f t="shared" si="62"/>
        <v>0.64</v>
      </c>
      <c r="T235" s="4">
        <f t="shared" si="62"/>
        <v>0.64</v>
      </c>
      <c r="U235" s="4">
        <f t="shared" si="62"/>
        <v>0.64</v>
      </c>
      <c r="V235" s="4">
        <f t="shared" si="62"/>
        <v>0.64</v>
      </c>
      <c r="W235" s="4">
        <f t="shared" si="62"/>
        <v>0.64</v>
      </c>
      <c r="X235" s="4">
        <f t="shared" si="62"/>
        <v>0.64</v>
      </c>
      <c r="Y235" s="4">
        <f t="shared" si="62"/>
        <v>0.64</v>
      </c>
      <c r="Z235" s="4">
        <f t="shared" si="62"/>
        <v>0.64</v>
      </c>
      <c r="AA235" s="4">
        <f t="shared" si="62"/>
        <v>0.64</v>
      </c>
      <c r="AB235" s="4">
        <f t="shared" si="62"/>
        <v>0.64</v>
      </c>
      <c r="AC235" s="4">
        <f t="shared" si="62"/>
        <v>0.64</v>
      </c>
      <c r="AD235" s="4">
        <f t="shared" si="62"/>
        <v>0.64</v>
      </c>
      <c r="AE235" s="4">
        <f t="shared" si="62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3">IF(C203&lt;100,"",C203-520)</f>
        <v/>
      </c>
      <c r="D236" s="3" t="str">
        <f t="shared" si="63"/>
        <v/>
      </c>
      <c r="E236" s="3" t="str">
        <f t="shared" si="63"/>
        <v/>
      </c>
      <c r="F236" s="3" t="str">
        <f t="shared" si="63"/>
        <v/>
      </c>
      <c r="G236" s="3" t="str">
        <f t="shared" si="63"/>
        <v/>
      </c>
      <c r="H236" s="3" t="str">
        <f t="shared" si="63"/>
        <v/>
      </c>
      <c r="I236" s="3" t="str">
        <f t="shared" si="63"/>
        <v/>
      </c>
      <c r="J236" s="3" t="str">
        <f t="shared" si="63"/>
        <v/>
      </c>
      <c r="K236" s="3" t="str">
        <f t="shared" si="63"/>
        <v/>
      </c>
      <c r="L236" s="3" t="str">
        <f t="shared" si="63"/>
        <v/>
      </c>
      <c r="M236" s="3" t="str">
        <f t="shared" si="63"/>
        <v/>
      </c>
      <c r="N236" s="3" t="str">
        <f t="shared" si="63"/>
        <v/>
      </c>
      <c r="O236" s="3" t="str">
        <f t="shared" si="63"/>
        <v/>
      </c>
      <c r="P236" s="3" t="str">
        <f t="shared" si="63"/>
        <v/>
      </c>
      <c r="Q236" s="3" t="str">
        <f t="shared" si="63"/>
        <v/>
      </c>
      <c r="R236" s="3" t="str">
        <f t="shared" si="63"/>
        <v/>
      </c>
      <c r="S236" s="3" t="str">
        <f t="shared" si="63"/>
        <v/>
      </c>
      <c r="T236" s="3" t="str">
        <f t="shared" si="63"/>
        <v/>
      </c>
      <c r="U236" s="3" t="str">
        <f t="shared" si="63"/>
        <v/>
      </c>
      <c r="V236" s="3" t="str">
        <f t="shared" si="63"/>
        <v/>
      </c>
      <c r="W236" s="3" t="str">
        <f t="shared" si="63"/>
        <v/>
      </c>
      <c r="X236" s="3" t="str">
        <f t="shared" si="63"/>
        <v/>
      </c>
      <c r="Y236" s="3" t="str">
        <f t="shared" si="63"/>
        <v/>
      </c>
      <c r="Z236" s="3" t="str">
        <f t="shared" si="63"/>
        <v/>
      </c>
      <c r="AA236" s="3" t="str">
        <f t="shared" si="63"/>
        <v/>
      </c>
      <c r="AB236" s="3" t="str">
        <f t="shared" si="63"/>
        <v/>
      </c>
      <c r="AC236" s="3" t="str">
        <f t="shared" si="63"/>
        <v/>
      </c>
      <c r="AD236" s="3" t="str">
        <f t="shared" si="63"/>
        <v/>
      </c>
      <c r="AE236" s="3" t="str">
        <f t="shared" si="63"/>
        <v/>
      </c>
      <c r="AF236" s="3" t="str">
        <f t="shared" si="63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4">IF(B204&lt;100,"",B204-620)</f>
        <v/>
      </c>
      <c r="C237" s="3" t="str">
        <f t="shared" si="64"/>
        <v/>
      </c>
      <c r="D237" s="3" t="str">
        <f t="shared" si="64"/>
        <v/>
      </c>
      <c r="E237" s="3" t="str">
        <f t="shared" si="64"/>
        <v/>
      </c>
      <c r="F237" s="3" t="str">
        <f t="shared" si="64"/>
        <v/>
      </c>
      <c r="G237" s="3" t="str">
        <f t="shared" si="64"/>
        <v/>
      </c>
      <c r="H237" s="3" t="str">
        <f t="shared" si="64"/>
        <v/>
      </c>
      <c r="I237" s="3" t="str">
        <f t="shared" si="64"/>
        <v/>
      </c>
      <c r="J237" s="3" t="str">
        <f t="shared" si="64"/>
        <v/>
      </c>
      <c r="K237" s="3" t="str">
        <f t="shared" si="64"/>
        <v/>
      </c>
      <c r="L237" s="3" t="str">
        <f t="shared" si="64"/>
        <v/>
      </c>
      <c r="M237" s="3" t="str">
        <f t="shared" si="64"/>
        <v/>
      </c>
      <c r="N237" s="3" t="str">
        <f t="shared" si="64"/>
        <v/>
      </c>
      <c r="O237" s="3" t="str">
        <f t="shared" si="64"/>
        <v/>
      </c>
      <c r="P237" s="3" t="str">
        <f t="shared" si="64"/>
        <v/>
      </c>
      <c r="Q237" s="3" t="str">
        <f t="shared" si="64"/>
        <v/>
      </c>
      <c r="R237" s="3" t="str">
        <f t="shared" si="64"/>
        <v/>
      </c>
      <c r="S237" s="3" t="str">
        <f t="shared" si="64"/>
        <v/>
      </c>
      <c r="T237" s="3" t="str">
        <f t="shared" si="64"/>
        <v/>
      </c>
      <c r="U237" s="3" t="str">
        <f t="shared" si="64"/>
        <v/>
      </c>
      <c r="V237" s="3" t="str">
        <f t="shared" si="64"/>
        <v/>
      </c>
      <c r="W237" s="3" t="str">
        <f t="shared" si="64"/>
        <v/>
      </c>
      <c r="X237" s="3" t="str">
        <f t="shared" si="64"/>
        <v/>
      </c>
      <c r="Y237" s="3" t="str">
        <f t="shared" si="64"/>
        <v/>
      </c>
      <c r="Z237" s="3" t="str">
        <f t="shared" si="64"/>
        <v/>
      </c>
      <c r="AA237" s="3" t="str">
        <f t="shared" si="64"/>
        <v/>
      </c>
      <c r="AB237" s="3" t="str">
        <f t="shared" si="64"/>
        <v/>
      </c>
      <c r="AC237" s="3" t="str">
        <f t="shared" si="64"/>
        <v/>
      </c>
      <c r="AD237" s="3" t="str">
        <f t="shared" si="64"/>
        <v/>
      </c>
      <c r="AE237" s="3" t="str">
        <f t="shared" si="64"/>
        <v/>
      </c>
      <c r="AF237" s="3" t="str">
        <f t="shared" si="64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5">IF(B205&lt;100,"",B205-330)</f>
        <v/>
      </c>
      <c r="C238" s="3" t="str">
        <f t="shared" si="65"/>
        <v/>
      </c>
      <c r="D238" s="3" t="str">
        <f t="shared" si="65"/>
        <v/>
      </c>
      <c r="E238" s="3" t="str">
        <f t="shared" si="65"/>
        <v/>
      </c>
      <c r="F238" s="3" t="str">
        <f t="shared" si="65"/>
        <v/>
      </c>
      <c r="G238" s="3" t="str">
        <f t="shared" si="65"/>
        <v/>
      </c>
      <c r="H238" s="3" t="str">
        <f t="shared" si="65"/>
        <v/>
      </c>
      <c r="I238" s="3" t="str">
        <f t="shared" si="65"/>
        <v/>
      </c>
      <c r="J238" s="3" t="str">
        <f t="shared" si="65"/>
        <v/>
      </c>
      <c r="K238" s="3" t="str">
        <f t="shared" si="65"/>
        <v/>
      </c>
      <c r="L238" s="3" t="str">
        <f t="shared" si="65"/>
        <v/>
      </c>
      <c r="M238" s="3" t="str">
        <f t="shared" si="65"/>
        <v/>
      </c>
      <c r="N238" s="3" t="str">
        <f t="shared" si="65"/>
        <v/>
      </c>
      <c r="O238" s="3" t="str">
        <f t="shared" si="65"/>
        <v/>
      </c>
      <c r="P238" s="3" t="str">
        <f t="shared" si="65"/>
        <v/>
      </c>
      <c r="Q238" s="3" t="str">
        <f t="shared" si="65"/>
        <v/>
      </c>
      <c r="R238" s="3" t="str">
        <f t="shared" si="65"/>
        <v/>
      </c>
      <c r="S238" s="3" t="str">
        <f t="shared" si="65"/>
        <v/>
      </c>
      <c r="T238" s="3" t="str">
        <f t="shared" si="65"/>
        <v/>
      </c>
      <c r="U238" s="3" t="str">
        <f t="shared" si="65"/>
        <v/>
      </c>
      <c r="V238" s="3" t="str">
        <f t="shared" si="65"/>
        <v/>
      </c>
      <c r="W238" s="3" t="str">
        <f t="shared" si="65"/>
        <v/>
      </c>
      <c r="X238" s="3" t="str">
        <f t="shared" si="65"/>
        <v/>
      </c>
      <c r="Y238" s="3" t="str">
        <f t="shared" si="65"/>
        <v/>
      </c>
      <c r="Z238" s="3" t="str">
        <f t="shared" si="65"/>
        <v/>
      </c>
      <c r="AA238" s="3" t="str">
        <f t="shared" si="65"/>
        <v/>
      </c>
      <c r="AB238" s="3" t="str">
        <f t="shared" si="65"/>
        <v/>
      </c>
      <c r="AC238" s="3" t="str">
        <f t="shared" si="65"/>
        <v/>
      </c>
      <c r="AD238" s="3" t="str">
        <f t="shared" si="65"/>
        <v/>
      </c>
      <c r="AE238" s="3" t="str">
        <f t="shared" si="65"/>
        <v/>
      </c>
      <c r="AF238" s="3" t="str">
        <f t="shared" si="65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6">IF(C206&lt;100,"",C206-1500)</f>
        <v/>
      </c>
      <c r="D239" s="3" t="str">
        <f t="shared" si="66"/>
        <v/>
      </c>
      <c r="E239" s="3" t="str">
        <f t="shared" si="66"/>
        <v/>
      </c>
      <c r="F239" s="3" t="str">
        <f t="shared" si="66"/>
        <v/>
      </c>
      <c r="G239" s="3" t="str">
        <f t="shared" si="66"/>
        <v/>
      </c>
      <c r="H239" s="3" t="str">
        <f t="shared" si="66"/>
        <v/>
      </c>
      <c r="I239" s="3" t="str">
        <f t="shared" si="66"/>
        <v/>
      </c>
      <c r="J239" s="3" t="str">
        <f t="shared" si="66"/>
        <v/>
      </c>
      <c r="K239" s="3" t="str">
        <f t="shared" si="66"/>
        <v/>
      </c>
      <c r="L239" s="3" t="str">
        <f t="shared" si="66"/>
        <v/>
      </c>
      <c r="M239" s="3" t="str">
        <f t="shared" si="66"/>
        <v/>
      </c>
      <c r="N239" s="3" t="str">
        <f t="shared" si="66"/>
        <v/>
      </c>
      <c r="O239" s="3" t="str">
        <f t="shared" si="66"/>
        <v/>
      </c>
      <c r="P239" s="3" t="str">
        <f t="shared" si="66"/>
        <v/>
      </c>
      <c r="Q239" s="3" t="str">
        <f t="shared" si="66"/>
        <v/>
      </c>
      <c r="R239" s="3" t="str">
        <f t="shared" si="66"/>
        <v/>
      </c>
      <c r="S239" s="3" t="str">
        <f t="shared" si="66"/>
        <v/>
      </c>
      <c r="T239" s="3" t="str">
        <f t="shared" si="66"/>
        <v/>
      </c>
      <c r="U239" s="3" t="str">
        <f t="shared" si="66"/>
        <v/>
      </c>
      <c r="V239" s="3" t="str">
        <f t="shared" si="66"/>
        <v/>
      </c>
      <c r="W239" s="3" t="str">
        <f t="shared" si="66"/>
        <v/>
      </c>
      <c r="X239" s="3" t="str">
        <f t="shared" si="66"/>
        <v/>
      </c>
      <c r="Y239" s="3" t="str">
        <f t="shared" si="66"/>
        <v/>
      </c>
      <c r="Z239" s="3" t="str">
        <f t="shared" si="66"/>
        <v/>
      </c>
      <c r="AA239" s="3" t="str">
        <f t="shared" si="66"/>
        <v/>
      </c>
      <c r="AB239" s="3" t="str">
        <f t="shared" si="66"/>
        <v/>
      </c>
      <c r="AC239" s="3" t="str">
        <f t="shared" si="66"/>
        <v/>
      </c>
      <c r="AD239" s="3" t="str">
        <f t="shared" si="66"/>
        <v/>
      </c>
      <c r="AE239" s="3" t="str">
        <f t="shared" si="66"/>
        <v/>
      </c>
      <c r="AF239" s="3" t="str">
        <f t="shared" si="66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M37:R37 P39:R39 M39:O42 M58:W58 X85:AA91 AB81:AF81 B81:R81 C56:AF56 B82:AF83 D194:AF200 B194:B200 AB84:AF91 B84:B91 B9:AF10 B192:AF192 AF57:AF67 B53:B56 AG73 AB94:AF100 B94:B100 U213:AF213 E60:O60 C57:L59 I61:O61 B36:R36 N45:S48 P60:S61 T45 S36:Y37 M59:Y59 B68:AF80 M16:AA32 T46:AA48 P40:AA42 M53:AF55 AB16:AF26 AB28:AF31 Z36:AF36 M11:AF14 AA40:AF43">
    <cfRule type="expression" dxfId="820" priority="290">
      <formula>B$9&gt;=20/24</formula>
    </cfRule>
    <cfRule type="expression" dxfId="819" priority="291">
      <formula>AND(B$9&gt;=14/24,B$9&lt;20/24)</formula>
    </cfRule>
    <cfRule type="expression" dxfId="818" priority="292">
      <formula>AND(B$9&gt;=8/24,B$9&lt;14/24)</formula>
    </cfRule>
    <cfRule type="expression" dxfId="817" priority="293">
      <formula>B$9&lt;8/24</formula>
    </cfRule>
  </conditionalFormatting>
  <conditionalFormatting sqref="AL4:AL6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16" priority="285">
      <formula>M$9&gt;=20/24</formula>
    </cfRule>
    <cfRule type="expression" dxfId="815" priority="286">
      <formula>AND(M$9&gt;=14/24,M$9&lt;20/24)</formula>
    </cfRule>
    <cfRule type="expression" dxfId="814" priority="287">
      <formula>AND(M$9&gt;=8/24,M$9&lt;14/24)</formula>
    </cfRule>
    <cfRule type="expression" dxfId="813" priority="288">
      <formula>M$9&lt;8/24</formula>
    </cfRule>
  </conditionalFormatting>
  <conditionalFormatting sqref="M43:T43">
    <cfRule type="expression" dxfId="812" priority="281">
      <formula>M$9&gt;=20/24</formula>
    </cfRule>
    <cfRule type="expression" dxfId="811" priority="282">
      <formula>AND(M$9&gt;=14/24,M$9&lt;20/24)</formula>
    </cfRule>
    <cfRule type="expression" dxfId="810" priority="283">
      <formula>AND(M$9&gt;=8/24,M$9&lt;14/24)</formula>
    </cfRule>
    <cfRule type="expression" dxfId="809" priority="284">
      <formula>M$9&lt;8/24</formula>
    </cfRule>
  </conditionalFormatting>
  <conditionalFormatting sqref="AB32:AF32">
    <cfRule type="expression" dxfId="808" priority="277">
      <formula>AB$9&gt;=20/24</formula>
    </cfRule>
    <cfRule type="expression" dxfId="807" priority="278">
      <formula>AND(AB$9&gt;=14/24,AB$9&lt;20/24)</formula>
    </cfRule>
    <cfRule type="expression" dxfId="806" priority="279">
      <formula>AND(AB$9&gt;=8/24,AB$9&lt;14/24)</formula>
    </cfRule>
    <cfRule type="expression" dxfId="805" priority="280">
      <formula>AB$9&lt;8/24</formula>
    </cfRule>
  </conditionalFormatting>
  <conditionalFormatting sqref="S39:AF39">
    <cfRule type="expression" dxfId="804" priority="273">
      <formula>S$9&gt;=20/24</formula>
    </cfRule>
    <cfRule type="expression" dxfId="803" priority="274">
      <formula>AND(S$9&gt;=14/24,S$9&lt;20/24)</formula>
    </cfRule>
    <cfRule type="expression" dxfId="802" priority="275">
      <formula>AND(S$9&gt;=8/24,S$9&lt;14/24)</formula>
    </cfRule>
    <cfRule type="expression" dxfId="801" priority="276">
      <formula>S$9&lt;8/24</formula>
    </cfRule>
  </conditionalFormatting>
  <conditionalFormatting sqref="S57:AE57">
    <cfRule type="expression" dxfId="800" priority="269">
      <formula>S$9&gt;=20/24</formula>
    </cfRule>
    <cfRule type="expression" dxfId="799" priority="270">
      <formula>AND(S$9&gt;=14/24,S$9&lt;20/24)</formula>
    </cfRule>
    <cfRule type="expression" dxfId="798" priority="271">
      <formula>AND(S$9&gt;=8/24,S$9&lt;14/24)</formula>
    </cfRule>
    <cfRule type="expression" dxfId="797" priority="272">
      <formula>S$9&lt;8/24</formula>
    </cfRule>
  </conditionalFormatting>
  <conditionalFormatting sqref="S81:AA81">
    <cfRule type="expression" dxfId="796" priority="265">
      <formula>S$9&gt;=20/24</formula>
    </cfRule>
    <cfRule type="expression" dxfId="795" priority="266">
      <formula>AND(S$9&gt;=14/24,S$9&lt;20/24)</formula>
    </cfRule>
    <cfRule type="expression" dxfId="794" priority="267">
      <formula>AND(S$9&gt;=8/24,S$9&lt;14/24)</formula>
    </cfRule>
    <cfRule type="expression" dxfId="793" priority="268">
      <formula>S$9&lt;8/24</formula>
    </cfRule>
  </conditionalFormatting>
  <conditionalFormatting sqref="U84:AA84">
    <cfRule type="expression" dxfId="792" priority="261">
      <formula>U$9&gt;=20/24</formula>
    </cfRule>
    <cfRule type="expression" dxfId="791" priority="262">
      <formula>AND(U$9&gt;=14/24,U$9&lt;20/24)</formula>
    </cfRule>
    <cfRule type="expression" dxfId="790" priority="263">
      <formula>AND(U$9&gt;=8/24,U$9&lt;14/24)</formula>
    </cfRule>
    <cfRule type="expression" dxfId="789" priority="264">
      <formula>U$9&lt;8/24</formula>
    </cfRule>
  </conditionalFormatting>
  <conditionalFormatting sqref="M35:AA35">
    <cfRule type="expression" dxfId="788" priority="257">
      <formula>M$9&gt;=20/24</formula>
    </cfRule>
    <cfRule type="expression" dxfId="787" priority="258">
      <formula>AND(M$9&gt;=14/24,M$9&lt;20/24)</formula>
    </cfRule>
    <cfRule type="expression" dxfId="786" priority="259">
      <formula>AND(M$9&gt;=8/24,M$9&lt;14/24)</formula>
    </cfRule>
    <cfRule type="expression" dxfId="785" priority="260">
      <formula>M$9&lt;8/24</formula>
    </cfRule>
  </conditionalFormatting>
  <conditionalFormatting sqref="M49:AA49">
    <cfRule type="expression" dxfId="784" priority="253">
      <formula>M$9&gt;=20/24</formula>
    </cfRule>
    <cfRule type="expression" dxfId="783" priority="254">
      <formula>AND(M$9&gt;=14/24,M$9&lt;20/24)</formula>
    </cfRule>
    <cfRule type="expression" dxfId="782" priority="255">
      <formula>AND(M$9&gt;=8/24,M$9&lt;14/24)</formula>
    </cfRule>
    <cfRule type="expression" dxfId="781" priority="256">
      <formula>M$9&lt;8/24</formula>
    </cfRule>
  </conditionalFormatting>
  <conditionalFormatting sqref="M50:AA50">
    <cfRule type="expression" dxfId="780" priority="249">
      <formula>M$9&gt;=20/24</formula>
    </cfRule>
    <cfRule type="expression" dxfId="779" priority="250">
      <formula>AND(M$9&gt;=14/24,M$9&lt;20/24)</formula>
    </cfRule>
    <cfRule type="expression" dxfId="778" priority="251">
      <formula>AND(M$9&gt;=8/24,M$9&lt;14/24)</formula>
    </cfRule>
    <cfRule type="expression" dxfId="777" priority="252">
      <formula>M$9&lt;8/24</formula>
    </cfRule>
  </conditionalFormatting>
  <conditionalFormatting sqref="M45:S48 T45 T46:AA48">
    <cfRule type="expression" dxfId="776" priority="245">
      <formula>M$9&gt;=20/24</formula>
    </cfRule>
    <cfRule type="expression" dxfId="775" priority="246">
      <formula>AND(M$9&gt;=14/24,M$9&lt;20/24)</formula>
    </cfRule>
    <cfRule type="expression" dxfId="774" priority="247">
      <formula>AND(M$9&gt;=8/24,M$9&lt;14/24)</formula>
    </cfRule>
    <cfRule type="expression" dxfId="773" priority="248">
      <formula>M$9&lt;8/24</formula>
    </cfRule>
  </conditionalFormatting>
  <conditionalFormatting sqref="Z37:AF37">
    <cfRule type="expression" dxfId="772" priority="241">
      <formula>Z$9&gt;=20/24</formula>
    </cfRule>
    <cfRule type="expression" dxfId="771" priority="242">
      <formula>AND(Z$9&gt;=14/24,Z$9&lt;20/24)</formula>
    </cfRule>
    <cfRule type="expression" dxfId="770" priority="243">
      <formula>AND(Z$9&gt;=8/24,Z$9&lt;14/24)</formula>
    </cfRule>
    <cfRule type="expression" dxfId="769" priority="244">
      <formula>Z$9&lt;8/24</formula>
    </cfRule>
  </conditionalFormatting>
  <conditionalFormatting sqref="AB35:AF35">
    <cfRule type="expression" dxfId="768" priority="237">
      <formula>AB$9&gt;=20/24</formula>
    </cfRule>
    <cfRule type="expression" dxfId="767" priority="238">
      <formula>AND(AB$9&gt;=14/24,AB$9&lt;20/24)</formula>
    </cfRule>
    <cfRule type="expression" dxfId="766" priority="239">
      <formula>AND(AB$9&gt;=8/24,AB$9&lt;14/24)</formula>
    </cfRule>
    <cfRule type="expression" dxfId="765" priority="240">
      <formula>AB$9&lt;8/24</formula>
    </cfRule>
  </conditionalFormatting>
  <conditionalFormatting sqref="S42:T43 U43:AA43 S45:AF48">
    <cfRule type="expression" dxfId="764" priority="233">
      <formula>S$9&gt;=20/24</formula>
    </cfRule>
    <cfRule type="expression" dxfId="763" priority="234">
      <formula>AND(S$9&gt;=14/24,S$9&lt;20/24)</formula>
    </cfRule>
    <cfRule type="expression" dxfId="762" priority="235">
      <formula>AND(S$9&gt;=8/24,S$9&lt;14/24)</formula>
    </cfRule>
    <cfRule type="expression" dxfId="761" priority="236">
      <formula>S$9&lt;8/24</formula>
    </cfRule>
  </conditionalFormatting>
  <conditionalFormatting sqref="S49:AF49">
    <cfRule type="expression" dxfId="760" priority="229">
      <formula>S$9&gt;=20/24</formula>
    </cfRule>
    <cfRule type="expression" dxfId="759" priority="230">
      <formula>AND(S$9&gt;=14/24,S$9&lt;20/24)</formula>
    </cfRule>
    <cfRule type="expression" dxfId="758" priority="231">
      <formula>AND(S$9&gt;=8/24,S$9&lt;14/24)</formula>
    </cfRule>
    <cfRule type="expression" dxfId="757" priority="232">
      <formula>S$9&lt;8/24</formula>
    </cfRule>
  </conditionalFormatting>
  <conditionalFormatting sqref="S50:AF50">
    <cfRule type="expression" dxfId="756" priority="225">
      <formula>S$9&gt;=20/24</formula>
    </cfRule>
    <cfRule type="expression" dxfId="755" priority="226">
      <formula>AND(S$9&gt;=14/24,S$9&lt;20/24)</formula>
    </cfRule>
    <cfRule type="expression" dxfId="754" priority="227">
      <formula>AND(S$9&gt;=8/24,S$9&lt;14/24)</formula>
    </cfRule>
    <cfRule type="expression" dxfId="753" priority="228">
      <formula>S$9&lt;8/24</formula>
    </cfRule>
  </conditionalFormatting>
  <conditionalFormatting sqref="T60:T61 Z60:AA61 AB60:AE67">
    <cfRule type="expression" dxfId="752" priority="221">
      <formula>T$9&gt;=20/24</formula>
    </cfRule>
    <cfRule type="expression" dxfId="751" priority="222">
      <formula>AND(T$9&gt;=14/24,T$9&lt;20/24)</formula>
    </cfRule>
    <cfRule type="expression" dxfId="750" priority="223">
      <formula>AND(T$9&gt;=8/24,T$9&lt;14/24)</formula>
    </cfRule>
    <cfRule type="expression" dxfId="749" priority="224">
      <formula>T$9&lt;8/24</formula>
    </cfRule>
  </conditionalFormatting>
  <conditionalFormatting sqref="U94:AA97">
    <cfRule type="expression" dxfId="748" priority="213">
      <formula>U$9&gt;=20/24</formula>
    </cfRule>
    <cfRule type="expression" dxfId="747" priority="214">
      <formula>AND(U$9&gt;=14/24,U$9&lt;20/24)</formula>
    </cfRule>
    <cfRule type="expression" dxfId="746" priority="215">
      <formula>AND(U$9&gt;=8/24,U$9&lt;14/24)</formula>
    </cfRule>
    <cfRule type="expression" dxfId="745" priority="216">
      <formula>U$9&lt;8/24</formula>
    </cfRule>
  </conditionalFormatting>
  <conditionalFormatting sqref="C51:AG51 D39:S41 K11:R11 B11:J32 I42:J42 K12:L32 K42:L43 M12:R14 T11:AC11 S11:S14 M42:S45 M46:Y50 M16:AA32 T12:AA14 T39:Y45 B52:AF56 AB12:AC32 AD11:AF32 B34:AF38 Z39:AF50">
    <cfRule type="expression" dxfId="744" priority="212">
      <formula>B11&gt;$AG11</formula>
    </cfRule>
  </conditionalFormatting>
  <conditionalFormatting sqref="A101:A157 A84:A97 A11:A14 A16:A32 A45:A72 A80:A82 A74:A78 A35:A43 A170:A200">
    <cfRule type="expression" dxfId="743" priority="211">
      <formula>$AH11=0</formula>
    </cfRule>
  </conditionalFormatting>
  <conditionalFormatting sqref="U98:AA98">
    <cfRule type="expression" dxfId="742" priority="207">
      <formula>U$9&gt;=20/24</formula>
    </cfRule>
    <cfRule type="expression" dxfId="741" priority="208">
      <formula>AND(U$9&gt;=14/24,U$9&lt;20/24)</formula>
    </cfRule>
    <cfRule type="expression" dxfId="740" priority="209">
      <formula>AND(U$9&gt;=8/24,U$9&lt;14/24)</formula>
    </cfRule>
    <cfRule type="expression" dxfId="739" priority="210">
      <formula>U$9&lt;8/24</formula>
    </cfRule>
  </conditionalFormatting>
  <conditionalFormatting sqref="A98">
    <cfRule type="expression" dxfId="738" priority="206">
      <formula>$AH98=0</formula>
    </cfRule>
  </conditionalFormatting>
  <conditionalFormatting sqref="M62:AA67">
    <cfRule type="expression" dxfId="737" priority="194">
      <formula>M$9&gt;=20/24</formula>
    </cfRule>
    <cfRule type="expression" dxfId="736" priority="195">
      <formula>AND(M$9&gt;=14/24,M$9&lt;20/24)</formula>
    </cfRule>
    <cfRule type="expression" dxfId="735" priority="196">
      <formula>AND(M$9&gt;=8/24,M$9&lt;14/24)</formula>
    </cfRule>
    <cfRule type="expression" dxfId="734" priority="197">
      <formula>M$9&lt;8/24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733" priority="189">
      <formula>AB$9&gt;=20/24</formula>
    </cfRule>
    <cfRule type="expression" dxfId="732" priority="190">
      <formula>AND(AB$9&gt;=14/24,AB$9&lt;20/24)</formula>
    </cfRule>
    <cfRule type="expression" dxfId="731" priority="191">
      <formula>AND(AB$9&gt;=8/24,AB$9&lt;14/24)</formula>
    </cfRule>
    <cfRule type="expression" dxfId="730" priority="192">
      <formula>AB$9&lt;8/24</formula>
    </cfRule>
  </conditionalFormatting>
  <conditionalFormatting sqref="M34:AA34">
    <cfRule type="expression" dxfId="729" priority="185">
      <formula>M$9&gt;=20/24</formula>
    </cfRule>
    <cfRule type="expression" dxfId="728" priority="186">
      <formula>AND(M$9&gt;=14/24,M$9&lt;20/24)</formula>
    </cfRule>
    <cfRule type="expression" dxfId="727" priority="187">
      <formula>AND(M$9&gt;=8/24,M$9&lt;14/24)</formula>
    </cfRule>
    <cfRule type="expression" dxfId="726" priority="188">
      <formula>M$9&lt;8/24</formula>
    </cfRule>
  </conditionalFormatting>
  <conditionalFormatting sqref="A34">
    <cfRule type="expression" dxfId="725" priority="180">
      <formula>$AH34=0</formula>
    </cfRule>
  </conditionalFormatting>
  <conditionalFormatting sqref="A83">
    <cfRule type="expression" dxfId="724" priority="179">
      <formula>$AH83=0</formula>
    </cfRule>
  </conditionalFormatting>
  <conditionalFormatting sqref="AB15:AF15">
    <cfRule type="expression" dxfId="723" priority="175">
      <formula>AB$9&gt;=20/24</formula>
    </cfRule>
    <cfRule type="expression" dxfId="722" priority="176">
      <formula>AND(AB$9&gt;=14/24,AB$9&lt;20/24)</formula>
    </cfRule>
    <cfRule type="expression" dxfId="721" priority="177">
      <formula>AND(AB$9&gt;=8/24,AB$9&lt;14/24)</formula>
    </cfRule>
    <cfRule type="expression" dxfId="720" priority="178">
      <formula>AB$9&lt;8/24</formula>
    </cfRule>
  </conditionalFormatting>
  <conditionalFormatting sqref="M15:AA15">
    <cfRule type="expression" dxfId="719" priority="171">
      <formula>M$9&gt;=20/24</formula>
    </cfRule>
    <cfRule type="expression" dxfId="718" priority="172">
      <formula>AND(M$9&gt;=14/24,M$9&lt;20/24)</formula>
    </cfRule>
    <cfRule type="expression" dxfId="717" priority="173">
      <formula>AND(M$9&gt;=8/24,M$9&lt;14/24)</formula>
    </cfRule>
    <cfRule type="expression" dxfId="716" priority="174">
      <formula>M$9&lt;8/24</formula>
    </cfRule>
  </conditionalFormatting>
  <conditionalFormatting sqref="M15:AA15">
    <cfRule type="expression" dxfId="715" priority="170">
      <formula>M15&gt;$AG15</formula>
    </cfRule>
  </conditionalFormatting>
  <conditionalFormatting sqref="A15">
    <cfRule type="expression" dxfId="714" priority="169">
      <formula>$AH15=0</formula>
    </cfRule>
  </conditionalFormatting>
  <conditionalFormatting sqref="A164:A169">
    <cfRule type="expression" dxfId="713" priority="168">
      <formula>$AH164=0</formula>
    </cfRule>
  </conditionalFormatting>
  <conditionalFormatting sqref="A158:A163">
    <cfRule type="expression" dxfId="712" priority="167">
      <formula>$AH158=0</formula>
    </cfRule>
  </conditionalFormatting>
  <conditionalFormatting sqref="AA44:AF44">
    <cfRule type="expression" dxfId="711" priority="163">
      <formula>AA$9&gt;=20/24</formula>
    </cfRule>
    <cfRule type="expression" dxfId="710" priority="164">
      <formula>AND(AA$9&gt;=14/24,AA$9&lt;20/24)</formula>
    </cfRule>
    <cfRule type="expression" dxfId="709" priority="165">
      <formula>AND(AA$9&gt;=8/24,AA$9&lt;14/24)</formula>
    </cfRule>
    <cfRule type="expression" dxfId="708" priority="166">
      <formula>AA$9&lt;8/24</formula>
    </cfRule>
  </conditionalFormatting>
  <conditionalFormatting sqref="M44:T44">
    <cfRule type="expression" dxfId="707" priority="159">
      <formula>M$9&gt;=20/24</formula>
    </cfRule>
    <cfRule type="expression" dxfId="706" priority="160">
      <formula>AND(M$9&gt;=14/24,M$9&lt;20/24)</formula>
    </cfRule>
    <cfRule type="expression" dxfId="705" priority="161">
      <formula>AND(M$9&gt;=8/24,M$9&lt;14/24)</formula>
    </cfRule>
    <cfRule type="expression" dxfId="704" priority="162">
      <formula>M$9&lt;8/24</formula>
    </cfRule>
  </conditionalFormatting>
  <conditionalFormatting sqref="S44:AA44">
    <cfRule type="expression" dxfId="703" priority="155">
      <formula>S$9&gt;=20/24</formula>
    </cfRule>
    <cfRule type="expression" dxfId="702" priority="156">
      <formula>AND(S$9&gt;=14/24,S$9&lt;20/24)</formula>
    </cfRule>
    <cfRule type="expression" dxfId="701" priority="157">
      <formula>AND(S$9&gt;=8/24,S$9&lt;14/24)</formula>
    </cfRule>
    <cfRule type="expression" dxfId="700" priority="158">
      <formula>S$9&lt;8/24</formula>
    </cfRule>
  </conditionalFormatting>
  <conditionalFormatting sqref="A44">
    <cfRule type="expression" dxfId="699" priority="154">
      <formula>$AH44=0</formula>
    </cfRule>
  </conditionalFormatting>
  <conditionalFormatting sqref="A79">
    <cfRule type="expression" dxfId="698" priority="153">
      <formula>$AH79=0</formula>
    </cfRule>
  </conditionalFormatting>
  <conditionalFormatting sqref="A73">
    <cfRule type="expression" dxfId="697" priority="152">
      <formula>$AH73=0</formula>
    </cfRule>
  </conditionalFormatting>
  <conditionalFormatting sqref="AL34:AL35 AL7:AL31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U60:Y61">
    <cfRule type="expression" dxfId="696" priority="148">
      <formula>U$9&gt;=20/24</formula>
    </cfRule>
    <cfRule type="expression" dxfId="695" priority="149">
      <formula>AND(U$9&gt;=14/24,U$9&lt;20/24)</formula>
    </cfRule>
    <cfRule type="expression" dxfId="694" priority="150">
      <formula>AND(U$9&gt;=8/24,U$9&lt;14/24)</formula>
    </cfRule>
    <cfRule type="expression" dxfId="693" priority="151">
      <formula>U$9&lt;8/24</formula>
    </cfRule>
  </conditionalFormatting>
  <conditionalFormatting sqref="U85:W91">
    <cfRule type="expression" dxfId="692" priority="144">
      <formula>U$9&gt;=20/24</formula>
    </cfRule>
    <cfRule type="expression" dxfId="691" priority="145">
      <formula>AND(U$9&gt;=14/24,U$9&lt;20/24)</formula>
    </cfRule>
    <cfRule type="expression" dxfId="690" priority="146">
      <formula>AND(U$9&gt;=8/24,U$9&lt;14/24)</formula>
    </cfRule>
    <cfRule type="expression" dxfId="689" priority="147">
      <formula>U$9&lt;8/24</formula>
    </cfRule>
  </conditionalFormatting>
  <conditionalFormatting sqref="C84:T91">
    <cfRule type="expression" dxfId="688" priority="140">
      <formula>C$9&gt;=20/24</formula>
    </cfRule>
    <cfRule type="expression" dxfId="687" priority="141">
      <formula>AND(C$9&gt;=14/24,C$9&lt;20/24)</formula>
    </cfRule>
    <cfRule type="expression" dxfId="686" priority="142">
      <formula>AND(C$9&gt;=8/24,C$9&lt;14/24)</formula>
    </cfRule>
    <cfRule type="expression" dxfId="685" priority="143">
      <formula>C$9&lt;8/24</formula>
    </cfRule>
  </conditionalFormatting>
  <conditionalFormatting sqref="C94:F94 C95:M97">
    <cfRule type="expression" dxfId="684" priority="132">
      <formula>C$9&gt;=20/24</formula>
    </cfRule>
    <cfRule type="expression" dxfId="683" priority="133">
      <formula>AND(C$9&gt;=14/24,C$9&lt;20/24)</formula>
    </cfRule>
    <cfRule type="expression" dxfId="682" priority="134">
      <formula>AND(C$9&gt;=8/24,C$9&lt;14/24)</formula>
    </cfRule>
    <cfRule type="expression" dxfId="681" priority="135">
      <formula>C$9&lt;8/24</formula>
    </cfRule>
  </conditionalFormatting>
  <conditionalFormatting sqref="N95:R97 O94:R94 S97">
    <cfRule type="expression" dxfId="680" priority="128">
      <formula>N$9&gt;=20/24</formula>
    </cfRule>
    <cfRule type="expression" dxfId="679" priority="129">
      <formula>AND(N$9&gt;=14/24,N$9&lt;20/24)</formula>
    </cfRule>
    <cfRule type="expression" dxfId="678" priority="130">
      <formula>AND(N$9&gt;=8/24,N$9&lt;14/24)</formula>
    </cfRule>
    <cfRule type="expression" dxfId="677" priority="131">
      <formula>N$9&lt;8/24</formula>
    </cfRule>
  </conditionalFormatting>
  <conditionalFormatting sqref="S94:T96 T97">
    <cfRule type="expression" dxfId="676" priority="124">
      <formula>S$9&gt;=20/24</formula>
    </cfRule>
    <cfRule type="expression" dxfId="675" priority="125">
      <formula>AND(S$9&gt;=14/24,S$9&lt;20/24)</formula>
    </cfRule>
    <cfRule type="expression" dxfId="674" priority="126">
      <formula>AND(S$9&gt;=8/24,S$9&lt;14/24)</formula>
    </cfRule>
    <cfRule type="expression" dxfId="673" priority="127">
      <formula>S$9&lt;8/24</formula>
    </cfRule>
  </conditionalFormatting>
  <conditionalFormatting sqref="C98:M98">
    <cfRule type="expression" dxfId="672" priority="120">
      <formula>C$9&gt;=20/24</formula>
    </cfRule>
    <cfRule type="expression" dxfId="671" priority="121">
      <formula>AND(C$9&gt;=14/24,C$9&lt;20/24)</formula>
    </cfRule>
    <cfRule type="expression" dxfId="670" priority="122">
      <formula>AND(C$9&gt;=8/24,C$9&lt;14/24)</formula>
    </cfRule>
    <cfRule type="expression" dxfId="669" priority="123">
      <formula>C$9&lt;8/24</formula>
    </cfRule>
  </conditionalFormatting>
  <conditionalFormatting sqref="N98:S98">
    <cfRule type="expression" dxfId="668" priority="116">
      <formula>N$9&gt;=20/24</formula>
    </cfRule>
    <cfRule type="expression" dxfId="667" priority="117">
      <formula>AND(N$9&gt;=14/24,N$9&lt;20/24)</formula>
    </cfRule>
    <cfRule type="expression" dxfId="666" priority="118">
      <formula>AND(N$9&gt;=8/24,N$9&lt;14/24)</formula>
    </cfRule>
    <cfRule type="expression" dxfId="665" priority="119">
      <formula>N$9&lt;8/24</formula>
    </cfRule>
  </conditionalFormatting>
  <conditionalFormatting sqref="T98">
    <cfRule type="expression" dxfId="664" priority="112">
      <formula>T$9&gt;=20/24</formula>
    </cfRule>
    <cfRule type="expression" dxfId="663" priority="113">
      <formula>AND(T$9&gt;=14/24,T$9&lt;20/24)</formula>
    </cfRule>
    <cfRule type="expression" dxfId="662" priority="114">
      <formula>AND(T$9&gt;=8/24,T$9&lt;14/24)</formula>
    </cfRule>
    <cfRule type="expression" dxfId="661" priority="115">
      <formula>T$9&lt;8/24</formula>
    </cfRule>
  </conditionalFormatting>
  <conditionalFormatting sqref="M94:N94">
    <cfRule type="expression" dxfId="660" priority="108">
      <formula>M$9&gt;=20/24</formula>
    </cfRule>
    <cfRule type="expression" dxfId="659" priority="109">
      <formula>AND(M$9&gt;=14/24,M$9&lt;20/24)</formula>
    </cfRule>
    <cfRule type="expression" dxfId="658" priority="110">
      <formula>AND(M$9&gt;=8/24,M$9&lt;14/24)</formula>
    </cfRule>
    <cfRule type="expression" dxfId="657" priority="111">
      <formula>M$9&lt;8/24</formula>
    </cfRule>
  </conditionalFormatting>
  <conditionalFormatting sqref="G94:L94">
    <cfRule type="expression" dxfId="656" priority="104">
      <formula>G$9&gt;=20/24</formula>
    </cfRule>
    <cfRule type="expression" dxfId="655" priority="105">
      <formula>AND(G$9&gt;=14/24,G$9&lt;20/24)</formula>
    </cfRule>
    <cfRule type="expression" dxfId="654" priority="106">
      <formula>AND(G$9&gt;=8/24,G$9&lt;14/24)</formula>
    </cfRule>
    <cfRule type="expression" dxfId="653" priority="107">
      <formula>G$9&lt;8/24</formula>
    </cfRule>
  </conditionalFormatting>
  <conditionalFormatting sqref="U94:W94">
    <cfRule type="expression" dxfId="652" priority="100">
      <formula>U$9&gt;=20/24</formula>
    </cfRule>
    <cfRule type="expression" dxfId="651" priority="101">
      <formula>AND(U$9&gt;=14/24,U$9&lt;20/24)</formula>
    </cfRule>
    <cfRule type="expression" dxfId="650" priority="102">
      <formula>AND(U$9&gt;=8/24,U$9&lt;14/24)</formula>
    </cfRule>
    <cfRule type="expression" dxfId="649" priority="103">
      <formula>U$9&lt;8/24</formula>
    </cfRule>
  </conditionalFormatting>
  <conditionalFormatting sqref="N94:T94">
    <cfRule type="expression" dxfId="648" priority="96">
      <formula>N$9&gt;=20/24</formula>
    </cfRule>
    <cfRule type="expression" dxfId="647" priority="97">
      <formula>AND(N$9&gt;=14/24,N$9&lt;20/24)</formula>
    </cfRule>
    <cfRule type="expression" dxfId="646" priority="98">
      <formula>AND(N$9&gt;=8/24,N$9&lt;14/24)</formula>
    </cfRule>
    <cfRule type="expression" dxfId="645" priority="99">
      <formula>N$9&lt;8/24</formula>
    </cfRule>
  </conditionalFormatting>
  <conditionalFormatting sqref="U99:AA100">
    <cfRule type="expression" dxfId="644" priority="92">
      <formula>U$9&gt;=20/24</formula>
    </cfRule>
    <cfRule type="expression" dxfId="643" priority="93">
      <formula>AND(U$9&gt;=14/24,U$9&lt;20/24)</formula>
    </cfRule>
    <cfRule type="expression" dxfId="642" priority="94">
      <formula>AND(U$9&gt;=8/24,U$9&lt;14/24)</formula>
    </cfRule>
    <cfRule type="expression" dxfId="641" priority="95">
      <formula>U$9&lt;8/24</formula>
    </cfRule>
  </conditionalFormatting>
  <conditionalFormatting sqref="C99:M100">
    <cfRule type="expression" dxfId="640" priority="88">
      <formula>C$9&gt;=20/24</formula>
    </cfRule>
    <cfRule type="expression" dxfId="639" priority="89">
      <formula>AND(C$9&gt;=14/24,C$9&lt;20/24)</formula>
    </cfRule>
    <cfRule type="expression" dxfId="638" priority="90">
      <formula>AND(C$9&gt;=8/24,C$9&lt;14/24)</formula>
    </cfRule>
    <cfRule type="expression" dxfId="637" priority="91">
      <formula>C$9&lt;8/24</formula>
    </cfRule>
  </conditionalFormatting>
  <conditionalFormatting sqref="N99:S100">
    <cfRule type="expression" dxfId="636" priority="84">
      <formula>N$9&gt;=20/24</formula>
    </cfRule>
    <cfRule type="expression" dxfId="635" priority="85">
      <formula>AND(N$9&gt;=14/24,N$9&lt;20/24)</formula>
    </cfRule>
    <cfRule type="expression" dxfId="634" priority="86">
      <formula>AND(N$9&gt;=8/24,N$9&lt;14/24)</formula>
    </cfRule>
    <cfRule type="expression" dxfId="633" priority="87">
      <formula>N$9&lt;8/24</formula>
    </cfRule>
  </conditionalFormatting>
  <conditionalFormatting sqref="T99:T100">
    <cfRule type="expression" dxfId="632" priority="80">
      <formula>T$9&gt;=20/24</formula>
    </cfRule>
    <cfRule type="expression" dxfId="631" priority="81">
      <formula>AND(T$9&gt;=14/24,T$9&lt;20/24)</formula>
    </cfRule>
    <cfRule type="expression" dxfId="630" priority="82">
      <formula>AND(T$9&gt;=8/24,T$9&lt;14/24)</formula>
    </cfRule>
    <cfRule type="expression" dxfId="629" priority="83">
      <formula>T$9&lt;8/24</formula>
    </cfRule>
  </conditionalFormatting>
  <conditionalFormatting sqref="AB58:AE59">
    <cfRule type="expression" dxfId="628" priority="64">
      <formula>AB$9&gt;=20/24</formula>
    </cfRule>
    <cfRule type="expression" dxfId="627" priority="65">
      <formula>AND(AB$9&gt;=14/24,AB$9&lt;20/24)</formula>
    </cfRule>
    <cfRule type="expression" dxfId="626" priority="66">
      <formula>AND(AB$9&gt;=8/24,AB$9&lt;14/24)</formula>
    </cfRule>
    <cfRule type="expression" dxfId="625" priority="67">
      <formula>AB$9&lt;8/24</formula>
    </cfRule>
  </conditionalFormatting>
  <conditionalFormatting sqref="AL33">
    <cfRule type="iconSet" priority="6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24" priority="297">
      <formula>C$9&gt;=20/24</formula>
    </cfRule>
    <cfRule type="expression" dxfId="623" priority="298">
      <formula>AND(C$9&gt;=14/24,C$9&lt;20/24)</formula>
    </cfRule>
    <cfRule type="expression" dxfId="622" priority="299">
      <formula>AND(C$9&gt;=8/24,C$9&lt;14/24)</formula>
    </cfRule>
    <cfRule type="expression" dxfId="621" priority="300">
      <formula>C$9&lt;8/24</formula>
    </cfRule>
  </conditionalFormatting>
  <conditionalFormatting sqref="A201">
    <cfRule type="expression" dxfId="620" priority="301">
      <formula>$AH201=0</formula>
    </cfRule>
  </conditionalFormatting>
  <conditionalFormatting sqref="AG213">
    <cfRule type="expression" dxfId="619" priority="302">
      <formula>B$9&gt;=20/24</formula>
    </cfRule>
    <cfRule type="expression" dxfId="618" priority="303">
      <formula>AND(B$9&gt;=14/24,B$9&lt;20/24)</formula>
    </cfRule>
    <cfRule type="expression" dxfId="617" priority="304">
      <formula>AND(B$9&gt;=8/24,B$9&lt;14/24)</formula>
    </cfRule>
    <cfRule type="expression" dxfId="616" priority="305">
      <formula>B$9&lt;8/24</formula>
    </cfRule>
  </conditionalFormatting>
  <conditionalFormatting sqref="S8">
    <cfRule type="expression" dxfId="615" priority="58">
      <formula>U$9&gt;=20/24</formula>
    </cfRule>
    <cfRule type="expression" dxfId="614" priority="59">
      <formula>AND(U$9&gt;=14/24,U$9&lt;20/24)</formula>
    </cfRule>
    <cfRule type="expression" dxfId="613" priority="60">
      <formula>AND(U$9&gt;=8/24,U$9&lt;14/24)</formula>
    </cfRule>
    <cfRule type="expression" dxfId="612" priority="61">
      <formula>U$9&lt;8/24</formula>
    </cfRule>
  </conditionalFormatting>
  <conditionalFormatting sqref="AB8">
    <cfRule type="expression" dxfId="611" priority="54">
      <formula>AD$9&gt;=20/24</formula>
    </cfRule>
    <cfRule type="expression" dxfId="610" priority="55">
      <formula>AND(AD$9&gt;=14/24,AD$9&lt;20/24)</formula>
    </cfRule>
    <cfRule type="expression" dxfId="609" priority="56">
      <formula>AND(AD$9&gt;=8/24,AD$9&lt;14/24)</formula>
    </cfRule>
    <cfRule type="expression" dxfId="608" priority="57">
      <formula>AD$9&lt;8/24</formula>
    </cfRule>
  </conditionalFormatting>
  <conditionalFormatting sqref="AH213:AX213">
    <cfRule type="expression" dxfId="607" priority="306">
      <formula>AG$9&gt;=20/24</formula>
    </cfRule>
    <cfRule type="expression" dxfId="606" priority="307">
      <formula>AND(AG$9&gt;=14/24,AG$9&lt;20/24)</formula>
    </cfRule>
    <cfRule type="expression" dxfId="605" priority="308">
      <formula>AND(AG$9&gt;=8/24,AG$9&lt;14/24)</formula>
    </cfRule>
    <cfRule type="expression" dxfId="604" priority="309">
      <formula>AG$9&lt;8/24</formula>
    </cfRule>
  </conditionalFormatting>
  <conditionalFormatting sqref="T213">
    <cfRule type="expression" dxfId="603" priority="310">
      <formula>AX$9&gt;=20/24</formula>
    </cfRule>
    <cfRule type="expression" dxfId="602" priority="311">
      <formula>AND(AX$9&gt;=14/24,AX$9&lt;20/24)</formula>
    </cfRule>
    <cfRule type="expression" dxfId="601" priority="312">
      <formula>AND(AX$9&gt;=8/24,AX$9&lt;14/24)</formula>
    </cfRule>
    <cfRule type="expression" dxfId="600" priority="313">
      <formula>AX$9&lt;8/24</formula>
    </cfRule>
  </conditionalFormatting>
  <conditionalFormatting sqref="A99:A100">
    <cfRule type="expression" dxfId="599" priority="53">
      <formula>$AH99=0</formula>
    </cfRule>
  </conditionalFormatting>
  <conditionalFormatting sqref="M33:AA33">
    <cfRule type="expression" dxfId="598" priority="49">
      <formula>M$9&gt;=20/24</formula>
    </cfRule>
    <cfRule type="expression" dxfId="597" priority="50">
      <formula>AND(M$9&gt;=14/24,M$9&lt;20/24)</formula>
    </cfRule>
    <cfRule type="expression" dxfId="596" priority="51">
      <formula>AND(M$9&gt;=8/24,M$9&lt;14/24)</formula>
    </cfRule>
    <cfRule type="expression" dxfId="595" priority="52">
      <formula>M$9&lt;8/24</formula>
    </cfRule>
  </conditionalFormatting>
  <conditionalFormatting sqref="AB33:AF33">
    <cfRule type="expression" dxfId="594" priority="45">
      <formula>AB$9&gt;=20/24</formula>
    </cfRule>
    <cfRule type="expression" dxfId="593" priority="46">
      <formula>AND(AB$9&gt;=14/24,AB$9&lt;20/24)</formula>
    </cfRule>
    <cfRule type="expression" dxfId="592" priority="47">
      <formula>AND(AB$9&gt;=8/24,AB$9&lt;14/24)</formula>
    </cfRule>
    <cfRule type="expression" dxfId="591" priority="48">
      <formula>AB$9&lt;8/24</formula>
    </cfRule>
  </conditionalFormatting>
  <conditionalFormatting sqref="B33:AF33">
    <cfRule type="expression" dxfId="590" priority="40">
      <formula>B33&gt;$AG33</formula>
    </cfRule>
  </conditionalFormatting>
  <conditionalFormatting sqref="B42:H43 I43:J43">
    <cfRule type="expression" dxfId="589" priority="36">
      <formula>B$9&gt;=20/24</formula>
    </cfRule>
    <cfRule type="expression" dxfId="588" priority="37">
      <formula>AND(B$9&gt;=14/24,B$9&lt;20/24)</formula>
    </cfRule>
    <cfRule type="expression" dxfId="587" priority="38">
      <formula>AND(B$9&gt;=8/24,B$9&lt;14/24)</formula>
    </cfRule>
    <cfRule type="expression" dxfId="586" priority="39">
      <formula>B$9&lt;8/24</formula>
    </cfRule>
  </conditionalFormatting>
  <conditionalFormatting sqref="B45:L48">
    <cfRule type="expression" dxfId="585" priority="32">
      <formula>B$9&gt;=20/24</formula>
    </cfRule>
    <cfRule type="expression" dxfId="584" priority="33">
      <formula>AND(B$9&gt;=14/24,B$9&lt;20/24)</formula>
    </cfRule>
    <cfRule type="expression" dxfId="583" priority="34">
      <formula>AND(B$9&gt;=8/24,B$9&lt;14/24)</formula>
    </cfRule>
    <cfRule type="expression" dxfId="582" priority="35">
      <formula>B$9&lt;8/24</formula>
    </cfRule>
  </conditionalFormatting>
  <conditionalFormatting sqref="B49:L49">
    <cfRule type="expression" dxfId="581" priority="28">
      <formula>B$9&gt;=20/24</formula>
    </cfRule>
    <cfRule type="expression" dxfId="580" priority="29">
      <formula>AND(B$9&gt;=14/24,B$9&lt;20/24)</formula>
    </cfRule>
    <cfRule type="expression" dxfId="579" priority="30">
      <formula>AND(B$9&gt;=8/24,B$9&lt;14/24)</formula>
    </cfRule>
    <cfRule type="expression" dxfId="578" priority="31">
      <formula>B$9&lt;8/24</formula>
    </cfRule>
  </conditionalFormatting>
  <conditionalFormatting sqref="B50:L50">
    <cfRule type="expression" dxfId="577" priority="24">
      <formula>B$9&gt;=20/24</formula>
    </cfRule>
    <cfRule type="expression" dxfId="576" priority="25">
      <formula>AND(B$9&gt;=14/24,B$9&lt;20/24)</formula>
    </cfRule>
    <cfRule type="expression" dxfId="575" priority="26">
      <formula>AND(B$9&gt;=8/24,B$9&lt;14/24)</formula>
    </cfRule>
    <cfRule type="expression" dxfId="574" priority="27">
      <formula>B$9&lt;8/24</formula>
    </cfRule>
  </conditionalFormatting>
  <conditionalFormatting sqref="B39:B51 C39:C50 D42:H50 I43:J50 K44:L50">
    <cfRule type="expression" dxfId="573" priority="23">
      <formula>B39&gt;$AG39</formula>
    </cfRule>
  </conditionalFormatting>
  <conditionalFormatting sqref="B44:L44">
    <cfRule type="expression" dxfId="572" priority="19">
      <formula>B$9&gt;=20/24</formula>
    </cfRule>
    <cfRule type="expression" dxfId="571" priority="20">
      <formula>AND(B$9&gt;=14/24,B$9&lt;20/24)</formula>
    </cfRule>
    <cfRule type="expression" dxfId="570" priority="21">
      <formula>AND(B$9&gt;=8/24,B$9&lt;14/24)</formula>
    </cfRule>
    <cfRule type="expression" dxfId="569" priority="22">
      <formula>B$9&lt;8/24</formula>
    </cfRule>
  </conditionalFormatting>
  <conditionalFormatting sqref="B57:B60 C60:D60">
    <cfRule type="expression" dxfId="568" priority="15">
      <formula>B$9&gt;=20/24</formula>
    </cfRule>
    <cfRule type="expression" dxfId="567" priority="16">
      <formula>AND(B$9&gt;=14/24,B$9&lt;20/24)</formula>
    </cfRule>
    <cfRule type="expression" dxfId="566" priority="17">
      <formula>AND(B$9&gt;=8/24,B$9&lt;14/24)</formula>
    </cfRule>
    <cfRule type="expression" dxfId="565" priority="18">
      <formula>B$9&lt;8/24</formula>
    </cfRule>
  </conditionalFormatting>
  <conditionalFormatting sqref="B61:H67 I62:L67">
    <cfRule type="expression" dxfId="564" priority="11">
      <formula>B$9&gt;=20/24</formula>
    </cfRule>
    <cfRule type="expression" dxfId="563" priority="12">
      <formula>AND(B$9&gt;=14/24,B$9&lt;20/24)</formula>
    </cfRule>
    <cfRule type="expression" dxfId="562" priority="13">
      <formula>AND(B$9&gt;=8/24,B$9&lt;14/24)</formula>
    </cfRule>
    <cfRule type="expression" dxfId="561" priority="14">
      <formula>B$9&lt;8/24</formula>
    </cfRule>
  </conditionalFormatting>
  <conditionalFormatting sqref="AK18">
    <cfRule type="expression" dxfId="560" priority="7">
      <formula>AK$9&gt;=20/24</formula>
    </cfRule>
    <cfRule type="expression" dxfId="559" priority="8">
      <formula>AND(AK$9&gt;=14/24,AK$9&lt;20/24)</formula>
    </cfRule>
    <cfRule type="expression" dxfId="558" priority="9">
      <formula>AND(AK$9&gt;=8/24,AK$9&lt;14/24)</formula>
    </cfRule>
    <cfRule type="expression" dxfId="557" priority="10">
      <formula>AK$9&lt;8/24</formula>
    </cfRule>
  </conditionalFormatting>
  <conditionalFormatting sqref="AK18">
    <cfRule type="expression" dxfId="556" priority="6">
      <formula>AK18&gt;$AG18</formula>
    </cfRule>
  </conditionalFormatting>
  <conditionalFormatting sqref="AK19">
    <cfRule type="expression" dxfId="555" priority="2">
      <formula>AK$9&gt;=20/24</formula>
    </cfRule>
    <cfRule type="expression" dxfId="554" priority="3">
      <formula>AND(AK$9&gt;=14/24,AK$9&lt;20/24)</formula>
    </cfRule>
    <cfRule type="expression" dxfId="553" priority="4">
      <formula>AND(AK$9&gt;=8/24,AK$9&lt;14/24)</formula>
    </cfRule>
    <cfRule type="expression" dxfId="552" priority="5">
      <formula>AK$9&lt;8/24</formula>
    </cfRule>
  </conditionalFormatting>
  <conditionalFormatting sqref="AK19">
    <cfRule type="expression" dxfId="551" priority="1">
      <formula>AK19&gt;$AG19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378F5C67-6518-43AA-A5AE-B1BEE3440BB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CJ472"/>
  <sheetViews>
    <sheetView tabSelected="1"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Z68" sqref="Z6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str">
        <f ca="1">"2078/"&amp;"12/"&amp;INT(MID(CELL("filename",D6),FIND("]",CELL("filename",D6))+1,200))</f>
        <v>2078/12/30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241</v>
      </c>
      <c r="C5" s="157">
        <f t="shared" si="0"/>
        <v>186.2</v>
      </c>
      <c r="D5" s="157">
        <f t="shared" si="0"/>
        <v>204.59999999999997</v>
      </c>
      <c r="E5" s="157">
        <f t="shared" si="0"/>
        <v>185.3</v>
      </c>
      <c r="F5" s="157">
        <f t="shared" si="0"/>
        <v>258.3</v>
      </c>
      <c r="G5" s="157">
        <f t="shared" si="0"/>
        <v>268.70000000000005</v>
      </c>
      <c r="H5" s="157">
        <f t="shared" si="0"/>
        <v>260.8</v>
      </c>
      <c r="I5" s="157">
        <f t="shared" si="0"/>
        <v>409</v>
      </c>
      <c r="J5" s="157">
        <f t="shared" si="0"/>
        <v>464.7</v>
      </c>
      <c r="K5" s="157">
        <f t="shared" si="0"/>
        <v>505.6</v>
      </c>
      <c r="L5" s="157">
        <f t="shared" si="0"/>
        <v>554.19999999999993</v>
      </c>
      <c r="M5" s="157">
        <f t="shared" si="0"/>
        <v>607.1</v>
      </c>
      <c r="N5" s="157">
        <f t="shared" si="0"/>
        <v>631.69999999999993</v>
      </c>
      <c r="O5" s="157">
        <f t="shared" si="0"/>
        <v>548.6</v>
      </c>
      <c r="P5" s="157">
        <f t="shared" si="0"/>
        <v>568</v>
      </c>
      <c r="Q5" s="157">
        <f t="shared" si="0"/>
        <v>559</v>
      </c>
      <c r="R5" s="157">
        <f t="shared" si="0"/>
        <v>568.4</v>
      </c>
      <c r="S5" s="157">
        <f t="shared" si="0"/>
        <v>623.89999999999986</v>
      </c>
      <c r="T5" s="157">
        <f t="shared" si="0"/>
        <v>555.59999999999991</v>
      </c>
      <c r="U5" s="157">
        <f t="shared" si="0"/>
        <v>478.7</v>
      </c>
      <c r="V5" s="157">
        <f t="shared" si="0"/>
        <v>455.6</v>
      </c>
      <c r="W5" s="157">
        <f t="shared" si="0"/>
        <v>404</v>
      </c>
      <c r="X5" s="157">
        <f t="shared" si="0"/>
        <v>166.1</v>
      </c>
      <c r="Y5" s="157">
        <f t="shared" si="0"/>
        <v>196.3</v>
      </c>
      <c r="Z5" s="157">
        <f t="shared" si="0"/>
        <v>172.1</v>
      </c>
      <c r="AA5" s="157">
        <f t="shared" si="0"/>
        <v>172</v>
      </c>
      <c r="AB5" s="157">
        <f t="shared" si="0"/>
        <v>173.1</v>
      </c>
      <c r="AC5" s="157">
        <f t="shared" si="0"/>
        <v>164</v>
      </c>
      <c r="AD5" s="157">
        <f t="shared" si="0"/>
        <v>208.7</v>
      </c>
      <c r="AE5" s="157">
        <f t="shared" si="0"/>
        <v>136.1</v>
      </c>
      <c r="AF5" s="157">
        <f>B68</f>
        <v>185.7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1497MW at 9:00hr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Load=1256</v>
      </c>
      <c r="B7" s="146">
        <f>B75</f>
        <v>1348.34</v>
      </c>
      <c r="C7" s="146">
        <f t="shared" ref="C7:AF7" si="1">C75</f>
        <v>1333.6399999999999</v>
      </c>
      <c r="D7" s="146">
        <f t="shared" si="1"/>
        <v>1326.7399999999998</v>
      </c>
      <c r="E7" s="146">
        <f t="shared" si="1"/>
        <v>1294.8399999999999</v>
      </c>
      <c r="F7" s="146">
        <f t="shared" si="1"/>
        <v>1256.1400000000001</v>
      </c>
      <c r="G7" s="146">
        <f t="shared" si="1"/>
        <v>1275.44</v>
      </c>
      <c r="H7" s="146">
        <f t="shared" si="1"/>
        <v>1276.3400000000001</v>
      </c>
      <c r="I7" s="146">
        <f t="shared" si="1"/>
        <v>1275.94</v>
      </c>
      <c r="J7" s="146">
        <f t="shared" si="1"/>
        <v>1329.44</v>
      </c>
      <c r="K7" s="146">
        <f t="shared" si="1"/>
        <v>1391.24</v>
      </c>
      <c r="L7" s="146">
        <f t="shared" si="1"/>
        <v>1439.24</v>
      </c>
      <c r="M7" s="146">
        <f t="shared" si="1"/>
        <v>1484.84</v>
      </c>
      <c r="N7" s="146">
        <f t="shared" si="1"/>
        <v>1497.04</v>
      </c>
      <c r="O7" s="146">
        <f t="shared" si="1"/>
        <v>1508.5399999999997</v>
      </c>
      <c r="P7" s="146">
        <f t="shared" si="1"/>
        <v>1530.44</v>
      </c>
      <c r="Q7" s="146">
        <f t="shared" si="1"/>
        <v>1535.84</v>
      </c>
      <c r="R7" s="146">
        <f t="shared" si="1"/>
        <v>1492.2399999999998</v>
      </c>
      <c r="S7" s="146">
        <f t="shared" si="1"/>
        <v>1522.5399999999997</v>
      </c>
      <c r="T7" s="146">
        <f t="shared" si="1"/>
        <v>1540.4399999999998</v>
      </c>
      <c r="U7" s="146">
        <f t="shared" si="1"/>
        <v>1517.04</v>
      </c>
      <c r="V7" s="146">
        <f t="shared" si="1"/>
        <v>1465.34</v>
      </c>
      <c r="W7" s="146">
        <f t="shared" si="1"/>
        <v>1443.64</v>
      </c>
      <c r="X7" s="146">
        <f t="shared" si="1"/>
        <v>1450.54</v>
      </c>
      <c r="Y7" s="146">
        <f t="shared" si="1"/>
        <v>1604.1400000000003</v>
      </c>
      <c r="Z7" s="146">
        <f t="shared" si="1"/>
        <v>1698.24</v>
      </c>
      <c r="AA7" s="146">
        <f t="shared" si="1"/>
        <v>1660.74</v>
      </c>
      <c r="AB7" s="146">
        <f t="shared" si="1"/>
        <v>1654.44</v>
      </c>
      <c r="AC7" s="146">
        <f t="shared" si="1"/>
        <v>1639.1399999999999</v>
      </c>
      <c r="AD7" s="146">
        <f t="shared" si="1"/>
        <v>1521.24</v>
      </c>
      <c r="AE7" s="146">
        <f t="shared" si="1"/>
        <v>1448.94</v>
      </c>
      <c r="AF7" s="146">
        <f t="shared" si="1"/>
        <v>1370.44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03">
        <v>260</v>
      </c>
      <c r="C11" s="103">
        <v>200</v>
      </c>
      <c r="D11" s="103">
        <v>240</v>
      </c>
      <c r="E11" s="127">
        <v>135</v>
      </c>
      <c r="F11" s="127">
        <v>115</v>
      </c>
      <c r="G11" s="127">
        <v>95</v>
      </c>
      <c r="H11" s="127">
        <v>95</v>
      </c>
      <c r="I11" s="127">
        <v>95</v>
      </c>
      <c r="J11" s="127">
        <v>100</v>
      </c>
      <c r="K11" s="127">
        <v>100</v>
      </c>
      <c r="L11" s="127">
        <v>100</v>
      </c>
      <c r="M11" s="103">
        <v>90</v>
      </c>
      <c r="N11" s="103">
        <v>50</v>
      </c>
      <c r="O11" s="103">
        <v>30</v>
      </c>
      <c r="P11" s="103">
        <v>50</v>
      </c>
      <c r="Q11" s="103">
        <v>50</v>
      </c>
      <c r="R11" s="135">
        <v>50</v>
      </c>
      <c r="S11" s="103">
        <v>50</v>
      </c>
      <c r="T11" s="103">
        <v>50</v>
      </c>
      <c r="U11" s="103">
        <v>130</v>
      </c>
      <c r="V11" s="103">
        <v>180</v>
      </c>
      <c r="W11" s="103">
        <v>200</v>
      </c>
      <c r="X11" s="103">
        <v>150</v>
      </c>
      <c r="Y11" s="103">
        <v>400</v>
      </c>
      <c r="Z11" s="179">
        <v>456</v>
      </c>
      <c r="AA11" s="179">
        <v>456</v>
      </c>
      <c r="AB11" s="179">
        <v>456</v>
      </c>
      <c r="AC11" s="179">
        <v>456</v>
      </c>
      <c r="AD11" s="103">
        <v>380</v>
      </c>
      <c r="AE11" s="103">
        <v>350</v>
      </c>
      <c r="AF11" s="127">
        <v>300</v>
      </c>
      <c r="AG11" s="54">
        <v>456</v>
      </c>
      <c r="AH11" s="21">
        <f>MAX(B11:AF11)</f>
        <v>456</v>
      </c>
      <c r="AI11" s="20">
        <f>MIN(B11:AF11)</f>
        <v>30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03">
        <v>27</v>
      </c>
      <c r="C12" s="103">
        <v>27</v>
      </c>
      <c r="D12" s="103">
        <v>27</v>
      </c>
      <c r="E12" s="103">
        <v>27</v>
      </c>
      <c r="F12" s="103">
        <v>27</v>
      </c>
      <c r="G12" s="103">
        <v>27</v>
      </c>
      <c r="H12" s="103">
        <v>27</v>
      </c>
      <c r="I12" s="103">
        <v>27</v>
      </c>
      <c r="J12" s="103">
        <v>27</v>
      </c>
      <c r="K12" s="127">
        <v>27</v>
      </c>
      <c r="L12" s="127">
        <v>27</v>
      </c>
      <c r="M12" s="127">
        <v>27</v>
      </c>
      <c r="N12" s="127">
        <v>27</v>
      </c>
      <c r="O12" s="127">
        <v>27</v>
      </c>
      <c r="P12" s="127">
        <v>27</v>
      </c>
      <c r="Q12" s="127">
        <v>27</v>
      </c>
      <c r="R12" s="127">
        <v>27</v>
      </c>
      <c r="S12" s="127">
        <v>27</v>
      </c>
      <c r="T12" s="127">
        <v>27</v>
      </c>
      <c r="U12" s="127">
        <v>27</v>
      </c>
      <c r="V12" s="127">
        <v>27</v>
      </c>
      <c r="W12" s="127">
        <v>27</v>
      </c>
      <c r="X12" s="127">
        <v>27</v>
      </c>
      <c r="Y12" s="127">
        <v>27</v>
      </c>
      <c r="Z12" s="103">
        <v>27</v>
      </c>
      <c r="AA12" s="103">
        <v>27</v>
      </c>
      <c r="AB12" s="103">
        <v>27</v>
      </c>
      <c r="AC12" s="103">
        <v>27</v>
      </c>
      <c r="AD12" s="103">
        <v>27</v>
      </c>
      <c r="AE12" s="103">
        <v>27</v>
      </c>
      <c r="AF12" s="103">
        <v>27</v>
      </c>
      <c r="AG12" s="134">
        <v>60</v>
      </c>
      <c r="AH12" s="21">
        <f t="shared" ref="AH12:AH75" si="2">MAX(B12:AF12)</f>
        <v>27</v>
      </c>
      <c r="AI12" s="20">
        <f t="shared" ref="AI12:AI75" si="3">MIN(B12:AF12)</f>
        <v>27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03">
        <v>16.8</v>
      </c>
      <c r="C13" s="103">
        <v>16.8</v>
      </c>
      <c r="D13" s="103">
        <v>16.8</v>
      </c>
      <c r="E13" s="103">
        <v>16.8</v>
      </c>
      <c r="F13" s="103">
        <v>16.8</v>
      </c>
      <c r="G13" s="103">
        <v>16.8</v>
      </c>
      <c r="H13" s="103">
        <v>16.8</v>
      </c>
      <c r="I13" s="103">
        <v>16.8</v>
      </c>
      <c r="J13" s="103">
        <v>16.8</v>
      </c>
      <c r="K13" s="127">
        <v>16.8</v>
      </c>
      <c r="L13" s="127">
        <v>16.8</v>
      </c>
      <c r="M13" s="127">
        <v>18.5</v>
      </c>
      <c r="N13" s="127">
        <v>18.5</v>
      </c>
      <c r="O13" s="127">
        <v>18.5</v>
      </c>
      <c r="P13" s="127">
        <v>18.5</v>
      </c>
      <c r="Q13" s="127">
        <v>15.8</v>
      </c>
      <c r="R13" s="127">
        <v>15.8</v>
      </c>
      <c r="S13" s="127">
        <v>15.8</v>
      </c>
      <c r="T13" s="127">
        <v>15.8</v>
      </c>
      <c r="U13" s="127">
        <v>15.8</v>
      </c>
      <c r="V13" s="77">
        <v>17.899999999999999</v>
      </c>
      <c r="W13" s="77">
        <v>17.899999999999999</v>
      </c>
      <c r="X13" s="77">
        <v>17.899999999999999</v>
      </c>
      <c r="Y13" s="77">
        <v>17.899999999999999</v>
      </c>
      <c r="Z13" s="103">
        <v>17.899999999999999</v>
      </c>
      <c r="AA13" s="103">
        <v>17.899999999999999</v>
      </c>
      <c r="AB13" s="103">
        <v>17.899999999999999</v>
      </c>
      <c r="AC13" s="103">
        <v>17.899999999999999</v>
      </c>
      <c r="AD13" s="103">
        <v>17.899999999999999</v>
      </c>
      <c r="AE13" s="103">
        <v>17.7</v>
      </c>
      <c r="AF13" s="103">
        <v>17.7</v>
      </c>
      <c r="AG13" s="134">
        <v>52.4</v>
      </c>
      <c r="AH13" s="21">
        <f t="shared" si="2"/>
        <v>18.5</v>
      </c>
      <c r="AI13" s="20">
        <f t="shared" si="3"/>
        <v>15.8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03">
        <v>0</v>
      </c>
      <c r="C14" s="103">
        <v>0</v>
      </c>
      <c r="D14" s="103">
        <v>0</v>
      </c>
      <c r="E14" s="103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27">
        <v>0</v>
      </c>
      <c r="L14" s="127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0</v>
      </c>
      <c r="AG14" s="134">
        <v>50</v>
      </c>
      <c r="AH14" s="21">
        <f t="shared" si="2"/>
        <v>0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03">
        <v>22.9</v>
      </c>
      <c r="C15" s="103">
        <v>22.9</v>
      </c>
      <c r="D15" s="103">
        <v>22.9</v>
      </c>
      <c r="E15" s="103">
        <v>22.9</v>
      </c>
      <c r="F15" s="103">
        <v>22.9</v>
      </c>
      <c r="G15" s="103">
        <v>22.9</v>
      </c>
      <c r="H15" s="103">
        <v>22.9</v>
      </c>
      <c r="I15" s="103">
        <v>22.9</v>
      </c>
      <c r="J15" s="103">
        <v>22.9</v>
      </c>
      <c r="K15" s="123">
        <v>22.9</v>
      </c>
      <c r="L15" s="123">
        <v>22.9</v>
      </c>
      <c r="M15" s="103">
        <v>22.9</v>
      </c>
      <c r="N15" s="103">
        <v>22.9</v>
      </c>
      <c r="O15" s="103">
        <v>22.9</v>
      </c>
      <c r="P15" s="103">
        <v>22.9</v>
      </c>
      <c r="Q15" s="103">
        <v>22.9</v>
      </c>
      <c r="R15" s="103">
        <v>22.9</v>
      </c>
      <c r="S15" s="103">
        <v>22.9</v>
      </c>
      <c r="T15" s="103">
        <v>22.9</v>
      </c>
      <c r="U15" s="103">
        <v>22.9</v>
      </c>
      <c r="V15" s="103">
        <v>22.9</v>
      </c>
      <c r="W15" s="103">
        <v>22.9</v>
      </c>
      <c r="X15" s="103">
        <v>22.9</v>
      </c>
      <c r="Y15" s="103">
        <v>22.9</v>
      </c>
      <c r="Z15" s="103">
        <v>22.9</v>
      </c>
      <c r="AA15" s="103">
        <v>22.9</v>
      </c>
      <c r="AB15" s="103">
        <v>22.9</v>
      </c>
      <c r="AC15" s="103">
        <v>22.9</v>
      </c>
      <c r="AD15" s="103">
        <v>22.9</v>
      </c>
      <c r="AE15" s="103">
        <v>22.9</v>
      </c>
      <c r="AF15" s="103">
        <v>22.9</v>
      </c>
      <c r="AG15" s="108">
        <v>45</v>
      </c>
      <c r="AH15" s="21">
        <f t="shared" si="2"/>
        <v>22.9</v>
      </c>
      <c r="AI15" s="20">
        <f t="shared" si="3"/>
        <v>22.9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03">
        <v>14</v>
      </c>
      <c r="C16" s="103">
        <v>14</v>
      </c>
      <c r="D16" s="103">
        <v>14</v>
      </c>
      <c r="E16" s="103">
        <v>14</v>
      </c>
      <c r="F16" s="103">
        <v>14</v>
      </c>
      <c r="G16" s="103">
        <v>14</v>
      </c>
      <c r="H16" s="103">
        <v>14</v>
      </c>
      <c r="I16" s="103">
        <v>14</v>
      </c>
      <c r="J16" s="103">
        <v>14</v>
      </c>
      <c r="K16" s="127">
        <v>14</v>
      </c>
      <c r="L16" s="127">
        <v>14</v>
      </c>
      <c r="M16" s="103">
        <v>14</v>
      </c>
      <c r="N16" s="103">
        <v>14</v>
      </c>
      <c r="O16" s="103">
        <v>14</v>
      </c>
      <c r="P16" s="103">
        <v>14</v>
      </c>
      <c r="Q16" s="103">
        <v>14</v>
      </c>
      <c r="R16" s="103">
        <v>14</v>
      </c>
      <c r="S16" s="103">
        <v>14</v>
      </c>
      <c r="T16" s="103">
        <v>14</v>
      </c>
      <c r="U16" s="103">
        <v>14</v>
      </c>
      <c r="V16" s="103">
        <v>14</v>
      </c>
      <c r="W16" s="103">
        <v>14</v>
      </c>
      <c r="X16" s="103">
        <v>14</v>
      </c>
      <c r="Y16" s="103">
        <v>14</v>
      </c>
      <c r="Z16" s="103">
        <v>14</v>
      </c>
      <c r="AA16" s="103">
        <v>14</v>
      </c>
      <c r="AB16" s="103">
        <v>20</v>
      </c>
      <c r="AC16" s="103">
        <v>20</v>
      </c>
      <c r="AD16" s="103">
        <v>20</v>
      </c>
      <c r="AE16" s="103">
        <v>20</v>
      </c>
      <c r="AF16" s="103">
        <v>20</v>
      </c>
      <c r="AG16" s="134">
        <v>45</v>
      </c>
      <c r="AH16" s="21">
        <f t="shared" si="2"/>
        <v>20</v>
      </c>
      <c r="AI16" s="20">
        <f t="shared" si="3"/>
        <v>14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03">
        <v>12.5</v>
      </c>
      <c r="C17" s="103">
        <v>12.5</v>
      </c>
      <c r="D17" s="103">
        <v>12.5</v>
      </c>
      <c r="E17" s="127">
        <v>18</v>
      </c>
      <c r="F17" s="127">
        <v>18</v>
      </c>
      <c r="G17" s="127">
        <v>18</v>
      </c>
      <c r="H17" s="127">
        <v>18</v>
      </c>
      <c r="I17" s="127">
        <v>18</v>
      </c>
      <c r="J17" s="127">
        <v>18</v>
      </c>
      <c r="K17" s="127">
        <v>18</v>
      </c>
      <c r="L17" s="127">
        <v>18</v>
      </c>
      <c r="M17" s="103">
        <v>18</v>
      </c>
      <c r="N17" s="103">
        <v>18</v>
      </c>
      <c r="O17" s="103">
        <v>18</v>
      </c>
      <c r="P17" s="103">
        <v>18</v>
      </c>
      <c r="Q17" s="103">
        <v>18</v>
      </c>
      <c r="R17" s="103">
        <v>18</v>
      </c>
      <c r="S17" s="103">
        <v>18</v>
      </c>
      <c r="T17" s="103">
        <v>18</v>
      </c>
      <c r="U17" s="103">
        <v>18</v>
      </c>
      <c r="V17" s="103">
        <v>18</v>
      </c>
      <c r="W17" s="103">
        <v>18</v>
      </c>
      <c r="X17" s="103">
        <v>18</v>
      </c>
      <c r="Y17" s="103">
        <v>18</v>
      </c>
      <c r="Z17" s="103">
        <v>18</v>
      </c>
      <c r="AA17" s="103">
        <v>18</v>
      </c>
      <c r="AB17" s="103">
        <v>18</v>
      </c>
      <c r="AC17" s="103">
        <v>18</v>
      </c>
      <c r="AD17" s="103">
        <v>18</v>
      </c>
      <c r="AE17" s="103">
        <v>0</v>
      </c>
      <c r="AF17" s="103">
        <v>0</v>
      </c>
      <c r="AG17" s="134">
        <v>42</v>
      </c>
      <c r="AH17" s="21">
        <f t="shared" si="2"/>
        <v>18</v>
      </c>
      <c r="AI17" s="20">
        <f t="shared" si="3"/>
        <v>0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03">
        <v>8</v>
      </c>
      <c r="C18" s="103">
        <v>8</v>
      </c>
      <c r="D18" s="103">
        <v>8</v>
      </c>
      <c r="E18" s="103">
        <v>8</v>
      </c>
      <c r="F18" s="103">
        <v>8</v>
      </c>
      <c r="G18" s="103">
        <v>8</v>
      </c>
      <c r="H18" s="103">
        <v>8</v>
      </c>
      <c r="I18" s="103">
        <v>8</v>
      </c>
      <c r="J18" s="103">
        <v>8</v>
      </c>
      <c r="K18" s="127">
        <v>8</v>
      </c>
      <c r="L18" s="127">
        <v>8</v>
      </c>
      <c r="M18" s="103">
        <v>8</v>
      </c>
      <c r="N18" s="103">
        <v>8</v>
      </c>
      <c r="O18" s="103">
        <v>8</v>
      </c>
      <c r="P18" s="103">
        <v>8</v>
      </c>
      <c r="Q18" s="103">
        <v>8</v>
      </c>
      <c r="R18" s="103">
        <v>8</v>
      </c>
      <c r="S18" s="103">
        <v>8</v>
      </c>
      <c r="T18" s="103">
        <v>8</v>
      </c>
      <c r="U18" s="103">
        <v>8</v>
      </c>
      <c r="V18" s="103">
        <v>8</v>
      </c>
      <c r="W18" s="103">
        <v>8</v>
      </c>
      <c r="X18" s="103">
        <v>8</v>
      </c>
      <c r="Y18" s="103">
        <v>8</v>
      </c>
      <c r="Z18" s="103">
        <v>8</v>
      </c>
      <c r="AA18" s="103">
        <v>8</v>
      </c>
      <c r="AB18" s="103">
        <v>8</v>
      </c>
      <c r="AC18" s="103">
        <v>8</v>
      </c>
      <c r="AD18" s="103">
        <v>8</v>
      </c>
      <c r="AE18" s="103">
        <v>8</v>
      </c>
      <c r="AF18" s="103">
        <v>8</v>
      </c>
      <c r="AG18" s="134">
        <v>36</v>
      </c>
      <c r="AH18" s="21">
        <f t="shared" si="2"/>
        <v>8</v>
      </c>
      <c r="AI18" s="20">
        <f t="shared" si="3"/>
        <v>8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03">
        <v>13.2</v>
      </c>
      <c r="C19" s="103">
        <v>13.2</v>
      </c>
      <c r="D19" s="103">
        <v>13.2</v>
      </c>
      <c r="E19" s="103">
        <v>13.2</v>
      </c>
      <c r="F19" s="103">
        <v>13.2</v>
      </c>
      <c r="G19" s="103">
        <v>13.2</v>
      </c>
      <c r="H19" s="103">
        <v>13.2</v>
      </c>
      <c r="I19" s="103">
        <v>13.2</v>
      </c>
      <c r="J19" s="103">
        <v>13.2</v>
      </c>
      <c r="K19" s="127">
        <v>13.2</v>
      </c>
      <c r="L19" s="127">
        <v>13.2</v>
      </c>
      <c r="M19" s="103">
        <v>13.2</v>
      </c>
      <c r="N19" s="103">
        <v>13.2</v>
      </c>
      <c r="O19" s="103">
        <v>13.2</v>
      </c>
      <c r="P19" s="103">
        <v>13.2</v>
      </c>
      <c r="Q19" s="103">
        <v>13.2</v>
      </c>
      <c r="R19" s="103">
        <v>13.2</v>
      </c>
      <c r="S19" s="103">
        <v>13.2</v>
      </c>
      <c r="T19" s="103">
        <v>13.2</v>
      </c>
      <c r="U19" s="103">
        <v>13.2</v>
      </c>
      <c r="V19" s="103">
        <v>13.2</v>
      </c>
      <c r="W19" s="103">
        <v>13.2</v>
      </c>
      <c r="X19" s="103">
        <v>13.2</v>
      </c>
      <c r="Y19" s="103">
        <v>13.2</v>
      </c>
      <c r="Z19" s="103">
        <v>13.2</v>
      </c>
      <c r="AA19" s="103">
        <v>13.2</v>
      </c>
      <c r="AB19" s="103">
        <v>13.2</v>
      </c>
      <c r="AC19" s="103">
        <v>13.2</v>
      </c>
      <c r="AD19" s="103">
        <v>13.2</v>
      </c>
      <c r="AE19" s="103">
        <v>13.2</v>
      </c>
      <c r="AF19" s="103">
        <v>22.3</v>
      </c>
      <c r="AG19" s="134">
        <v>30</v>
      </c>
      <c r="AH19" s="21">
        <f t="shared" si="2"/>
        <v>22.3</v>
      </c>
      <c r="AI19" s="20">
        <f t="shared" si="3"/>
        <v>13.2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03">
        <v>6.2</v>
      </c>
      <c r="C20" s="103">
        <v>6.2</v>
      </c>
      <c r="D20" s="103">
        <v>6.2</v>
      </c>
      <c r="E20" s="103">
        <v>6.2</v>
      </c>
      <c r="F20" s="103">
        <v>6.2</v>
      </c>
      <c r="G20" s="103">
        <v>6.2</v>
      </c>
      <c r="H20" s="103">
        <v>6.2</v>
      </c>
      <c r="I20" s="103">
        <v>6.2</v>
      </c>
      <c r="J20" s="103">
        <v>6.2</v>
      </c>
      <c r="K20" s="127">
        <v>6.2</v>
      </c>
      <c r="L20" s="127">
        <v>6.2</v>
      </c>
      <c r="M20" s="103">
        <v>6.2</v>
      </c>
      <c r="N20" s="103">
        <v>6.2</v>
      </c>
      <c r="O20" s="103">
        <v>6.2</v>
      </c>
      <c r="P20" s="103">
        <v>6.2</v>
      </c>
      <c r="Q20" s="103">
        <v>6.2</v>
      </c>
      <c r="R20" s="103">
        <v>6.2</v>
      </c>
      <c r="S20" s="103">
        <v>6.2</v>
      </c>
      <c r="T20" s="103">
        <v>6.2</v>
      </c>
      <c r="U20" s="103">
        <v>6.2</v>
      </c>
      <c r="V20" s="103">
        <v>6.2</v>
      </c>
      <c r="W20" s="103">
        <v>6.2</v>
      </c>
      <c r="X20" s="103">
        <v>6.2</v>
      </c>
      <c r="Y20" s="103">
        <v>6.2</v>
      </c>
      <c r="Z20" s="103">
        <v>6.2</v>
      </c>
      <c r="AA20" s="103">
        <v>6.2</v>
      </c>
      <c r="AB20" s="103">
        <v>6.2</v>
      </c>
      <c r="AC20" s="103">
        <v>6.2</v>
      </c>
      <c r="AD20" s="103">
        <v>6.2</v>
      </c>
      <c r="AE20" s="103">
        <v>6.2</v>
      </c>
      <c r="AF20" s="103">
        <v>6.2</v>
      </c>
      <c r="AG20" s="134">
        <v>27</v>
      </c>
      <c r="AH20" s="21">
        <f t="shared" si="2"/>
        <v>6.2</v>
      </c>
      <c r="AI20" s="20">
        <f t="shared" si="3"/>
        <v>6.2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03">
        <v>3.5</v>
      </c>
      <c r="C21" s="103">
        <v>3.5</v>
      </c>
      <c r="D21" s="103">
        <v>3.5</v>
      </c>
      <c r="E21" s="103">
        <v>3.5</v>
      </c>
      <c r="F21" s="103">
        <v>3.5</v>
      </c>
      <c r="G21" s="103">
        <v>3.5</v>
      </c>
      <c r="H21" s="103">
        <v>3.5</v>
      </c>
      <c r="I21" s="103">
        <v>3.5</v>
      </c>
      <c r="J21" s="103">
        <v>3.5</v>
      </c>
      <c r="K21" s="127">
        <v>3.5</v>
      </c>
      <c r="L21" s="127">
        <v>3.5</v>
      </c>
      <c r="M21" s="103">
        <v>3.5</v>
      </c>
      <c r="N21" s="103">
        <v>3.5</v>
      </c>
      <c r="O21" s="103">
        <v>3.5</v>
      </c>
      <c r="P21" s="103">
        <v>3.5</v>
      </c>
      <c r="Q21" s="103">
        <v>3.5</v>
      </c>
      <c r="R21" s="103">
        <v>3.5</v>
      </c>
      <c r="S21" s="103">
        <v>3.5</v>
      </c>
      <c r="T21" s="103">
        <v>3.5</v>
      </c>
      <c r="U21" s="103">
        <v>3.5</v>
      </c>
      <c r="V21" s="103">
        <v>3.5</v>
      </c>
      <c r="W21" s="103">
        <v>3.5</v>
      </c>
      <c r="X21" s="103">
        <v>3.5</v>
      </c>
      <c r="Y21" s="103">
        <v>3.5</v>
      </c>
      <c r="Z21" s="103">
        <v>3.5</v>
      </c>
      <c r="AA21" s="103">
        <v>3.5</v>
      </c>
      <c r="AB21" s="103">
        <v>3.5</v>
      </c>
      <c r="AC21" s="103">
        <v>3.5</v>
      </c>
      <c r="AD21" s="103">
        <v>3.5</v>
      </c>
      <c r="AE21" s="103">
        <v>3.5</v>
      </c>
      <c r="AF21" s="103">
        <v>3.5</v>
      </c>
      <c r="AG21" s="134">
        <v>25</v>
      </c>
      <c r="AH21" s="21">
        <f t="shared" si="2"/>
        <v>3.5</v>
      </c>
      <c r="AI21" s="20">
        <f t="shared" si="3"/>
        <v>3.5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03">
        <v>22</v>
      </c>
      <c r="C22" s="103">
        <v>22</v>
      </c>
      <c r="D22" s="103">
        <v>22</v>
      </c>
      <c r="E22" s="103">
        <v>22</v>
      </c>
      <c r="F22" s="103">
        <v>22</v>
      </c>
      <c r="G22" s="103">
        <v>22</v>
      </c>
      <c r="H22" s="103">
        <v>22</v>
      </c>
      <c r="I22" s="103">
        <v>22</v>
      </c>
      <c r="J22" s="103">
        <v>22</v>
      </c>
      <c r="K22" s="127">
        <v>22</v>
      </c>
      <c r="L22" s="127">
        <v>22</v>
      </c>
      <c r="M22" s="103">
        <v>22</v>
      </c>
      <c r="N22" s="103">
        <v>22</v>
      </c>
      <c r="O22" s="103">
        <v>22</v>
      </c>
      <c r="P22" s="103">
        <v>22</v>
      </c>
      <c r="Q22" s="103">
        <v>22</v>
      </c>
      <c r="R22" s="103">
        <v>22</v>
      </c>
      <c r="S22" s="103">
        <v>22</v>
      </c>
      <c r="T22" s="103">
        <v>22</v>
      </c>
      <c r="U22" s="103">
        <v>22</v>
      </c>
      <c r="V22" s="103">
        <v>22</v>
      </c>
      <c r="W22" s="103">
        <v>22</v>
      </c>
      <c r="X22" s="103">
        <v>22</v>
      </c>
      <c r="Y22" s="103">
        <v>22</v>
      </c>
      <c r="Z22" s="103">
        <v>0</v>
      </c>
      <c r="AA22" s="103">
        <v>0</v>
      </c>
      <c r="AB22" s="103">
        <v>0</v>
      </c>
      <c r="AC22" s="103">
        <v>0</v>
      </c>
      <c r="AD22" s="103">
        <v>0</v>
      </c>
      <c r="AE22" s="103">
        <v>0</v>
      </c>
      <c r="AF22" s="103">
        <v>0</v>
      </c>
      <c r="AG22" s="134">
        <v>25</v>
      </c>
      <c r="AH22" s="21">
        <f t="shared" si="2"/>
        <v>22</v>
      </c>
      <c r="AI22" s="20">
        <f t="shared" si="3"/>
        <v>0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03">
        <v>7.9</v>
      </c>
      <c r="C23" s="103">
        <v>7.9</v>
      </c>
      <c r="D23" s="103">
        <v>7.9</v>
      </c>
      <c r="E23" s="103">
        <v>7.9</v>
      </c>
      <c r="F23" s="103">
        <v>7.9</v>
      </c>
      <c r="G23" s="103">
        <v>7.9</v>
      </c>
      <c r="H23" s="103">
        <v>7.9</v>
      </c>
      <c r="I23" s="103">
        <v>7.9</v>
      </c>
      <c r="J23" s="103">
        <v>7.9</v>
      </c>
      <c r="K23" s="127">
        <v>7.9</v>
      </c>
      <c r="L23" s="127">
        <v>7.9</v>
      </c>
      <c r="M23" s="103">
        <v>7.9</v>
      </c>
      <c r="N23" s="103">
        <v>7.9</v>
      </c>
      <c r="O23" s="103">
        <v>7.9</v>
      </c>
      <c r="P23" s="103">
        <v>7.9</v>
      </c>
      <c r="Q23" s="103">
        <v>7.9</v>
      </c>
      <c r="R23" s="103">
        <v>7.9</v>
      </c>
      <c r="S23" s="103">
        <v>7.9</v>
      </c>
      <c r="T23" s="103">
        <v>7.9</v>
      </c>
      <c r="U23" s="103">
        <v>7.9</v>
      </c>
      <c r="V23" s="103">
        <v>7.9</v>
      </c>
      <c r="W23" s="103">
        <v>7.9</v>
      </c>
      <c r="X23" s="103">
        <v>7.9</v>
      </c>
      <c r="Y23" s="103">
        <v>7.9</v>
      </c>
      <c r="Z23" s="103">
        <v>7.9</v>
      </c>
      <c r="AA23" s="103">
        <v>7.9</v>
      </c>
      <c r="AB23" s="103">
        <v>7.9</v>
      </c>
      <c r="AC23" s="103">
        <v>7.9</v>
      </c>
      <c r="AD23" s="103">
        <v>7.9</v>
      </c>
      <c r="AE23" s="103">
        <v>7.9</v>
      </c>
      <c r="AF23" s="103">
        <v>7.9</v>
      </c>
      <c r="AG23" s="134">
        <v>25</v>
      </c>
      <c r="AH23" s="21">
        <f t="shared" si="2"/>
        <v>7.9</v>
      </c>
      <c r="AI23" s="20">
        <f t="shared" si="3"/>
        <v>7.9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03">
        <v>7</v>
      </c>
      <c r="C24" s="103">
        <v>7</v>
      </c>
      <c r="D24" s="103">
        <v>7</v>
      </c>
      <c r="E24" s="103">
        <v>8.6</v>
      </c>
      <c r="F24" s="103">
        <v>8.6</v>
      </c>
      <c r="G24" s="103">
        <v>8.6</v>
      </c>
      <c r="H24" s="103">
        <v>8.1999999999999993</v>
      </c>
      <c r="I24" s="103">
        <v>8.1999999999999993</v>
      </c>
      <c r="J24" s="103">
        <v>7.6</v>
      </c>
      <c r="K24" s="127">
        <v>7.6</v>
      </c>
      <c r="L24" s="127">
        <v>7.7</v>
      </c>
      <c r="M24" s="103">
        <v>7.7</v>
      </c>
      <c r="N24" s="103">
        <v>7.7</v>
      </c>
      <c r="O24" s="103">
        <v>7.7</v>
      </c>
      <c r="P24" s="103">
        <v>7.7</v>
      </c>
      <c r="Q24" s="103">
        <v>7.7</v>
      </c>
      <c r="R24" s="103">
        <v>7.7</v>
      </c>
      <c r="S24" s="103">
        <v>7.7</v>
      </c>
      <c r="T24" s="103">
        <v>7.7</v>
      </c>
      <c r="U24" s="103">
        <v>7.7</v>
      </c>
      <c r="V24" s="103">
        <v>7.7</v>
      </c>
      <c r="W24" s="103">
        <v>7.7</v>
      </c>
      <c r="X24" s="103">
        <v>7.7</v>
      </c>
      <c r="Y24" s="103">
        <v>7.7</v>
      </c>
      <c r="Z24" s="103">
        <v>5.8</v>
      </c>
      <c r="AA24" s="103">
        <v>5.8</v>
      </c>
      <c r="AB24" s="103">
        <v>5.8</v>
      </c>
      <c r="AC24" s="103">
        <v>5.8</v>
      </c>
      <c r="AD24" s="103">
        <v>5.8</v>
      </c>
      <c r="AE24" s="103">
        <v>5.8</v>
      </c>
      <c r="AF24" s="103">
        <v>5.8</v>
      </c>
      <c r="AG24" s="134">
        <v>25</v>
      </c>
      <c r="AH24" s="21">
        <f t="shared" si="2"/>
        <v>8.6</v>
      </c>
      <c r="AI24" s="20">
        <f t="shared" si="3"/>
        <v>5.8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03">
        <v>10</v>
      </c>
      <c r="C25" s="103">
        <v>10</v>
      </c>
      <c r="D25" s="103">
        <v>10</v>
      </c>
      <c r="E25" s="103">
        <v>10</v>
      </c>
      <c r="F25" s="103">
        <v>10</v>
      </c>
      <c r="G25" s="103">
        <v>10</v>
      </c>
      <c r="H25" s="103">
        <v>10</v>
      </c>
      <c r="I25" s="103">
        <v>10</v>
      </c>
      <c r="J25" s="103">
        <v>10</v>
      </c>
      <c r="K25" s="127">
        <v>10</v>
      </c>
      <c r="L25" s="127">
        <v>10</v>
      </c>
      <c r="M25" s="103">
        <v>10</v>
      </c>
      <c r="N25" s="103">
        <v>10</v>
      </c>
      <c r="O25" s="103">
        <v>10</v>
      </c>
      <c r="P25" s="103">
        <v>10</v>
      </c>
      <c r="Q25" s="103">
        <v>10</v>
      </c>
      <c r="R25" s="103">
        <v>10</v>
      </c>
      <c r="S25" s="103">
        <v>10</v>
      </c>
      <c r="T25" s="103">
        <v>10</v>
      </c>
      <c r="U25" s="103">
        <v>10</v>
      </c>
      <c r="V25" s="103">
        <v>10</v>
      </c>
      <c r="W25" s="103">
        <v>10</v>
      </c>
      <c r="X25" s="103">
        <v>10</v>
      </c>
      <c r="Y25" s="103">
        <v>10</v>
      </c>
      <c r="Z25" s="103">
        <v>7.5</v>
      </c>
      <c r="AA25" s="103">
        <v>7.5</v>
      </c>
      <c r="AB25" s="103">
        <v>7.5</v>
      </c>
      <c r="AC25" s="103">
        <v>7.5</v>
      </c>
      <c r="AD25" s="103">
        <v>7.5</v>
      </c>
      <c r="AE25" s="103">
        <v>7.5</v>
      </c>
      <c r="AF25" s="103">
        <v>9.5</v>
      </c>
      <c r="AG25" s="134">
        <v>24.2</v>
      </c>
      <c r="AH25" s="21">
        <f t="shared" si="2"/>
        <v>10</v>
      </c>
      <c r="AI25" s="20">
        <f t="shared" si="3"/>
        <v>7.5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03">
        <v>11</v>
      </c>
      <c r="C26" s="103">
        <v>11</v>
      </c>
      <c r="D26" s="103">
        <v>11</v>
      </c>
      <c r="E26" s="103">
        <v>11</v>
      </c>
      <c r="F26" s="103">
        <v>11</v>
      </c>
      <c r="G26" s="103">
        <v>11</v>
      </c>
      <c r="H26" s="103">
        <v>11</v>
      </c>
      <c r="I26" s="103">
        <v>11</v>
      </c>
      <c r="J26" s="103">
        <v>11</v>
      </c>
      <c r="K26" s="127">
        <v>11</v>
      </c>
      <c r="L26" s="127">
        <v>11</v>
      </c>
      <c r="M26" s="103">
        <v>11</v>
      </c>
      <c r="N26" s="103">
        <v>11</v>
      </c>
      <c r="O26" s="103">
        <v>11</v>
      </c>
      <c r="P26" s="103">
        <v>11</v>
      </c>
      <c r="Q26" s="103">
        <v>11</v>
      </c>
      <c r="R26" s="103">
        <v>11</v>
      </c>
      <c r="S26" s="103">
        <v>11</v>
      </c>
      <c r="T26" s="103">
        <v>11</v>
      </c>
      <c r="U26" s="103">
        <v>11</v>
      </c>
      <c r="V26" s="103">
        <v>11</v>
      </c>
      <c r="W26" s="103">
        <v>11</v>
      </c>
      <c r="X26" s="103">
        <v>11</v>
      </c>
      <c r="Y26" s="103">
        <v>11</v>
      </c>
      <c r="Z26" s="103">
        <v>11</v>
      </c>
      <c r="AA26" s="103">
        <v>11</v>
      </c>
      <c r="AB26" s="103">
        <v>11</v>
      </c>
      <c r="AC26" s="103">
        <v>11</v>
      </c>
      <c r="AD26" s="103">
        <v>11</v>
      </c>
      <c r="AE26" s="103">
        <v>10</v>
      </c>
      <c r="AF26" s="103">
        <v>10</v>
      </c>
      <c r="AG26" s="134">
        <v>20</v>
      </c>
      <c r="AH26" s="21">
        <f t="shared" si="2"/>
        <v>11</v>
      </c>
      <c r="AI26" s="20">
        <f t="shared" si="3"/>
        <v>10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>
        <v>3.9</v>
      </c>
      <c r="C27" s="127">
        <v>3.9</v>
      </c>
      <c r="D27" s="127">
        <v>3.9</v>
      </c>
      <c r="E27" s="127">
        <v>3.9</v>
      </c>
      <c r="F27" s="127">
        <v>3.9</v>
      </c>
      <c r="G27" s="127">
        <v>3.9</v>
      </c>
      <c r="H27" s="127">
        <v>3.9</v>
      </c>
      <c r="I27" s="127">
        <v>3.9</v>
      </c>
      <c r="J27" s="127">
        <v>3.9</v>
      </c>
      <c r="K27" s="127">
        <v>3.9</v>
      </c>
      <c r="L27" s="127">
        <v>3.9</v>
      </c>
      <c r="M27" s="103">
        <v>3.9</v>
      </c>
      <c r="N27" s="103">
        <v>3.9</v>
      </c>
      <c r="O27" s="103">
        <v>3.9</v>
      </c>
      <c r="P27" s="103">
        <v>3.9</v>
      </c>
      <c r="Q27" s="103">
        <v>3.9</v>
      </c>
      <c r="R27" s="103">
        <v>3.9</v>
      </c>
      <c r="S27" s="103">
        <v>3.9</v>
      </c>
      <c r="T27" s="103">
        <v>3.9</v>
      </c>
      <c r="U27" s="103">
        <v>3.9</v>
      </c>
      <c r="V27" s="103">
        <v>3.9</v>
      </c>
      <c r="W27" s="103">
        <v>3.9</v>
      </c>
      <c r="X27" s="103">
        <v>3.9</v>
      </c>
      <c r="Y27" s="103">
        <v>3.9</v>
      </c>
      <c r="Z27" s="103">
        <v>3.9</v>
      </c>
      <c r="AA27" s="103">
        <v>3.9</v>
      </c>
      <c r="AB27" s="103">
        <v>3.9</v>
      </c>
      <c r="AC27" s="103">
        <v>3.9</v>
      </c>
      <c r="AD27" s="127">
        <v>3.9</v>
      </c>
      <c r="AE27" s="127">
        <v>3.9</v>
      </c>
      <c r="AF27" s="127">
        <v>3.9</v>
      </c>
      <c r="AG27" s="134">
        <v>23.5</v>
      </c>
      <c r="AH27" s="21">
        <f t="shared" si="2"/>
        <v>3.9</v>
      </c>
      <c r="AI27" s="20">
        <f t="shared" si="3"/>
        <v>3.9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03">
        <v>0</v>
      </c>
      <c r="C28" s="103">
        <v>0</v>
      </c>
      <c r="D28" s="103">
        <v>0</v>
      </c>
      <c r="E28" s="103">
        <v>0</v>
      </c>
      <c r="F28" s="103">
        <v>0</v>
      </c>
      <c r="G28" s="103">
        <v>0</v>
      </c>
      <c r="H28" s="103">
        <v>0</v>
      </c>
      <c r="I28" s="103">
        <v>0</v>
      </c>
      <c r="J28" s="103">
        <v>0</v>
      </c>
      <c r="K28" s="127">
        <v>0</v>
      </c>
      <c r="L28" s="127">
        <v>0</v>
      </c>
      <c r="M28" s="103">
        <v>0</v>
      </c>
      <c r="N28" s="103">
        <v>0</v>
      </c>
      <c r="O28" s="103">
        <v>0</v>
      </c>
      <c r="P28" s="103">
        <v>0</v>
      </c>
      <c r="Q28" s="103">
        <v>0</v>
      </c>
      <c r="R28" s="103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34">
        <v>22.2</v>
      </c>
      <c r="AH28" s="21">
        <f t="shared" si="2"/>
        <v>0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03">
        <v>4.5999999999999996</v>
      </c>
      <c r="C29" s="103">
        <v>4.5999999999999996</v>
      </c>
      <c r="D29" s="103">
        <v>4.5999999999999996</v>
      </c>
      <c r="E29" s="103">
        <v>4.5999999999999996</v>
      </c>
      <c r="F29" s="103">
        <v>4.5999999999999996</v>
      </c>
      <c r="G29" s="103">
        <v>4.5999999999999996</v>
      </c>
      <c r="H29" s="103">
        <v>4.5999999999999996</v>
      </c>
      <c r="I29" s="103">
        <v>4.5999999999999996</v>
      </c>
      <c r="J29" s="103">
        <v>4.5999999999999996</v>
      </c>
      <c r="K29" s="127">
        <v>4.5999999999999996</v>
      </c>
      <c r="L29" s="127">
        <v>4.5999999999999996</v>
      </c>
      <c r="M29" s="103">
        <v>4.5999999999999996</v>
      </c>
      <c r="N29" s="103">
        <v>4.5999999999999996</v>
      </c>
      <c r="O29" s="103">
        <v>4.5999999999999996</v>
      </c>
      <c r="P29" s="103">
        <v>4.5999999999999996</v>
      </c>
      <c r="Q29" s="103">
        <v>4.5999999999999996</v>
      </c>
      <c r="R29" s="103">
        <v>4.5999999999999996</v>
      </c>
      <c r="S29" s="103">
        <v>4.5999999999999996</v>
      </c>
      <c r="T29" s="103">
        <v>4.5999999999999996</v>
      </c>
      <c r="U29" s="103">
        <v>4.5999999999999996</v>
      </c>
      <c r="V29" s="103">
        <v>4.5999999999999996</v>
      </c>
      <c r="W29" s="103">
        <v>4.5999999999999996</v>
      </c>
      <c r="X29" s="103">
        <v>4.5999999999999996</v>
      </c>
      <c r="Y29" s="103">
        <v>4.5999999999999996</v>
      </c>
      <c r="Z29" s="103">
        <v>4.5999999999999996</v>
      </c>
      <c r="AA29" s="103">
        <v>4.5999999999999996</v>
      </c>
      <c r="AB29" s="103">
        <v>4.5999999999999996</v>
      </c>
      <c r="AC29" s="103">
        <v>4.5999999999999996</v>
      </c>
      <c r="AD29" s="103">
        <v>4.5999999999999996</v>
      </c>
      <c r="AE29" s="103">
        <v>4.5999999999999996</v>
      </c>
      <c r="AF29" s="103">
        <v>4.5999999999999996</v>
      </c>
      <c r="AG29" s="134">
        <v>22.1</v>
      </c>
      <c r="AH29" s="21">
        <f t="shared" si="2"/>
        <v>4.5999999999999996</v>
      </c>
      <c r="AI29" s="20">
        <f t="shared" si="3"/>
        <v>4.5999999999999996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03">
        <v>10</v>
      </c>
      <c r="C30" s="103">
        <v>10</v>
      </c>
      <c r="D30" s="103">
        <v>10</v>
      </c>
      <c r="E30" s="103">
        <v>10</v>
      </c>
      <c r="F30" s="103">
        <v>10</v>
      </c>
      <c r="G30" s="103">
        <v>10</v>
      </c>
      <c r="H30" s="103">
        <v>10</v>
      </c>
      <c r="I30" s="103">
        <v>10</v>
      </c>
      <c r="J30" s="103">
        <v>10</v>
      </c>
      <c r="K30" s="127">
        <v>10</v>
      </c>
      <c r="L30" s="127">
        <v>10</v>
      </c>
      <c r="M30" s="103">
        <v>10</v>
      </c>
      <c r="N30" s="103">
        <v>10</v>
      </c>
      <c r="O30" s="103">
        <v>10</v>
      </c>
      <c r="P30" s="103">
        <v>10</v>
      </c>
      <c r="Q30" s="103">
        <v>10</v>
      </c>
      <c r="R30" s="103">
        <v>10</v>
      </c>
      <c r="S30" s="103">
        <v>10</v>
      </c>
      <c r="T30" s="103">
        <v>10</v>
      </c>
      <c r="U30" s="103">
        <v>10</v>
      </c>
      <c r="V30" s="103">
        <v>10</v>
      </c>
      <c r="W30" s="103">
        <v>10</v>
      </c>
      <c r="X30" s="103">
        <v>10</v>
      </c>
      <c r="Y30" s="103">
        <v>10</v>
      </c>
      <c r="Z30" s="103">
        <v>10</v>
      </c>
      <c r="AA30" s="103">
        <v>10</v>
      </c>
      <c r="AB30" s="103">
        <v>10</v>
      </c>
      <c r="AC30" s="103">
        <v>10</v>
      </c>
      <c r="AD30" s="103">
        <v>10</v>
      </c>
      <c r="AE30" s="103">
        <v>10</v>
      </c>
      <c r="AF30" s="103">
        <v>10</v>
      </c>
      <c r="AG30" s="134">
        <v>22.1</v>
      </c>
      <c r="AH30" s="21">
        <f t="shared" si="2"/>
        <v>10</v>
      </c>
      <c r="AI30" s="20">
        <f t="shared" si="3"/>
        <v>10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03">
        <v>6</v>
      </c>
      <c r="C31" s="103">
        <v>6</v>
      </c>
      <c r="D31" s="103">
        <v>6</v>
      </c>
      <c r="E31" s="103">
        <v>6</v>
      </c>
      <c r="F31" s="103">
        <v>6</v>
      </c>
      <c r="G31" s="103">
        <v>6</v>
      </c>
      <c r="H31" s="103">
        <v>6</v>
      </c>
      <c r="I31" s="103">
        <v>6</v>
      </c>
      <c r="J31" s="103">
        <v>6</v>
      </c>
      <c r="K31" s="123">
        <v>6</v>
      </c>
      <c r="L31" s="123">
        <v>6</v>
      </c>
      <c r="M31" s="103">
        <v>6</v>
      </c>
      <c r="N31" s="103">
        <v>6</v>
      </c>
      <c r="O31" s="103">
        <v>6</v>
      </c>
      <c r="P31" s="103">
        <v>6</v>
      </c>
      <c r="Q31" s="103">
        <v>6</v>
      </c>
      <c r="R31" s="103">
        <v>6</v>
      </c>
      <c r="S31" s="103">
        <v>6</v>
      </c>
      <c r="T31" s="103">
        <v>6</v>
      </c>
      <c r="U31" s="103">
        <v>6</v>
      </c>
      <c r="V31" s="103">
        <v>6</v>
      </c>
      <c r="W31" s="103">
        <v>6</v>
      </c>
      <c r="X31" s="103">
        <v>6</v>
      </c>
      <c r="Y31" s="103">
        <v>6</v>
      </c>
      <c r="Z31" s="103">
        <v>6</v>
      </c>
      <c r="AA31" s="103">
        <v>6</v>
      </c>
      <c r="AB31" s="103">
        <v>6</v>
      </c>
      <c r="AC31" s="103">
        <v>6</v>
      </c>
      <c r="AD31" s="103">
        <v>6</v>
      </c>
      <c r="AE31" s="103">
        <v>6</v>
      </c>
      <c r="AF31" s="103">
        <v>6</v>
      </c>
      <c r="AG31" s="108">
        <v>22</v>
      </c>
      <c r="AH31" s="21">
        <f t="shared" si="2"/>
        <v>6</v>
      </c>
      <c r="AI31" s="20">
        <f t="shared" si="3"/>
        <v>6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03">
        <v>3.7</v>
      </c>
      <c r="C32" s="103">
        <v>3.7</v>
      </c>
      <c r="D32" s="103">
        <v>3.7</v>
      </c>
      <c r="E32" s="103">
        <v>3.7</v>
      </c>
      <c r="F32" s="103">
        <v>3.7</v>
      </c>
      <c r="G32" s="103">
        <v>3.7</v>
      </c>
      <c r="H32" s="103">
        <v>3.7</v>
      </c>
      <c r="I32" s="103">
        <v>3.7</v>
      </c>
      <c r="J32" s="103">
        <v>3.7</v>
      </c>
      <c r="K32" s="123">
        <v>3.7</v>
      </c>
      <c r="L32" s="123">
        <v>3.7</v>
      </c>
      <c r="M32" s="103">
        <v>3.7</v>
      </c>
      <c r="N32" s="103">
        <v>3.7</v>
      </c>
      <c r="O32" s="103">
        <v>3.7</v>
      </c>
      <c r="P32" s="103">
        <v>3.7</v>
      </c>
      <c r="Q32" s="103">
        <v>3.7</v>
      </c>
      <c r="R32" s="103">
        <v>3.7</v>
      </c>
      <c r="S32" s="103">
        <v>3.7</v>
      </c>
      <c r="T32" s="103">
        <v>3.7</v>
      </c>
      <c r="U32" s="103">
        <v>3.7</v>
      </c>
      <c r="V32" s="103">
        <v>3.7</v>
      </c>
      <c r="W32" s="103">
        <v>3.7</v>
      </c>
      <c r="X32" s="103">
        <v>3.7</v>
      </c>
      <c r="Y32" s="103">
        <v>3.7</v>
      </c>
      <c r="Z32" s="103">
        <v>3.7</v>
      </c>
      <c r="AA32" s="103">
        <v>3.7</v>
      </c>
      <c r="AB32" s="103">
        <v>3.7</v>
      </c>
      <c r="AC32" s="103">
        <v>3.7</v>
      </c>
      <c r="AD32" s="103">
        <v>3.7</v>
      </c>
      <c r="AE32" s="103">
        <v>3.7</v>
      </c>
      <c r="AF32" s="103">
        <v>3.7</v>
      </c>
      <c r="AG32" s="106">
        <v>22</v>
      </c>
      <c r="AH32" s="21">
        <f t="shared" si="2"/>
        <v>3.7</v>
      </c>
      <c r="AI32" s="20">
        <f t="shared" si="3"/>
        <v>3.7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03">
        <v>2.5</v>
      </c>
      <c r="C33" s="103">
        <v>2.5</v>
      </c>
      <c r="D33" s="103">
        <v>2.5</v>
      </c>
      <c r="E33" s="103">
        <v>2.5</v>
      </c>
      <c r="F33" s="103">
        <v>2.5</v>
      </c>
      <c r="G33" s="103">
        <v>2.5</v>
      </c>
      <c r="H33" s="103">
        <v>2.5</v>
      </c>
      <c r="I33" s="103">
        <v>2.5</v>
      </c>
      <c r="J33" s="103">
        <v>2.5</v>
      </c>
      <c r="K33" s="123">
        <v>2.5</v>
      </c>
      <c r="L33" s="123">
        <v>2.5</v>
      </c>
      <c r="M33" s="103">
        <v>2.5</v>
      </c>
      <c r="N33" s="103">
        <v>2.5</v>
      </c>
      <c r="O33" s="103">
        <v>2.5</v>
      </c>
      <c r="P33" s="103">
        <v>2.5</v>
      </c>
      <c r="Q33" s="103">
        <v>2.5</v>
      </c>
      <c r="R33" s="103">
        <v>2.5</v>
      </c>
      <c r="S33" s="103">
        <v>2.5</v>
      </c>
      <c r="T33" s="103">
        <v>2.5</v>
      </c>
      <c r="U33" s="103">
        <v>2.5</v>
      </c>
      <c r="V33" s="103">
        <v>2.5</v>
      </c>
      <c r="W33" s="103">
        <v>2.5</v>
      </c>
      <c r="X33" s="103">
        <v>2.5</v>
      </c>
      <c r="Y33" s="103">
        <v>2.5</v>
      </c>
      <c r="Z33" s="103">
        <v>2.5</v>
      </c>
      <c r="AA33" s="103">
        <v>2.5</v>
      </c>
      <c r="AB33" s="103">
        <v>2.5</v>
      </c>
      <c r="AC33" s="103">
        <v>2.5</v>
      </c>
      <c r="AD33" s="103">
        <v>2.5</v>
      </c>
      <c r="AE33" s="103">
        <v>2.5</v>
      </c>
      <c r="AF33" s="103">
        <v>2.5</v>
      </c>
      <c r="AG33" s="106">
        <v>11</v>
      </c>
      <c r="AH33" s="21">
        <f t="shared" si="2"/>
        <v>2.5</v>
      </c>
      <c r="AI33" s="20">
        <f t="shared" si="3"/>
        <v>2.5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03">
        <v>5</v>
      </c>
      <c r="C34" s="103">
        <v>5</v>
      </c>
      <c r="D34" s="103">
        <v>5</v>
      </c>
      <c r="E34" s="103">
        <v>5</v>
      </c>
      <c r="F34" s="103">
        <v>5</v>
      </c>
      <c r="G34" s="103">
        <v>5</v>
      </c>
      <c r="H34" s="103">
        <v>5</v>
      </c>
      <c r="I34" s="103">
        <v>5</v>
      </c>
      <c r="J34" s="103">
        <v>5</v>
      </c>
      <c r="K34" s="123">
        <v>5</v>
      </c>
      <c r="L34" s="123">
        <v>5</v>
      </c>
      <c r="M34" s="103">
        <v>5</v>
      </c>
      <c r="N34" s="103">
        <v>5</v>
      </c>
      <c r="O34" s="103">
        <v>5</v>
      </c>
      <c r="P34" s="103">
        <v>5</v>
      </c>
      <c r="Q34" s="103">
        <v>5</v>
      </c>
      <c r="R34" s="103">
        <v>5</v>
      </c>
      <c r="S34" s="103">
        <v>5</v>
      </c>
      <c r="T34" s="103">
        <v>5</v>
      </c>
      <c r="U34" s="103">
        <v>5</v>
      </c>
      <c r="V34" s="103">
        <v>5</v>
      </c>
      <c r="W34" s="103">
        <v>5</v>
      </c>
      <c r="X34" s="103">
        <v>5</v>
      </c>
      <c r="Y34" s="103">
        <v>5</v>
      </c>
      <c r="Z34" s="103">
        <v>5</v>
      </c>
      <c r="AA34" s="103">
        <v>5</v>
      </c>
      <c r="AB34" s="103">
        <v>5</v>
      </c>
      <c r="AC34" s="103">
        <v>5</v>
      </c>
      <c r="AD34" s="103">
        <v>5</v>
      </c>
      <c r="AE34" s="103">
        <v>5</v>
      </c>
      <c r="AF34" s="103">
        <v>5</v>
      </c>
      <c r="AG34" s="106">
        <v>20</v>
      </c>
      <c r="AH34" s="21">
        <f t="shared" si="2"/>
        <v>5</v>
      </c>
      <c r="AI34" s="20">
        <f t="shared" si="3"/>
        <v>5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03">
        <v>5</v>
      </c>
      <c r="C35" s="103">
        <v>5</v>
      </c>
      <c r="D35" s="103">
        <v>5</v>
      </c>
      <c r="E35" s="103">
        <v>5</v>
      </c>
      <c r="F35" s="103">
        <v>5</v>
      </c>
      <c r="G35" s="103">
        <v>5</v>
      </c>
      <c r="H35" s="103">
        <v>5</v>
      </c>
      <c r="I35" s="103">
        <v>5</v>
      </c>
      <c r="J35" s="103">
        <v>5</v>
      </c>
      <c r="K35" s="123">
        <v>5</v>
      </c>
      <c r="L35" s="123">
        <v>5</v>
      </c>
      <c r="M35" s="103">
        <v>5</v>
      </c>
      <c r="N35" s="103">
        <v>5</v>
      </c>
      <c r="O35" s="103">
        <v>5</v>
      </c>
      <c r="P35" s="103">
        <v>5</v>
      </c>
      <c r="Q35" s="103">
        <v>5</v>
      </c>
      <c r="R35" s="103">
        <v>5</v>
      </c>
      <c r="S35" s="103">
        <v>5</v>
      </c>
      <c r="T35" s="103">
        <v>5</v>
      </c>
      <c r="U35" s="103">
        <v>5</v>
      </c>
      <c r="V35" s="103">
        <v>5</v>
      </c>
      <c r="W35" s="103">
        <v>5</v>
      </c>
      <c r="X35" s="103">
        <v>5</v>
      </c>
      <c r="Y35" s="103">
        <v>5</v>
      </c>
      <c r="Z35" s="103">
        <v>5</v>
      </c>
      <c r="AA35" s="103">
        <v>5</v>
      </c>
      <c r="AB35" s="103">
        <v>0</v>
      </c>
      <c r="AC35" s="103">
        <v>0</v>
      </c>
      <c r="AD35" s="103">
        <v>0</v>
      </c>
      <c r="AE35" s="103">
        <v>0</v>
      </c>
      <c r="AF35" s="103">
        <v>0</v>
      </c>
      <c r="AG35" s="106">
        <v>15.33</v>
      </c>
      <c r="AH35" s="21">
        <f t="shared" si="2"/>
        <v>5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>
        <v>170</v>
      </c>
      <c r="C36" s="123">
        <v>170</v>
      </c>
      <c r="D36" s="123">
        <v>170</v>
      </c>
      <c r="E36" s="123">
        <v>170</v>
      </c>
      <c r="F36" s="123">
        <v>170</v>
      </c>
      <c r="G36" s="123">
        <v>170</v>
      </c>
      <c r="H36" s="123">
        <v>170</v>
      </c>
      <c r="I36" s="123">
        <v>170</v>
      </c>
      <c r="J36" s="123">
        <v>170</v>
      </c>
      <c r="K36" s="123">
        <v>170</v>
      </c>
      <c r="L36" s="123">
        <v>170</v>
      </c>
      <c r="M36" s="123">
        <v>170</v>
      </c>
      <c r="N36" s="123">
        <v>170</v>
      </c>
      <c r="O36" s="123">
        <v>170</v>
      </c>
      <c r="P36" s="123">
        <v>170</v>
      </c>
      <c r="Q36" s="123">
        <v>170</v>
      </c>
      <c r="R36" s="123">
        <v>170</v>
      </c>
      <c r="S36" s="123">
        <v>170</v>
      </c>
      <c r="T36" s="123">
        <v>170</v>
      </c>
      <c r="U36" s="123">
        <v>170</v>
      </c>
      <c r="V36" s="123">
        <v>170</v>
      </c>
      <c r="W36" s="123">
        <v>170</v>
      </c>
      <c r="X36" s="123">
        <v>170</v>
      </c>
      <c r="Y36" s="123">
        <v>170</v>
      </c>
      <c r="Z36" s="123">
        <v>160</v>
      </c>
      <c r="AA36" s="123">
        <v>160</v>
      </c>
      <c r="AB36" s="123">
        <v>160</v>
      </c>
      <c r="AC36" s="123">
        <v>160</v>
      </c>
      <c r="AD36" s="123">
        <v>160</v>
      </c>
      <c r="AE36" s="123">
        <v>160</v>
      </c>
      <c r="AF36" s="123">
        <v>160</v>
      </c>
      <c r="AG36" s="106">
        <v>85</v>
      </c>
      <c r="AH36" s="21">
        <f t="shared" si="2"/>
        <v>170</v>
      </c>
      <c r="AI36" s="20">
        <f t="shared" si="3"/>
        <v>160</v>
      </c>
      <c r="AK36" s="42"/>
    </row>
    <row r="37" spans="1:88" ht="15.75" thickBot="1" x14ac:dyDescent="0.3">
      <c r="A37" s="129" t="s">
        <v>174</v>
      </c>
      <c r="B37" s="128">
        <f>31.1+29.3</f>
        <v>60.400000000000006</v>
      </c>
      <c r="C37" s="128">
        <f>31.1+29.3</f>
        <v>60.400000000000006</v>
      </c>
      <c r="D37" s="128">
        <f>30.9+26.8</f>
        <v>57.7</v>
      </c>
      <c r="E37" s="123">
        <f>25.9+31.8</f>
        <v>57.7</v>
      </c>
      <c r="F37" s="123">
        <f>32+27.6</f>
        <v>59.6</v>
      </c>
      <c r="G37" s="123">
        <f>24.6+32</f>
        <v>56.6</v>
      </c>
      <c r="H37" s="123">
        <f>24.6+31.8</f>
        <v>56.400000000000006</v>
      </c>
      <c r="I37" s="123">
        <f>24.9+31.2</f>
        <v>56.099999999999994</v>
      </c>
      <c r="J37" s="123">
        <f>19.8+31.2</f>
        <v>51</v>
      </c>
      <c r="K37" s="123">
        <v>51</v>
      </c>
      <c r="L37" s="123">
        <f>24.8+31.5</f>
        <v>56.3</v>
      </c>
      <c r="M37" s="128">
        <f>30.3+26.1</f>
        <v>56.400000000000006</v>
      </c>
      <c r="N37" s="128">
        <f>29.7+27.4</f>
        <v>57.099999999999994</v>
      </c>
      <c r="O37" s="128">
        <f>30+19.6</f>
        <v>49.6</v>
      </c>
      <c r="P37" s="128">
        <f>29.9+15.8</f>
        <v>45.7</v>
      </c>
      <c r="Q37" s="128">
        <v>49</v>
      </c>
      <c r="R37" s="128">
        <f>30.1+27.5</f>
        <v>57.6</v>
      </c>
      <c r="S37" s="128">
        <f>30.8+28.7</f>
        <v>59.5</v>
      </c>
      <c r="T37" s="128">
        <f>30.5+28.5</f>
        <v>59</v>
      </c>
      <c r="U37" s="128">
        <f>30+28.8</f>
        <v>58.8</v>
      </c>
      <c r="V37" s="128">
        <v>53.6</v>
      </c>
      <c r="W37" s="128">
        <f>31.8+22.7</f>
        <v>54.5</v>
      </c>
      <c r="X37" s="128">
        <f>25.8+21</f>
        <v>46.8</v>
      </c>
      <c r="Y37" s="128">
        <f>25.2+10.1</f>
        <v>35.299999999999997</v>
      </c>
      <c r="Z37" s="128">
        <v>41.1</v>
      </c>
      <c r="AA37" s="128">
        <f>29.8+19.4</f>
        <v>49.2</v>
      </c>
      <c r="AB37" s="128">
        <v>59.2</v>
      </c>
      <c r="AC37" s="128">
        <v>59.3</v>
      </c>
      <c r="AD37" s="128">
        <v>59.5</v>
      </c>
      <c r="AE37" s="128">
        <v>38</v>
      </c>
      <c r="AF37" s="123">
        <v>36</v>
      </c>
      <c r="AG37" s="106">
        <v>240</v>
      </c>
      <c r="AH37" s="21">
        <f t="shared" si="2"/>
        <v>60.400000000000006</v>
      </c>
      <c r="AI37" s="20">
        <f t="shared" si="3"/>
        <v>35.299999999999997</v>
      </c>
      <c r="AK37" s="42"/>
    </row>
    <row r="38" spans="1:88" ht="15.75" thickBot="1" x14ac:dyDescent="0.3">
      <c r="A38" s="100" t="s">
        <v>173</v>
      </c>
      <c r="B38" s="99">
        <f t="shared" ref="B38" si="4">SUM(B11:B36)</f>
        <v>652.69999999999993</v>
      </c>
      <c r="C38" s="99">
        <f t="shared" ref="C38:AF38" si="5">SUM(C11:C36)</f>
        <v>592.69999999999993</v>
      </c>
      <c r="D38" s="99">
        <f t="shared" si="5"/>
        <v>632.69999999999993</v>
      </c>
      <c r="E38" s="99">
        <f t="shared" si="5"/>
        <v>534.79999999999995</v>
      </c>
      <c r="F38" s="99">
        <f t="shared" si="5"/>
        <v>514.79999999999995</v>
      </c>
      <c r="G38" s="99">
        <f t="shared" si="5"/>
        <v>494.8</v>
      </c>
      <c r="H38" s="99">
        <f t="shared" si="5"/>
        <v>494.4</v>
      </c>
      <c r="I38" s="99">
        <f t="shared" si="5"/>
        <v>494.4</v>
      </c>
      <c r="J38" s="99">
        <f t="shared" si="5"/>
        <v>498.8</v>
      </c>
      <c r="K38" s="99">
        <f t="shared" si="5"/>
        <v>498.8</v>
      </c>
      <c r="L38" s="99">
        <f t="shared" si="5"/>
        <v>498.9</v>
      </c>
      <c r="M38" s="99">
        <f t="shared" si="5"/>
        <v>490.59999999999997</v>
      </c>
      <c r="N38" s="99">
        <f t="shared" si="5"/>
        <v>450.59999999999997</v>
      </c>
      <c r="O38" s="99">
        <f t="shared" si="5"/>
        <v>430.59999999999997</v>
      </c>
      <c r="P38" s="99">
        <f t="shared" si="5"/>
        <v>450.59999999999997</v>
      </c>
      <c r="Q38" s="99">
        <f t="shared" si="5"/>
        <v>447.89999999999992</v>
      </c>
      <c r="R38" s="99">
        <f t="shared" si="5"/>
        <v>447.89999999999992</v>
      </c>
      <c r="S38" s="99">
        <f t="shared" si="5"/>
        <v>447.89999999999992</v>
      </c>
      <c r="T38" s="99">
        <f t="shared" si="5"/>
        <v>447.89999999999992</v>
      </c>
      <c r="U38" s="99">
        <f t="shared" si="5"/>
        <v>527.9</v>
      </c>
      <c r="V38" s="99">
        <f t="shared" si="5"/>
        <v>580</v>
      </c>
      <c r="W38" s="99">
        <f t="shared" si="5"/>
        <v>600</v>
      </c>
      <c r="X38" s="99">
        <f t="shared" si="5"/>
        <v>550</v>
      </c>
      <c r="Y38" s="99">
        <f t="shared" si="5"/>
        <v>800.00000000000011</v>
      </c>
      <c r="Z38" s="99">
        <f t="shared" si="5"/>
        <v>819.6</v>
      </c>
      <c r="AA38" s="99">
        <f t="shared" si="5"/>
        <v>819.6</v>
      </c>
      <c r="AB38" s="99">
        <f t="shared" si="5"/>
        <v>820.6</v>
      </c>
      <c r="AC38" s="99">
        <f t="shared" si="5"/>
        <v>820.6</v>
      </c>
      <c r="AD38" s="99">
        <f t="shared" si="5"/>
        <v>744.59999999999991</v>
      </c>
      <c r="AE38" s="99">
        <f t="shared" si="5"/>
        <v>695.4</v>
      </c>
      <c r="AF38" s="99">
        <f t="shared" si="5"/>
        <v>656.5</v>
      </c>
      <c r="AG38" s="106">
        <f>SUM(AG11:AG37)</f>
        <v>1492.8299999999997</v>
      </c>
      <c r="AH38" s="21">
        <f t="shared" si="2"/>
        <v>820.6</v>
      </c>
      <c r="AI38" s="20">
        <f t="shared" si="3"/>
        <v>430.59999999999997</v>
      </c>
      <c r="AK38" s="42"/>
    </row>
    <row r="39" spans="1:88" x14ac:dyDescent="0.25">
      <c r="A39" s="109" t="s">
        <v>172</v>
      </c>
      <c r="B39" s="103">
        <v>145</v>
      </c>
      <c r="C39" s="103">
        <v>135</v>
      </c>
      <c r="D39" s="123">
        <v>145</v>
      </c>
      <c r="E39" s="123">
        <v>105.8</v>
      </c>
      <c r="F39" s="123">
        <v>106.4</v>
      </c>
      <c r="G39" s="123">
        <v>97</v>
      </c>
      <c r="H39" s="123">
        <v>97.1</v>
      </c>
      <c r="I39" s="123">
        <v>97.1</v>
      </c>
      <c r="J39" s="123">
        <v>85</v>
      </c>
      <c r="K39" s="123">
        <v>91.1</v>
      </c>
      <c r="L39" s="123">
        <v>91</v>
      </c>
      <c r="M39" s="103">
        <v>91.2</v>
      </c>
      <c r="N39" s="103">
        <v>91</v>
      </c>
      <c r="O39" s="103">
        <v>96.1</v>
      </c>
      <c r="P39" s="103">
        <v>131.5</v>
      </c>
      <c r="Q39" s="103">
        <v>111</v>
      </c>
      <c r="R39" s="103">
        <v>121.5</v>
      </c>
      <c r="S39" s="103">
        <v>131.5</v>
      </c>
      <c r="T39" s="103">
        <v>100.2</v>
      </c>
      <c r="U39" s="103">
        <v>91</v>
      </c>
      <c r="V39" s="103">
        <v>101.6</v>
      </c>
      <c r="W39" s="103">
        <v>101.2</v>
      </c>
      <c r="X39" s="103">
        <v>135.30000000000001</v>
      </c>
      <c r="Y39" s="103">
        <v>145</v>
      </c>
      <c r="Z39" s="103">
        <v>145.1</v>
      </c>
      <c r="AA39" s="103">
        <v>144.69999999999999</v>
      </c>
      <c r="AB39" s="103">
        <v>144.4</v>
      </c>
      <c r="AC39" s="103">
        <v>144.4</v>
      </c>
      <c r="AD39" s="103">
        <v>144.30000000000001</v>
      </c>
      <c r="AE39" s="103">
        <v>131.5</v>
      </c>
      <c r="AF39" s="127">
        <v>112.4</v>
      </c>
      <c r="AG39" s="108">
        <v>144</v>
      </c>
      <c r="AH39" s="21">
        <f t="shared" si="2"/>
        <v>145.1</v>
      </c>
      <c r="AI39" s="20">
        <f t="shared" si="3"/>
        <v>85</v>
      </c>
      <c r="AK39" s="42"/>
    </row>
    <row r="40" spans="1:88" x14ac:dyDescent="0.25">
      <c r="A40" s="107" t="s">
        <v>171</v>
      </c>
      <c r="B40" s="73">
        <v>70.7</v>
      </c>
      <c r="C40" s="73">
        <v>70.7</v>
      </c>
      <c r="D40" s="123">
        <v>67.900000000000006</v>
      </c>
      <c r="E40" s="123">
        <v>60.3</v>
      </c>
      <c r="F40" s="123">
        <v>60.4</v>
      </c>
      <c r="G40" s="123">
        <v>50.5</v>
      </c>
      <c r="H40" s="123">
        <v>51.8</v>
      </c>
      <c r="I40" s="123">
        <v>53.8</v>
      </c>
      <c r="J40" s="123">
        <v>50.9</v>
      </c>
      <c r="K40" s="123">
        <v>50.9</v>
      </c>
      <c r="L40" s="123">
        <v>59.5</v>
      </c>
      <c r="M40" s="73">
        <v>59.1</v>
      </c>
      <c r="N40" s="73">
        <v>69.099999999999994</v>
      </c>
      <c r="O40" s="73">
        <v>69.599999999999994</v>
      </c>
      <c r="P40" s="73">
        <v>70.5</v>
      </c>
      <c r="Q40" s="73">
        <v>70</v>
      </c>
      <c r="R40" s="73">
        <v>55.7</v>
      </c>
      <c r="S40" s="73">
        <v>61.6</v>
      </c>
      <c r="T40" s="73">
        <v>30</v>
      </c>
      <c r="U40" s="73">
        <v>34.700000000000003</v>
      </c>
      <c r="V40" s="73">
        <v>35.4</v>
      </c>
      <c r="W40" s="73">
        <v>35.4</v>
      </c>
      <c r="X40" s="73">
        <v>55.5</v>
      </c>
      <c r="Y40" s="73">
        <v>69.5</v>
      </c>
      <c r="Z40" s="73">
        <v>69.599999999999994</v>
      </c>
      <c r="AA40" s="73">
        <v>71.2</v>
      </c>
      <c r="AB40" s="73">
        <v>69.5</v>
      </c>
      <c r="AC40" s="73">
        <v>70.7</v>
      </c>
      <c r="AD40" s="73">
        <v>69.8</v>
      </c>
      <c r="AE40" s="73">
        <v>71.599999999999994</v>
      </c>
      <c r="AF40" s="123">
        <v>58.2</v>
      </c>
      <c r="AG40" s="106">
        <v>70</v>
      </c>
      <c r="AH40" s="21">
        <f t="shared" si="2"/>
        <v>71.599999999999994</v>
      </c>
      <c r="AI40" s="20">
        <f t="shared" si="3"/>
        <v>30</v>
      </c>
      <c r="AK40" s="42"/>
    </row>
    <row r="41" spans="1:88" x14ac:dyDescent="0.25">
      <c r="A41" s="107" t="s">
        <v>170</v>
      </c>
      <c r="B41" s="73">
        <v>67.8</v>
      </c>
      <c r="C41" s="73">
        <v>67.8</v>
      </c>
      <c r="D41" s="123">
        <v>68.099999999999994</v>
      </c>
      <c r="E41" s="123">
        <v>62</v>
      </c>
      <c r="F41" s="123">
        <v>61.9</v>
      </c>
      <c r="G41" s="123">
        <v>62.2</v>
      </c>
      <c r="H41" s="123">
        <v>62.2</v>
      </c>
      <c r="I41" s="123">
        <v>62.1</v>
      </c>
      <c r="J41" s="123">
        <v>62.4</v>
      </c>
      <c r="K41" s="123">
        <v>62.4</v>
      </c>
      <c r="L41" s="123">
        <v>62.4</v>
      </c>
      <c r="M41" s="73">
        <v>68</v>
      </c>
      <c r="N41" s="73">
        <v>57.4</v>
      </c>
      <c r="O41" s="73">
        <v>68.2</v>
      </c>
      <c r="P41" s="73">
        <v>67.2</v>
      </c>
      <c r="Q41" s="73">
        <v>66.900000000000006</v>
      </c>
      <c r="R41" s="73">
        <v>66.900000000000006</v>
      </c>
      <c r="S41" s="73">
        <v>66.900000000000006</v>
      </c>
      <c r="T41" s="73">
        <v>60.4</v>
      </c>
      <c r="U41" s="73">
        <v>51.4</v>
      </c>
      <c r="V41" s="73">
        <v>62</v>
      </c>
      <c r="W41" s="73">
        <v>49.5</v>
      </c>
      <c r="X41" s="73">
        <v>49.7</v>
      </c>
      <c r="Y41" s="73">
        <v>49.6</v>
      </c>
      <c r="Z41" s="73">
        <v>68.5</v>
      </c>
      <c r="AA41" s="73">
        <v>67.599999999999994</v>
      </c>
      <c r="AB41" s="73">
        <v>67.099999999999994</v>
      </c>
      <c r="AC41" s="73">
        <v>66.8</v>
      </c>
      <c r="AD41" s="73">
        <v>67.8</v>
      </c>
      <c r="AE41" s="73">
        <v>56.9</v>
      </c>
      <c r="AF41" s="123">
        <v>56.9</v>
      </c>
      <c r="AG41" s="106">
        <v>69</v>
      </c>
      <c r="AH41" s="21">
        <f t="shared" si="2"/>
        <v>68.5</v>
      </c>
      <c r="AI41" s="20">
        <f t="shared" si="3"/>
        <v>49.5</v>
      </c>
      <c r="AK41" s="42"/>
    </row>
    <row r="42" spans="1:88" x14ac:dyDescent="0.25">
      <c r="A42" s="107" t="s">
        <v>169</v>
      </c>
      <c r="B42" s="73">
        <v>60</v>
      </c>
      <c r="C42" s="73">
        <v>60</v>
      </c>
      <c r="D42" s="123">
        <v>60.4</v>
      </c>
      <c r="E42" s="123">
        <v>60.4</v>
      </c>
      <c r="F42" s="123">
        <v>60.4</v>
      </c>
      <c r="G42" s="123">
        <v>60.4</v>
      </c>
      <c r="H42" s="123">
        <v>60.4</v>
      </c>
      <c r="I42" s="123">
        <v>60.7</v>
      </c>
      <c r="J42" s="123">
        <v>60.7</v>
      </c>
      <c r="K42" s="123">
        <v>60.7</v>
      </c>
      <c r="L42" s="123">
        <v>60.4</v>
      </c>
      <c r="M42" s="73">
        <v>60.4</v>
      </c>
      <c r="N42" s="73">
        <v>60.4</v>
      </c>
      <c r="O42" s="73">
        <v>60.4</v>
      </c>
      <c r="P42" s="73">
        <v>60.4</v>
      </c>
      <c r="Q42" s="73">
        <v>60.4</v>
      </c>
      <c r="R42" s="73">
        <v>60.4</v>
      </c>
      <c r="S42" s="73">
        <v>60.4</v>
      </c>
      <c r="T42" s="73">
        <v>60.4</v>
      </c>
      <c r="U42" s="73">
        <v>60.4</v>
      </c>
      <c r="V42" s="73">
        <v>60.4</v>
      </c>
      <c r="W42" s="73">
        <v>60.4</v>
      </c>
      <c r="X42" s="73">
        <v>60.4</v>
      </c>
      <c r="Y42" s="73">
        <v>60.7</v>
      </c>
      <c r="Z42" s="73">
        <v>60.7</v>
      </c>
      <c r="AA42" s="73">
        <v>60.4</v>
      </c>
      <c r="AB42" s="73">
        <v>60</v>
      </c>
      <c r="AC42" s="73">
        <v>60</v>
      </c>
      <c r="AD42" s="73">
        <v>60</v>
      </c>
      <c r="AE42" s="73">
        <v>60</v>
      </c>
      <c r="AF42" s="123">
        <v>60</v>
      </c>
      <c r="AG42" s="106">
        <v>60</v>
      </c>
      <c r="AH42" s="21">
        <f t="shared" si="2"/>
        <v>60.7</v>
      </c>
      <c r="AI42" s="20">
        <f t="shared" si="3"/>
        <v>60</v>
      </c>
      <c r="AK42" s="42"/>
    </row>
    <row r="43" spans="1:88" x14ac:dyDescent="0.25">
      <c r="A43" s="107" t="s">
        <v>168</v>
      </c>
      <c r="B43" s="73">
        <v>15</v>
      </c>
      <c r="C43" s="73">
        <v>15</v>
      </c>
      <c r="D43" s="123">
        <v>15</v>
      </c>
      <c r="E43" s="123">
        <v>15</v>
      </c>
      <c r="F43" s="123">
        <v>15</v>
      </c>
      <c r="G43" s="123">
        <v>10</v>
      </c>
      <c r="H43" s="123">
        <v>10</v>
      </c>
      <c r="I43" s="123">
        <v>15</v>
      </c>
      <c r="J43" s="123">
        <v>10</v>
      </c>
      <c r="K43" s="123">
        <v>10</v>
      </c>
      <c r="L43" s="123">
        <v>10</v>
      </c>
      <c r="M43" s="103">
        <v>10</v>
      </c>
      <c r="N43" s="103">
        <v>10</v>
      </c>
      <c r="O43" s="103">
        <v>0</v>
      </c>
      <c r="P43" s="103">
        <v>0</v>
      </c>
      <c r="Q43" s="103">
        <v>30</v>
      </c>
      <c r="R43" s="103">
        <v>30</v>
      </c>
      <c r="S43" s="103">
        <v>0</v>
      </c>
      <c r="T43" s="103">
        <v>30</v>
      </c>
      <c r="U43" s="103">
        <v>30</v>
      </c>
      <c r="V43" s="103">
        <v>30</v>
      </c>
      <c r="W43" s="103">
        <v>30</v>
      </c>
      <c r="X43" s="103">
        <v>20</v>
      </c>
      <c r="Y43" s="103">
        <v>20</v>
      </c>
      <c r="Z43" s="73">
        <v>20</v>
      </c>
      <c r="AA43" s="73">
        <v>20</v>
      </c>
      <c r="AB43" s="73">
        <v>20</v>
      </c>
      <c r="AC43" s="73">
        <v>20</v>
      </c>
      <c r="AD43" s="73">
        <v>20</v>
      </c>
      <c r="AE43" s="73">
        <v>10</v>
      </c>
      <c r="AF43" s="123">
        <v>0</v>
      </c>
      <c r="AG43" s="106">
        <v>30</v>
      </c>
      <c r="AH43" s="21">
        <f t="shared" si="2"/>
        <v>30</v>
      </c>
      <c r="AI43" s="20">
        <f t="shared" si="3"/>
        <v>0</v>
      </c>
      <c r="AK43" s="42"/>
    </row>
    <row r="44" spans="1:88" x14ac:dyDescent="0.25">
      <c r="A44" s="107" t="s">
        <v>167</v>
      </c>
      <c r="B44" s="103">
        <v>0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0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23">
        <v>0</v>
      </c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03">
        <v>17.100000000000001</v>
      </c>
      <c r="C45" s="103">
        <v>17.100000000000001</v>
      </c>
      <c r="D45" s="103">
        <v>17.100000000000001</v>
      </c>
      <c r="E45" s="103">
        <v>17.100000000000001</v>
      </c>
      <c r="F45" s="103">
        <v>17.100000000000001</v>
      </c>
      <c r="G45" s="103">
        <v>17.100000000000001</v>
      </c>
      <c r="H45" s="103">
        <v>17.100000000000001</v>
      </c>
      <c r="I45" s="103">
        <v>17.100000000000001</v>
      </c>
      <c r="J45" s="103">
        <v>17.100000000000001</v>
      </c>
      <c r="K45" s="103">
        <v>17.100000000000001</v>
      </c>
      <c r="L45" s="103">
        <v>17.100000000000001</v>
      </c>
      <c r="M45" s="103">
        <v>17.100000000000001</v>
      </c>
      <c r="N45" s="103">
        <v>17.100000000000001</v>
      </c>
      <c r="O45" s="103">
        <v>17.100000000000001</v>
      </c>
      <c r="P45" s="103">
        <v>17.100000000000001</v>
      </c>
      <c r="Q45" s="103">
        <v>17.100000000000001</v>
      </c>
      <c r="R45" s="103">
        <v>17.100000000000001</v>
      </c>
      <c r="S45" s="103">
        <v>17.100000000000001</v>
      </c>
      <c r="T45" s="103">
        <v>17.100000000000001</v>
      </c>
      <c r="U45" s="103">
        <v>17.100000000000001</v>
      </c>
      <c r="V45" s="103">
        <v>17.100000000000001</v>
      </c>
      <c r="W45" s="103">
        <v>17.100000000000001</v>
      </c>
      <c r="X45" s="103">
        <v>17.100000000000001</v>
      </c>
      <c r="Y45" s="103">
        <v>17.100000000000001</v>
      </c>
      <c r="Z45" s="103">
        <v>0</v>
      </c>
      <c r="AA45" s="103">
        <v>0</v>
      </c>
      <c r="AB45" s="103">
        <v>17.3</v>
      </c>
      <c r="AC45" s="103">
        <v>0</v>
      </c>
      <c r="AD45" s="103">
        <v>17.3</v>
      </c>
      <c r="AE45" s="103">
        <v>17.3</v>
      </c>
      <c r="AF45" s="123">
        <v>17.3</v>
      </c>
      <c r="AG45" s="106">
        <v>24</v>
      </c>
      <c r="AH45" s="21">
        <f t="shared" si="2"/>
        <v>17.3</v>
      </c>
      <c r="AI45" s="20">
        <f t="shared" si="3"/>
        <v>0</v>
      </c>
      <c r="AK45" s="42"/>
    </row>
    <row r="46" spans="1:88" x14ac:dyDescent="0.25">
      <c r="A46" s="107" t="s">
        <v>165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23">
        <v>0</v>
      </c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03">
        <v>12</v>
      </c>
      <c r="C47" s="103">
        <v>12</v>
      </c>
      <c r="D47" s="103">
        <v>12</v>
      </c>
      <c r="E47" s="103">
        <v>12</v>
      </c>
      <c r="F47" s="103">
        <v>12</v>
      </c>
      <c r="G47" s="103">
        <v>12</v>
      </c>
      <c r="H47" s="103">
        <v>12</v>
      </c>
      <c r="I47" s="103">
        <v>12</v>
      </c>
      <c r="J47" s="103">
        <v>12</v>
      </c>
      <c r="K47" s="103">
        <v>12</v>
      </c>
      <c r="L47" s="103">
        <v>12</v>
      </c>
      <c r="M47" s="103">
        <v>12</v>
      </c>
      <c r="N47" s="103">
        <v>12</v>
      </c>
      <c r="O47" s="103">
        <v>12</v>
      </c>
      <c r="P47" s="103">
        <v>12</v>
      </c>
      <c r="Q47" s="103">
        <v>12</v>
      </c>
      <c r="R47" s="103">
        <v>12</v>
      </c>
      <c r="S47" s="103">
        <v>12</v>
      </c>
      <c r="T47" s="103">
        <v>12</v>
      </c>
      <c r="U47" s="103">
        <v>12</v>
      </c>
      <c r="V47" s="103">
        <v>12</v>
      </c>
      <c r="W47" s="103">
        <v>12</v>
      </c>
      <c r="X47" s="103">
        <v>12</v>
      </c>
      <c r="Y47" s="103">
        <v>12</v>
      </c>
      <c r="Z47" s="103">
        <v>12</v>
      </c>
      <c r="AA47" s="103">
        <v>12</v>
      </c>
      <c r="AB47" s="103">
        <v>12</v>
      </c>
      <c r="AC47" s="103">
        <v>12</v>
      </c>
      <c r="AD47" s="103">
        <v>12</v>
      </c>
      <c r="AE47" s="103">
        <v>12</v>
      </c>
      <c r="AF47" s="123">
        <v>12</v>
      </c>
      <c r="AG47" s="106">
        <v>14.1</v>
      </c>
      <c r="AH47" s="21">
        <f t="shared" si="2"/>
        <v>12</v>
      </c>
      <c r="AI47" s="20">
        <f t="shared" si="3"/>
        <v>12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03">
        <v>7.2</v>
      </c>
      <c r="C48" s="103">
        <v>7.2</v>
      </c>
      <c r="D48" s="103">
        <v>7.2</v>
      </c>
      <c r="E48" s="103">
        <v>7.2</v>
      </c>
      <c r="F48" s="103">
        <v>7.2</v>
      </c>
      <c r="G48" s="103">
        <v>7.2</v>
      </c>
      <c r="H48" s="103">
        <v>7.2</v>
      </c>
      <c r="I48" s="103">
        <v>7.2</v>
      </c>
      <c r="J48" s="103">
        <v>7.2</v>
      </c>
      <c r="K48" s="103">
        <v>7.2</v>
      </c>
      <c r="L48" s="103">
        <v>7.2</v>
      </c>
      <c r="M48" s="103">
        <v>7.2</v>
      </c>
      <c r="N48" s="103">
        <v>7.2</v>
      </c>
      <c r="O48" s="103">
        <v>7.2</v>
      </c>
      <c r="P48" s="103">
        <v>7.2</v>
      </c>
      <c r="Q48" s="103">
        <v>7.2</v>
      </c>
      <c r="R48" s="103">
        <v>7.2</v>
      </c>
      <c r="S48" s="103">
        <v>7.2</v>
      </c>
      <c r="T48" s="103">
        <v>7.2</v>
      </c>
      <c r="U48" s="103">
        <v>7.2</v>
      </c>
      <c r="V48" s="103">
        <v>7.2</v>
      </c>
      <c r="W48" s="103">
        <v>7.2</v>
      </c>
      <c r="X48" s="103">
        <v>7.2</v>
      </c>
      <c r="Y48" s="103">
        <v>7.2</v>
      </c>
      <c r="Z48" s="103">
        <v>7.2</v>
      </c>
      <c r="AA48" s="103">
        <v>7.2</v>
      </c>
      <c r="AB48" s="103">
        <v>7.2</v>
      </c>
      <c r="AC48" s="103">
        <v>7.2</v>
      </c>
      <c r="AD48" s="103">
        <v>7.2</v>
      </c>
      <c r="AE48" s="103">
        <v>7.2</v>
      </c>
      <c r="AF48" s="123">
        <v>7.2</v>
      </c>
      <c r="AG48" s="106">
        <v>14</v>
      </c>
      <c r="AH48" s="21">
        <f t="shared" si="2"/>
        <v>7.2</v>
      </c>
      <c r="AI48" s="20">
        <f t="shared" si="3"/>
        <v>7.2</v>
      </c>
      <c r="AK48" s="42"/>
    </row>
    <row r="49" spans="1:37" x14ac:dyDescent="0.25">
      <c r="A49" s="107" t="s">
        <v>162</v>
      </c>
      <c r="B49" s="103">
        <v>8.6999999999999993</v>
      </c>
      <c r="C49" s="103">
        <v>8.6999999999999993</v>
      </c>
      <c r="D49" s="103">
        <v>8.6999999999999993</v>
      </c>
      <c r="E49" s="103">
        <v>8.6999999999999993</v>
      </c>
      <c r="F49" s="103">
        <v>8.6999999999999993</v>
      </c>
      <c r="G49" s="103">
        <v>8.6999999999999993</v>
      </c>
      <c r="H49" s="103">
        <v>8.6999999999999993</v>
      </c>
      <c r="I49" s="103">
        <v>8.6999999999999993</v>
      </c>
      <c r="J49" s="103">
        <v>8.6999999999999993</v>
      </c>
      <c r="K49" s="103">
        <v>8.6999999999999993</v>
      </c>
      <c r="L49" s="103">
        <v>8.6999999999999993</v>
      </c>
      <c r="M49" s="103">
        <v>8.6999999999999993</v>
      </c>
      <c r="N49" s="103">
        <v>8.6999999999999993</v>
      </c>
      <c r="O49" s="103">
        <v>8.6999999999999993</v>
      </c>
      <c r="P49" s="103">
        <v>8.6999999999999993</v>
      </c>
      <c r="Q49" s="103">
        <v>8.6999999999999993</v>
      </c>
      <c r="R49" s="103">
        <v>8.6999999999999993</v>
      </c>
      <c r="S49" s="103">
        <v>8.6999999999999993</v>
      </c>
      <c r="T49" s="103">
        <v>8.6999999999999993</v>
      </c>
      <c r="U49" s="103">
        <v>8.6999999999999993</v>
      </c>
      <c r="V49" s="103">
        <v>8.6999999999999993</v>
      </c>
      <c r="W49" s="103">
        <v>8.6999999999999993</v>
      </c>
      <c r="X49" s="103">
        <v>8.6999999999999993</v>
      </c>
      <c r="Y49" s="103">
        <v>8.6999999999999993</v>
      </c>
      <c r="Z49" s="103">
        <v>8.6999999999999993</v>
      </c>
      <c r="AA49" s="103">
        <v>8.6999999999999993</v>
      </c>
      <c r="AB49" s="103">
        <v>8.6999999999999993</v>
      </c>
      <c r="AC49" s="103">
        <v>8.6999999999999993</v>
      </c>
      <c r="AD49" s="103">
        <v>8.6999999999999993</v>
      </c>
      <c r="AE49" s="103">
        <v>8.6999999999999993</v>
      </c>
      <c r="AF49" s="123">
        <v>8.6999999999999993</v>
      </c>
      <c r="AG49" s="106">
        <v>10.050000000000001</v>
      </c>
      <c r="AH49" s="21">
        <f t="shared" si="2"/>
        <v>8.6999999999999993</v>
      </c>
      <c r="AI49" s="20">
        <f t="shared" si="3"/>
        <v>8.6999999999999993</v>
      </c>
      <c r="AK49" s="42"/>
    </row>
    <row r="50" spans="1:37" x14ac:dyDescent="0.25">
      <c r="A50" s="107" t="s">
        <v>161</v>
      </c>
      <c r="B50" s="103">
        <v>3</v>
      </c>
      <c r="C50" s="103">
        <v>3</v>
      </c>
      <c r="D50" s="103">
        <v>3</v>
      </c>
      <c r="E50" s="103">
        <v>3</v>
      </c>
      <c r="F50" s="103">
        <v>3</v>
      </c>
      <c r="G50" s="103">
        <v>3</v>
      </c>
      <c r="H50" s="103">
        <v>3</v>
      </c>
      <c r="I50" s="103">
        <v>3</v>
      </c>
      <c r="J50" s="103">
        <v>3</v>
      </c>
      <c r="K50" s="103">
        <v>3</v>
      </c>
      <c r="L50" s="103">
        <v>3</v>
      </c>
      <c r="M50" s="103">
        <v>3</v>
      </c>
      <c r="N50" s="103">
        <v>3</v>
      </c>
      <c r="O50" s="103">
        <v>3</v>
      </c>
      <c r="P50" s="103">
        <v>3</v>
      </c>
      <c r="Q50" s="103">
        <v>3</v>
      </c>
      <c r="R50" s="103">
        <v>3</v>
      </c>
      <c r="S50" s="103">
        <v>3</v>
      </c>
      <c r="T50" s="103">
        <v>3</v>
      </c>
      <c r="U50" s="103">
        <v>3</v>
      </c>
      <c r="V50" s="103">
        <v>3</v>
      </c>
      <c r="W50" s="103">
        <v>3</v>
      </c>
      <c r="X50" s="103">
        <v>3</v>
      </c>
      <c r="Y50" s="103">
        <v>3</v>
      </c>
      <c r="Z50" s="103">
        <v>3</v>
      </c>
      <c r="AA50" s="103">
        <v>3</v>
      </c>
      <c r="AB50" s="103">
        <v>3</v>
      </c>
      <c r="AC50" s="103">
        <v>3</v>
      </c>
      <c r="AD50" s="103">
        <v>3</v>
      </c>
      <c r="AE50" s="103">
        <v>3</v>
      </c>
      <c r="AF50" s="123">
        <v>3</v>
      </c>
      <c r="AG50" s="106">
        <v>6.2</v>
      </c>
      <c r="AH50" s="21">
        <f t="shared" si="2"/>
        <v>3</v>
      </c>
      <c r="AI50" s="20">
        <f t="shared" si="3"/>
        <v>3</v>
      </c>
      <c r="AK50" s="42"/>
    </row>
    <row r="51" spans="1:37" ht="15.75" thickBot="1" x14ac:dyDescent="0.3">
      <c r="A51" s="125" t="s">
        <v>17</v>
      </c>
      <c r="B51" s="124">
        <f t="shared" ref="B51" si="6"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7">U200</f>
        <v>3.54</v>
      </c>
      <c r="V51" s="124">
        <f t="shared" si="7"/>
        <v>3.54</v>
      </c>
      <c r="W51" s="124">
        <f t="shared" si="7"/>
        <v>3.54</v>
      </c>
      <c r="X51" s="124">
        <f t="shared" si="7"/>
        <v>3.54</v>
      </c>
      <c r="Y51" s="124">
        <f t="shared" si="7"/>
        <v>3.54</v>
      </c>
      <c r="Z51" s="124">
        <v>3.54</v>
      </c>
      <c r="AA51" s="124">
        <f t="shared" si="7"/>
        <v>3.54</v>
      </c>
      <c r="AB51" s="124">
        <f t="shared" si="7"/>
        <v>3.54</v>
      </c>
      <c r="AC51" s="124">
        <f t="shared" si="7"/>
        <v>3.54</v>
      </c>
      <c r="AD51" s="124">
        <f t="shared" si="7"/>
        <v>3.54</v>
      </c>
      <c r="AE51" s="124">
        <f t="shared" si="7"/>
        <v>3.54</v>
      </c>
      <c r="AF51" s="124">
        <f t="shared" si="7"/>
        <v>3.54</v>
      </c>
      <c r="AG51" s="124">
        <f t="shared" si="7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 t="shared" ref="B52" si="8">SUM(B39:B51)</f>
        <v>410.04</v>
      </c>
      <c r="C52" s="99">
        <f t="shared" ref="C52:AF52" si="9">SUM(C39:C51)</f>
        <v>400.04</v>
      </c>
      <c r="D52" s="99">
        <f t="shared" si="9"/>
        <v>407.94</v>
      </c>
      <c r="E52" s="99">
        <f t="shared" si="9"/>
        <v>355.04</v>
      </c>
      <c r="F52" s="99">
        <f t="shared" si="9"/>
        <v>355.64000000000004</v>
      </c>
      <c r="G52" s="99">
        <f t="shared" si="9"/>
        <v>331.64</v>
      </c>
      <c r="H52" s="99">
        <f t="shared" si="9"/>
        <v>333.03999999999996</v>
      </c>
      <c r="I52" s="99">
        <f t="shared" si="9"/>
        <v>340.24</v>
      </c>
      <c r="J52" s="99">
        <f t="shared" si="9"/>
        <v>320.54000000000002</v>
      </c>
      <c r="K52" s="99">
        <f t="shared" si="9"/>
        <v>326.64000000000004</v>
      </c>
      <c r="L52" s="99">
        <f t="shared" si="9"/>
        <v>334.84000000000003</v>
      </c>
      <c r="M52" s="99">
        <f t="shared" si="9"/>
        <v>340.24</v>
      </c>
      <c r="N52" s="99">
        <f t="shared" si="9"/>
        <v>339.44</v>
      </c>
      <c r="O52" s="99">
        <f t="shared" si="9"/>
        <v>345.84</v>
      </c>
      <c r="P52" s="99">
        <f t="shared" si="9"/>
        <v>381.14</v>
      </c>
      <c r="Q52" s="99">
        <f t="shared" si="9"/>
        <v>389.84000000000003</v>
      </c>
      <c r="R52" s="99">
        <f t="shared" si="9"/>
        <v>386.04</v>
      </c>
      <c r="S52" s="99">
        <f t="shared" si="9"/>
        <v>371.94</v>
      </c>
      <c r="T52" s="99">
        <f t="shared" si="9"/>
        <v>332.54</v>
      </c>
      <c r="U52" s="99">
        <f t="shared" si="9"/>
        <v>319.04000000000002</v>
      </c>
      <c r="V52" s="99">
        <f t="shared" si="9"/>
        <v>340.94</v>
      </c>
      <c r="W52" s="99">
        <f t="shared" si="9"/>
        <v>328.04</v>
      </c>
      <c r="X52" s="99">
        <f t="shared" si="9"/>
        <v>372.44</v>
      </c>
      <c r="Y52" s="99">
        <f t="shared" si="9"/>
        <v>396.34000000000003</v>
      </c>
      <c r="Z52" s="99">
        <f t="shared" si="9"/>
        <v>398.34</v>
      </c>
      <c r="AA52" s="99">
        <f t="shared" si="9"/>
        <v>398.34</v>
      </c>
      <c r="AB52" s="99">
        <f t="shared" si="9"/>
        <v>412.74</v>
      </c>
      <c r="AC52" s="99">
        <f t="shared" si="9"/>
        <v>396.34000000000003</v>
      </c>
      <c r="AD52" s="99">
        <f t="shared" si="9"/>
        <v>413.64000000000004</v>
      </c>
      <c r="AE52" s="99">
        <f t="shared" si="9"/>
        <v>381.74</v>
      </c>
      <c r="AF52" s="99">
        <f t="shared" si="9"/>
        <v>339.24</v>
      </c>
      <c r="AG52" s="98">
        <f>SUM(AG39:AG51)</f>
        <v>489.91</v>
      </c>
      <c r="AH52" s="21">
        <f t="shared" si="2"/>
        <v>413.64000000000004</v>
      </c>
      <c r="AI52" s="20">
        <f t="shared" si="3"/>
        <v>319.04000000000002</v>
      </c>
      <c r="AK52" s="42"/>
    </row>
    <row r="53" spans="1:37" x14ac:dyDescent="0.25">
      <c r="A53" s="109" t="s">
        <v>159</v>
      </c>
      <c r="B53" s="103">
        <v>59.5</v>
      </c>
      <c r="C53" s="103">
        <v>59.5</v>
      </c>
      <c r="D53" s="103">
        <v>59.5</v>
      </c>
      <c r="E53" s="123">
        <v>59.6</v>
      </c>
      <c r="F53" s="123">
        <v>59.7</v>
      </c>
      <c r="G53" s="123">
        <v>59.7</v>
      </c>
      <c r="H53" s="123">
        <v>59.3</v>
      </c>
      <c r="I53" s="123">
        <v>59.6</v>
      </c>
      <c r="J53" s="123">
        <v>59.9</v>
      </c>
      <c r="K53" s="123">
        <v>59.9</v>
      </c>
      <c r="L53" s="123">
        <v>59.4</v>
      </c>
      <c r="M53" s="122">
        <v>59.4</v>
      </c>
      <c r="N53" s="122">
        <v>59.6</v>
      </c>
      <c r="O53" s="122">
        <v>60</v>
      </c>
      <c r="P53" s="122">
        <v>59.8</v>
      </c>
      <c r="Q53" s="122">
        <v>59.8</v>
      </c>
      <c r="R53" s="103">
        <v>59.2</v>
      </c>
      <c r="S53" s="103">
        <v>59.2</v>
      </c>
      <c r="T53" s="103">
        <v>59.7</v>
      </c>
      <c r="U53" s="103">
        <v>59.3</v>
      </c>
      <c r="V53" s="103">
        <v>40</v>
      </c>
      <c r="W53" s="103">
        <v>35</v>
      </c>
      <c r="X53" s="103">
        <v>34.5</v>
      </c>
      <c r="Y53" s="103">
        <v>50</v>
      </c>
      <c r="Z53" s="103">
        <v>59.8</v>
      </c>
      <c r="AA53" s="103">
        <v>59.5</v>
      </c>
      <c r="AB53" s="103">
        <v>59.5</v>
      </c>
      <c r="AC53" s="103">
        <v>59.5</v>
      </c>
      <c r="AD53" s="103">
        <v>59.5</v>
      </c>
      <c r="AE53" s="103">
        <v>39.6</v>
      </c>
      <c r="AF53" s="103">
        <v>60.1</v>
      </c>
      <c r="AG53" s="108">
        <v>60</v>
      </c>
      <c r="AH53" s="21">
        <f t="shared" si="2"/>
        <v>60.1</v>
      </c>
      <c r="AI53" s="20">
        <f t="shared" si="3"/>
        <v>34.5</v>
      </c>
      <c r="AK53" s="42"/>
    </row>
    <row r="54" spans="1:37" x14ac:dyDescent="0.25">
      <c r="A54" s="107" t="s">
        <v>158</v>
      </c>
      <c r="B54" s="73">
        <v>29.6</v>
      </c>
      <c r="C54" s="73">
        <v>29.6</v>
      </c>
      <c r="D54" s="73">
        <v>29.6</v>
      </c>
      <c r="E54" s="123">
        <v>29.9</v>
      </c>
      <c r="F54" s="123">
        <v>29.8</v>
      </c>
      <c r="G54" s="123">
        <v>30</v>
      </c>
      <c r="H54" s="123">
        <v>30</v>
      </c>
      <c r="I54" s="123">
        <v>30</v>
      </c>
      <c r="J54" s="123">
        <v>30.2</v>
      </c>
      <c r="K54" s="123">
        <v>30.2</v>
      </c>
      <c r="L54" s="123">
        <v>29.7</v>
      </c>
      <c r="M54" s="122">
        <v>29.6</v>
      </c>
      <c r="N54" s="122">
        <v>29.5</v>
      </c>
      <c r="O54" s="122">
        <v>29.6</v>
      </c>
      <c r="P54" s="122">
        <v>29.5</v>
      </c>
      <c r="Q54" s="122">
        <v>29.5</v>
      </c>
      <c r="R54" s="73">
        <v>29.4</v>
      </c>
      <c r="S54" s="73">
        <v>29.4</v>
      </c>
      <c r="T54" s="103">
        <v>30.3</v>
      </c>
      <c r="U54" s="103">
        <v>29.3</v>
      </c>
      <c r="V54" s="73">
        <v>18.7</v>
      </c>
      <c r="W54" s="73">
        <v>18.3</v>
      </c>
      <c r="X54" s="73">
        <v>14.4</v>
      </c>
      <c r="Y54" s="73">
        <v>23.2</v>
      </c>
      <c r="Z54" s="73">
        <v>28.7</v>
      </c>
      <c r="AA54" s="73">
        <v>30.2</v>
      </c>
      <c r="AB54" s="73">
        <v>29</v>
      </c>
      <c r="AC54" s="73">
        <v>29</v>
      </c>
      <c r="AD54" s="73">
        <v>28.9</v>
      </c>
      <c r="AE54" s="73">
        <v>17.2</v>
      </c>
      <c r="AF54" s="73">
        <v>28.2</v>
      </c>
      <c r="AG54" s="106">
        <v>32</v>
      </c>
      <c r="AH54" s="21">
        <f t="shared" si="2"/>
        <v>30.3</v>
      </c>
      <c r="AI54" s="20">
        <f t="shared" si="3"/>
        <v>14.4</v>
      </c>
      <c r="AK54" s="42"/>
    </row>
    <row r="55" spans="1:37" ht="15.75" thickBot="1" x14ac:dyDescent="0.3">
      <c r="A55" s="121" t="s">
        <v>157</v>
      </c>
      <c r="B55" s="118">
        <v>10.8</v>
      </c>
      <c r="C55" s="118">
        <v>10.8</v>
      </c>
      <c r="D55" s="118">
        <v>10.8</v>
      </c>
      <c r="E55" s="120">
        <v>10.9</v>
      </c>
      <c r="F55" s="120">
        <v>10.9</v>
      </c>
      <c r="G55" s="120">
        <v>11</v>
      </c>
      <c r="H55" s="120">
        <v>10.9</v>
      </c>
      <c r="I55" s="120">
        <v>10.9</v>
      </c>
      <c r="J55" s="120">
        <v>11</v>
      </c>
      <c r="K55" s="120">
        <v>11</v>
      </c>
      <c r="L55" s="120">
        <v>10.8</v>
      </c>
      <c r="M55" s="119">
        <v>10.8</v>
      </c>
      <c r="N55" s="119">
        <v>10.8</v>
      </c>
      <c r="O55" s="119">
        <v>10.8</v>
      </c>
      <c r="P55" s="119">
        <v>10.8</v>
      </c>
      <c r="Q55" s="119">
        <v>10.8</v>
      </c>
      <c r="R55" s="118">
        <v>10.7</v>
      </c>
      <c r="S55" s="118">
        <v>10.7</v>
      </c>
      <c r="T55" s="103">
        <v>11.1</v>
      </c>
      <c r="U55" s="103">
        <v>10.9</v>
      </c>
      <c r="V55" s="118">
        <v>7</v>
      </c>
      <c r="W55" s="118">
        <v>6.7</v>
      </c>
      <c r="X55" s="118">
        <v>5.2</v>
      </c>
      <c r="Y55" s="118">
        <v>8.5</v>
      </c>
      <c r="Z55" s="118">
        <v>10.5</v>
      </c>
      <c r="AA55" s="118">
        <v>11</v>
      </c>
      <c r="AB55" s="118">
        <v>10.6</v>
      </c>
      <c r="AC55" s="118">
        <v>10.6</v>
      </c>
      <c r="AD55" s="118">
        <v>10.6</v>
      </c>
      <c r="AE55" s="118">
        <v>6.3</v>
      </c>
      <c r="AF55" s="118">
        <v>10.3</v>
      </c>
      <c r="AG55" s="117">
        <v>14</v>
      </c>
      <c r="AH55" s="21">
        <f t="shared" si="2"/>
        <v>11.1</v>
      </c>
      <c r="AI55" s="20">
        <f t="shared" si="3"/>
        <v>5.2</v>
      </c>
      <c r="AK55" s="42"/>
    </row>
    <row r="56" spans="1:37" ht="15.75" thickBot="1" x14ac:dyDescent="0.3">
      <c r="A56" s="100" t="s">
        <v>156</v>
      </c>
      <c r="B56" s="99">
        <f t="shared" ref="B56" si="10">SUM(B53:B55)</f>
        <v>99.899999999999991</v>
      </c>
      <c r="C56" s="99">
        <f>SUM(C53:C55)</f>
        <v>99.899999999999991</v>
      </c>
      <c r="D56" s="99">
        <f t="shared" ref="D56:AF56" si="11">SUM(D53:D55)</f>
        <v>99.899999999999991</v>
      </c>
      <c r="E56" s="99">
        <f t="shared" si="11"/>
        <v>100.4</v>
      </c>
      <c r="F56" s="99">
        <f t="shared" si="11"/>
        <v>100.4</v>
      </c>
      <c r="G56" s="99">
        <f t="shared" si="11"/>
        <v>100.7</v>
      </c>
      <c r="H56" s="99">
        <f t="shared" si="11"/>
        <v>100.2</v>
      </c>
      <c r="I56" s="99">
        <f t="shared" si="11"/>
        <v>100.5</v>
      </c>
      <c r="J56" s="99">
        <f t="shared" si="11"/>
        <v>101.1</v>
      </c>
      <c r="K56" s="99">
        <f t="shared" si="11"/>
        <v>101.1</v>
      </c>
      <c r="L56" s="99">
        <f t="shared" si="11"/>
        <v>99.899999999999991</v>
      </c>
      <c r="M56" s="99">
        <f t="shared" si="11"/>
        <v>99.8</v>
      </c>
      <c r="N56" s="99">
        <f t="shared" si="11"/>
        <v>99.899999999999991</v>
      </c>
      <c r="O56" s="99">
        <f t="shared" si="11"/>
        <v>100.39999999999999</v>
      </c>
      <c r="P56" s="99">
        <f t="shared" si="11"/>
        <v>100.1</v>
      </c>
      <c r="Q56" s="99">
        <f t="shared" si="11"/>
        <v>100.1</v>
      </c>
      <c r="R56" s="99">
        <f t="shared" si="11"/>
        <v>99.3</v>
      </c>
      <c r="S56" s="99">
        <f t="shared" si="11"/>
        <v>99.3</v>
      </c>
      <c r="T56" s="99">
        <f t="shared" si="11"/>
        <v>101.1</v>
      </c>
      <c r="U56" s="99">
        <f t="shared" si="11"/>
        <v>99.5</v>
      </c>
      <c r="V56" s="99">
        <f t="shared" si="11"/>
        <v>65.7</v>
      </c>
      <c r="W56" s="99">
        <f t="shared" si="11"/>
        <v>60</v>
      </c>
      <c r="X56" s="99">
        <f t="shared" si="11"/>
        <v>54.1</v>
      </c>
      <c r="Y56" s="99">
        <f t="shared" si="11"/>
        <v>81.7</v>
      </c>
      <c r="Z56" s="99">
        <f t="shared" si="11"/>
        <v>99</v>
      </c>
      <c r="AA56" s="99">
        <f t="shared" si="11"/>
        <v>100.7</v>
      </c>
      <c r="AB56" s="99">
        <f t="shared" si="11"/>
        <v>99.1</v>
      </c>
      <c r="AC56" s="99">
        <f t="shared" si="11"/>
        <v>99.1</v>
      </c>
      <c r="AD56" s="99">
        <f t="shared" si="11"/>
        <v>99</v>
      </c>
      <c r="AE56" s="99">
        <f t="shared" si="11"/>
        <v>63.099999999999994</v>
      </c>
      <c r="AF56" s="99">
        <f t="shared" si="11"/>
        <v>98.6</v>
      </c>
      <c r="AG56" s="98">
        <f>SUM(AG53:AG55)</f>
        <v>106</v>
      </c>
      <c r="AH56" s="21">
        <f t="shared" si="2"/>
        <v>101.1</v>
      </c>
      <c r="AI56" s="20">
        <f t="shared" si="3"/>
        <v>54.1</v>
      </c>
      <c r="AK56" s="42"/>
    </row>
    <row r="57" spans="1:37" x14ac:dyDescent="0.25">
      <c r="A57" s="109" t="s">
        <v>135</v>
      </c>
      <c r="B57" s="103">
        <v>52</v>
      </c>
      <c r="C57" s="103">
        <v>50.3</v>
      </c>
      <c r="D57" s="103">
        <v>50.5</v>
      </c>
      <c r="E57" s="103">
        <v>47.8</v>
      </c>
      <c r="F57" s="103">
        <v>45</v>
      </c>
      <c r="G57" s="103">
        <v>48</v>
      </c>
      <c r="H57" s="103">
        <v>47.3</v>
      </c>
      <c r="I57" s="103">
        <v>42.4</v>
      </c>
      <c r="J57" s="103">
        <v>44</v>
      </c>
      <c r="K57" s="103">
        <v>39</v>
      </c>
      <c r="L57" s="103">
        <v>40</v>
      </c>
      <c r="M57" s="103">
        <v>44.6</v>
      </c>
      <c r="N57" s="103">
        <v>49.8</v>
      </c>
      <c r="O57" s="103">
        <v>66.3</v>
      </c>
      <c r="P57" s="103">
        <v>72.5</v>
      </c>
      <c r="Q57" s="103">
        <v>74</v>
      </c>
      <c r="R57" s="103">
        <v>72</v>
      </c>
      <c r="S57" s="103">
        <v>77.400000000000006</v>
      </c>
      <c r="T57" s="103">
        <v>78.099999999999994</v>
      </c>
      <c r="U57" s="103">
        <v>69</v>
      </c>
      <c r="V57" s="103">
        <v>65</v>
      </c>
      <c r="W57" s="103">
        <v>67.2</v>
      </c>
      <c r="X57" s="103">
        <v>46</v>
      </c>
      <c r="Y57" s="103">
        <v>45.4</v>
      </c>
      <c r="Z57" s="103">
        <v>47.2</v>
      </c>
      <c r="AA57" s="103">
        <v>57.1</v>
      </c>
      <c r="AB57" s="183">
        <v>57</v>
      </c>
      <c r="AC57" s="103">
        <v>58.1</v>
      </c>
      <c r="AD57" s="103">
        <v>57</v>
      </c>
      <c r="AE57" s="103">
        <v>63.5</v>
      </c>
      <c r="AF57" s="103">
        <v>0</v>
      </c>
      <c r="AG57" s="108"/>
      <c r="AH57" s="21">
        <f t="shared" si="2"/>
        <v>78.099999999999994</v>
      </c>
      <c r="AI57" s="20">
        <f t="shared" si="3"/>
        <v>0</v>
      </c>
      <c r="AK57" s="42"/>
    </row>
    <row r="58" spans="1:37" x14ac:dyDescent="0.25">
      <c r="A58" s="107" t="s">
        <v>138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85</v>
      </c>
      <c r="K58" s="73">
        <v>122</v>
      </c>
      <c r="L58" s="73">
        <v>140</v>
      </c>
      <c r="M58" s="103">
        <v>150</v>
      </c>
      <c r="N58" s="103">
        <v>149</v>
      </c>
      <c r="O58" s="103">
        <v>154</v>
      </c>
      <c r="P58" s="103">
        <v>152</v>
      </c>
      <c r="Q58" s="103">
        <v>150</v>
      </c>
      <c r="R58" s="103">
        <v>146</v>
      </c>
      <c r="S58" s="103">
        <v>146</v>
      </c>
      <c r="T58" s="103">
        <v>146</v>
      </c>
      <c r="U58" s="103">
        <f>89.2+54</f>
        <v>143.19999999999999</v>
      </c>
      <c r="V58" s="103">
        <v>142</v>
      </c>
      <c r="W58" s="103">
        <f>91.6+42</f>
        <v>133.6</v>
      </c>
      <c r="X58" s="116">
        <f>84.3+52</f>
        <v>136.30000000000001</v>
      </c>
      <c r="Y58" s="116">
        <v>0</v>
      </c>
      <c r="Z58" s="116">
        <v>0</v>
      </c>
      <c r="AA58" s="116">
        <v>0</v>
      </c>
      <c r="AB58" s="183">
        <v>0</v>
      </c>
      <c r="AC58" s="183">
        <v>0</v>
      </c>
      <c r="AD58" s="73">
        <v>0</v>
      </c>
      <c r="AE58" s="73">
        <v>0</v>
      </c>
      <c r="AF58" s="73">
        <v>0</v>
      </c>
      <c r="AG58" s="106"/>
      <c r="AH58" s="21">
        <f t="shared" si="2"/>
        <v>154</v>
      </c>
      <c r="AI58" s="20">
        <f t="shared" si="3"/>
        <v>0</v>
      </c>
      <c r="AK58" s="42"/>
    </row>
    <row r="59" spans="1:37" x14ac:dyDescent="0.25">
      <c r="A59" s="107" t="s">
        <v>155</v>
      </c>
      <c r="B59" s="73">
        <v>103</v>
      </c>
      <c r="C59" s="73">
        <v>160</v>
      </c>
      <c r="D59" s="73">
        <v>105</v>
      </c>
      <c r="E59" s="73">
        <v>127.6</v>
      </c>
      <c r="F59" s="73">
        <v>110</v>
      </c>
      <c r="G59" s="73">
        <v>180</v>
      </c>
      <c r="H59" s="103">
        <v>191.5</v>
      </c>
      <c r="I59" s="103">
        <v>116.2</v>
      </c>
      <c r="J59" s="103">
        <v>140</v>
      </c>
      <c r="K59" s="103">
        <v>159</v>
      </c>
      <c r="L59" s="103">
        <v>175</v>
      </c>
      <c r="M59" s="73">
        <v>209.8</v>
      </c>
      <c r="N59" s="73">
        <v>258.10000000000002</v>
      </c>
      <c r="O59" s="73">
        <v>254</v>
      </c>
      <c r="P59" s="73">
        <v>250.8</v>
      </c>
      <c r="Q59" s="73">
        <v>268</v>
      </c>
      <c r="R59" s="73">
        <v>281</v>
      </c>
      <c r="S59" s="73">
        <v>285</v>
      </c>
      <c r="T59" s="73">
        <v>250.2</v>
      </c>
      <c r="U59" s="73">
        <v>197.2</v>
      </c>
      <c r="V59" s="73">
        <v>128</v>
      </c>
      <c r="W59" s="73">
        <v>111.8</v>
      </c>
      <c r="X59" s="115">
        <v>93</v>
      </c>
      <c r="Y59" s="115">
        <v>75.7</v>
      </c>
      <c r="Z59" s="115">
        <v>102.1</v>
      </c>
      <c r="AA59" s="115">
        <v>68</v>
      </c>
      <c r="AB59" s="122">
        <v>68</v>
      </c>
      <c r="AC59" s="122">
        <v>68</v>
      </c>
      <c r="AD59" s="73">
        <v>60</v>
      </c>
      <c r="AE59" s="73">
        <v>76.2</v>
      </c>
      <c r="AF59" s="73">
        <v>65</v>
      </c>
      <c r="AG59" s="113"/>
      <c r="AH59" s="21">
        <f t="shared" si="2"/>
        <v>285</v>
      </c>
      <c r="AI59" s="20">
        <f t="shared" si="3"/>
        <v>60</v>
      </c>
      <c r="AK59" s="42"/>
    </row>
    <row r="60" spans="1:37" x14ac:dyDescent="0.25">
      <c r="A60" s="107" t="s">
        <v>139</v>
      </c>
      <c r="B60" s="77">
        <v>15.7</v>
      </c>
      <c r="C60" s="77">
        <v>15.7</v>
      </c>
      <c r="D60" s="77">
        <v>15.7</v>
      </c>
      <c r="E60" s="77">
        <v>14.2</v>
      </c>
      <c r="F60" s="77">
        <v>15.3</v>
      </c>
      <c r="G60" s="77">
        <v>15.3</v>
      </c>
      <c r="H60" s="77">
        <v>14.9</v>
      </c>
      <c r="I60" s="77">
        <v>41.9</v>
      </c>
      <c r="J60" s="77">
        <v>45</v>
      </c>
      <c r="K60" s="77">
        <v>45</v>
      </c>
      <c r="L60" s="77">
        <v>50.5</v>
      </c>
      <c r="M60" s="73">
        <v>53.7</v>
      </c>
      <c r="N60" s="73">
        <v>52.7</v>
      </c>
      <c r="O60" s="73">
        <v>54</v>
      </c>
      <c r="P60" s="73">
        <v>42.3</v>
      </c>
      <c r="Q60" s="73">
        <v>45</v>
      </c>
      <c r="R60" s="73">
        <v>43</v>
      </c>
      <c r="S60" s="73">
        <v>43</v>
      </c>
      <c r="T60" s="73">
        <v>54.3</v>
      </c>
      <c r="U60" s="73">
        <v>52.7</v>
      </c>
      <c r="V60" s="73">
        <v>50</v>
      </c>
      <c r="W60" s="73">
        <v>51.2</v>
      </c>
      <c r="X60" s="73">
        <v>51.8</v>
      </c>
      <c r="Y60" s="73">
        <v>14</v>
      </c>
      <c r="Z60" s="73">
        <v>16</v>
      </c>
      <c r="AA60" s="73">
        <v>16</v>
      </c>
      <c r="AB60" s="122">
        <v>16</v>
      </c>
      <c r="AC60" s="122">
        <v>16</v>
      </c>
      <c r="AD60" s="73">
        <v>16</v>
      </c>
      <c r="AE60" s="73">
        <v>16</v>
      </c>
      <c r="AF60" s="77">
        <v>16</v>
      </c>
      <c r="AG60" s="113"/>
      <c r="AH60" s="21">
        <f t="shared" si="2"/>
        <v>54.3</v>
      </c>
      <c r="AI60" s="20">
        <f t="shared" si="3"/>
        <v>14</v>
      </c>
      <c r="AK60" s="42"/>
    </row>
    <row r="61" spans="1:37" x14ac:dyDescent="0.25">
      <c r="A61" s="107" t="s">
        <v>154</v>
      </c>
      <c r="B61" s="103">
        <v>0</v>
      </c>
      <c r="C61" s="103">
        <v>0</v>
      </c>
      <c r="D61" s="103">
        <v>0</v>
      </c>
      <c r="E61" s="77">
        <v>0</v>
      </c>
      <c r="F61" s="77">
        <v>0</v>
      </c>
      <c r="G61" s="77">
        <v>0</v>
      </c>
      <c r="H61" s="77">
        <v>0</v>
      </c>
      <c r="I61" s="77">
        <v>45.3</v>
      </c>
      <c r="J61" s="77">
        <v>80</v>
      </c>
      <c r="K61" s="77">
        <v>84.7</v>
      </c>
      <c r="L61" s="77">
        <v>85.1</v>
      </c>
      <c r="M61" s="103">
        <v>79</v>
      </c>
      <c r="N61" s="103">
        <v>66.5</v>
      </c>
      <c r="O61" s="103">
        <v>72.400000000000006</v>
      </c>
      <c r="P61" s="103">
        <v>0</v>
      </c>
      <c r="Q61" s="103">
        <v>0</v>
      </c>
      <c r="R61" s="103">
        <v>0</v>
      </c>
      <c r="S61" s="103">
        <v>0</v>
      </c>
      <c r="T61" s="103">
        <v>78.3</v>
      </c>
      <c r="U61" s="103">
        <v>76.5</v>
      </c>
      <c r="V61" s="103">
        <v>62.7</v>
      </c>
      <c r="W61" s="103">
        <v>60.8</v>
      </c>
      <c r="X61" s="103">
        <v>45.9</v>
      </c>
      <c r="Y61" s="103">
        <v>0</v>
      </c>
      <c r="Z61" s="103">
        <v>0</v>
      </c>
      <c r="AA61" s="103">
        <v>0</v>
      </c>
      <c r="AB61" s="183">
        <v>0</v>
      </c>
      <c r="AC61" s="183">
        <v>0</v>
      </c>
      <c r="AD61" s="103">
        <v>0</v>
      </c>
      <c r="AE61" s="103">
        <v>22</v>
      </c>
      <c r="AF61" s="103">
        <v>24.1</v>
      </c>
      <c r="AG61" s="113"/>
      <c r="AH61" s="21">
        <f t="shared" si="2"/>
        <v>85.1</v>
      </c>
      <c r="AI61" s="20">
        <f t="shared" si="3"/>
        <v>0</v>
      </c>
      <c r="AK61" s="42"/>
    </row>
    <row r="62" spans="1:37" x14ac:dyDescent="0.25">
      <c r="A62" s="107" t="s">
        <v>153</v>
      </c>
      <c r="B62" s="67">
        <v>8</v>
      </c>
      <c r="C62" s="67">
        <v>8</v>
      </c>
      <c r="D62" s="67">
        <v>8</v>
      </c>
      <c r="E62" s="73">
        <v>8</v>
      </c>
      <c r="F62" s="73">
        <v>8</v>
      </c>
      <c r="G62" s="73">
        <v>8</v>
      </c>
      <c r="H62" s="73">
        <v>8</v>
      </c>
      <c r="I62" s="73">
        <v>8</v>
      </c>
      <c r="J62" s="73">
        <v>8</v>
      </c>
      <c r="K62" s="73">
        <v>8</v>
      </c>
      <c r="L62" s="73">
        <v>8</v>
      </c>
      <c r="M62" s="73">
        <v>8</v>
      </c>
      <c r="N62" s="67">
        <v>8</v>
      </c>
      <c r="O62" s="67">
        <v>8</v>
      </c>
      <c r="P62" s="67">
        <v>8</v>
      </c>
      <c r="Q62" s="67">
        <v>8</v>
      </c>
      <c r="R62" s="67">
        <v>8</v>
      </c>
      <c r="S62" s="67">
        <v>8</v>
      </c>
      <c r="T62" s="67">
        <v>8</v>
      </c>
      <c r="U62" s="67">
        <v>8</v>
      </c>
      <c r="V62" s="67">
        <v>8</v>
      </c>
      <c r="W62" s="67">
        <v>8</v>
      </c>
      <c r="X62" s="67">
        <v>8</v>
      </c>
      <c r="Y62" s="67">
        <v>8</v>
      </c>
      <c r="Z62" s="67">
        <v>8</v>
      </c>
      <c r="AA62" s="67">
        <v>8</v>
      </c>
      <c r="AB62" s="67">
        <v>8</v>
      </c>
      <c r="AC62" s="67">
        <v>8</v>
      </c>
      <c r="AD62" s="67">
        <v>8</v>
      </c>
      <c r="AE62" s="67">
        <v>8</v>
      </c>
      <c r="AF62" s="67">
        <v>8</v>
      </c>
      <c r="AG62" s="113"/>
      <c r="AH62" s="21">
        <f t="shared" si="2"/>
        <v>8</v>
      </c>
      <c r="AI62" s="20">
        <f t="shared" si="3"/>
        <v>8</v>
      </c>
      <c r="AK62" s="42"/>
    </row>
    <row r="63" spans="1:37" x14ac:dyDescent="0.25">
      <c r="A63" s="107" t="s">
        <v>152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103">
        <v>0</v>
      </c>
      <c r="L63" s="103">
        <v>0</v>
      </c>
      <c r="M63" s="103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0</v>
      </c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>
        <v>7</v>
      </c>
      <c r="C64" s="77">
        <v>7</v>
      </c>
      <c r="D64" s="77">
        <v>7</v>
      </c>
      <c r="E64" s="77">
        <v>7</v>
      </c>
      <c r="F64" s="77">
        <v>7</v>
      </c>
      <c r="G64" s="77">
        <v>7</v>
      </c>
      <c r="H64" s="77">
        <v>7</v>
      </c>
      <c r="I64" s="77">
        <v>7</v>
      </c>
      <c r="J64" s="77">
        <v>7</v>
      </c>
      <c r="K64" s="77">
        <v>7</v>
      </c>
      <c r="L64" s="77">
        <v>7</v>
      </c>
      <c r="M64" s="77">
        <v>7</v>
      </c>
      <c r="N64" s="77">
        <v>7</v>
      </c>
      <c r="O64" s="77">
        <v>7</v>
      </c>
      <c r="P64" s="77">
        <v>7</v>
      </c>
      <c r="Q64" s="77">
        <v>7</v>
      </c>
      <c r="R64" s="77">
        <v>7</v>
      </c>
      <c r="S64" s="77">
        <v>7</v>
      </c>
      <c r="T64" s="77">
        <v>7</v>
      </c>
      <c r="U64" s="77">
        <v>7</v>
      </c>
      <c r="V64" s="77">
        <v>7</v>
      </c>
      <c r="W64" s="77">
        <v>7</v>
      </c>
      <c r="X64" s="77">
        <v>7</v>
      </c>
      <c r="Y64" s="77">
        <v>7</v>
      </c>
      <c r="Z64" s="77">
        <v>7</v>
      </c>
      <c r="AA64" s="77">
        <v>7</v>
      </c>
      <c r="AB64" s="77">
        <v>7</v>
      </c>
      <c r="AC64" s="77">
        <v>7</v>
      </c>
      <c r="AD64" s="77">
        <v>7</v>
      </c>
      <c r="AE64" s="77">
        <v>7</v>
      </c>
      <c r="AF64" s="77">
        <v>7</v>
      </c>
      <c r="AG64" s="113"/>
      <c r="AH64" s="21">
        <f t="shared" si="2"/>
        <v>7</v>
      </c>
      <c r="AI64" s="20">
        <f t="shared" si="3"/>
        <v>7</v>
      </c>
      <c r="AK64" s="42"/>
    </row>
    <row r="65" spans="1:88" x14ac:dyDescent="0.25">
      <c r="A65" s="107" t="s">
        <v>150</v>
      </c>
      <c r="B65" s="77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2.1</v>
      </c>
      <c r="N65" s="77">
        <v>2</v>
      </c>
      <c r="O65" s="77">
        <v>2</v>
      </c>
      <c r="P65" s="77">
        <v>2</v>
      </c>
      <c r="Q65" s="77">
        <v>2</v>
      </c>
      <c r="R65" s="77">
        <v>2</v>
      </c>
      <c r="S65" s="77">
        <v>2</v>
      </c>
      <c r="T65" s="77">
        <v>2</v>
      </c>
      <c r="U65" s="77">
        <v>2</v>
      </c>
      <c r="V65" s="77">
        <v>2</v>
      </c>
      <c r="W65" s="77">
        <v>2</v>
      </c>
      <c r="X65" s="77">
        <v>2</v>
      </c>
      <c r="Y65" s="77">
        <v>2</v>
      </c>
      <c r="Z65" s="77">
        <v>2</v>
      </c>
      <c r="AA65" s="77">
        <v>2</v>
      </c>
      <c r="AB65" s="77">
        <v>2</v>
      </c>
      <c r="AC65" s="77">
        <v>2</v>
      </c>
      <c r="AD65" s="77">
        <v>2</v>
      </c>
      <c r="AE65" s="77">
        <v>2</v>
      </c>
      <c r="AF65" s="77">
        <v>2</v>
      </c>
      <c r="AG65" s="113"/>
      <c r="AH65" s="21">
        <f t="shared" si="2"/>
        <v>2.1</v>
      </c>
      <c r="AI65" s="20">
        <f t="shared" si="3"/>
        <v>0</v>
      </c>
      <c r="AK65" s="42"/>
    </row>
    <row r="66" spans="1:88" x14ac:dyDescent="0.25">
      <c r="A66" s="104" t="s">
        <v>149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3">
        <v>0</v>
      </c>
      <c r="L66" s="73">
        <v>0</v>
      </c>
      <c r="M66" s="73">
        <v>0</v>
      </c>
      <c r="N66" s="70">
        <v>14</v>
      </c>
      <c r="O66" s="70">
        <v>14</v>
      </c>
      <c r="P66" s="70">
        <v>14</v>
      </c>
      <c r="Q66" s="70">
        <v>14</v>
      </c>
      <c r="R66" s="70">
        <v>0</v>
      </c>
      <c r="S66" s="70">
        <v>0</v>
      </c>
      <c r="T66" s="70">
        <v>0</v>
      </c>
      <c r="U66" s="70">
        <v>0</v>
      </c>
      <c r="V66" s="70">
        <v>14</v>
      </c>
      <c r="W66" s="70">
        <v>14</v>
      </c>
      <c r="X66" s="70">
        <v>14</v>
      </c>
      <c r="Y66" s="70">
        <v>14</v>
      </c>
      <c r="Z66" s="70">
        <v>14</v>
      </c>
      <c r="AA66" s="70">
        <v>14</v>
      </c>
      <c r="AB66" s="70">
        <v>14</v>
      </c>
      <c r="AC66" s="70">
        <v>14</v>
      </c>
      <c r="AD66" s="70">
        <v>14</v>
      </c>
      <c r="AE66" s="70">
        <v>14</v>
      </c>
      <c r="AF66" s="70">
        <v>14</v>
      </c>
      <c r="AG66" s="102"/>
      <c r="AH66" s="21">
        <f t="shared" si="2"/>
        <v>14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103">
        <v>0</v>
      </c>
      <c r="L67" s="103">
        <v>0</v>
      </c>
      <c r="M67" s="103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 t="shared" ref="B68" si="12">SUM(B57:B67)</f>
        <v>185.7</v>
      </c>
      <c r="C68" s="99">
        <f>SUM(C57:C67)</f>
        <v>241</v>
      </c>
      <c r="D68" s="99">
        <f t="shared" ref="D68:AF68" si="13">SUM(D57:D67)</f>
        <v>186.2</v>
      </c>
      <c r="E68" s="99">
        <f t="shared" si="13"/>
        <v>204.59999999999997</v>
      </c>
      <c r="F68" s="99">
        <f t="shared" si="13"/>
        <v>185.3</v>
      </c>
      <c r="G68" s="99">
        <f t="shared" si="13"/>
        <v>258.3</v>
      </c>
      <c r="H68" s="99">
        <f t="shared" si="13"/>
        <v>268.70000000000005</v>
      </c>
      <c r="I68" s="99">
        <f t="shared" si="13"/>
        <v>260.8</v>
      </c>
      <c r="J68" s="99">
        <f t="shared" si="13"/>
        <v>409</v>
      </c>
      <c r="K68" s="99">
        <f t="shared" si="13"/>
        <v>464.7</v>
      </c>
      <c r="L68" s="99">
        <f t="shared" si="13"/>
        <v>505.6</v>
      </c>
      <c r="M68" s="99">
        <f t="shared" si="13"/>
        <v>554.19999999999993</v>
      </c>
      <c r="N68" s="99">
        <f t="shared" si="13"/>
        <v>607.1</v>
      </c>
      <c r="O68" s="99">
        <f t="shared" si="13"/>
        <v>631.69999999999993</v>
      </c>
      <c r="P68" s="99">
        <f t="shared" si="13"/>
        <v>548.6</v>
      </c>
      <c r="Q68" s="99">
        <f t="shared" si="13"/>
        <v>568</v>
      </c>
      <c r="R68" s="99">
        <f t="shared" si="13"/>
        <v>559</v>
      </c>
      <c r="S68" s="99">
        <f t="shared" si="13"/>
        <v>568.4</v>
      </c>
      <c r="T68" s="99">
        <f t="shared" si="13"/>
        <v>623.89999999999986</v>
      </c>
      <c r="U68" s="99">
        <f t="shared" si="13"/>
        <v>555.59999999999991</v>
      </c>
      <c r="V68" s="99">
        <f t="shared" si="13"/>
        <v>478.7</v>
      </c>
      <c r="W68" s="99">
        <f t="shared" si="13"/>
        <v>455.6</v>
      </c>
      <c r="X68" s="99">
        <f t="shared" si="13"/>
        <v>404</v>
      </c>
      <c r="Y68" s="99">
        <f t="shared" si="13"/>
        <v>166.1</v>
      </c>
      <c r="Z68" s="99">
        <f t="shared" si="13"/>
        <v>196.3</v>
      </c>
      <c r="AA68" s="99">
        <f t="shared" si="13"/>
        <v>172.1</v>
      </c>
      <c r="AB68" s="99">
        <f t="shared" si="13"/>
        <v>172</v>
      </c>
      <c r="AC68" s="99">
        <f t="shared" si="13"/>
        <v>173.1</v>
      </c>
      <c r="AD68" s="99">
        <f t="shared" si="13"/>
        <v>164</v>
      </c>
      <c r="AE68" s="99">
        <f t="shared" si="13"/>
        <v>208.7</v>
      </c>
      <c r="AF68" s="99">
        <f t="shared" si="13"/>
        <v>136.1</v>
      </c>
      <c r="AG68" s="98">
        <f>SUM(AG57:AG67)</f>
        <v>0</v>
      </c>
      <c r="AH68" s="21">
        <f t="shared" si="2"/>
        <v>631.69999999999993</v>
      </c>
      <c r="AI68" s="20">
        <f t="shared" si="3"/>
        <v>136.1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 t="shared" ref="B72" si="14">SUM(B69:B71)</f>
        <v>0</v>
      </c>
      <c r="C72" s="99">
        <f>SUM(C69:C71)</f>
        <v>0</v>
      </c>
      <c r="D72" s="99">
        <f t="shared" ref="D72:AF72" si="15">SUM(D69:D71)</f>
        <v>0</v>
      </c>
      <c r="E72" s="99">
        <f t="shared" si="15"/>
        <v>0</v>
      </c>
      <c r="F72" s="99">
        <f t="shared" si="15"/>
        <v>0</v>
      </c>
      <c r="G72" s="99">
        <f t="shared" si="15"/>
        <v>0</v>
      </c>
      <c r="H72" s="99">
        <f t="shared" si="15"/>
        <v>0</v>
      </c>
      <c r="I72" s="99">
        <f t="shared" si="15"/>
        <v>0</v>
      </c>
      <c r="J72" s="99">
        <f t="shared" si="15"/>
        <v>0</v>
      </c>
      <c r="K72" s="99">
        <f t="shared" si="15"/>
        <v>0</v>
      </c>
      <c r="L72" s="99">
        <f t="shared" si="15"/>
        <v>0</v>
      </c>
      <c r="M72" s="99">
        <f t="shared" si="15"/>
        <v>0</v>
      </c>
      <c r="N72" s="99">
        <f t="shared" si="15"/>
        <v>0</v>
      </c>
      <c r="O72" s="99">
        <f t="shared" si="15"/>
        <v>0</v>
      </c>
      <c r="P72" s="99">
        <f t="shared" si="15"/>
        <v>0</v>
      </c>
      <c r="Q72" s="99">
        <f t="shared" si="15"/>
        <v>0</v>
      </c>
      <c r="R72" s="99">
        <f t="shared" si="15"/>
        <v>0</v>
      </c>
      <c r="S72" s="99">
        <f t="shared" si="15"/>
        <v>0</v>
      </c>
      <c r="T72" s="99">
        <f t="shared" si="15"/>
        <v>0</v>
      </c>
      <c r="U72" s="99">
        <f t="shared" si="15"/>
        <v>0</v>
      </c>
      <c r="V72" s="99">
        <f t="shared" si="15"/>
        <v>0</v>
      </c>
      <c r="W72" s="99">
        <f t="shared" si="15"/>
        <v>0</v>
      </c>
      <c r="X72" s="99">
        <f t="shared" si="15"/>
        <v>0</v>
      </c>
      <c r="Y72" s="99">
        <f t="shared" si="15"/>
        <v>0</v>
      </c>
      <c r="Z72" s="99">
        <f t="shared" si="15"/>
        <v>0</v>
      </c>
      <c r="AA72" s="99">
        <f t="shared" si="15"/>
        <v>0</v>
      </c>
      <c r="AB72" s="99">
        <f t="shared" si="15"/>
        <v>0</v>
      </c>
      <c r="AC72" s="99">
        <f t="shared" si="15"/>
        <v>0</v>
      </c>
      <c r="AD72" s="99">
        <f t="shared" si="15"/>
        <v>0</v>
      </c>
      <c r="AE72" s="99">
        <f t="shared" si="15"/>
        <v>0</v>
      </c>
      <c r="AF72" s="99">
        <f t="shared" si="15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 t="shared" ref="B73" si="16">B68+B56+B52+B38+B72</f>
        <v>1348.34</v>
      </c>
      <c r="C73" s="110">
        <f>C68+C56+C52+C38+C72</f>
        <v>1333.6399999999999</v>
      </c>
      <c r="D73" s="110">
        <f t="shared" ref="D73:AG73" si="17">D68+D56+D52+D38+D72</f>
        <v>1326.7399999999998</v>
      </c>
      <c r="E73" s="110">
        <f t="shared" si="17"/>
        <v>1194.8399999999999</v>
      </c>
      <c r="F73" s="110">
        <f t="shared" si="17"/>
        <v>1156.1400000000001</v>
      </c>
      <c r="G73" s="110">
        <f t="shared" si="17"/>
        <v>1185.44</v>
      </c>
      <c r="H73" s="110">
        <f t="shared" si="17"/>
        <v>1196.3400000000001</v>
      </c>
      <c r="I73" s="110">
        <f t="shared" si="17"/>
        <v>1195.94</v>
      </c>
      <c r="J73" s="110">
        <f t="shared" si="17"/>
        <v>1329.44</v>
      </c>
      <c r="K73" s="110">
        <f t="shared" si="17"/>
        <v>1391.24</v>
      </c>
      <c r="L73" s="110">
        <f t="shared" si="17"/>
        <v>1439.24</v>
      </c>
      <c r="M73" s="110">
        <f t="shared" si="17"/>
        <v>1484.84</v>
      </c>
      <c r="N73" s="110">
        <f t="shared" si="17"/>
        <v>1497.04</v>
      </c>
      <c r="O73" s="110">
        <f t="shared" si="17"/>
        <v>1508.5399999999997</v>
      </c>
      <c r="P73" s="110">
        <f t="shared" si="17"/>
        <v>1480.44</v>
      </c>
      <c r="Q73" s="110">
        <f t="shared" si="17"/>
        <v>1505.84</v>
      </c>
      <c r="R73" s="110">
        <f t="shared" si="17"/>
        <v>1492.2399999999998</v>
      </c>
      <c r="S73" s="110">
        <f t="shared" si="17"/>
        <v>1487.5399999999997</v>
      </c>
      <c r="T73" s="110">
        <f t="shared" si="17"/>
        <v>1505.4399999999998</v>
      </c>
      <c r="U73" s="110">
        <f t="shared" si="17"/>
        <v>1502.04</v>
      </c>
      <c r="V73" s="110">
        <f t="shared" si="17"/>
        <v>1465.34</v>
      </c>
      <c r="W73" s="110">
        <f t="shared" si="17"/>
        <v>1443.64</v>
      </c>
      <c r="X73" s="110">
        <f t="shared" si="17"/>
        <v>1380.54</v>
      </c>
      <c r="Y73" s="110">
        <f t="shared" si="17"/>
        <v>1444.1400000000003</v>
      </c>
      <c r="Z73" s="110">
        <f t="shared" si="17"/>
        <v>1513.24</v>
      </c>
      <c r="AA73" s="110">
        <f t="shared" si="17"/>
        <v>1490.74</v>
      </c>
      <c r="AB73" s="110">
        <f t="shared" si="17"/>
        <v>1504.44</v>
      </c>
      <c r="AC73" s="110">
        <f t="shared" si="17"/>
        <v>1489.1399999999999</v>
      </c>
      <c r="AD73" s="110">
        <f t="shared" si="17"/>
        <v>1421.24</v>
      </c>
      <c r="AE73" s="110">
        <f t="shared" si="17"/>
        <v>1348.94</v>
      </c>
      <c r="AF73" s="110">
        <f t="shared" si="17"/>
        <v>1230.44</v>
      </c>
      <c r="AG73" s="110">
        <f t="shared" si="17"/>
        <v>2144.14</v>
      </c>
      <c r="AH73" s="21">
        <f t="shared" si="2"/>
        <v>1513.24</v>
      </c>
      <c r="AI73" s="20">
        <f t="shared" si="3"/>
        <v>1156.1400000000001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>
        <v>0</v>
      </c>
      <c r="C74" s="111"/>
      <c r="D74" s="111"/>
      <c r="E74" s="111">
        <v>100</v>
      </c>
      <c r="F74" s="111">
        <v>100</v>
      </c>
      <c r="G74" s="111">
        <v>90</v>
      </c>
      <c r="H74" s="111">
        <v>80</v>
      </c>
      <c r="I74" s="111">
        <v>80</v>
      </c>
      <c r="J74" s="111">
        <v>0</v>
      </c>
      <c r="K74" s="111"/>
      <c r="L74" s="111"/>
      <c r="M74" s="111"/>
      <c r="N74" s="111"/>
      <c r="O74" s="111"/>
      <c r="P74" s="111">
        <v>50</v>
      </c>
      <c r="Q74" s="111">
        <v>30</v>
      </c>
      <c r="R74" s="111"/>
      <c r="S74" s="111">
        <v>35</v>
      </c>
      <c r="T74" s="111">
        <v>35</v>
      </c>
      <c r="U74" s="111">
        <v>15</v>
      </c>
      <c r="V74" s="111">
        <v>0</v>
      </c>
      <c r="W74" s="111"/>
      <c r="X74" s="111">
        <v>70</v>
      </c>
      <c r="Y74" s="111">
        <v>160</v>
      </c>
      <c r="Z74" s="111">
        <v>185</v>
      </c>
      <c r="AA74" s="111">
        <v>170</v>
      </c>
      <c r="AB74" s="111">
        <v>150</v>
      </c>
      <c r="AC74" s="111">
        <v>150</v>
      </c>
      <c r="AD74" s="111">
        <v>100</v>
      </c>
      <c r="AE74" s="111">
        <v>100</v>
      </c>
      <c r="AF74" s="111">
        <v>140</v>
      </c>
      <c r="AG74" s="98"/>
      <c r="AH74" s="21">
        <f t="shared" si="2"/>
        <v>185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 t="shared" ref="B75" si="18">B72+B68+B56+B52+B38+B74</f>
        <v>1348.34</v>
      </c>
      <c r="C75" s="110">
        <f>C73+C74</f>
        <v>1333.6399999999999</v>
      </c>
      <c r="D75" s="110">
        <f t="shared" ref="D75:AF75" si="19">D72+D68+D56+D52+D38+D74</f>
        <v>1326.7399999999998</v>
      </c>
      <c r="E75" s="110">
        <f t="shared" si="19"/>
        <v>1294.8399999999999</v>
      </c>
      <c r="F75" s="110">
        <f t="shared" si="19"/>
        <v>1256.1400000000001</v>
      </c>
      <c r="G75" s="110">
        <f t="shared" si="19"/>
        <v>1275.44</v>
      </c>
      <c r="H75" s="110">
        <f t="shared" si="19"/>
        <v>1276.3400000000001</v>
      </c>
      <c r="I75" s="110">
        <f t="shared" si="19"/>
        <v>1275.94</v>
      </c>
      <c r="J75" s="110">
        <f t="shared" si="19"/>
        <v>1329.44</v>
      </c>
      <c r="K75" s="110">
        <f t="shared" si="19"/>
        <v>1391.24</v>
      </c>
      <c r="L75" s="110">
        <f t="shared" si="19"/>
        <v>1439.24</v>
      </c>
      <c r="M75" s="110">
        <f t="shared" si="19"/>
        <v>1484.84</v>
      </c>
      <c r="N75" s="110">
        <f t="shared" si="19"/>
        <v>1497.04</v>
      </c>
      <c r="O75" s="110">
        <f t="shared" si="19"/>
        <v>1508.5399999999997</v>
      </c>
      <c r="P75" s="110">
        <f t="shared" si="19"/>
        <v>1530.44</v>
      </c>
      <c r="Q75" s="110">
        <f t="shared" si="19"/>
        <v>1535.84</v>
      </c>
      <c r="R75" s="110">
        <f t="shared" si="19"/>
        <v>1492.2399999999998</v>
      </c>
      <c r="S75" s="110">
        <f t="shared" si="19"/>
        <v>1522.5399999999997</v>
      </c>
      <c r="T75" s="110">
        <f t="shared" si="19"/>
        <v>1540.4399999999998</v>
      </c>
      <c r="U75" s="110">
        <f t="shared" si="19"/>
        <v>1517.04</v>
      </c>
      <c r="V75" s="110">
        <f t="shared" si="19"/>
        <v>1465.34</v>
      </c>
      <c r="W75" s="110">
        <f t="shared" si="19"/>
        <v>1443.64</v>
      </c>
      <c r="X75" s="110">
        <f t="shared" si="19"/>
        <v>1450.54</v>
      </c>
      <c r="Y75" s="110">
        <f t="shared" si="19"/>
        <v>1604.1400000000003</v>
      </c>
      <c r="Z75" s="110">
        <f t="shared" si="19"/>
        <v>1698.24</v>
      </c>
      <c r="AA75" s="110">
        <f t="shared" si="19"/>
        <v>1660.74</v>
      </c>
      <c r="AB75" s="110">
        <f t="shared" si="19"/>
        <v>1654.44</v>
      </c>
      <c r="AC75" s="110">
        <f t="shared" si="19"/>
        <v>1639.1399999999999</v>
      </c>
      <c r="AD75" s="110">
        <f t="shared" si="19"/>
        <v>1521.24</v>
      </c>
      <c r="AE75" s="110">
        <f t="shared" si="19"/>
        <v>1448.94</v>
      </c>
      <c r="AF75" s="110">
        <f t="shared" si="19"/>
        <v>1370.44</v>
      </c>
      <c r="AG75" s="98">
        <f>AG72+AG68+AG56+AG52+AG38+AG74</f>
        <v>2144.14</v>
      </c>
      <c r="AH75" s="21">
        <f t="shared" si="2"/>
        <v>1698.24</v>
      </c>
      <c r="AI75" s="20">
        <f t="shared" si="3"/>
        <v>1256.1400000000001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 t="shared" ref="B76" si="20">IF(B60&lt;0,B60*-1,0)</f>
        <v>0</v>
      </c>
      <c r="C76" s="77">
        <f>IF(C60&lt;0,C60*-1,0)</f>
        <v>0</v>
      </c>
      <c r="D76" s="77">
        <f t="shared" ref="D76:AF76" si="21">IF(D60&lt;0,D60*-1,0)</f>
        <v>0</v>
      </c>
      <c r="E76" s="77">
        <f t="shared" si="21"/>
        <v>0</v>
      </c>
      <c r="F76" s="77">
        <f t="shared" si="21"/>
        <v>0</v>
      </c>
      <c r="G76" s="77">
        <f t="shared" si="21"/>
        <v>0</v>
      </c>
      <c r="H76" s="77">
        <f t="shared" si="21"/>
        <v>0</v>
      </c>
      <c r="I76" s="77">
        <f t="shared" si="21"/>
        <v>0</v>
      </c>
      <c r="J76" s="77">
        <f t="shared" si="21"/>
        <v>0</v>
      </c>
      <c r="K76" s="77">
        <f t="shared" si="21"/>
        <v>0</v>
      </c>
      <c r="L76" s="77">
        <f t="shared" si="21"/>
        <v>0</v>
      </c>
      <c r="M76" s="77">
        <f t="shared" si="21"/>
        <v>0</v>
      </c>
      <c r="N76" s="77">
        <f t="shared" si="21"/>
        <v>0</v>
      </c>
      <c r="O76" s="77">
        <f t="shared" si="21"/>
        <v>0</v>
      </c>
      <c r="P76" s="77">
        <f t="shared" si="21"/>
        <v>0</v>
      </c>
      <c r="Q76" s="77">
        <f t="shared" si="21"/>
        <v>0</v>
      </c>
      <c r="R76" s="77">
        <f t="shared" si="21"/>
        <v>0</v>
      </c>
      <c r="S76" s="77">
        <f t="shared" si="21"/>
        <v>0</v>
      </c>
      <c r="T76" s="77">
        <f t="shared" si="21"/>
        <v>0</v>
      </c>
      <c r="U76" s="77">
        <f t="shared" si="21"/>
        <v>0</v>
      </c>
      <c r="V76" s="77">
        <f t="shared" si="21"/>
        <v>0</v>
      </c>
      <c r="W76" s="77">
        <f t="shared" si="21"/>
        <v>0</v>
      </c>
      <c r="X76" s="77">
        <f t="shared" si="21"/>
        <v>0</v>
      </c>
      <c r="Y76" s="77">
        <f t="shared" si="21"/>
        <v>0</v>
      </c>
      <c r="Z76" s="77">
        <f t="shared" si="21"/>
        <v>0</v>
      </c>
      <c r="AA76" s="77">
        <f t="shared" si="21"/>
        <v>0</v>
      </c>
      <c r="AB76" s="77">
        <f t="shared" si="21"/>
        <v>0</v>
      </c>
      <c r="AC76" s="77">
        <f t="shared" si="21"/>
        <v>0</v>
      </c>
      <c r="AD76" s="77">
        <f t="shared" si="21"/>
        <v>0</v>
      </c>
      <c r="AE76" s="77">
        <f t="shared" si="21"/>
        <v>0</v>
      </c>
      <c r="AF76" s="77">
        <f t="shared" si="21"/>
        <v>0</v>
      </c>
      <c r="AG76" s="108"/>
      <c r="AH76" s="21">
        <f t="shared" ref="AH76:AH91" si="22">MAX(B76:AF76)</f>
        <v>0</v>
      </c>
      <c r="AI76" s="20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 t="shared" ref="B77" si="24">IF(B58&lt;0,B58*-1,0)</f>
        <v>0</v>
      </c>
      <c r="C77" s="77">
        <f>IF(C58&lt;0,C58*-1,0)</f>
        <v>0</v>
      </c>
      <c r="D77" s="77">
        <f t="shared" ref="D77:AF77" si="25">IF(D58&lt;0,D58*-1,0)</f>
        <v>0</v>
      </c>
      <c r="E77" s="77">
        <f t="shared" si="25"/>
        <v>0</v>
      </c>
      <c r="F77" s="77">
        <f t="shared" si="25"/>
        <v>0</v>
      </c>
      <c r="G77" s="77">
        <f t="shared" si="25"/>
        <v>0</v>
      </c>
      <c r="H77" s="77">
        <f t="shared" si="25"/>
        <v>0</v>
      </c>
      <c r="I77" s="77">
        <f t="shared" si="25"/>
        <v>0</v>
      </c>
      <c r="J77" s="77">
        <f t="shared" si="25"/>
        <v>0</v>
      </c>
      <c r="K77" s="77">
        <f t="shared" si="25"/>
        <v>0</v>
      </c>
      <c r="L77" s="77">
        <f t="shared" si="25"/>
        <v>0</v>
      </c>
      <c r="M77" s="77">
        <f t="shared" si="25"/>
        <v>0</v>
      </c>
      <c r="N77" s="77">
        <f t="shared" si="25"/>
        <v>0</v>
      </c>
      <c r="O77" s="77">
        <f t="shared" si="25"/>
        <v>0</v>
      </c>
      <c r="P77" s="77">
        <f t="shared" si="25"/>
        <v>0</v>
      </c>
      <c r="Q77" s="77">
        <f t="shared" si="25"/>
        <v>0</v>
      </c>
      <c r="R77" s="77">
        <f t="shared" si="25"/>
        <v>0</v>
      </c>
      <c r="S77" s="77">
        <f t="shared" si="25"/>
        <v>0</v>
      </c>
      <c r="T77" s="77">
        <f t="shared" si="25"/>
        <v>0</v>
      </c>
      <c r="U77" s="77">
        <f t="shared" si="25"/>
        <v>0</v>
      </c>
      <c r="V77" s="77">
        <f t="shared" si="25"/>
        <v>0</v>
      </c>
      <c r="W77" s="77">
        <f t="shared" si="25"/>
        <v>0</v>
      </c>
      <c r="X77" s="77">
        <f t="shared" si="25"/>
        <v>0</v>
      </c>
      <c r="Y77" s="77">
        <f t="shared" si="25"/>
        <v>0</v>
      </c>
      <c r="Z77" s="77">
        <f t="shared" si="25"/>
        <v>0</v>
      </c>
      <c r="AA77" s="77">
        <f t="shared" si="25"/>
        <v>0</v>
      </c>
      <c r="AB77" s="77">
        <f t="shared" si="25"/>
        <v>0</v>
      </c>
      <c r="AC77" s="77">
        <f t="shared" si="25"/>
        <v>0</v>
      </c>
      <c r="AD77" s="77">
        <f t="shared" si="25"/>
        <v>0</v>
      </c>
      <c r="AE77" s="77">
        <f t="shared" si="25"/>
        <v>0</v>
      </c>
      <c r="AF77" s="77">
        <f t="shared" si="25"/>
        <v>0</v>
      </c>
      <c r="AG77" s="106"/>
      <c r="AH77" s="21">
        <f t="shared" si="22"/>
        <v>0</v>
      </c>
      <c r="AI77" s="20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 t="shared" ref="B78" si="26">IF(B61&lt;0,B61*-1,0)</f>
        <v>0</v>
      </c>
      <c r="C78" s="77">
        <f>IF(C61&lt;0,C61*-1,0)</f>
        <v>0</v>
      </c>
      <c r="D78" s="77">
        <f t="shared" ref="D78:AF78" si="27">IF(D61&lt;0,D61*-1,0)</f>
        <v>0</v>
      </c>
      <c r="E78" s="77">
        <f t="shared" si="27"/>
        <v>0</v>
      </c>
      <c r="F78" s="77">
        <f t="shared" si="27"/>
        <v>0</v>
      </c>
      <c r="G78" s="77">
        <f t="shared" si="27"/>
        <v>0</v>
      </c>
      <c r="H78" s="77">
        <f t="shared" si="27"/>
        <v>0</v>
      </c>
      <c r="I78" s="77">
        <f t="shared" si="27"/>
        <v>0</v>
      </c>
      <c r="J78" s="77">
        <f t="shared" si="27"/>
        <v>0</v>
      </c>
      <c r="K78" s="77">
        <f t="shared" si="27"/>
        <v>0</v>
      </c>
      <c r="L78" s="77">
        <f t="shared" si="27"/>
        <v>0</v>
      </c>
      <c r="M78" s="77">
        <f t="shared" si="27"/>
        <v>0</v>
      </c>
      <c r="N78" s="77">
        <f t="shared" si="27"/>
        <v>0</v>
      </c>
      <c r="O78" s="77">
        <f t="shared" si="27"/>
        <v>0</v>
      </c>
      <c r="P78" s="77">
        <f t="shared" si="27"/>
        <v>0</v>
      </c>
      <c r="Q78" s="77">
        <f t="shared" si="27"/>
        <v>0</v>
      </c>
      <c r="R78" s="77">
        <f t="shared" si="27"/>
        <v>0</v>
      </c>
      <c r="S78" s="77">
        <f t="shared" si="27"/>
        <v>0</v>
      </c>
      <c r="T78" s="77">
        <f t="shared" si="27"/>
        <v>0</v>
      </c>
      <c r="U78" s="77">
        <f t="shared" si="27"/>
        <v>0</v>
      </c>
      <c r="V78" s="77">
        <f t="shared" si="27"/>
        <v>0</v>
      </c>
      <c r="W78" s="77">
        <f t="shared" si="27"/>
        <v>0</v>
      </c>
      <c r="X78" s="77">
        <f t="shared" si="27"/>
        <v>0</v>
      </c>
      <c r="Y78" s="77">
        <f t="shared" si="27"/>
        <v>0</v>
      </c>
      <c r="Z78" s="77">
        <f t="shared" si="27"/>
        <v>0</v>
      </c>
      <c r="AA78" s="77">
        <f t="shared" si="27"/>
        <v>0</v>
      </c>
      <c r="AB78" s="77">
        <f t="shared" si="27"/>
        <v>0</v>
      </c>
      <c r="AC78" s="77">
        <f t="shared" si="27"/>
        <v>0</v>
      </c>
      <c r="AD78" s="77">
        <f t="shared" si="27"/>
        <v>0</v>
      </c>
      <c r="AE78" s="77">
        <f t="shared" si="27"/>
        <v>0</v>
      </c>
      <c r="AF78" s="77">
        <f t="shared" si="27"/>
        <v>0</v>
      </c>
      <c r="AG78" s="105"/>
      <c r="AH78" s="21">
        <f t="shared" si="22"/>
        <v>0</v>
      </c>
      <c r="AI78" s="20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 t="shared" ref="B79" si="28">IF(B59&lt;0,B59*-1,0)</f>
        <v>0</v>
      </c>
      <c r="C79" s="77">
        <f>IF(C59&lt;0,C59*-1,0)</f>
        <v>0</v>
      </c>
      <c r="D79" s="77">
        <f t="shared" ref="D79:AF79" si="29">IF(D59&lt;0,D59*-1,0)</f>
        <v>0</v>
      </c>
      <c r="E79" s="77">
        <f t="shared" si="29"/>
        <v>0</v>
      </c>
      <c r="F79" s="77">
        <f t="shared" si="29"/>
        <v>0</v>
      </c>
      <c r="G79" s="77">
        <f t="shared" si="29"/>
        <v>0</v>
      </c>
      <c r="H79" s="77">
        <f t="shared" si="29"/>
        <v>0</v>
      </c>
      <c r="I79" s="77">
        <f t="shared" si="29"/>
        <v>0</v>
      </c>
      <c r="J79" s="77">
        <f t="shared" si="29"/>
        <v>0</v>
      </c>
      <c r="K79" s="77">
        <f t="shared" si="29"/>
        <v>0</v>
      </c>
      <c r="L79" s="77">
        <f t="shared" si="29"/>
        <v>0</v>
      </c>
      <c r="M79" s="77">
        <f t="shared" si="29"/>
        <v>0</v>
      </c>
      <c r="N79" s="77">
        <f t="shared" si="29"/>
        <v>0</v>
      </c>
      <c r="O79" s="77">
        <f t="shared" si="29"/>
        <v>0</v>
      </c>
      <c r="P79" s="77">
        <f t="shared" si="29"/>
        <v>0</v>
      </c>
      <c r="Q79" s="77">
        <f t="shared" si="29"/>
        <v>0</v>
      </c>
      <c r="R79" s="77">
        <f t="shared" si="29"/>
        <v>0</v>
      </c>
      <c r="S79" s="77">
        <f t="shared" si="29"/>
        <v>0</v>
      </c>
      <c r="T79" s="77">
        <f t="shared" si="29"/>
        <v>0</v>
      </c>
      <c r="U79" s="77">
        <f t="shared" si="29"/>
        <v>0</v>
      </c>
      <c r="V79" s="77">
        <f t="shared" si="29"/>
        <v>0</v>
      </c>
      <c r="W79" s="77">
        <f t="shared" si="29"/>
        <v>0</v>
      </c>
      <c r="X79" s="77">
        <f t="shared" si="29"/>
        <v>0</v>
      </c>
      <c r="Y79" s="77">
        <f t="shared" si="29"/>
        <v>0</v>
      </c>
      <c r="Z79" s="77">
        <f t="shared" si="29"/>
        <v>0</v>
      </c>
      <c r="AA79" s="77">
        <f t="shared" si="29"/>
        <v>0</v>
      </c>
      <c r="AB79" s="77">
        <f t="shared" si="29"/>
        <v>0</v>
      </c>
      <c r="AC79" s="77">
        <f t="shared" si="29"/>
        <v>0</v>
      </c>
      <c r="AD79" s="77">
        <f t="shared" si="29"/>
        <v>0</v>
      </c>
      <c r="AE79" s="77">
        <f t="shared" si="29"/>
        <v>0</v>
      </c>
      <c r="AF79" s="77">
        <f t="shared" si="29"/>
        <v>0</v>
      </c>
      <c r="AG79" s="105"/>
      <c r="AH79" s="21">
        <f t="shared" si="22"/>
        <v>0</v>
      </c>
      <c r="AI79" s="20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 t="shared" ref="B80" si="30">IF(B57&lt;0,B57*-1,0)</f>
        <v>0</v>
      </c>
      <c r="C80" s="77">
        <f>IF(C57&lt;0,C57*-1,0)</f>
        <v>0</v>
      </c>
      <c r="D80" s="77">
        <f t="shared" ref="D80:AF80" si="31">IF(D57&lt;0,D57*-1,0)</f>
        <v>0</v>
      </c>
      <c r="E80" s="77">
        <f t="shared" si="31"/>
        <v>0</v>
      </c>
      <c r="F80" s="77">
        <f t="shared" si="31"/>
        <v>0</v>
      </c>
      <c r="G80" s="77">
        <f t="shared" si="31"/>
        <v>0</v>
      </c>
      <c r="H80" s="77">
        <f t="shared" si="31"/>
        <v>0</v>
      </c>
      <c r="I80" s="77">
        <f t="shared" si="31"/>
        <v>0</v>
      </c>
      <c r="J80" s="77">
        <f t="shared" si="31"/>
        <v>0</v>
      </c>
      <c r="K80" s="77">
        <f t="shared" si="31"/>
        <v>0</v>
      </c>
      <c r="L80" s="77">
        <f t="shared" si="31"/>
        <v>0</v>
      </c>
      <c r="M80" s="77">
        <f t="shared" si="31"/>
        <v>0</v>
      </c>
      <c r="N80" s="77">
        <f t="shared" si="31"/>
        <v>0</v>
      </c>
      <c r="O80" s="77">
        <f t="shared" si="31"/>
        <v>0</v>
      </c>
      <c r="P80" s="77">
        <f t="shared" si="31"/>
        <v>0</v>
      </c>
      <c r="Q80" s="77">
        <f t="shared" si="31"/>
        <v>0</v>
      </c>
      <c r="R80" s="77">
        <f t="shared" si="31"/>
        <v>0</v>
      </c>
      <c r="S80" s="77">
        <f t="shared" si="31"/>
        <v>0</v>
      </c>
      <c r="T80" s="77">
        <f t="shared" si="31"/>
        <v>0</v>
      </c>
      <c r="U80" s="77">
        <f t="shared" si="31"/>
        <v>0</v>
      </c>
      <c r="V80" s="77">
        <f t="shared" si="31"/>
        <v>0</v>
      </c>
      <c r="W80" s="77">
        <f t="shared" si="31"/>
        <v>0</v>
      </c>
      <c r="X80" s="77">
        <f t="shared" si="31"/>
        <v>0</v>
      </c>
      <c r="Y80" s="77">
        <f t="shared" si="31"/>
        <v>0</v>
      </c>
      <c r="Z80" s="77">
        <f t="shared" si="31"/>
        <v>0</v>
      </c>
      <c r="AA80" s="77">
        <f t="shared" si="31"/>
        <v>0</v>
      </c>
      <c r="AB80" s="77">
        <f t="shared" si="31"/>
        <v>0</v>
      </c>
      <c r="AC80" s="77">
        <f t="shared" si="31"/>
        <v>0</v>
      </c>
      <c r="AD80" s="77">
        <f t="shared" si="31"/>
        <v>0</v>
      </c>
      <c r="AE80" s="77">
        <f t="shared" si="31"/>
        <v>0</v>
      </c>
      <c r="AF80" s="77">
        <f t="shared" si="31"/>
        <v>0</v>
      </c>
      <c r="AG80" s="105"/>
      <c r="AH80" s="21">
        <f t="shared" si="22"/>
        <v>0</v>
      </c>
      <c r="AI80" s="20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22"/>
        <v>0</v>
      </c>
      <c r="AI81" s="20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 t="shared" ref="B82" si="32">SUM(B76:B81)</f>
        <v>0</v>
      </c>
      <c r="C82" s="99">
        <f t="shared" ref="C82:AG82" si="33">SUM(C76:C81)</f>
        <v>0</v>
      </c>
      <c r="D82" s="99">
        <f t="shared" si="33"/>
        <v>0</v>
      </c>
      <c r="E82" s="99">
        <f t="shared" si="33"/>
        <v>0</v>
      </c>
      <c r="F82" s="99">
        <f t="shared" si="33"/>
        <v>0</v>
      </c>
      <c r="G82" s="99">
        <f t="shared" si="33"/>
        <v>0</v>
      </c>
      <c r="H82" s="99">
        <f t="shared" si="33"/>
        <v>0</v>
      </c>
      <c r="I82" s="99">
        <f t="shared" si="33"/>
        <v>0</v>
      </c>
      <c r="J82" s="99">
        <f t="shared" si="33"/>
        <v>0</v>
      </c>
      <c r="K82" s="99">
        <f t="shared" si="33"/>
        <v>0</v>
      </c>
      <c r="L82" s="99">
        <f t="shared" si="33"/>
        <v>0</v>
      </c>
      <c r="M82" s="99">
        <f t="shared" si="33"/>
        <v>0</v>
      </c>
      <c r="N82" s="99">
        <f t="shared" si="33"/>
        <v>0</v>
      </c>
      <c r="O82" s="99">
        <f t="shared" si="33"/>
        <v>0</v>
      </c>
      <c r="P82" s="99">
        <f t="shared" si="33"/>
        <v>0</v>
      </c>
      <c r="Q82" s="99">
        <f t="shared" si="33"/>
        <v>0</v>
      </c>
      <c r="R82" s="99">
        <f t="shared" si="33"/>
        <v>0</v>
      </c>
      <c r="S82" s="99">
        <f t="shared" si="33"/>
        <v>0</v>
      </c>
      <c r="T82" s="99">
        <f t="shared" si="33"/>
        <v>0</v>
      </c>
      <c r="U82" s="99">
        <f t="shared" si="33"/>
        <v>0</v>
      </c>
      <c r="V82" s="99">
        <f t="shared" si="33"/>
        <v>0</v>
      </c>
      <c r="W82" s="99">
        <f t="shared" si="33"/>
        <v>0</v>
      </c>
      <c r="X82" s="99">
        <f t="shared" si="33"/>
        <v>0</v>
      </c>
      <c r="Y82" s="99">
        <f t="shared" si="33"/>
        <v>0</v>
      </c>
      <c r="Z82" s="99">
        <f t="shared" si="33"/>
        <v>0</v>
      </c>
      <c r="AA82" s="99">
        <f t="shared" si="33"/>
        <v>0</v>
      </c>
      <c r="AB82" s="99">
        <f t="shared" si="33"/>
        <v>0</v>
      </c>
      <c r="AC82" s="99">
        <f t="shared" si="33"/>
        <v>0</v>
      </c>
      <c r="AD82" s="99">
        <f t="shared" si="33"/>
        <v>0</v>
      </c>
      <c r="AE82" s="99">
        <f t="shared" si="33"/>
        <v>0</v>
      </c>
      <c r="AF82" s="99">
        <f t="shared" si="33"/>
        <v>0</v>
      </c>
      <c r="AG82" s="98">
        <f t="shared" si="33"/>
        <v>0</v>
      </c>
      <c r="AH82" s="21">
        <f t="shared" si="22"/>
        <v>0</v>
      </c>
      <c r="AI82" s="20">
        <f t="shared" si="23"/>
        <v>0</v>
      </c>
      <c r="AK82" s="42"/>
    </row>
    <row r="83" spans="1:88" s="1" customFormat="1" ht="15.75" thickBot="1" x14ac:dyDescent="0.3">
      <c r="A83" s="100" t="s">
        <v>132</v>
      </c>
      <c r="B83" s="99">
        <f t="shared" ref="B83" si="34">SUM(B70:B82)</f>
        <v>2696.68</v>
      </c>
      <c r="C83" s="99">
        <f t="shared" ref="C83:AG83" si="35">SUM(C70:C82)</f>
        <v>2667.2799999999997</v>
      </c>
      <c r="D83" s="99">
        <f t="shared" si="35"/>
        <v>2653.4799999999996</v>
      </c>
      <c r="E83" s="99">
        <f t="shared" si="35"/>
        <v>2589.6799999999998</v>
      </c>
      <c r="F83" s="99">
        <f t="shared" si="35"/>
        <v>2512.2800000000002</v>
      </c>
      <c r="G83" s="99">
        <f t="shared" si="35"/>
        <v>2550.88</v>
      </c>
      <c r="H83" s="99">
        <f t="shared" si="35"/>
        <v>2552.6800000000003</v>
      </c>
      <c r="I83" s="99">
        <f t="shared" si="35"/>
        <v>2551.88</v>
      </c>
      <c r="J83" s="99">
        <f t="shared" si="35"/>
        <v>2658.88</v>
      </c>
      <c r="K83" s="99">
        <f t="shared" si="35"/>
        <v>2782.48</v>
      </c>
      <c r="L83" s="99">
        <f t="shared" si="35"/>
        <v>2878.48</v>
      </c>
      <c r="M83" s="99">
        <f t="shared" si="35"/>
        <v>2969.68</v>
      </c>
      <c r="N83" s="99">
        <f t="shared" si="35"/>
        <v>2994.08</v>
      </c>
      <c r="O83" s="99">
        <f t="shared" si="35"/>
        <v>3017.0799999999995</v>
      </c>
      <c r="P83" s="99">
        <f t="shared" si="35"/>
        <v>3060.88</v>
      </c>
      <c r="Q83" s="99">
        <f t="shared" si="35"/>
        <v>3071.68</v>
      </c>
      <c r="R83" s="99">
        <f t="shared" si="35"/>
        <v>2984.4799999999996</v>
      </c>
      <c r="S83" s="99">
        <f t="shared" si="35"/>
        <v>3045.0799999999995</v>
      </c>
      <c r="T83" s="99">
        <f t="shared" si="35"/>
        <v>3080.8799999999997</v>
      </c>
      <c r="U83" s="99">
        <f t="shared" si="35"/>
        <v>3034.08</v>
      </c>
      <c r="V83" s="99">
        <f t="shared" si="35"/>
        <v>2930.68</v>
      </c>
      <c r="W83" s="99">
        <f t="shared" si="35"/>
        <v>2887.28</v>
      </c>
      <c r="X83" s="99">
        <f t="shared" si="35"/>
        <v>2901.08</v>
      </c>
      <c r="Y83" s="99">
        <f t="shared" si="35"/>
        <v>3208.2800000000007</v>
      </c>
      <c r="Z83" s="99">
        <f t="shared" si="35"/>
        <v>3396.48</v>
      </c>
      <c r="AA83" s="99">
        <f t="shared" si="35"/>
        <v>3321.48</v>
      </c>
      <c r="AB83" s="99">
        <f t="shared" si="35"/>
        <v>3308.88</v>
      </c>
      <c r="AC83" s="99">
        <f t="shared" si="35"/>
        <v>3278.2799999999997</v>
      </c>
      <c r="AD83" s="99">
        <f t="shared" si="35"/>
        <v>3042.48</v>
      </c>
      <c r="AE83" s="99">
        <f t="shared" si="35"/>
        <v>2897.88</v>
      </c>
      <c r="AF83" s="99">
        <f t="shared" si="35"/>
        <v>2740.88</v>
      </c>
      <c r="AG83" s="98">
        <f t="shared" si="35"/>
        <v>4360.08</v>
      </c>
      <c r="AH83" s="21">
        <f t="shared" si="22"/>
        <v>3396.48</v>
      </c>
      <c r="AI83" s="20">
        <f t="shared" si="23"/>
        <v>2512.2800000000002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6">
        <v>49.84</v>
      </c>
      <c r="C84" s="96">
        <v>49.8</v>
      </c>
      <c r="D84" s="96">
        <v>49.96</v>
      </c>
      <c r="E84" s="96">
        <v>49.945</v>
      </c>
      <c r="F84" s="96">
        <v>49.92</v>
      </c>
      <c r="G84" s="96">
        <v>49.94</v>
      </c>
      <c r="H84" s="96">
        <v>49.802</v>
      </c>
      <c r="I84" s="96">
        <v>49.673000000000002</v>
      </c>
      <c r="J84" s="96">
        <v>49.94</v>
      </c>
      <c r="K84" s="96">
        <v>49.94</v>
      </c>
      <c r="L84" s="96">
        <v>49.947000000000003</v>
      </c>
      <c r="M84" s="96">
        <v>50.08</v>
      </c>
      <c r="N84" s="96">
        <v>50.16</v>
      </c>
      <c r="O84" s="96">
        <v>50.005000000000003</v>
      </c>
      <c r="P84" s="96">
        <v>49.893000000000001</v>
      </c>
      <c r="Q84" s="96">
        <v>49.7</v>
      </c>
      <c r="R84" s="96">
        <v>49.951999999999998</v>
      </c>
      <c r="S84" s="96">
        <v>49.948</v>
      </c>
      <c r="T84" s="96">
        <v>49.863</v>
      </c>
      <c r="U84" s="96">
        <v>49.63</v>
      </c>
      <c r="V84" s="96">
        <v>49.704999999999998</v>
      </c>
      <c r="W84" s="96">
        <v>49.704999999999998</v>
      </c>
      <c r="X84" s="96">
        <v>49.994999999999997</v>
      </c>
      <c r="Y84" s="96">
        <v>50.06</v>
      </c>
      <c r="Z84" s="96">
        <v>49.893000000000001</v>
      </c>
      <c r="AA84" s="96">
        <v>49.84</v>
      </c>
      <c r="AB84" s="96">
        <v>49.965000000000003</v>
      </c>
      <c r="AC84" s="96">
        <v>49.89</v>
      </c>
      <c r="AD84" s="96">
        <v>50.012</v>
      </c>
      <c r="AE84" s="96">
        <v>49.988</v>
      </c>
      <c r="AF84" s="96">
        <v>49.828000000000003</v>
      </c>
      <c r="AG84" s="95"/>
      <c r="AH84" s="21">
        <f t="shared" si="22"/>
        <v>50.16</v>
      </c>
      <c r="AI84" s="20">
        <f t="shared" si="23"/>
        <v>49.63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73">
        <v>125.8</v>
      </c>
      <c r="C85" s="73">
        <v>125.8</v>
      </c>
      <c r="D85" s="73">
        <v>125.1</v>
      </c>
      <c r="E85" s="73">
        <v>128.5</v>
      </c>
      <c r="F85" s="73">
        <v>128.9</v>
      </c>
      <c r="G85" s="73">
        <v>127.9</v>
      </c>
      <c r="H85" s="73">
        <v>128.19999999999999</v>
      </c>
      <c r="I85" s="73">
        <v>129.4</v>
      </c>
      <c r="J85" s="73">
        <v>127.8</v>
      </c>
      <c r="K85" s="73">
        <v>127.8</v>
      </c>
      <c r="L85" s="73">
        <v>127</v>
      </c>
      <c r="M85" s="73">
        <v>125.7</v>
      </c>
      <c r="N85" s="73">
        <v>125</v>
      </c>
      <c r="O85" s="73">
        <v>125.1</v>
      </c>
      <c r="P85" s="73">
        <v>122.2</v>
      </c>
      <c r="Q85" s="73">
        <v>122</v>
      </c>
      <c r="R85" s="73">
        <v>122.7</v>
      </c>
      <c r="S85" s="73">
        <v>122.7</v>
      </c>
      <c r="T85" s="73">
        <v>125.3</v>
      </c>
      <c r="U85" s="94">
        <v>123.4</v>
      </c>
      <c r="V85" s="94">
        <v>125</v>
      </c>
      <c r="W85" s="94">
        <v>125</v>
      </c>
      <c r="X85" s="94">
        <v>128.6</v>
      </c>
      <c r="Y85" s="94">
        <v>127.6</v>
      </c>
      <c r="Z85" s="94">
        <v>126.4</v>
      </c>
      <c r="AA85" s="94">
        <v>126.7</v>
      </c>
      <c r="AB85" s="73">
        <v>127.7</v>
      </c>
      <c r="AC85" s="73">
        <v>127.8</v>
      </c>
      <c r="AD85" s="73">
        <v>127.8</v>
      </c>
      <c r="AE85" s="73">
        <v>128.69999999999999</v>
      </c>
      <c r="AF85" s="73">
        <v>129.69999999999999</v>
      </c>
      <c r="AG85" s="89"/>
      <c r="AH85" s="21">
        <f t="shared" si="22"/>
        <v>129.69999999999999</v>
      </c>
      <c r="AI85" s="20">
        <f t="shared" si="23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73">
        <v>130.4</v>
      </c>
      <c r="C86" s="73">
        <v>130.4</v>
      </c>
      <c r="D86" s="73">
        <v>129.9</v>
      </c>
      <c r="E86" s="73">
        <v>132.19999999999999</v>
      </c>
      <c r="F86" s="73">
        <v>132.6</v>
      </c>
      <c r="G86" s="73">
        <v>131.5</v>
      </c>
      <c r="H86" s="73">
        <v>131.6</v>
      </c>
      <c r="I86" s="73">
        <v>132.19999999999999</v>
      </c>
      <c r="J86" s="73">
        <v>130.69999999999999</v>
      </c>
      <c r="K86" s="73">
        <v>130.69999999999999</v>
      </c>
      <c r="L86" s="73">
        <v>129.5</v>
      </c>
      <c r="M86" s="73">
        <v>128.5</v>
      </c>
      <c r="N86" s="73">
        <v>127.7</v>
      </c>
      <c r="O86" s="73">
        <v>127.8</v>
      </c>
      <c r="P86" s="73">
        <v>126.6</v>
      </c>
      <c r="Q86" s="73">
        <v>127</v>
      </c>
      <c r="R86" s="73">
        <v>126.9</v>
      </c>
      <c r="S86" s="73">
        <v>126.9</v>
      </c>
      <c r="T86" s="73">
        <v>128.6</v>
      </c>
      <c r="U86" s="94">
        <v>127</v>
      </c>
      <c r="V86" s="94">
        <v>129</v>
      </c>
      <c r="W86" s="94">
        <v>129</v>
      </c>
      <c r="X86" s="94">
        <v>131.4</v>
      </c>
      <c r="Y86" s="94">
        <v>130.4</v>
      </c>
      <c r="Z86" s="94">
        <v>128.6</v>
      </c>
      <c r="AA86" s="94">
        <v>129.1</v>
      </c>
      <c r="AB86" s="73">
        <v>130.6</v>
      </c>
      <c r="AC86" s="73">
        <v>130.5</v>
      </c>
      <c r="AD86" s="73">
        <v>130.5</v>
      </c>
      <c r="AE86" s="73">
        <v>132</v>
      </c>
      <c r="AF86" s="73">
        <v>132.80000000000001</v>
      </c>
      <c r="AG86" s="89"/>
      <c r="AH86" s="21">
        <f t="shared" si="22"/>
        <v>132.80000000000001</v>
      </c>
      <c r="AI86" s="20">
        <f t="shared" si="23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73">
        <v>127.3</v>
      </c>
      <c r="C87" s="73">
        <v>127.3</v>
      </c>
      <c r="D87" s="73">
        <v>128.69999999999999</v>
      </c>
      <c r="E87" s="73">
        <v>130</v>
      </c>
      <c r="F87" s="73">
        <v>129.6</v>
      </c>
      <c r="G87" s="73">
        <v>130.4</v>
      </c>
      <c r="H87" s="73">
        <v>129.6</v>
      </c>
      <c r="I87" s="73">
        <v>129.1</v>
      </c>
      <c r="J87" s="73">
        <v>127.3</v>
      </c>
      <c r="K87" s="73">
        <v>127.3</v>
      </c>
      <c r="L87" s="73">
        <v>128.5</v>
      </c>
      <c r="M87" s="73">
        <v>128.6</v>
      </c>
      <c r="N87" s="73">
        <v>129.6</v>
      </c>
      <c r="O87" s="73">
        <v>129.5</v>
      </c>
      <c r="P87" s="73">
        <v>128</v>
      </c>
      <c r="Q87" s="73">
        <v>128</v>
      </c>
      <c r="R87" s="73">
        <v>129.30000000000001</v>
      </c>
      <c r="S87" s="73">
        <v>129.30000000000001</v>
      </c>
      <c r="T87" s="73">
        <v>128</v>
      </c>
      <c r="U87" s="73">
        <v>127.2</v>
      </c>
      <c r="V87" s="73">
        <v>130</v>
      </c>
      <c r="W87" s="73">
        <v>130</v>
      </c>
      <c r="X87" s="94">
        <v>130.6</v>
      </c>
      <c r="Y87" s="94">
        <v>124.2</v>
      </c>
      <c r="Z87" s="94">
        <v>126.3</v>
      </c>
      <c r="AA87" s="94">
        <v>124.6</v>
      </c>
      <c r="AB87" s="73">
        <v>128.80000000000001</v>
      </c>
      <c r="AC87" s="73">
        <v>128.5</v>
      </c>
      <c r="AD87" s="73">
        <v>128.5</v>
      </c>
      <c r="AE87" s="73">
        <v>125.4</v>
      </c>
      <c r="AF87" s="73">
        <v>127.5</v>
      </c>
      <c r="AG87" s="89"/>
      <c r="AH87" s="21">
        <f t="shared" si="22"/>
        <v>130.6</v>
      </c>
      <c r="AI87" s="20">
        <f t="shared" si="23"/>
        <v>124.2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73">
        <v>131.9</v>
      </c>
      <c r="C88" s="73">
        <v>133</v>
      </c>
      <c r="D88" s="73">
        <v>133.5</v>
      </c>
      <c r="E88" s="73">
        <v>134.69999999999999</v>
      </c>
      <c r="F88" s="73">
        <v>134.6</v>
      </c>
      <c r="G88" s="73">
        <v>134.69999999999999</v>
      </c>
      <c r="H88" s="73">
        <v>133.5</v>
      </c>
      <c r="I88" s="73">
        <v>132.9</v>
      </c>
      <c r="J88" s="73">
        <v>130</v>
      </c>
      <c r="K88" s="73">
        <v>130</v>
      </c>
      <c r="L88" s="73">
        <v>130.80000000000001</v>
      </c>
      <c r="M88" s="73">
        <v>130.4</v>
      </c>
      <c r="N88" s="73">
        <v>131.30000000000001</v>
      </c>
      <c r="O88" s="73">
        <v>130.30000000000001</v>
      </c>
      <c r="P88" s="73">
        <v>129</v>
      </c>
      <c r="Q88" s="73">
        <v>129.6</v>
      </c>
      <c r="R88" s="73">
        <v>131.19999999999999</v>
      </c>
      <c r="S88" s="73">
        <v>131.19999999999999</v>
      </c>
      <c r="T88" s="73">
        <v>129.4</v>
      </c>
      <c r="U88" s="73">
        <v>128</v>
      </c>
      <c r="V88" s="73">
        <v>131</v>
      </c>
      <c r="W88" s="73">
        <v>131</v>
      </c>
      <c r="X88" s="94">
        <v>131.1</v>
      </c>
      <c r="Y88" s="94">
        <v>124.6</v>
      </c>
      <c r="Z88" s="94">
        <v>129.19999999999999</v>
      </c>
      <c r="AA88" s="94">
        <v>126.5</v>
      </c>
      <c r="AB88" s="73">
        <v>131.80000000000001</v>
      </c>
      <c r="AC88" s="73">
        <v>131.30000000000001</v>
      </c>
      <c r="AD88" s="73">
        <v>131.30000000000001</v>
      </c>
      <c r="AE88" s="73">
        <v>129</v>
      </c>
      <c r="AF88" s="73">
        <v>131.1</v>
      </c>
      <c r="AG88" s="89"/>
      <c r="AH88" s="21">
        <f t="shared" si="22"/>
        <v>134.69999999999999</v>
      </c>
      <c r="AI88" s="20">
        <f t="shared" si="23"/>
        <v>124.6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66">
        <v>132.4</v>
      </c>
      <c r="C89" s="66">
        <v>132.4</v>
      </c>
      <c r="D89" s="66">
        <v>133.6</v>
      </c>
      <c r="E89" s="66">
        <v>133.6</v>
      </c>
      <c r="F89" s="66">
        <v>134.69999999999999</v>
      </c>
      <c r="G89" s="66">
        <v>130.80000000000001</v>
      </c>
      <c r="H89" s="66">
        <v>132.9</v>
      </c>
      <c r="I89" s="66">
        <v>133.5</v>
      </c>
      <c r="J89" s="66">
        <v>132.4</v>
      </c>
      <c r="K89" s="66">
        <v>132.4</v>
      </c>
      <c r="L89" s="66">
        <v>131.9</v>
      </c>
      <c r="M89" s="66">
        <v>131.5</v>
      </c>
      <c r="N89" s="66">
        <v>128.69999999999999</v>
      </c>
      <c r="O89" s="66">
        <v>132.30000000000001</v>
      </c>
      <c r="P89" s="66">
        <v>134.5</v>
      </c>
      <c r="Q89" s="66">
        <v>135</v>
      </c>
      <c r="R89" s="66">
        <v>134.9</v>
      </c>
      <c r="S89" s="66">
        <v>134.9</v>
      </c>
      <c r="T89" s="66">
        <v>133.6</v>
      </c>
      <c r="U89" s="66">
        <v>129</v>
      </c>
      <c r="V89" s="66">
        <v>135</v>
      </c>
      <c r="W89" s="66">
        <v>135</v>
      </c>
      <c r="X89" s="94">
        <v>131.6</v>
      </c>
      <c r="Y89" s="94">
        <v>135.80000000000001</v>
      </c>
      <c r="Z89" s="94">
        <v>130.9</v>
      </c>
      <c r="AA89" s="94">
        <v>132.19999999999999</v>
      </c>
      <c r="AB89" s="66">
        <v>132.9</v>
      </c>
      <c r="AC89" s="66">
        <v>133.19999999999999</v>
      </c>
      <c r="AD89" s="66">
        <v>133.19999999999999</v>
      </c>
      <c r="AE89" s="66">
        <v>132.9</v>
      </c>
      <c r="AF89" s="66">
        <v>131.30000000000001</v>
      </c>
      <c r="AG89" s="91"/>
      <c r="AH89" s="21">
        <f t="shared" si="22"/>
        <v>135.80000000000001</v>
      </c>
      <c r="AI89" s="20">
        <f t="shared" si="23"/>
        <v>128.69999999999999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73">
        <v>134.4</v>
      </c>
      <c r="C90" s="73">
        <v>134.4</v>
      </c>
      <c r="D90" s="73">
        <v>136.5</v>
      </c>
      <c r="E90" s="73">
        <v>137.69999999999999</v>
      </c>
      <c r="F90" s="73">
        <v>134.69999999999999</v>
      </c>
      <c r="G90" s="73">
        <v>135.1</v>
      </c>
      <c r="H90" s="73">
        <v>134.9</v>
      </c>
      <c r="I90" s="73">
        <v>134.69999999999999</v>
      </c>
      <c r="J90" s="73">
        <v>133.80000000000001</v>
      </c>
      <c r="K90" s="73">
        <v>133.80000000000001</v>
      </c>
      <c r="L90" s="73">
        <v>133</v>
      </c>
      <c r="M90" s="73">
        <v>131.19999999999999</v>
      </c>
      <c r="N90" s="73">
        <v>131.4</v>
      </c>
      <c r="O90" s="73">
        <v>128.69999999999999</v>
      </c>
      <c r="P90" s="73">
        <v>126.2</v>
      </c>
      <c r="Q90" s="73">
        <v>130</v>
      </c>
      <c r="R90" s="73">
        <v>132</v>
      </c>
      <c r="S90" s="73">
        <v>132</v>
      </c>
      <c r="T90" s="73">
        <v>129</v>
      </c>
      <c r="U90" s="73">
        <v>125.9</v>
      </c>
      <c r="V90" s="73">
        <v>129.5</v>
      </c>
      <c r="W90" s="73">
        <v>129.5</v>
      </c>
      <c r="X90" s="94">
        <v>128</v>
      </c>
      <c r="Y90" s="94">
        <v>128.30000000000001</v>
      </c>
      <c r="Z90" s="94">
        <v>128.69999999999999</v>
      </c>
      <c r="AA90" s="94">
        <v>131.1</v>
      </c>
      <c r="AB90" s="73">
        <v>132.69999999999999</v>
      </c>
      <c r="AC90" s="73">
        <v>132.80000000000001</v>
      </c>
      <c r="AD90" s="73">
        <v>132.80000000000001</v>
      </c>
      <c r="AE90" s="73">
        <v>133.6</v>
      </c>
      <c r="AF90" s="73">
        <v>132</v>
      </c>
      <c r="AG90" s="89"/>
      <c r="AH90" s="21">
        <f t="shared" si="22"/>
        <v>137.69999999999999</v>
      </c>
      <c r="AI90" s="20">
        <f t="shared" si="23"/>
        <v>125.9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7">
        <v>66.099999999999994</v>
      </c>
      <c r="C91" s="87">
        <v>66.099999999999994</v>
      </c>
      <c r="D91" s="87">
        <v>67.7</v>
      </c>
      <c r="E91" s="87">
        <v>67.099999999999994</v>
      </c>
      <c r="F91" s="87">
        <v>67.3</v>
      </c>
      <c r="G91" s="87">
        <v>66.8</v>
      </c>
      <c r="H91" s="87">
        <v>66.7</v>
      </c>
      <c r="I91" s="87">
        <v>66.8</v>
      </c>
      <c r="J91" s="87">
        <v>65.900000000000006</v>
      </c>
      <c r="K91" s="87">
        <v>65.900000000000006</v>
      </c>
      <c r="L91" s="87">
        <v>65.3</v>
      </c>
      <c r="M91" s="87">
        <v>64.8</v>
      </c>
      <c r="N91" s="87">
        <v>64.3</v>
      </c>
      <c r="O91" s="87">
        <v>64.099999999999994</v>
      </c>
      <c r="P91" s="87">
        <v>63.5</v>
      </c>
      <c r="Q91" s="87">
        <v>63.6</v>
      </c>
      <c r="R91" s="87">
        <v>63.7</v>
      </c>
      <c r="S91" s="87">
        <v>63.7</v>
      </c>
      <c r="T91" s="87">
        <v>64.3</v>
      </c>
      <c r="U91" s="87">
        <v>63.8</v>
      </c>
      <c r="V91" s="87">
        <v>64.8</v>
      </c>
      <c r="W91" s="87">
        <v>64.8</v>
      </c>
      <c r="X91" s="87">
        <v>66</v>
      </c>
      <c r="Y91" s="87">
        <v>65.7</v>
      </c>
      <c r="Z91" s="87">
        <v>65</v>
      </c>
      <c r="AA91" s="87">
        <v>65.2</v>
      </c>
      <c r="AB91" s="87">
        <v>65.900000000000006</v>
      </c>
      <c r="AC91" s="87">
        <v>65.900000000000006</v>
      </c>
      <c r="AD91" s="87">
        <v>65.900000000000006</v>
      </c>
      <c r="AE91" s="87">
        <v>66.8</v>
      </c>
      <c r="AF91" s="87">
        <v>67.099999999999994</v>
      </c>
      <c r="AG91" s="86"/>
      <c r="AH91" s="21">
        <f t="shared" si="22"/>
        <v>67.7</v>
      </c>
      <c r="AI91" s="20">
        <f t="shared" si="23"/>
        <v>63.5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36">SUM(B15,B18,B21:B22,B42,B44:B45,B47,B49,B94:B97,B103,B109,B115,B124,B126,B138,B145,B148:B149,B156,B158,B160,B164:B166,B168:B170,B175,B181:B182,B184:B186,B194,B199)</f>
        <v>187.03999999999996</v>
      </c>
      <c r="C93" s="82">
        <f t="shared" si="36"/>
        <v>185.03999999999996</v>
      </c>
      <c r="D93" s="82">
        <f t="shared" si="36"/>
        <v>174.83999999999995</v>
      </c>
      <c r="E93" s="82">
        <f t="shared" si="36"/>
        <v>173.73999999999998</v>
      </c>
      <c r="F93" s="82">
        <f t="shared" si="36"/>
        <v>175.14</v>
      </c>
      <c r="G93" s="80">
        <f t="shared" si="36"/>
        <v>198.03999999999996</v>
      </c>
      <c r="H93" s="80">
        <f t="shared" si="36"/>
        <v>226.43999999999994</v>
      </c>
      <c r="I93" s="80">
        <f t="shared" si="36"/>
        <v>252.13999999999996</v>
      </c>
      <c r="J93" s="80">
        <f t="shared" si="36"/>
        <v>304.84000000000003</v>
      </c>
      <c r="K93" s="80">
        <f t="shared" si="36"/>
        <v>303.44000000000005</v>
      </c>
      <c r="L93" s="80">
        <f t="shared" si="36"/>
        <v>324.84000000000003</v>
      </c>
      <c r="M93" s="80">
        <f t="shared" si="36"/>
        <v>334.74</v>
      </c>
      <c r="N93" s="80">
        <f t="shared" si="36"/>
        <v>322.34000000000003</v>
      </c>
      <c r="O93" s="80">
        <f t="shared" si="36"/>
        <v>326.84000000000003</v>
      </c>
      <c r="P93" s="80">
        <f t="shared" si="36"/>
        <v>320.64</v>
      </c>
      <c r="Q93" s="80">
        <f t="shared" si="36"/>
        <v>321.44000000000005</v>
      </c>
      <c r="R93" s="80">
        <f t="shared" si="36"/>
        <v>315.44000000000005</v>
      </c>
      <c r="S93" s="80">
        <f t="shared" si="36"/>
        <v>315.44000000000005</v>
      </c>
      <c r="T93" s="80">
        <f t="shared" si="36"/>
        <v>326.94000000000005</v>
      </c>
      <c r="U93" s="80">
        <f t="shared" si="36"/>
        <v>329.54</v>
      </c>
      <c r="V93" s="80">
        <f t="shared" si="36"/>
        <v>323.94</v>
      </c>
      <c r="W93" s="80">
        <f t="shared" si="36"/>
        <v>332.64000000000004</v>
      </c>
      <c r="X93" s="80">
        <f t="shared" si="36"/>
        <v>331.14</v>
      </c>
      <c r="Y93" s="80">
        <f t="shared" si="36"/>
        <v>346.84</v>
      </c>
      <c r="Z93" s="80">
        <f t="shared" si="36"/>
        <v>385.44</v>
      </c>
      <c r="AA93" s="80">
        <f t="shared" si="36"/>
        <v>369.54000000000008</v>
      </c>
      <c r="AB93" s="80">
        <f t="shared" si="36"/>
        <v>308.04000000000002</v>
      </c>
      <c r="AC93" s="80">
        <f t="shared" si="36"/>
        <v>286.84000000000003</v>
      </c>
      <c r="AD93" s="80">
        <f t="shared" si="36"/>
        <v>318.44000000000005</v>
      </c>
      <c r="AE93" s="80">
        <f t="shared" si="36"/>
        <v>249.23999999999995</v>
      </c>
      <c r="AF93" s="80">
        <f t="shared" si="36"/>
        <v>186.33999999999997</v>
      </c>
      <c r="AG93" s="79"/>
      <c r="AH93" s="21">
        <f>MAX(C93:AF93)</f>
        <v>385.44</v>
      </c>
      <c r="AI93" s="20">
        <f>MIN(C93:AF93)</f>
        <v>173.73999999999998</v>
      </c>
    </row>
    <row r="94" spans="1:88" x14ac:dyDescent="0.25">
      <c r="A94" s="48" t="s">
        <v>122</v>
      </c>
      <c r="B94" s="78">
        <v>0</v>
      </c>
      <c r="C94" s="78">
        <v>1</v>
      </c>
      <c r="D94" s="77">
        <v>6.7</v>
      </c>
      <c r="E94" s="77">
        <v>2.5</v>
      </c>
      <c r="F94" s="77">
        <v>2</v>
      </c>
      <c r="G94" s="76">
        <v>-6.5</v>
      </c>
      <c r="H94" s="76">
        <v>-2.8</v>
      </c>
      <c r="I94" s="76">
        <v>12.3</v>
      </c>
      <c r="J94" s="76">
        <v>-15.6</v>
      </c>
      <c r="K94" s="76">
        <v>-12</v>
      </c>
      <c r="L94" s="76">
        <v>-10</v>
      </c>
      <c r="M94" s="75">
        <v>-10.4</v>
      </c>
      <c r="N94" s="76">
        <v>-11.7</v>
      </c>
      <c r="O94" s="76">
        <v>-7.7</v>
      </c>
      <c r="P94" s="76">
        <v>9.1999999999999993</v>
      </c>
      <c r="Q94" s="76">
        <v>8</v>
      </c>
      <c r="R94" s="76">
        <v>5.4</v>
      </c>
      <c r="S94" s="76">
        <v>5.4</v>
      </c>
      <c r="T94" s="76">
        <v>-11.2</v>
      </c>
      <c r="U94" s="75">
        <v>-17.3</v>
      </c>
      <c r="V94" s="75">
        <v>-1.3</v>
      </c>
      <c r="W94" s="75">
        <v>9.5</v>
      </c>
      <c r="X94" s="76">
        <v>4.7</v>
      </c>
      <c r="Y94" s="76">
        <v>7.2</v>
      </c>
      <c r="Z94" s="76">
        <v>13.9</v>
      </c>
      <c r="AA94" s="76">
        <v>9.3000000000000007</v>
      </c>
      <c r="AB94" s="75">
        <v>7.7</v>
      </c>
      <c r="AC94" s="75">
        <v>8.3000000000000007</v>
      </c>
      <c r="AD94" s="75">
        <v>7.5</v>
      </c>
      <c r="AE94" s="75">
        <v>4.4000000000000004</v>
      </c>
      <c r="AF94" s="75">
        <v>-9.3000000000000007</v>
      </c>
      <c r="AG94" s="3">
        <v>75</v>
      </c>
      <c r="AH94" s="21">
        <f t="shared" ref="AH94:AH100" si="37">IF(ABS(MAX(C94:AF94))&gt;ABS(MIN(C94:AF94)),MAX(C94:AF94),MIN(C94:AF94))</f>
        <v>-17.3</v>
      </c>
      <c r="AI94" s="64">
        <f t="shared" ref="AI94:AI100" si="38">INDEX($C$9:$AF$9,1,MATCH(AH94,C94:AF94,0))</f>
        <v>0.66666666666666696</v>
      </c>
    </row>
    <row r="95" spans="1:88" x14ac:dyDescent="0.25">
      <c r="A95" s="45" t="s">
        <v>121</v>
      </c>
      <c r="B95" s="74">
        <f>-14.3-24.9</f>
        <v>-39.200000000000003</v>
      </c>
      <c r="C95" s="74">
        <v>-37</v>
      </c>
      <c r="D95" s="67">
        <f>-17-29.2</f>
        <v>-46.2</v>
      </c>
      <c r="E95" s="67">
        <v>-45</v>
      </c>
      <c r="F95" s="67">
        <v>-45</v>
      </c>
      <c r="G95" s="67">
        <v>-25</v>
      </c>
      <c r="H95" s="67">
        <v>-20</v>
      </c>
      <c r="I95" s="67">
        <v>-27</v>
      </c>
      <c r="J95" s="67">
        <v>10</v>
      </c>
      <c r="K95" s="67">
        <v>5</v>
      </c>
      <c r="L95" s="67">
        <v>16</v>
      </c>
      <c r="M95" s="67">
        <v>24</v>
      </c>
      <c r="N95" s="67">
        <v>22.9</v>
      </c>
      <c r="O95" s="67">
        <v>26</v>
      </c>
      <c r="P95" s="67">
        <v>-7.5</v>
      </c>
      <c r="Q95" s="67">
        <v>-10</v>
      </c>
      <c r="R95" s="67">
        <v>-9.8000000000000007</v>
      </c>
      <c r="S95" s="67">
        <v>-9.8000000000000007</v>
      </c>
      <c r="T95" s="67">
        <v>25</v>
      </c>
      <c r="U95" s="67">
        <v>35</v>
      </c>
      <c r="V95" s="67">
        <v>18</v>
      </c>
      <c r="W95" s="67">
        <v>4.3</v>
      </c>
      <c r="X95" s="67">
        <v>6.9</v>
      </c>
      <c r="Y95" s="67">
        <v>18</v>
      </c>
      <c r="Z95" s="67">
        <v>56.2</v>
      </c>
      <c r="AA95" s="67">
        <v>45</v>
      </c>
      <c r="AB95" s="73">
        <v>1.2</v>
      </c>
      <c r="AC95" s="73">
        <v>-1.5</v>
      </c>
      <c r="AD95" s="73">
        <v>3.2</v>
      </c>
      <c r="AE95" s="73">
        <v>-5.4</v>
      </c>
      <c r="AF95" s="73">
        <v>-42</v>
      </c>
      <c r="AG95" s="3">
        <v>240</v>
      </c>
      <c r="AH95" s="21">
        <f t="shared" si="37"/>
        <v>56.2</v>
      </c>
      <c r="AI95" s="64">
        <f t="shared" si="38"/>
        <v>0.79166666666666663</v>
      </c>
    </row>
    <row r="96" spans="1:88" x14ac:dyDescent="0.25">
      <c r="A96" s="45" t="s">
        <v>120</v>
      </c>
      <c r="B96" s="74">
        <v>21.1</v>
      </c>
      <c r="C96" s="74">
        <v>20</v>
      </c>
      <c r="D96" s="67">
        <v>17.399999999999999</v>
      </c>
      <c r="E96" s="67">
        <v>20.399999999999999</v>
      </c>
      <c r="F96" s="67">
        <v>21.3</v>
      </c>
      <c r="G96" s="67">
        <v>19</v>
      </c>
      <c r="H96" s="67">
        <v>21.6</v>
      </c>
      <c r="I96" s="67">
        <v>23.1</v>
      </c>
      <c r="J96" s="67">
        <v>35.299999999999997</v>
      </c>
      <c r="K96" s="67">
        <v>35.299999999999997</v>
      </c>
      <c r="L96" s="67">
        <v>34.700000000000003</v>
      </c>
      <c r="M96" s="67">
        <v>34.799999999999997</v>
      </c>
      <c r="N96" s="67">
        <v>34.700000000000003</v>
      </c>
      <c r="O96" s="67">
        <v>36</v>
      </c>
      <c r="P96" s="67">
        <v>43.9</v>
      </c>
      <c r="Q96" s="67">
        <v>37.5</v>
      </c>
      <c r="R96" s="67">
        <v>35.4</v>
      </c>
      <c r="S96" s="67">
        <v>35.4</v>
      </c>
      <c r="T96" s="67">
        <v>41.6</v>
      </c>
      <c r="U96" s="67">
        <v>39.6</v>
      </c>
      <c r="V96" s="67">
        <v>30</v>
      </c>
      <c r="W96" s="67">
        <v>34.700000000000003</v>
      </c>
      <c r="X96" s="67">
        <v>34.6</v>
      </c>
      <c r="Y96" s="67">
        <v>42.7</v>
      </c>
      <c r="Z96" s="67">
        <v>54.5</v>
      </c>
      <c r="AA96" s="67">
        <v>51.4</v>
      </c>
      <c r="AB96" s="73">
        <v>40.700000000000003</v>
      </c>
      <c r="AC96" s="73">
        <v>40.9</v>
      </c>
      <c r="AD96" s="73">
        <v>43.1</v>
      </c>
      <c r="AE96" s="73">
        <v>29.2</v>
      </c>
      <c r="AF96" s="73">
        <v>29.3</v>
      </c>
      <c r="AG96" s="3">
        <v>60</v>
      </c>
      <c r="AH96" s="21">
        <f t="shared" si="37"/>
        <v>54.5</v>
      </c>
      <c r="AI96" s="64">
        <f t="shared" si="38"/>
        <v>0.79166666666666663</v>
      </c>
    </row>
    <row r="97" spans="1:37" x14ac:dyDescent="0.25">
      <c r="A97" s="41" t="s">
        <v>119</v>
      </c>
      <c r="B97" s="71">
        <v>16.100000000000001</v>
      </c>
      <c r="C97" s="71">
        <v>12</v>
      </c>
      <c r="D97" s="70">
        <v>7.5</v>
      </c>
      <c r="E97" s="70">
        <v>6.4</v>
      </c>
      <c r="F97" s="70">
        <v>7.4</v>
      </c>
      <c r="G97" s="70">
        <v>21.1</v>
      </c>
      <c r="H97" s="70">
        <v>38.200000000000003</v>
      </c>
      <c r="I97" s="70">
        <v>54</v>
      </c>
      <c r="J97" s="70">
        <v>85.4</v>
      </c>
      <c r="K97" s="70">
        <v>85.4</v>
      </c>
      <c r="L97" s="70">
        <v>94.7</v>
      </c>
      <c r="M97" s="70">
        <v>96.9</v>
      </c>
      <c r="N97" s="70">
        <v>87</v>
      </c>
      <c r="O97" s="70">
        <v>83.1</v>
      </c>
      <c r="P97" s="70">
        <v>85.6</v>
      </c>
      <c r="Q97" s="70">
        <v>96.5</v>
      </c>
      <c r="R97" s="70">
        <v>95</v>
      </c>
      <c r="S97" s="70">
        <v>95</v>
      </c>
      <c r="T97" s="70">
        <v>82.1</v>
      </c>
      <c r="U97" s="70">
        <v>82.8</v>
      </c>
      <c r="V97" s="70">
        <v>87.8</v>
      </c>
      <c r="W97" s="70">
        <v>94.7</v>
      </c>
      <c r="X97" s="70">
        <v>95.5</v>
      </c>
      <c r="Y97" s="70">
        <v>89.2</v>
      </c>
      <c r="Z97" s="70">
        <v>110.2</v>
      </c>
      <c r="AA97" s="70">
        <v>113.5</v>
      </c>
      <c r="AB97" s="69">
        <v>91.2</v>
      </c>
      <c r="AC97" s="69">
        <v>89.2</v>
      </c>
      <c r="AD97" s="69">
        <v>97.4</v>
      </c>
      <c r="AE97" s="69">
        <v>53.8</v>
      </c>
      <c r="AF97" s="69">
        <v>41.1</v>
      </c>
      <c r="AG97" s="72">
        <v>120</v>
      </c>
      <c r="AH97" s="21">
        <f t="shared" si="37"/>
        <v>113.5</v>
      </c>
      <c r="AI97" s="64">
        <f t="shared" si="38"/>
        <v>0.8125</v>
      </c>
    </row>
    <row r="98" spans="1:37" x14ac:dyDescent="0.25">
      <c r="A98" s="41" t="s">
        <v>118</v>
      </c>
      <c r="B98" s="71">
        <v>83.4</v>
      </c>
      <c r="C98" s="71">
        <v>83.4</v>
      </c>
      <c r="D98" s="70">
        <v>74.5</v>
      </c>
      <c r="E98" s="70">
        <v>47.4</v>
      </c>
      <c r="F98" s="70">
        <v>48.3</v>
      </c>
      <c r="G98" s="70">
        <v>72.099999999999994</v>
      </c>
      <c r="H98" s="70">
        <v>66.400000000000006</v>
      </c>
      <c r="I98" s="70">
        <v>21.9</v>
      </c>
      <c r="J98" s="70">
        <v>74.8</v>
      </c>
      <c r="K98" s="70">
        <v>74.8</v>
      </c>
      <c r="L98" s="70">
        <v>85.3</v>
      </c>
      <c r="M98" s="70">
        <v>96.6</v>
      </c>
      <c r="N98" s="70">
        <v>101.3</v>
      </c>
      <c r="O98" s="70">
        <v>101.5</v>
      </c>
      <c r="P98" s="70">
        <v>95</v>
      </c>
      <c r="Q98" s="70">
        <v>105</v>
      </c>
      <c r="R98" s="70">
        <v>104</v>
      </c>
      <c r="S98" s="70">
        <v>104</v>
      </c>
      <c r="T98" s="70">
        <v>92.1</v>
      </c>
      <c r="U98" s="70">
        <v>104.5</v>
      </c>
      <c r="V98" s="70">
        <v>90.3</v>
      </c>
      <c r="W98" s="70">
        <v>59.4</v>
      </c>
      <c r="X98" s="70">
        <v>77.400000000000006</v>
      </c>
      <c r="Y98" s="70">
        <v>83.2</v>
      </c>
      <c r="Z98" s="70">
        <v>106.7</v>
      </c>
      <c r="AA98" s="70">
        <v>86.7</v>
      </c>
      <c r="AB98" s="69">
        <v>65</v>
      </c>
      <c r="AC98" s="69">
        <v>64.2</v>
      </c>
      <c r="AD98" s="69">
        <v>67.8</v>
      </c>
      <c r="AE98" s="69">
        <v>68.8</v>
      </c>
      <c r="AF98" s="69">
        <v>31.9</v>
      </c>
      <c r="AG98" s="72"/>
      <c r="AH98" s="21">
        <f t="shared" si="37"/>
        <v>106.7</v>
      </c>
      <c r="AI98" s="64">
        <f t="shared" si="38"/>
        <v>0.79166666666666663</v>
      </c>
    </row>
    <row r="99" spans="1:37" x14ac:dyDescent="0.25">
      <c r="A99" s="41" t="s">
        <v>117</v>
      </c>
      <c r="B99" s="71">
        <v>88.5</v>
      </c>
      <c r="C99" s="71">
        <v>88.5</v>
      </c>
      <c r="D99" s="70">
        <v>76.2</v>
      </c>
      <c r="E99" s="70">
        <v>71.5</v>
      </c>
      <c r="F99" s="70">
        <v>71.8</v>
      </c>
      <c r="G99" s="70">
        <v>77.3</v>
      </c>
      <c r="H99" s="70">
        <v>71.2</v>
      </c>
      <c r="I99" s="70">
        <v>53.3</v>
      </c>
      <c r="J99" s="70">
        <v>77.400000000000006</v>
      </c>
      <c r="K99" s="70">
        <v>77.400000000000006</v>
      </c>
      <c r="L99" s="70">
        <v>70.099999999999994</v>
      </c>
      <c r="M99" s="70">
        <v>74.400000000000006</v>
      </c>
      <c r="N99" s="70">
        <v>80.3</v>
      </c>
      <c r="O99" s="70">
        <v>75.3</v>
      </c>
      <c r="P99" s="70">
        <v>56.8</v>
      </c>
      <c r="Q99" s="70">
        <v>52.9</v>
      </c>
      <c r="R99" s="70">
        <v>45.6</v>
      </c>
      <c r="S99" s="70">
        <v>45.6</v>
      </c>
      <c r="T99" s="70">
        <v>52.3</v>
      </c>
      <c r="U99" s="70">
        <v>53.4</v>
      </c>
      <c r="V99" s="70">
        <v>47</v>
      </c>
      <c r="W99" s="70">
        <v>46.7</v>
      </c>
      <c r="X99" s="70">
        <v>61.1</v>
      </c>
      <c r="Y99" s="70">
        <v>61.4</v>
      </c>
      <c r="Z99" s="70">
        <v>62.3</v>
      </c>
      <c r="AA99" s="70">
        <v>62.1</v>
      </c>
      <c r="AB99" s="69">
        <v>63.7</v>
      </c>
      <c r="AC99" s="69">
        <v>62.3</v>
      </c>
      <c r="AD99" s="69">
        <v>65.5</v>
      </c>
      <c r="AE99" s="69">
        <v>71.2</v>
      </c>
      <c r="AF99" s="69">
        <v>84.5</v>
      </c>
      <c r="AG99" s="65"/>
      <c r="AH99" s="21">
        <f t="shared" si="37"/>
        <v>88.5</v>
      </c>
      <c r="AI99" s="64">
        <f t="shared" si="38"/>
        <v>4.1666666666666664E-2</v>
      </c>
    </row>
    <row r="100" spans="1:37" ht="15.75" thickBot="1" x14ac:dyDescent="0.3">
      <c r="A100" s="68" t="s">
        <v>116</v>
      </c>
      <c r="B100" s="66">
        <v>92.6</v>
      </c>
      <c r="C100" s="66">
        <v>92.2</v>
      </c>
      <c r="D100" s="67">
        <v>88.8</v>
      </c>
      <c r="E100" s="67">
        <v>69</v>
      </c>
      <c r="F100" s="67">
        <v>60</v>
      </c>
      <c r="G100" s="67">
        <v>63.4</v>
      </c>
      <c r="H100" s="67">
        <v>64.3</v>
      </c>
      <c r="I100" s="67">
        <v>65</v>
      </c>
      <c r="J100" s="67">
        <v>24</v>
      </c>
      <c r="K100" s="67">
        <v>24</v>
      </c>
      <c r="L100" s="67">
        <v>38.299999999999997</v>
      </c>
      <c r="M100" s="67">
        <v>39.700000000000003</v>
      </c>
      <c r="N100" s="67">
        <v>38</v>
      </c>
      <c r="O100" s="67">
        <v>39.200000000000003</v>
      </c>
      <c r="P100" s="67">
        <v>42.2</v>
      </c>
      <c r="Q100" s="67">
        <v>42.9</v>
      </c>
      <c r="R100" s="67">
        <v>48.9</v>
      </c>
      <c r="S100" s="67">
        <v>48.9</v>
      </c>
      <c r="T100" s="67">
        <v>52.5</v>
      </c>
      <c r="U100" s="67">
        <v>52.1</v>
      </c>
      <c r="V100" s="67">
        <v>48.4</v>
      </c>
      <c r="W100" s="67">
        <v>51.4</v>
      </c>
      <c r="X100" s="67">
        <v>50</v>
      </c>
      <c r="Y100" s="67">
        <v>113.3</v>
      </c>
      <c r="Z100" s="67">
        <v>114</v>
      </c>
      <c r="AA100" s="67">
        <v>106.6</v>
      </c>
      <c r="AB100" s="66">
        <v>98.8</v>
      </c>
      <c r="AC100" s="66">
        <v>101.7</v>
      </c>
      <c r="AD100" s="66">
        <v>98</v>
      </c>
      <c r="AE100" s="66">
        <v>109.1</v>
      </c>
      <c r="AF100" s="66">
        <v>106.5</v>
      </c>
      <c r="AG100" s="65"/>
      <c r="AH100" s="21">
        <f t="shared" si="37"/>
        <v>114</v>
      </c>
      <c r="AI100" s="64">
        <f t="shared" si="38"/>
        <v>0.79166666666666663</v>
      </c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39">AF102</f>
        <v>9.9</v>
      </c>
      <c r="C102" s="54">
        <v>9.9</v>
      </c>
      <c r="D102" s="58">
        <f t="shared" ref="D102:S107" si="40">C102</f>
        <v>9.9</v>
      </c>
      <c r="E102" s="58">
        <f t="shared" si="40"/>
        <v>9.9</v>
      </c>
      <c r="F102" s="58">
        <f t="shared" si="40"/>
        <v>9.9</v>
      </c>
      <c r="G102" s="58">
        <f t="shared" si="40"/>
        <v>9.9</v>
      </c>
      <c r="H102" s="58">
        <f t="shared" si="40"/>
        <v>9.9</v>
      </c>
      <c r="I102" s="58">
        <f t="shared" si="40"/>
        <v>9.9</v>
      </c>
      <c r="J102" s="58">
        <f t="shared" si="40"/>
        <v>9.9</v>
      </c>
      <c r="K102" s="58">
        <f t="shared" si="40"/>
        <v>9.9</v>
      </c>
      <c r="L102" s="58">
        <f t="shared" si="40"/>
        <v>9.9</v>
      </c>
      <c r="M102" s="58">
        <f t="shared" si="40"/>
        <v>9.9</v>
      </c>
      <c r="N102" s="58">
        <f t="shared" si="40"/>
        <v>9.9</v>
      </c>
      <c r="O102" s="58">
        <f t="shared" si="40"/>
        <v>9.9</v>
      </c>
      <c r="P102" s="58">
        <f t="shared" si="40"/>
        <v>9.9</v>
      </c>
      <c r="Q102" s="58">
        <f t="shared" si="40"/>
        <v>9.9</v>
      </c>
      <c r="R102" s="58">
        <f t="shared" si="40"/>
        <v>9.9</v>
      </c>
      <c r="S102" s="58">
        <f t="shared" si="40"/>
        <v>9.9</v>
      </c>
      <c r="T102" s="58">
        <f t="shared" ref="T102:AF107" si="41">S102</f>
        <v>9.9</v>
      </c>
      <c r="U102" s="58">
        <f t="shared" si="41"/>
        <v>9.9</v>
      </c>
      <c r="V102" s="58">
        <f t="shared" si="41"/>
        <v>9.9</v>
      </c>
      <c r="W102" s="58">
        <f t="shared" si="41"/>
        <v>9.9</v>
      </c>
      <c r="X102" s="58">
        <f t="shared" si="41"/>
        <v>9.9</v>
      </c>
      <c r="Y102" s="58">
        <f t="shared" si="41"/>
        <v>9.9</v>
      </c>
      <c r="Z102" s="58">
        <f t="shared" si="41"/>
        <v>9.9</v>
      </c>
      <c r="AA102" s="58">
        <f t="shared" si="41"/>
        <v>9.9</v>
      </c>
      <c r="AB102" s="58">
        <f t="shared" si="41"/>
        <v>9.9</v>
      </c>
      <c r="AC102" s="58">
        <f t="shared" si="41"/>
        <v>9.9</v>
      </c>
      <c r="AD102" s="58">
        <f t="shared" si="41"/>
        <v>9.9</v>
      </c>
      <c r="AE102" s="58">
        <f t="shared" si="41"/>
        <v>9.9</v>
      </c>
      <c r="AF102" s="58">
        <f t="shared" si="41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39"/>
        <v>9.6</v>
      </c>
      <c r="C103" s="55">
        <v>9.6</v>
      </c>
      <c r="D103" s="44">
        <f t="shared" si="40"/>
        <v>9.6</v>
      </c>
      <c r="E103" s="44">
        <f t="shared" si="40"/>
        <v>9.6</v>
      </c>
      <c r="F103" s="44">
        <f t="shared" si="40"/>
        <v>9.6</v>
      </c>
      <c r="G103" s="44">
        <f t="shared" si="40"/>
        <v>9.6</v>
      </c>
      <c r="H103" s="44">
        <f t="shared" si="40"/>
        <v>9.6</v>
      </c>
      <c r="I103" s="44">
        <f t="shared" si="40"/>
        <v>9.6</v>
      </c>
      <c r="J103" s="44">
        <f t="shared" si="40"/>
        <v>9.6</v>
      </c>
      <c r="K103" s="44">
        <f t="shared" si="40"/>
        <v>9.6</v>
      </c>
      <c r="L103" s="44">
        <f t="shared" si="40"/>
        <v>9.6</v>
      </c>
      <c r="M103" s="44">
        <f t="shared" si="40"/>
        <v>9.6</v>
      </c>
      <c r="N103" s="44">
        <f t="shared" si="40"/>
        <v>9.6</v>
      </c>
      <c r="O103" s="44">
        <f t="shared" si="40"/>
        <v>9.6</v>
      </c>
      <c r="P103" s="44">
        <f t="shared" si="40"/>
        <v>9.6</v>
      </c>
      <c r="Q103" s="44">
        <f t="shared" si="40"/>
        <v>9.6</v>
      </c>
      <c r="R103" s="44">
        <f t="shared" si="40"/>
        <v>9.6</v>
      </c>
      <c r="S103" s="44">
        <f t="shared" si="40"/>
        <v>9.6</v>
      </c>
      <c r="T103" s="44">
        <f t="shared" si="41"/>
        <v>9.6</v>
      </c>
      <c r="U103" s="44">
        <f t="shared" si="41"/>
        <v>9.6</v>
      </c>
      <c r="V103" s="44">
        <f t="shared" si="41"/>
        <v>9.6</v>
      </c>
      <c r="W103" s="44">
        <f t="shared" si="41"/>
        <v>9.6</v>
      </c>
      <c r="X103" s="44">
        <f t="shared" si="41"/>
        <v>9.6</v>
      </c>
      <c r="Y103" s="44">
        <f t="shared" si="41"/>
        <v>9.6</v>
      </c>
      <c r="Z103" s="44">
        <f t="shared" si="41"/>
        <v>9.6</v>
      </c>
      <c r="AA103" s="44">
        <f t="shared" si="41"/>
        <v>9.6</v>
      </c>
      <c r="AB103" s="44">
        <f t="shared" si="41"/>
        <v>9.6</v>
      </c>
      <c r="AC103" s="44">
        <f t="shared" si="41"/>
        <v>9.6</v>
      </c>
      <c r="AD103" s="44">
        <f t="shared" si="41"/>
        <v>9.6</v>
      </c>
      <c r="AE103" s="44">
        <f t="shared" si="41"/>
        <v>9.6</v>
      </c>
      <c r="AF103" s="44">
        <f t="shared" si="41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39"/>
        <v>9.98</v>
      </c>
      <c r="C104" s="55">
        <v>9.98</v>
      </c>
      <c r="D104" s="44">
        <f t="shared" si="40"/>
        <v>9.98</v>
      </c>
      <c r="E104" s="44">
        <f t="shared" si="40"/>
        <v>9.98</v>
      </c>
      <c r="F104" s="44">
        <f t="shared" si="40"/>
        <v>9.98</v>
      </c>
      <c r="G104" s="44">
        <f t="shared" si="40"/>
        <v>9.98</v>
      </c>
      <c r="H104" s="44">
        <f t="shared" si="40"/>
        <v>9.98</v>
      </c>
      <c r="I104" s="44">
        <f t="shared" si="40"/>
        <v>9.98</v>
      </c>
      <c r="J104" s="44">
        <f t="shared" si="40"/>
        <v>9.98</v>
      </c>
      <c r="K104" s="44">
        <f t="shared" si="40"/>
        <v>9.98</v>
      </c>
      <c r="L104" s="44">
        <f t="shared" si="40"/>
        <v>9.98</v>
      </c>
      <c r="M104" s="44">
        <f t="shared" si="40"/>
        <v>9.98</v>
      </c>
      <c r="N104" s="44">
        <f t="shared" si="40"/>
        <v>9.98</v>
      </c>
      <c r="O104" s="44">
        <f t="shared" si="40"/>
        <v>9.98</v>
      </c>
      <c r="P104" s="44">
        <f t="shared" si="40"/>
        <v>9.98</v>
      </c>
      <c r="Q104" s="44">
        <f t="shared" si="40"/>
        <v>9.98</v>
      </c>
      <c r="R104" s="44">
        <f t="shared" si="40"/>
        <v>9.98</v>
      </c>
      <c r="S104" s="44">
        <f t="shared" si="40"/>
        <v>9.98</v>
      </c>
      <c r="T104" s="44">
        <f t="shared" si="41"/>
        <v>9.98</v>
      </c>
      <c r="U104" s="44">
        <f t="shared" si="41"/>
        <v>9.98</v>
      </c>
      <c r="V104" s="44">
        <f t="shared" si="41"/>
        <v>9.98</v>
      </c>
      <c r="W104" s="44">
        <f t="shared" si="41"/>
        <v>9.98</v>
      </c>
      <c r="X104" s="44">
        <f t="shared" si="41"/>
        <v>9.98</v>
      </c>
      <c r="Y104" s="44">
        <f t="shared" si="41"/>
        <v>9.98</v>
      </c>
      <c r="Z104" s="44">
        <f t="shared" si="41"/>
        <v>9.98</v>
      </c>
      <c r="AA104" s="44">
        <f t="shared" si="41"/>
        <v>9.98</v>
      </c>
      <c r="AB104" s="44">
        <f t="shared" si="41"/>
        <v>9.98</v>
      </c>
      <c r="AC104" s="44">
        <f t="shared" si="41"/>
        <v>9.98</v>
      </c>
      <c r="AD104" s="44">
        <f t="shared" si="41"/>
        <v>9.98</v>
      </c>
      <c r="AE104" s="44">
        <f t="shared" si="41"/>
        <v>9.98</v>
      </c>
      <c r="AF104" s="44">
        <f t="shared" si="41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39"/>
        <v>9.1</v>
      </c>
      <c r="C105" s="55">
        <v>9.1</v>
      </c>
      <c r="D105" s="44">
        <f t="shared" si="40"/>
        <v>9.1</v>
      </c>
      <c r="E105" s="44">
        <f t="shared" si="40"/>
        <v>9.1</v>
      </c>
      <c r="F105" s="44">
        <f t="shared" si="40"/>
        <v>9.1</v>
      </c>
      <c r="G105" s="44">
        <f t="shared" si="40"/>
        <v>9.1</v>
      </c>
      <c r="H105" s="44">
        <f t="shared" si="40"/>
        <v>9.1</v>
      </c>
      <c r="I105" s="44">
        <f t="shared" si="40"/>
        <v>9.1</v>
      </c>
      <c r="J105" s="44">
        <f t="shared" si="40"/>
        <v>9.1</v>
      </c>
      <c r="K105" s="44">
        <f t="shared" si="40"/>
        <v>9.1</v>
      </c>
      <c r="L105" s="44">
        <f t="shared" si="40"/>
        <v>9.1</v>
      </c>
      <c r="M105" s="44">
        <f t="shared" si="40"/>
        <v>9.1</v>
      </c>
      <c r="N105" s="44">
        <f t="shared" si="40"/>
        <v>9.1</v>
      </c>
      <c r="O105" s="44">
        <f t="shared" si="40"/>
        <v>9.1</v>
      </c>
      <c r="P105" s="44">
        <f t="shared" si="40"/>
        <v>9.1</v>
      </c>
      <c r="Q105" s="44">
        <f t="shared" si="40"/>
        <v>9.1</v>
      </c>
      <c r="R105" s="44">
        <f t="shared" si="40"/>
        <v>9.1</v>
      </c>
      <c r="S105" s="44">
        <f t="shared" si="40"/>
        <v>9.1</v>
      </c>
      <c r="T105" s="44">
        <f t="shared" si="41"/>
        <v>9.1</v>
      </c>
      <c r="U105" s="44">
        <f t="shared" si="41"/>
        <v>9.1</v>
      </c>
      <c r="V105" s="44">
        <f t="shared" si="41"/>
        <v>9.1</v>
      </c>
      <c r="W105" s="44">
        <f t="shared" si="41"/>
        <v>9.1</v>
      </c>
      <c r="X105" s="44">
        <f t="shared" si="41"/>
        <v>9.1</v>
      </c>
      <c r="Y105" s="44">
        <f t="shared" si="41"/>
        <v>9.1</v>
      </c>
      <c r="Z105" s="44">
        <f t="shared" si="41"/>
        <v>9.1</v>
      </c>
      <c r="AA105" s="44">
        <f t="shared" si="41"/>
        <v>9.1</v>
      </c>
      <c r="AB105" s="44">
        <f t="shared" si="41"/>
        <v>9.1</v>
      </c>
      <c r="AC105" s="44">
        <f t="shared" si="41"/>
        <v>9.1</v>
      </c>
      <c r="AD105" s="44">
        <f t="shared" si="41"/>
        <v>9.1</v>
      </c>
      <c r="AE105" s="44">
        <f t="shared" si="41"/>
        <v>9.1</v>
      </c>
      <c r="AF105" s="44">
        <f t="shared" si="41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39"/>
        <v>9.18</v>
      </c>
      <c r="C106" s="55">
        <v>9.18</v>
      </c>
      <c r="D106" s="44">
        <f t="shared" si="40"/>
        <v>9.18</v>
      </c>
      <c r="E106" s="44">
        <f t="shared" si="40"/>
        <v>9.18</v>
      </c>
      <c r="F106" s="44">
        <f t="shared" si="40"/>
        <v>9.18</v>
      </c>
      <c r="G106" s="44">
        <f t="shared" si="40"/>
        <v>9.18</v>
      </c>
      <c r="H106" s="44">
        <f t="shared" si="40"/>
        <v>9.18</v>
      </c>
      <c r="I106" s="44">
        <f t="shared" si="40"/>
        <v>9.18</v>
      </c>
      <c r="J106" s="44">
        <f t="shared" si="40"/>
        <v>9.18</v>
      </c>
      <c r="K106" s="44">
        <f t="shared" si="40"/>
        <v>9.18</v>
      </c>
      <c r="L106" s="44">
        <f t="shared" si="40"/>
        <v>9.18</v>
      </c>
      <c r="M106" s="44">
        <f t="shared" si="40"/>
        <v>9.18</v>
      </c>
      <c r="N106" s="44">
        <f t="shared" si="40"/>
        <v>9.18</v>
      </c>
      <c r="O106" s="44">
        <f t="shared" si="40"/>
        <v>9.18</v>
      </c>
      <c r="P106" s="44">
        <f t="shared" si="40"/>
        <v>9.18</v>
      </c>
      <c r="Q106" s="44">
        <f t="shared" si="40"/>
        <v>9.18</v>
      </c>
      <c r="R106" s="44">
        <f t="shared" si="40"/>
        <v>9.18</v>
      </c>
      <c r="S106" s="44">
        <f t="shared" si="40"/>
        <v>9.18</v>
      </c>
      <c r="T106" s="44">
        <f t="shared" si="41"/>
        <v>9.18</v>
      </c>
      <c r="U106" s="44">
        <f t="shared" si="41"/>
        <v>9.18</v>
      </c>
      <c r="V106" s="44">
        <f t="shared" si="41"/>
        <v>9.18</v>
      </c>
      <c r="W106" s="44">
        <f t="shared" si="41"/>
        <v>9.18</v>
      </c>
      <c r="X106" s="44">
        <f t="shared" si="41"/>
        <v>9.18</v>
      </c>
      <c r="Y106" s="44">
        <f t="shared" si="41"/>
        <v>9.18</v>
      </c>
      <c r="Z106" s="44">
        <f t="shared" si="41"/>
        <v>9.18</v>
      </c>
      <c r="AA106" s="44">
        <f t="shared" si="41"/>
        <v>9.18</v>
      </c>
      <c r="AB106" s="44">
        <f t="shared" si="41"/>
        <v>9.18</v>
      </c>
      <c r="AC106" s="44">
        <f t="shared" si="41"/>
        <v>9.18</v>
      </c>
      <c r="AD106" s="44">
        <f t="shared" si="41"/>
        <v>9.18</v>
      </c>
      <c r="AE106" s="44">
        <f t="shared" si="41"/>
        <v>9.18</v>
      </c>
      <c r="AF106" s="44">
        <f t="shared" si="41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39"/>
        <v>7</v>
      </c>
      <c r="C107" s="55">
        <v>7</v>
      </c>
      <c r="D107" s="44">
        <f t="shared" si="40"/>
        <v>7</v>
      </c>
      <c r="E107" s="44">
        <f t="shared" si="40"/>
        <v>7</v>
      </c>
      <c r="F107" s="44">
        <f t="shared" si="40"/>
        <v>7</v>
      </c>
      <c r="G107" s="44">
        <f t="shared" si="40"/>
        <v>7</v>
      </c>
      <c r="H107" s="44">
        <f t="shared" si="40"/>
        <v>7</v>
      </c>
      <c r="I107" s="44">
        <f t="shared" si="40"/>
        <v>7</v>
      </c>
      <c r="J107" s="44">
        <f t="shared" si="40"/>
        <v>7</v>
      </c>
      <c r="K107" s="44">
        <f t="shared" si="40"/>
        <v>7</v>
      </c>
      <c r="L107" s="44">
        <f t="shared" si="40"/>
        <v>7</v>
      </c>
      <c r="M107" s="44">
        <f t="shared" si="40"/>
        <v>7</v>
      </c>
      <c r="N107" s="44">
        <f t="shared" si="40"/>
        <v>7</v>
      </c>
      <c r="O107" s="44">
        <f t="shared" si="40"/>
        <v>7</v>
      </c>
      <c r="P107" s="44">
        <f t="shared" si="40"/>
        <v>7</v>
      </c>
      <c r="Q107" s="44">
        <f t="shared" si="40"/>
        <v>7</v>
      </c>
      <c r="R107" s="44">
        <f t="shared" si="40"/>
        <v>7</v>
      </c>
      <c r="S107" s="44">
        <f t="shared" si="40"/>
        <v>7</v>
      </c>
      <c r="T107" s="44">
        <f t="shared" si="41"/>
        <v>7</v>
      </c>
      <c r="U107" s="44">
        <f t="shared" si="41"/>
        <v>7</v>
      </c>
      <c r="V107" s="44">
        <f t="shared" si="41"/>
        <v>7</v>
      </c>
      <c r="W107" s="44">
        <f t="shared" si="41"/>
        <v>7</v>
      </c>
      <c r="X107" s="44">
        <f t="shared" si="41"/>
        <v>7</v>
      </c>
      <c r="Y107" s="44">
        <f t="shared" si="41"/>
        <v>7</v>
      </c>
      <c r="Z107" s="44">
        <f t="shared" si="41"/>
        <v>7</v>
      </c>
      <c r="AA107" s="44">
        <f t="shared" si="41"/>
        <v>7</v>
      </c>
      <c r="AB107" s="44">
        <f t="shared" si="41"/>
        <v>7</v>
      </c>
      <c r="AC107" s="44">
        <f t="shared" si="41"/>
        <v>7</v>
      </c>
      <c r="AD107" s="44">
        <f t="shared" si="41"/>
        <v>7</v>
      </c>
      <c r="AE107" s="44">
        <f t="shared" si="41"/>
        <v>7</v>
      </c>
      <c r="AF107" s="44">
        <f t="shared" si="41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42">C109</f>
        <v>2.25</v>
      </c>
      <c r="E109" s="44">
        <f t="shared" si="42"/>
        <v>2.25</v>
      </c>
      <c r="F109" s="44">
        <f t="shared" si="42"/>
        <v>2.25</v>
      </c>
      <c r="G109" s="44">
        <f t="shared" si="42"/>
        <v>2.25</v>
      </c>
      <c r="H109" s="44">
        <f t="shared" si="42"/>
        <v>2.25</v>
      </c>
      <c r="I109" s="44">
        <f t="shared" si="42"/>
        <v>2.25</v>
      </c>
      <c r="J109" s="44">
        <f t="shared" si="42"/>
        <v>2.25</v>
      </c>
      <c r="K109" s="44">
        <f t="shared" si="42"/>
        <v>2.25</v>
      </c>
      <c r="L109" s="44">
        <f t="shared" si="42"/>
        <v>2.25</v>
      </c>
      <c r="M109" s="44">
        <f t="shared" si="42"/>
        <v>2.25</v>
      </c>
      <c r="N109" s="44">
        <f t="shared" si="42"/>
        <v>2.25</v>
      </c>
      <c r="O109" s="44">
        <f t="shared" si="42"/>
        <v>2.25</v>
      </c>
      <c r="P109" s="44">
        <f t="shared" si="42"/>
        <v>2.25</v>
      </c>
      <c r="Q109" s="44">
        <f t="shared" si="42"/>
        <v>2.25</v>
      </c>
      <c r="R109" s="44">
        <f t="shared" si="42"/>
        <v>2.25</v>
      </c>
      <c r="S109" s="44">
        <f t="shared" si="42"/>
        <v>2.25</v>
      </c>
      <c r="T109" s="44">
        <f t="shared" ref="T109:AF110" si="43">S109</f>
        <v>2.25</v>
      </c>
      <c r="U109" s="44">
        <f t="shared" si="43"/>
        <v>2.25</v>
      </c>
      <c r="V109" s="44">
        <f t="shared" si="43"/>
        <v>2.25</v>
      </c>
      <c r="W109" s="44">
        <f t="shared" si="43"/>
        <v>2.25</v>
      </c>
      <c r="X109" s="44">
        <f t="shared" si="43"/>
        <v>2.25</v>
      </c>
      <c r="Y109" s="44">
        <f t="shared" si="43"/>
        <v>2.25</v>
      </c>
      <c r="Z109" s="44">
        <f t="shared" si="43"/>
        <v>2.25</v>
      </c>
      <c r="AA109" s="44">
        <f t="shared" si="43"/>
        <v>2.25</v>
      </c>
      <c r="AB109" s="44">
        <f t="shared" si="43"/>
        <v>2.25</v>
      </c>
      <c r="AC109" s="44">
        <f t="shared" si="43"/>
        <v>2.25</v>
      </c>
      <c r="AD109" s="44">
        <f t="shared" si="43"/>
        <v>2.25</v>
      </c>
      <c r="AE109" s="44">
        <f t="shared" si="43"/>
        <v>2.25</v>
      </c>
      <c r="AF109" s="44">
        <f t="shared" si="43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42"/>
        <v>1.64</v>
      </c>
      <c r="E110" s="44">
        <f t="shared" si="42"/>
        <v>1.64</v>
      </c>
      <c r="F110" s="44">
        <f t="shared" si="42"/>
        <v>1.64</v>
      </c>
      <c r="G110" s="44">
        <f t="shared" si="42"/>
        <v>1.64</v>
      </c>
      <c r="H110" s="44">
        <f t="shared" si="42"/>
        <v>1.64</v>
      </c>
      <c r="I110" s="44">
        <f t="shared" si="42"/>
        <v>1.64</v>
      </c>
      <c r="J110" s="44">
        <f t="shared" si="42"/>
        <v>1.64</v>
      </c>
      <c r="K110" s="44">
        <f t="shared" si="42"/>
        <v>1.64</v>
      </c>
      <c r="L110" s="44">
        <f t="shared" si="42"/>
        <v>1.64</v>
      </c>
      <c r="M110" s="44">
        <f t="shared" si="42"/>
        <v>1.64</v>
      </c>
      <c r="N110" s="44">
        <f t="shared" si="42"/>
        <v>1.64</v>
      </c>
      <c r="O110" s="44">
        <f t="shared" si="42"/>
        <v>1.64</v>
      </c>
      <c r="P110" s="44">
        <f t="shared" si="42"/>
        <v>1.64</v>
      </c>
      <c r="Q110" s="44">
        <f t="shared" si="42"/>
        <v>1.64</v>
      </c>
      <c r="R110" s="44">
        <f t="shared" si="42"/>
        <v>1.64</v>
      </c>
      <c r="S110" s="44">
        <f t="shared" si="42"/>
        <v>1.64</v>
      </c>
      <c r="T110" s="44">
        <f t="shared" si="43"/>
        <v>1.64</v>
      </c>
      <c r="U110" s="44">
        <f t="shared" si="43"/>
        <v>1.64</v>
      </c>
      <c r="V110" s="44">
        <f t="shared" si="43"/>
        <v>1.64</v>
      </c>
      <c r="W110" s="44">
        <f t="shared" si="43"/>
        <v>1.64</v>
      </c>
      <c r="X110" s="44">
        <f t="shared" si="43"/>
        <v>1.64</v>
      </c>
      <c r="Y110" s="44">
        <f t="shared" si="43"/>
        <v>1.64</v>
      </c>
      <c r="Z110" s="44">
        <f t="shared" si="43"/>
        <v>1.64</v>
      </c>
      <c r="AA110" s="44">
        <f t="shared" si="43"/>
        <v>1.64</v>
      </c>
      <c r="AB110" s="44">
        <f t="shared" si="43"/>
        <v>1.64</v>
      </c>
      <c r="AC110" s="44">
        <f t="shared" si="43"/>
        <v>1.64</v>
      </c>
      <c r="AD110" s="44">
        <f t="shared" si="43"/>
        <v>1.64</v>
      </c>
      <c r="AE110" s="44">
        <f t="shared" si="43"/>
        <v>1.64</v>
      </c>
      <c r="AF110" s="44">
        <f t="shared" si="43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ht="13.5" customHeight="1" x14ac:dyDescent="0.25">
      <c r="A112" s="41" t="s">
        <v>104</v>
      </c>
      <c r="B112" s="44">
        <f t="shared" ref="B112:B129" si="44">AF112</f>
        <v>1.62</v>
      </c>
      <c r="C112" s="55">
        <v>1.62</v>
      </c>
      <c r="D112" s="44">
        <f t="shared" ref="D112:S119" si="45">C112</f>
        <v>1.62</v>
      </c>
      <c r="E112" s="44">
        <f t="shared" si="45"/>
        <v>1.62</v>
      </c>
      <c r="F112" s="44">
        <f t="shared" si="45"/>
        <v>1.62</v>
      </c>
      <c r="G112" s="44">
        <f t="shared" si="45"/>
        <v>1.62</v>
      </c>
      <c r="H112" s="44">
        <f t="shared" si="45"/>
        <v>1.62</v>
      </c>
      <c r="I112" s="44">
        <f t="shared" si="45"/>
        <v>1.62</v>
      </c>
      <c r="J112" s="44">
        <f t="shared" si="45"/>
        <v>1.62</v>
      </c>
      <c r="K112" s="44">
        <f t="shared" si="45"/>
        <v>1.62</v>
      </c>
      <c r="L112" s="44">
        <f t="shared" si="45"/>
        <v>1.62</v>
      </c>
      <c r="M112" s="44">
        <f t="shared" si="45"/>
        <v>1.62</v>
      </c>
      <c r="N112" s="44">
        <f t="shared" si="45"/>
        <v>1.62</v>
      </c>
      <c r="O112" s="44">
        <f t="shared" si="45"/>
        <v>1.62</v>
      </c>
      <c r="P112" s="44">
        <f t="shared" si="45"/>
        <v>1.62</v>
      </c>
      <c r="Q112" s="44">
        <f t="shared" si="45"/>
        <v>1.62</v>
      </c>
      <c r="R112" s="44">
        <f t="shared" si="45"/>
        <v>1.62</v>
      </c>
      <c r="S112" s="44">
        <f t="shared" si="45"/>
        <v>1.62</v>
      </c>
      <c r="T112" s="44">
        <f t="shared" ref="T112:AF127" si="46">S112</f>
        <v>1.62</v>
      </c>
      <c r="U112" s="44">
        <f t="shared" si="46"/>
        <v>1.62</v>
      </c>
      <c r="V112" s="44">
        <f t="shared" si="46"/>
        <v>1.62</v>
      </c>
      <c r="W112" s="44">
        <f t="shared" si="46"/>
        <v>1.62</v>
      </c>
      <c r="X112" s="44">
        <f t="shared" si="46"/>
        <v>1.62</v>
      </c>
      <c r="Y112" s="44">
        <f t="shared" si="46"/>
        <v>1.62</v>
      </c>
      <c r="Z112" s="44">
        <f t="shared" si="46"/>
        <v>1.62</v>
      </c>
      <c r="AA112" s="44">
        <f t="shared" si="46"/>
        <v>1.62</v>
      </c>
      <c r="AB112" s="44">
        <f t="shared" si="46"/>
        <v>1.62</v>
      </c>
      <c r="AC112" s="44">
        <f t="shared" si="46"/>
        <v>1.62</v>
      </c>
      <c r="AD112" s="44">
        <f t="shared" si="46"/>
        <v>1.62</v>
      </c>
      <c r="AE112" s="44">
        <f t="shared" si="46"/>
        <v>1.62</v>
      </c>
      <c r="AF112" s="44">
        <f t="shared" si="46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44"/>
        <v>8.36</v>
      </c>
      <c r="C113" s="55">
        <v>8.36</v>
      </c>
      <c r="D113" s="44">
        <f t="shared" si="45"/>
        <v>8.36</v>
      </c>
      <c r="E113" s="44">
        <f t="shared" si="45"/>
        <v>8.36</v>
      </c>
      <c r="F113" s="44">
        <f t="shared" si="45"/>
        <v>8.36</v>
      </c>
      <c r="G113" s="44">
        <f t="shared" si="45"/>
        <v>8.36</v>
      </c>
      <c r="H113" s="44">
        <f t="shared" si="45"/>
        <v>8.36</v>
      </c>
      <c r="I113" s="44">
        <f t="shared" si="45"/>
        <v>8.36</v>
      </c>
      <c r="J113" s="44">
        <f t="shared" si="45"/>
        <v>8.36</v>
      </c>
      <c r="K113" s="44">
        <f t="shared" si="45"/>
        <v>8.36</v>
      </c>
      <c r="L113" s="44">
        <f t="shared" si="45"/>
        <v>8.36</v>
      </c>
      <c r="M113" s="44">
        <f t="shared" si="45"/>
        <v>8.36</v>
      </c>
      <c r="N113" s="44">
        <f t="shared" si="45"/>
        <v>8.36</v>
      </c>
      <c r="O113" s="44">
        <f t="shared" si="45"/>
        <v>8.36</v>
      </c>
      <c r="P113" s="44">
        <f t="shared" si="45"/>
        <v>8.36</v>
      </c>
      <c r="Q113" s="44">
        <f t="shared" si="45"/>
        <v>8.36</v>
      </c>
      <c r="R113" s="44">
        <f t="shared" si="45"/>
        <v>8.36</v>
      </c>
      <c r="S113" s="44">
        <f t="shared" si="45"/>
        <v>8.36</v>
      </c>
      <c r="T113" s="44">
        <f t="shared" si="46"/>
        <v>8.36</v>
      </c>
      <c r="U113" s="44">
        <f t="shared" si="46"/>
        <v>8.36</v>
      </c>
      <c r="V113" s="44">
        <f t="shared" si="46"/>
        <v>8.36</v>
      </c>
      <c r="W113" s="44">
        <f t="shared" si="46"/>
        <v>8.36</v>
      </c>
      <c r="X113" s="44">
        <f t="shared" si="46"/>
        <v>8.36</v>
      </c>
      <c r="Y113" s="44">
        <f t="shared" si="46"/>
        <v>8.36</v>
      </c>
      <c r="Z113" s="44">
        <f t="shared" si="46"/>
        <v>8.36</v>
      </c>
      <c r="AA113" s="44">
        <f t="shared" si="46"/>
        <v>8.36</v>
      </c>
      <c r="AB113" s="44">
        <f t="shared" si="46"/>
        <v>8.36</v>
      </c>
      <c r="AC113" s="44">
        <f t="shared" si="46"/>
        <v>8.36</v>
      </c>
      <c r="AD113" s="44">
        <f t="shared" si="46"/>
        <v>8.36</v>
      </c>
      <c r="AE113" s="44">
        <f t="shared" si="46"/>
        <v>8.36</v>
      </c>
      <c r="AF113" s="44">
        <f t="shared" si="46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44"/>
        <v>5.4</v>
      </c>
      <c r="C114" s="55">
        <v>8</v>
      </c>
      <c r="D114" s="44">
        <f t="shared" si="45"/>
        <v>8</v>
      </c>
      <c r="E114" s="44">
        <f t="shared" si="45"/>
        <v>8</v>
      </c>
      <c r="F114" s="44">
        <f t="shared" si="45"/>
        <v>8</v>
      </c>
      <c r="G114" s="44">
        <f t="shared" si="45"/>
        <v>8</v>
      </c>
      <c r="H114" s="44">
        <f t="shared" si="45"/>
        <v>8</v>
      </c>
      <c r="I114" s="44">
        <f t="shared" si="45"/>
        <v>8</v>
      </c>
      <c r="J114" s="44">
        <v>5.4</v>
      </c>
      <c r="K114" s="44">
        <f t="shared" si="45"/>
        <v>5.4</v>
      </c>
      <c r="L114" s="44">
        <f t="shared" si="45"/>
        <v>5.4</v>
      </c>
      <c r="M114" s="44">
        <f t="shared" si="45"/>
        <v>5.4</v>
      </c>
      <c r="N114" s="44">
        <f t="shared" si="45"/>
        <v>5.4</v>
      </c>
      <c r="O114" s="44">
        <f t="shared" si="45"/>
        <v>5.4</v>
      </c>
      <c r="P114" s="44">
        <f t="shared" si="45"/>
        <v>5.4</v>
      </c>
      <c r="Q114" s="44">
        <f t="shared" si="45"/>
        <v>5.4</v>
      </c>
      <c r="R114" s="44">
        <f t="shared" si="45"/>
        <v>5.4</v>
      </c>
      <c r="S114" s="44">
        <f t="shared" si="45"/>
        <v>5.4</v>
      </c>
      <c r="T114" s="44">
        <f t="shared" si="46"/>
        <v>5.4</v>
      </c>
      <c r="U114" s="44">
        <f t="shared" si="46"/>
        <v>5.4</v>
      </c>
      <c r="V114" s="44">
        <f t="shared" si="46"/>
        <v>5.4</v>
      </c>
      <c r="W114" s="44">
        <f t="shared" si="46"/>
        <v>5.4</v>
      </c>
      <c r="X114" s="44">
        <f t="shared" si="46"/>
        <v>5.4</v>
      </c>
      <c r="Y114" s="44">
        <f t="shared" si="46"/>
        <v>5.4</v>
      </c>
      <c r="Z114" s="44">
        <f t="shared" si="46"/>
        <v>5.4</v>
      </c>
      <c r="AA114" s="44">
        <f t="shared" si="46"/>
        <v>5.4</v>
      </c>
      <c r="AB114" s="44">
        <f t="shared" si="46"/>
        <v>5.4</v>
      </c>
      <c r="AC114" s="44">
        <f t="shared" si="46"/>
        <v>5.4</v>
      </c>
      <c r="AD114" s="44">
        <f t="shared" si="46"/>
        <v>5.4</v>
      </c>
      <c r="AE114" s="44">
        <f t="shared" si="46"/>
        <v>5.4</v>
      </c>
      <c r="AF114" s="44">
        <f t="shared" si="46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44"/>
        <v>6.57</v>
      </c>
      <c r="C115" s="55">
        <v>6.57</v>
      </c>
      <c r="D115" s="44">
        <f t="shared" si="45"/>
        <v>6.57</v>
      </c>
      <c r="E115" s="44">
        <f t="shared" si="45"/>
        <v>6.57</v>
      </c>
      <c r="F115" s="44">
        <f t="shared" si="45"/>
        <v>6.57</v>
      </c>
      <c r="G115" s="44">
        <f t="shared" si="45"/>
        <v>6.57</v>
      </c>
      <c r="H115" s="44">
        <f t="shared" si="45"/>
        <v>6.57</v>
      </c>
      <c r="I115" s="44">
        <f t="shared" si="45"/>
        <v>6.57</v>
      </c>
      <c r="J115" s="44">
        <f t="shared" si="45"/>
        <v>6.57</v>
      </c>
      <c r="K115" s="44">
        <f t="shared" si="45"/>
        <v>6.57</v>
      </c>
      <c r="L115" s="44">
        <f t="shared" si="45"/>
        <v>6.57</v>
      </c>
      <c r="M115" s="44">
        <f t="shared" si="45"/>
        <v>6.57</v>
      </c>
      <c r="N115" s="44">
        <f t="shared" si="45"/>
        <v>6.57</v>
      </c>
      <c r="O115" s="44">
        <f t="shared" si="45"/>
        <v>6.57</v>
      </c>
      <c r="P115" s="44">
        <f t="shared" si="45"/>
        <v>6.57</v>
      </c>
      <c r="Q115" s="44">
        <f t="shared" si="45"/>
        <v>6.57</v>
      </c>
      <c r="R115" s="44">
        <f t="shared" si="45"/>
        <v>6.57</v>
      </c>
      <c r="S115" s="44">
        <f t="shared" si="45"/>
        <v>6.57</v>
      </c>
      <c r="T115" s="44">
        <f t="shared" si="46"/>
        <v>6.57</v>
      </c>
      <c r="U115" s="44">
        <f t="shared" si="46"/>
        <v>6.57</v>
      </c>
      <c r="V115" s="44">
        <f t="shared" si="46"/>
        <v>6.57</v>
      </c>
      <c r="W115" s="44">
        <f t="shared" si="46"/>
        <v>6.57</v>
      </c>
      <c r="X115" s="44">
        <f t="shared" si="46"/>
        <v>6.57</v>
      </c>
      <c r="Y115" s="44">
        <f t="shared" si="46"/>
        <v>6.57</v>
      </c>
      <c r="Z115" s="44">
        <f t="shared" si="46"/>
        <v>6.57</v>
      </c>
      <c r="AA115" s="44">
        <f t="shared" si="46"/>
        <v>6.57</v>
      </c>
      <c r="AB115" s="44">
        <f t="shared" si="46"/>
        <v>6.57</v>
      </c>
      <c r="AC115" s="44">
        <f t="shared" si="46"/>
        <v>6.57</v>
      </c>
      <c r="AD115" s="44">
        <f t="shared" si="46"/>
        <v>6.57</v>
      </c>
      <c r="AE115" s="44">
        <f t="shared" si="46"/>
        <v>6.57</v>
      </c>
      <c r="AF115" s="44">
        <f t="shared" si="46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44"/>
        <v>3.43</v>
      </c>
      <c r="C116" s="55">
        <v>3.43</v>
      </c>
      <c r="D116" s="44">
        <f t="shared" si="45"/>
        <v>3.43</v>
      </c>
      <c r="E116" s="44">
        <f t="shared" si="45"/>
        <v>3.43</v>
      </c>
      <c r="F116" s="44">
        <f t="shared" si="45"/>
        <v>3.43</v>
      </c>
      <c r="G116" s="44">
        <f t="shared" si="45"/>
        <v>3.43</v>
      </c>
      <c r="H116" s="44">
        <f t="shared" si="45"/>
        <v>3.43</v>
      </c>
      <c r="I116" s="44">
        <f t="shared" si="45"/>
        <v>3.43</v>
      </c>
      <c r="J116" s="44">
        <f t="shared" si="45"/>
        <v>3.43</v>
      </c>
      <c r="K116" s="44">
        <f t="shared" si="45"/>
        <v>3.43</v>
      </c>
      <c r="L116" s="44">
        <f t="shared" si="45"/>
        <v>3.43</v>
      </c>
      <c r="M116" s="44">
        <f t="shared" si="45"/>
        <v>3.43</v>
      </c>
      <c r="N116" s="44">
        <f t="shared" si="45"/>
        <v>3.43</v>
      </c>
      <c r="O116" s="44">
        <f t="shared" si="45"/>
        <v>3.43</v>
      </c>
      <c r="P116" s="44">
        <f t="shared" si="45"/>
        <v>3.43</v>
      </c>
      <c r="Q116" s="44">
        <f t="shared" si="45"/>
        <v>3.43</v>
      </c>
      <c r="R116" s="44">
        <f t="shared" si="45"/>
        <v>3.43</v>
      </c>
      <c r="S116" s="44">
        <f t="shared" si="45"/>
        <v>3.43</v>
      </c>
      <c r="T116" s="44">
        <f t="shared" si="46"/>
        <v>3.43</v>
      </c>
      <c r="U116" s="44">
        <f t="shared" si="46"/>
        <v>3.43</v>
      </c>
      <c r="V116" s="44">
        <f t="shared" si="46"/>
        <v>3.43</v>
      </c>
      <c r="W116" s="44">
        <f t="shared" si="46"/>
        <v>3.43</v>
      </c>
      <c r="X116" s="44">
        <f t="shared" si="46"/>
        <v>3.43</v>
      </c>
      <c r="Y116" s="44">
        <f t="shared" si="46"/>
        <v>3.43</v>
      </c>
      <c r="Z116" s="44">
        <f t="shared" si="46"/>
        <v>3.43</v>
      </c>
      <c r="AA116" s="44">
        <f t="shared" si="46"/>
        <v>3.43</v>
      </c>
      <c r="AB116" s="44">
        <f t="shared" si="46"/>
        <v>3.43</v>
      </c>
      <c r="AC116" s="44">
        <f t="shared" si="46"/>
        <v>3.43</v>
      </c>
      <c r="AD116" s="44">
        <f t="shared" si="46"/>
        <v>3.43</v>
      </c>
      <c r="AE116" s="44">
        <f t="shared" si="46"/>
        <v>3.43</v>
      </c>
      <c r="AF116" s="44">
        <f t="shared" si="46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44"/>
        <v>2.96</v>
      </c>
      <c r="C117" s="55">
        <v>2.96</v>
      </c>
      <c r="D117" s="44">
        <f t="shared" si="45"/>
        <v>2.96</v>
      </c>
      <c r="E117" s="44">
        <f t="shared" si="45"/>
        <v>2.96</v>
      </c>
      <c r="F117" s="44">
        <f t="shared" si="45"/>
        <v>2.96</v>
      </c>
      <c r="G117" s="44">
        <f t="shared" si="45"/>
        <v>2.96</v>
      </c>
      <c r="H117" s="44">
        <f t="shared" si="45"/>
        <v>2.96</v>
      </c>
      <c r="I117" s="44">
        <f t="shared" si="45"/>
        <v>2.96</v>
      </c>
      <c r="J117" s="44">
        <f t="shared" si="45"/>
        <v>2.96</v>
      </c>
      <c r="K117" s="44">
        <f t="shared" si="45"/>
        <v>2.96</v>
      </c>
      <c r="L117" s="44">
        <f t="shared" si="45"/>
        <v>2.96</v>
      </c>
      <c r="M117" s="44">
        <f t="shared" si="45"/>
        <v>2.96</v>
      </c>
      <c r="N117" s="44">
        <f t="shared" si="45"/>
        <v>2.96</v>
      </c>
      <c r="O117" s="44">
        <f t="shared" si="45"/>
        <v>2.96</v>
      </c>
      <c r="P117" s="44">
        <f t="shared" si="45"/>
        <v>2.96</v>
      </c>
      <c r="Q117" s="44">
        <f t="shared" si="45"/>
        <v>2.96</v>
      </c>
      <c r="R117" s="44">
        <f t="shared" si="45"/>
        <v>2.96</v>
      </c>
      <c r="S117" s="44">
        <f t="shared" si="45"/>
        <v>2.96</v>
      </c>
      <c r="T117" s="44">
        <f t="shared" si="46"/>
        <v>2.96</v>
      </c>
      <c r="U117" s="44">
        <f t="shared" si="46"/>
        <v>2.96</v>
      </c>
      <c r="V117" s="44">
        <f t="shared" si="46"/>
        <v>2.96</v>
      </c>
      <c r="W117" s="44">
        <f t="shared" si="46"/>
        <v>2.96</v>
      </c>
      <c r="X117" s="44">
        <f t="shared" si="46"/>
        <v>2.96</v>
      </c>
      <c r="Y117" s="44">
        <f t="shared" si="46"/>
        <v>2.96</v>
      </c>
      <c r="Z117" s="44">
        <f t="shared" si="46"/>
        <v>2.96</v>
      </c>
      <c r="AA117" s="44">
        <f t="shared" si="46"/>
        <v>2.96</v>
      </c>
      <c r="AB117" s="44">
        <f t="shared" si="46"/>
        <v>2.96</v>
      </c>
      <c r="AC117" s="44">
        <f t="shared" si="46"/>
        <v>2.96</v>
      </c>
      <c r="AD117" s="44">
        <f t="shared" si="46"/>
        <v>2.96</v>
      </c>
      <c r="AE117" s="44">
        <f t="shared" si="46"/>
        <v>2.96</v>
      </c>
      <c r="AF117" s="44">
        <f t="shared" si="46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44"/>
        <v>8</v>
      </c>
      <c r="C118" s="55">
        <v>8</v>
      </c>
      <c r="D118" s="44">
        <f t="shared" si="45"/>
        <v>8</v>
      </c>
      <c r="E118" s="44">
        <f t="shared" si="45"/>
        <v>8</v>
      </c>
      <c r="F118" s="44">
        <f t="shared" si="45"/>
        <v>8</v>
      </c>
      <c r="G118" s="44">
        <f t="shared" si="45"/>
        <v>8</v>
      </c>
      <c r="H118" s="44">
        <f t="shared" si="45"/>
        <v>8</v>
      </c>
      <c r="I118" s="44">
        <f t="shared" si="45"/>
        <v>8</v>
      </c>
      <c r="J118" s="44">
        <f t="shared" si="45"/>
        <v>8</v>
      </c>
      <c r="K118" s="44">
        <f t="shared" si="45"/>
        <v>8</v>
      </c>
      <c r="L118" s="44">
        <f t="shared" si="45"/>
        <v>8</v>
      </c>
      <c r="M118" s="44">
        <f t="shared" si="45"/>
        <v>8</v>
      </c>
      <c r="N118" s="44">
        <f t="shared" si="45"/>
        <v>8</v>
      </c>
      <c r="O118" s="44">
        <f t="shared" si="45"/>
        <v>8</v>
      </c>
      <c r="P118" s="44">
        <f t="shared" si="45"/>
        <v>8</v>
      </c>
      <c r="Q118" s="44">
        <f t="shared" si="45"/>
        <v>8</v>
      </c>
      <c r="R118" s="44">
        <f t="shared" si="45"/>
        <v>8</v>
      </c>
      <c r="S118" s="44">
        <f t="shared" si="45"/>
        <v>8</v>
      </c>
      <c r="T118" s="44">
        <f t="shared" si="46"/>
        <v>8</v>
      </c>
      <c r="U118" s="44">
        <f t="shared" si="46"/>
        <v>8</v>
      </c>
      <c r="V118" s="44">
        <f t="shared" si="46"/>
        <v>8</v>
      </c>
      <c r="W118" s="44">
        <f t="shared" si="46"/>
        <v>8</v>
      </c>
      <c r="X118" s="44">
        <f t="shared" si="46"/>
        <v>8</v>
      </c>
      <c r="Y118" s="44">
        <f t="shared" si="46"/>
        <v>8</v>
      </c>
      <c r="Z118" s="44">
        <f t="shared" si="46"/>
        <v>8</v>
      </c>
      <c r="AA118" s="44">
        <f t="shared" si="46"/>
        <v>8</v>
      </c>
      <c r="AB118" s="44">
        <f t="shared" si="46"/>
        <v>8</v>
      </c>
      <c r="AC118" s="44">
        <f t="shared" si="46"/>
        <v>8</v>
      </c>
      <c r="AD118" s="44">
        <f t="shared" si="46"/>
        <v>8</v>
      </c>
      <c r="AE118" s="44">
        <f t="shared" si="46"/>
        <v>8</v>
      </c>
      <c r="AF118" s="44">
        <f t="shared" si="46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44"/>
        <v>7</v>
      </c>
      <c r="C119" s="55">
        <v>7</v>
      </c>
      <c r="D119" s="44">
        <f>C119</f>
        <v>7</v>
      </c>
      <c r="E119" s="44">
        <f t="shared" si="45"/>
        <v>7</v>
      </c>
      <c r="F119" s="44">
        <f t="shared" si="45"/>
        <v>7</v>
      </c>
      <c r="G119" s="44">
        <f t="shared" si="45"/>
        <v>7</v>
      </c>
      <c r="H119" s="44">
        <f t="shared" si="45"/>
        <v>7</v>
      </c>
      <c r="I119" s="44">
        <f t="shared" si="45"/>
        <v>7</v>
      </c>
      <c r="J119" s="44">
        <f t="shared" si="45"/>
        <v>7</v>
      </c>
      <c r="K119" s="44">
        <f t="shared" si="45"/>
        <v>7</v>
      </c>
      <c r="L119" s="44">
        <f t="shared" si="45"/>
        <v>7</v>
      </c>
      <c r="M119" s="44">
        <f t="shared" si="45"/>
        <v>7</v>
      </c>
      <c r="N119" s="44">
        <f t="shared" si="45"/>
        <v>7</v>
      </c>
      <c r="O119" s="44">
        <f t="shared" si="45"/>
        <v>7</v>
      </c>
      <c r="P119" s="44">
        <f t="shared" si="45"/>
        <v>7</v>
      </c>
      <c r="Q119" s="44">
        <f t="shared" si="45"/>
        <v>7</v>
      </c>
      <c r="R119" s="44">
        <f t="shared" si="45"/>
        <v>7</v>
      </c>
      <c r="S119" s="44">
        <f t="shared" si="45"/>
        <v>7</v>
      </c>
      <c r="T119" s="44">
        <f t="shared" si="46"/>
        <v>7</v>
      </c>
      <c r="U119" s="44">
        <f t="shared" si="46"/>
        <v>7</v>
      </c>
      <c r="V119" s="44">
        <f t="shared" si="46"/>
        <v>7</v>
      </c>
      <c r="W119" s="44">
        <f t="shared" si="46"/>
        <v>7</v>
      </c>
      <c r="X119" s="44">
        <f t="shared" si="46"/>
        <v>7</v>
      </c>
      <c r="Y119" s="44">
        <f t="shared" si="46"/>
        <v>7</v>
      </c>
      <c r="Z119" s="44">
        <f t="shared" si="46"/>
        <v>7</v>
      </c>
      <c r="AA119" s="44">
        <f t="shared" si="46"/>
        <v>7</v>
      </c>
      <c r="AB119" s="44">
        <f t="shared" si="46"/>
        <v>7</v>
      </c>
      <c r="AC119" s="44">
        <f t="shared" si="46"/>
        <v>7</v>
      </c>
      <c r="AD119" s="44">
        <f t="shared" si="46"/>
        <v>7</v>
      </c>
      <c r="AE119" s="44">
        <f t="shared" si="46"/>
        <v>7</v>
      </c>
      <c r="AF119" s="44">
        <f t="shared" si="46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44"/>
        <v>3.47</v>
      </c>
      <c r="C120" s="55">
        <v>3.47</v>
      </c>
      <c r="D120" s="44">
        <f t="shared" ref="D120:S129" si="47">C120</f>
        <v>3.47</v>
      </c>
      <c r="E120" s="44">
        <f t="shared" si="47"/>
        <v>3.47</v>
      </c>
      <c r="F120" s="44">
        <f t="shared" si="47"/>
        <v>3.47</v>
      </c>
      <c r="G120" s="44">
        <f t="shared" si="47"/>
        <v>3.47</v>
      </c>
      <c r="H120" s="44">
        <f t="shared" si="47"/>
        <v>3.47</v>
      </c>
      <c r="I120" s="44">
        <f t="shared" si="47"/>
        <v>3.47</v>
      </c>
      <c r="J120" s="44">
        <f t="shared" si="47"/>
        <v>3.47</v>
      </c>
      <c r="K120" s="44">
        <f t="shared" si="47"/>
        <v>3.47</v>
      </c>
      <c r="L120" s="44">
        <f t="shared" si="47"/>
        <v>3.47</v>
      </c>
      <c r="M120" s="44">
        <f t="shared" si="47"/>
        <v>3.47</v>
      </c>
      <c r="N120" s="44">
        <f t="shared" si="47"/>
        <v>3.47</v>
      </c>
      <c r="O120" s="44">
        <f t="shared" si="47"/>
        <v>3.47</v>
      </c>
      <c r="P120" s="44">
        <f t="shared" si="47"/>
        <v>3.47</v>
      </c>
      <c r="Q120" s="44">
        <f t="shared" si="47"/>
        <v>3.47</v>
      </c>
      <c r="R120" s="44">
        <f t="shared" si="47"/>
        <v>3.47</v>
      </c>
      <c r="S120" s="44">
        <f t="shared" si="47"/>
        <v>3.47</v>
      </c>
      <c r="T120" s="44">
        <f t="shared" si="46"/>
        <v>3.47</v>
      </c>
      <c r="U120" s="44">
        <f t="shared" si="46"/>
        <v>3.47</v>
      </c>
      <c r="V120" s="44">
        <f t="shared" si="46"/>
        <v>3.47</v>
      </c>
      <c r="W120" s="44">
        <f t="shared" si="46"/>
        <v>3.47</v>
      </c>
      <c r="X120" s="44">
        <f t="shared" si="46"/>
        <v>3.47</v>
      </c>
      <c r="Y120" s="44">
        <f t="shared" si="46"/>
        <v>3.47</v>
      </c>
      <c r="Z120" s="44">
        <f t="shared" si="46"/>
        <v>3.47</v>
      </c>
      <c r="AA120" s="44">
        <f t="shared" si="46"/>
        <v>3.47</v>
      </c>
      <c r="AB120" s="44">
        <f t="shared" si="46"/>
        <v>3.47</v>
      </c>
      <c r="AC120" s="44">
        <f t="shared" si="46"/>
        <v>3.47</v>
      </c>
      <c r="AD120" s="44">
        <f t="shared" si="46"/>
        <v>3.47</v>
      </c>
      <c r="AE120" s="44">
        <f t="shared" si="46"/>
        <v>3.47</v>
      </c>
      <c r="AF120" s="44">
        <f t="shared" si="46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44"/>
        <v>2.1</v>
      </c>
      <c r="C121" s="55">
        <v>2.1</v>
      </c>
      <c r="D121" s="44">
        <f t="shared" si="47"/>
        <v>2.1</v>
      </c>
      <c r="E121" s="44">
        <f t="shared" si="47"/>
        <v>2.1</v>
      </c>
      <c r="F121" s="44">
        <f t="shared" si="47"/>
        <v>2.1</v>
      </c>
      <c r="G121" s="44">
        <f t="shared" si="47"/>
        <v>2.1</v>
      </c>
      <c r="H121" s="44">
        <f t="shared" si="47"/>
        <v>2.1</v>
      </c>
      <c r="I121" s="44">
        <f t="shared" si="47"/>
        <v>2.1</v>
      </c>
      <c r="J121" s="44">
        <f t="shared" si="47"/>
        <v>2.1</v>
      </c>
      <c r="K121" s="44">
        <f t="shared" si="47"/>
        <v>2.1</v>
      </c>
      <c r="L121" s="44">
        <f t="shared" si="47"/>
        <v>2.1</v>
      </c>
      <c r="M121" s="44">
        <f t="shared" si="47"/>
        <v>2.1</v>
      </c>
      <c r="N121" s="44">
        <f t="shared" si="47"/>
        <v>2.1</v>
      </c>
      <c r="O121" s="44">
        <f t="shared" si="47"/>
        <v>2.1</v>
      </c>
      <c r="P121" s="44">
        <f t="shared" si="47"/>
        <v>2.1</v>
      </c>
      <c r="Q121" s="44">
        <f t="shared" si="47"/>
        <v>2.1</v>
      </c>
      <c r="R121" s="44">
        <f t="shared" si="47"/>
        <v>2.1</v>
      </c>
      <c r="S121" s="44">
        <f t="shared" si="47"/>
        <v>2.1</v>
      </c>
      <c r="T121" s="44">
        <f t="shared" si="46"/>
        <v>2.1</v>
      </c>
      <c r="U121" s="44">
        <f t="shared" si="46"/>
        <v>2.1</v>
      </c>
      <c r="V121" s="44">
        <f t="shared" si="46"/>
        <v>2.1</v>
      </c>
      <c r="W121" s="44">
        <f t="shared" si="46"/>
        <v>2.1</v>
      </c>
      <c r="X121" s="44">
        <f t="shared" si="46"/>
        <v>2.1</v>
      </c>
      <c r="Y121" s="44">
        <f t="shared" si="46"/>
        <v>2.1</v>
      </c>
      <c r="Z121" s="44">
        <f t="shared" si="46"/>
        <v>2.1</v>
      </c>
      <c r="AA121" s="44">
        <f t="shared" si="46"/>
        <v>2.1</v>
      </c>
      <c r="AB121" s="44">
        <f t="shared" si="46"/>
        <v>2.1</v>
      </c>
      <c r="AC121" s="44">
        <f t="shared" si="46"/>
        <v>2.1</v>
      </c>
      <c r="AD121" s="44">
        <f t="shared" si="46"/>
        <v>2.1</v>
      </c>
      <c r="AE121" s="44">
        <f t="shared" si="46"/>
        <v>2.1</v>
      </c>
      <c r="AF121" s="44">
        <f t="shared" si="46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44"/>
        <v>9.3000000000000007</v>
      </c>
      <c r="C122" s="55">
        <v>9.3000000000000007</v>
      </c>
      <c r="D122" s="44">
        <f t="shared" si="47"/>
        <v>9.3000000000000007</v>
      </c>
      <c r="E122" s="44">
        <f t="shared" si="47"/>
        <v>9.3000000000000007</v>
      </c>
      <c r="F122" s="44">
        <f t="shared" si="47"/>
        <v>9.3000000000000007</v>
      </c>
      <c r="G122" s="44">
        <f t="shared" si="47"/>
        <v>9.3000000000000007</v>
      </c>
      <c r="H122" s="44">
        <f t="shared" si="47"/>
        <v>9.3000000000000007</v>
      </c>
      <c r="I122" s="44">
        <f t="shared" si="47"/>
        <v>9.3000000000000007</v>
      </c>
      <c r="J122" s="44">
        <f t="shared" si="47"/>
        <v>9.3000000000000007</v>
      </c>
      <c r="K122" s="44">
        <f t="shared" si="47"/>
        <v>9.3000000000000007</v>
      </c>
      <c r="L122" s="44">
        <f t="shared" si="47"/>
        <v>9.3000000000000007</v>
      </c>
      <c r="M122" s="44">
        <f t="shared" si="47"/>
        <v>9.3000000000000007</v>
      </c>
      <c r="N122" s="44">
        <f t="shared" si="47"/>
        <v>9.3000000000000007</v>
      </c>
      <c r="O122" s="44">
        <f t="shared" si="47"/>
        <v>9.3000000000000007</v>
      </c>
      <c r="P122" s="44">
        <f t="shared" si="47"/>
        <v>9.3000000000000007</v>
      </c>
      <c r="Q122" s="44">
        <f t="shared" si="47"/>
        <v>9.3000000000000007</v>
      </c>
      <c r="R122" s="44">
        <f t="shared" si="47"/>
        <v>9.3000000000000007</v>
      </c>
      <c r="S122" s="44">
        <f t="shared" si="47"/>
        <v>9.3000000000000007</v>
      </c>
      <c r="T122" s="44">
        <f t="shared" si="46"/>
        <v>9.3000000000000007</v>
      </c>
      <c r="U122" s="44">
        <f t="shared" si="46"/>
        <v>9.3000000000000007</v>
      </c>
      <c r="V122" s="44">
        <f t="shared" si="46"/>
        <v>9.3000000000000007</v>
      </c>
      <c r="W122" s="44">
        <f t="shared" si="46"/>
        <v>9.3000000000000007</v>
      </c>
      <c r="X122" s="44">
        <f t="shared" si="46"/>
        <v>9.3000000000000007</v>
      </c>
      <c r="Y122" s="44">
        <f t="shared" si="46"/>
        <v>9.3000000000000007</v>
      </c>
      <c r="Z122" s="44">
        <f t="shared" si="46"/>
        <v>9.3000000000000007</v>
      </c>
      <c r="AA122" s="44">
        <f t="shared" si="46"/>
        <v>9.3000000000000007</v>
      </c>
      <c r="AB122" s="44">
        <f t="shared" si="46"/>
        <v>9.3000000000000007</v>
      </c>
      <c r="AC122" s="44">
        <f t="shared" si="46"/>
        <v>9.3000000000000007</v>
      </c>
      <c r="AD122" s="44">
        <f t="shared" si="46"/>
        <v>9.3000000000000007</v>
      </c>
      <c r="AE122" s="44">
        <f t="shared" si="46"/>
        <v>9.3000000000000007</v>
      </c>
      <c r="AF122" s="44">
        <f t="shared" si="46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44"/>
        <v>0</v>
      </c>
      <c r="C123" s="55">
        <v>0</v>
      </c>
      <c r="D123" s="44">
        <f t="shared" si="47"/>
        <v>0</v>
      </c>
      <c r="E123" s="44">
        <f t="shared" si="47"/>
        <v>0</v>
      </c>
      <c r="F123" s="44">
        <f t="shared" si="47"/>
        <v>0</v>
      </c>
      <c r="G123" s="44">
        <f t="shared" si="47"/>
        <v>0</v>
      </c>
      <c r="H123" s="44">
        <f t="shared" si="47"/>
        <v>0</v>
      </c>
      <c r="I123" s="44">
        <f t="shared" si="47"/>
        <v>0</v>
      </c>
      <c r="J123" s="44">
        <f t="shared" si="47"/>
        <v>0</v>
      </c>
      <c r="K123" s="44">
        <f t="shared" si="47"/>
        <v>0</v>
      </c>
      <c r="L123" s="44">
        <f t="shared" si="47"/>
        <v>0</v>
      </c>
      <c r="M123" s="44">
        <f t="shared" si="47"/>
        <v>0</v>
      </c>
      <c r="N123" s="44">
        <f t="shared" si="47"/>
        <v>0</v>
      </c>
      <c r="O123" s="44">
        <f t="shared" si="47"/>
        <v>0</v>
      </c>
      <c r="P123" s="44">
        <f t="shared" si="47"/>
        <v>0</v>
      </c>
      <c r="Q123" s="44">
        <f t="shared" si="47"/>
        <v>0</v>
      </c>
      <c r="R123" s="44">
        <f t="shared" si="47"/>
        <v>0</v>
      </c>
      <c r="S123" s="44">
        <f t="shared" si="47"/>
        <v>0</v>
      </c>
      <c r="T123" s="44">
        <f t="shared" si="46"/>
        <v>0</v>
      </c>
      <c r="U123" s="44">
        <f t="shared" si="46"/>
        <v>0</v>
      </c>
      <c r="V123" s="44">
        <f t="shared" si="46"/>
        <v>0</v>
      </c>
      <c r="W123" s="44">
        <f t="shared" si="46"/>
        <v>0</v>
      </c>
      <c r="X123" s="44">
        <f t="shared" si="46"/>
        <v>0</v>
      </c>
      <c r="Y123" s="44">
        <f t="shared" si="46"/>
        <v>0</v>
      </c>
      <c r="Z123" s="44">
        <f t="shared" si="46"/>
        <v>0</v>
      </c>
      <c r="AA123" s="44">
        <f t="shared" si="46"/>
        <v>0</v>
      </c>
      <c r="AB123" s="44">
        <f t="shared" si="46"/>
        <v>0</v>
      </c>
      <c r="AC123" s="44">
        <f t="shared" si="46"/>
        <v>0</v>
      </c>
      <c r="AD123" s="44">
        <f t="shared" si="46"/>
        <v>0</v>
      </c>
      <c r="AE123" s="44">
        <f t="shared" si="46"/>
        <v>0</v>
      </c>
      <c r="AF123" s="44">
        <f t="shared" si="46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44"/>
        <v>0</v>
      </c>
      <c r="C124" s="55">
        <v>0</v>
      </c>
      <c r="D124" s="44">
        <f t="shared" si="47"/>
        <v>0</v>
      </c>
      <c r="E124" s="44">
        <f t="shared" si="47"/>
        <v>0</v>
      </c>
      <c r="F124" s="44">
        <f t="shared" si="47"/>
        <v>0</v>
      </c>
      <c r="G124" s="44">
        <f t="shared" si="47"/>
        <v>0</v>
      </c>
      <c r="H124" s="44">
        <f t="shared" si="47"/>
        <v>0</v>
      </c>
      <c r="I124" s="44">
        <f t="shared" si="47"/>
        <v>0</v>
      </c>
      <c r="J124" s="44">
        <f t="shared" si="47"/>
        <v>0</v>
      </c>
      <c r="K124" s="44">
        <f t="shared" si="47"/>
        <v>0</v>
      </c>
      <c r="L124" s="44">
        <f t="shared" si="47"/>
        <v>0</v>
      </c>
      <c r="M124" s="44">
        <f t="shared" si="47"/>
        <v>0</v>
      </c>
      <c r="N124" s="44">
        <f t="shared" si="47"/>
        <v>0</v>
      </c>
      <c r="O124" s="44">
        <f t="shared" si="47"/>
        <v>0</v>
      </c>
      <c r="P124" s="44">
        <f t="shared" si="47"/>
        <v>0</v>
      </c>
      <c r="Q124" s="44">
        <f t="shared" si="47"/>
        <v>0</v>
      </c>
      <c r="R124" s="44">
        <f t="shared" si="47"/>
        <v>0</v>
      </c>
      <c r="S124" s="44">
        <f t="shared" si="47"/>
        <v>0</v>
      </c>
      <c r="T124" s="44">
        <f t="shared" si="46"/>
        <v>0</v>
      </c>
      <c r="U124" s="44">
        <f t="shared" si="46"/>
        <v>0</v>
      </c>
      <c r="V124" s="44">
        <f t="shared" si="46"/>
        <v>0</v>
      </c>
      <c r="W124" s="44">
        <f t="shared" si="46"/>
        <v>0</v>
      </c>
      <c r="X124" s="44">
        <f t="shared" si="46"/>
        <v>0</v>
      </c>
      <c r="Y124" s="44">
        <f t="shared" si="46"/>
        <v>0</v>
      </c>
      <c r="Z124" s="44">
        <f t="shared" si="46"/>
        <v>0</v>
      </c>
      <c r="AA124" s="44">
        <f t="shared" si="46"/>
        <v>0</v>
      </c>
      <c r="AB124" s="44">
        <f t="shared" si="46"/>
        <v>0</v>
      </c>
      <c r="AC124" s="44">
        <f t="shared" si="46"/>
        <v>0</v>
      </c>
      <c r="AD124" s="44">
        <f t="shared" si="46"/>
        <v>0</v>
      </c>
      <c r="AE124" s="44">
        <f t="shared" si="46"/>
        <v>0</v>
      </c>
      <c r="AF124" s="44">
        <f t="shared" si="46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44"/>
        <v>5</v>
      </c>
      <c r="C125" s="55">
        <v>5</v>
      </c>
      <c r="D125" s="44">
        <f t="shared" si="47"/>
        <v>5</v>
      </c>
      <c r="E125" s="44">
        <f t="shared" si="47"/>
        <v>5</v>
      </c>
      <c r="F125" s="44">
        <f t="shared" si="47"/>
        <v>5</v>
      </c>
      <c r="G125" s="44">
        <f t="shared" si="47"/>
        <v>5</v>
      </c>
      <c r="H125" s="44">
        <f t="shared" si="47"/>
        <v>5</v>
      </c>
      <c r="I125" s="44">
        <f t="shared" si="47"/>
        <v>5</v>
      </c>
      <c r="J125" s="44">
        <f t="shared" si="47"/>
        <v>5</v>
      </c>
      <c r="K125" s="44">
        <f t="shared" si="47"/>
        <v>5</v>
      </c>
      <c r="L125" s="44">
        <f t="shared" si="47"/>
        <v>5</v>
      </c>
      <c r="M125" s="44">
        <f t="shared" si="47"/>
        <v>5</v>
      </c>
      <c r="N125" s="44">
        <f t="shared" si="47"/>
        <v>5</v>
      </c>
      <c r="O125" s="44">
        <f t="shared" si="47"/>
        <v>5</v>
      </c>
      <c r="P125" s="44">
        <f t="shared" si="47"/>
        <v>5</v>
      </c>
      <c r="Q125" s="44">
        <f t="shared" si="47"/>
        <v>5</v>
      </c>
      <c r="R125" s="44">
        <f t="shared" si="47"/>
        <v>5</v>
      </c>
      <c r="S125" s="44">
        <f t="shared" si="47"/>
        <v>5</v>
      </c>
      <c r="T125" s="44">
        <f t="shared" si="46"/>
        <v>5</v>
      </c>
      <c r="U125" s="44">
        <f t="shared" si="46"/>
        <v>5</v>
      </c>
      <c r="V125" s="44">
        <f t="shared" si="46"/>
        <v>5</v>
      </c>
      <c r="W125" s="44">
        <f t="shared" si="46"/>
        <v>5</v>
      </c>
      <c r="X125" s="44">
        <f t="shared" si="46"/>
        <v>5</v>
      </c>
      <c r="Y125" s="44">
        <f t="shared" si="46"/>
        <v>5</v>
      </c>
      <c r="Z125" s="44">
        <f t="shared" si="46"/>
        <v>5</v>
      </c>
      <c r="AA125" s="44">
        <f t="shared" si="46"/>
        <v>5</v>
      </c>
      <c r="AB125" s="44">
        <f t="shared" si="46"/>
        <v>5</v>
      </c>
      <c r="AC125" s="44">
        <f t="shared" si="46"/>
        <v>5</v>
      </c>
      <c r="AD125" s="44">
        <f t="shared" si="46"/>
        <v>5</v>
      </c>
      <c r="AE125" s="44">
        <f t="shared" si="46"/>
        <v>5</v>
      </c>
      <c r="AF125" s="44">
        <f t="shared" si="46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44"/>
        <v>1</v>
      </c>
      <c r="C126" s="55">
        <v>1</v>
      </c>
      <c r="D126" s="44">
        <f t="shared" si="47"/>
        <v>1</v>
      </c>
      <c r="E126" s="44">
        <f t="shared" si="47"/>
        <v>1</v>
      </c>
      <c r="F126" s="44">
        <f t="shared" si="47"/>
        <v>1</v>
      </c>
      <c r="G126" s="44">
        <f t="shared" si="47"/>
        <v>1</v>
      </c>
      <c r="H126" s="44">
        <f t="shared" si="47"/>
        <v>1</v>
      </c>
      <c r="I126" s="44">
        <f t="shared" si="47"/>
        <v>1</v>
      </c>
      <c r="J126" s="44">
        <f t="shared" si="47"/>
        <v>1</v>
      </c>
      <c r="K126" s="44">
        <f t="shared" si="47"/>
        <v>1</v>
      </c>
      <c r="L126" s="44">
        <f t="shared" si="47"/>
        <v>1</v>
      </c>
      <c r="M126" s="44">
        <f t="shared" si="47"/>
        <v>1</v>
      </c>
      <c r="N126" s="44">
        <f t="shared" si="47"/>
        <v>1</v>
      </c>
      <c r="O126" s="44">
        <f t="shared" si="47"/>
        <v>1</v>
      </c>
      <c r="P126" s="44">
        <f t="shared" si="47"/>
        <v>1</v>
      </c>
      <c r="Q126" s="44">
        <f t="shared" si="47"/>
        <v>1</v>
      </c>
      <c r="R126" s="44">
        <f t="shared" si="47"/>
        <v>1</v>
      </c>
      <c r="S126" s="44">
        <f t="shared" si="47"/>
        <v>1</v>
      </c>
      <c r="T126" s="44">
        <f t="shared" si="46"/>
        <v>1</v>
      </c>
      <c r="U126" s="44">
        <f t="shared" si="46"/>
        <v>1</v>
      </c>
      <c r="V126" s="44">
        <f t="shared" si="46"/>
        <v>1</v>
      </c>
      <c r="W126" s="44">
        <f t="shared" si="46"/>
        <v>1</v>
      </c>
      <c r="X126" s="44">
        <f t="shared" si="46"/>
        <v>1</v>
      </c>
      <c r="Y126" s="44">
        <f t="shared" si="46"/>
        <v>1</v>
      </c>
      <c r="Z126" s="44">
        <f t="shared" si="46"/>
        <v>1</v>
      </c>
      <c r="AA126" s="44">
        <f t="shared" si="46"/>
        <v>1</v>
      </c>
      <c r="AB126" s="44">
        <f t="shared" si="46"/>
        <v>1</v>
      </c>
      <c r="AC126" s="44">
        <f t="shared" si="46"/>
        <v>1</v>
      </c>
      <c r="AD126" s="44">
        <f t="shared" si="46"/>
        <v>1</v>
      </c>
      <c r="AE126" s="44">
        <f t="shared" si="46"/>
        <v>1</v>
      </c>
      <c r="AF126" s="44">
        <f t="shared" si="46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44"/>
        <v>1.58</v>
      </c>
      <c r="C127" s="55">
        <v>1.58</v>
      </c>
      <c r="D127" s="44">
        <f t="shared" si="47"/>
        <v>1.58</v>
      </c>
      <c r="E127" s="44">
        <f t="shared" si="47"/>
        <v>1.58</v>
      </c>
      <c r="F127" s="44">
        <f t="shared" si="47"/>
        <v>1.58</v>
      </c>
      <c r="G127" s="44">
        <f t="shared" si="47"/>
        <v>1.58</v>
      </c>
      <c r="H127" s="44">
        <f t="shared" si="47"/>
        <v>1.58</v>
      </c>
      <c r="I127" s="44">
        <f t="shared" si="47"/>
        <v>1.58</v>
      </c>
      <c r="J127" s="44">
        <f t="shared" si="47"/>
        <v>1.58</v>
      </c>
      <c r="K127" s="44">
        <f t="shared" si="47"/>
        <v>1.58</v>
      </c>
      <c r="L127" s="44">
        <f t="shared" si="47"/>
        <v>1.58</v>
      </c>
      <c r="M127" s="44">
        <f t="shared" si="47"/>
        <v>1.58</v>
      </c>
      <c r="N127" s="44">
        <f t="shared" si="47"/>
        <v>1.58</v>
      </c>
      <c r="O127" s="44">
        <f t="shared" si="47"/>
        <v>1.58</v>
      </c>
      <c r="P127" s="44">
        <f t="shared" si="47"/>
        <v>1.58</v>
      </c>
      <c r="Q127" s="44">
        <f t="shared" si="47"/>
        <v>1.58</v>
      </c>
      <c r="R127" s="44">
        <f t="shared" si="47"/>
        <v>1.58</v>
      </c>
      <c r="S127" s="44">
        <f t="shared" si="47"/>
        <v>1.58</v>
      </c>
      <c r="T127" s="44">
        <f t="shared" si="46"/>
        <v>1.58</v>
      </c>
      <c r="U127" s="44">
        <f t="shared" si="46"/>
        <v>1.58</v>
      </c>
      <c r="V127" s="44">
        <f t="shared" si="46"/>
        <v>1.58</v>
      </c>
      <c r="W127" s="44">
        <f t="shared" si="46"/>
        <v>1.58</v>
      </c>
      <c r="X127" s="44">
        <f t="shared" si="46"/>
        <v>1.58</v>
      </c>
      <c r="Y127" s="44">
        <f t="shared" si="46"/>
        <v>1.58</v>
      </c>
      <c r="Z127" s="44">
        <f t="shared" si="46"/>
        <v>1.58</v>
      </c>
      <c r="AA127" s="44">
        <f t="shared" si="46"/>
        <v>1.58</v>
      </c>
      <c r="AB127" s="44">
        <f t="shared" si="46"/>
        <v>1.58</v>
      </c>
      <c r="AC127" s="44">
        <f t="shared" si="46"/>
        <v>1.58</v>
      </c>
      <c r="AD127" s="44">
        <f t="shared" si="46"/>
        <v>1.58</v>
      </c>
      <c r="AE127" s="44">
        <f t="shared" si="46"/>
        <v>1.58</v>
      </c>
      <c r="AF127" s="44">
        <f t="shared" si="46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44"/>
        <v>1.46</v>
      </c>
      <c r="C128" s="55">
        <v>1.46</v>
      </c>
      <c r="D128" s="44">
        <f t="shared" si="47"/>
        <v>1.46</v>
      </c>
      <c r="E128" s="44">
        <f t="shared" si="47"/>
        <v>1.46</v>
      </c>
      <c r="F128" s="44">
        <f t="shared" si="47"/>
        <v>1.46</v>
      </c>
      <c r="G128" s="44">
        <f t="shared" si="47"/>
        <v>1.46</v>
      </c>
      <c r="H128" s="44">
        <f t="shared" si="47"/>
        <v>1.46</v>
      </c>
      <c r="I128" s="44">
        <f t="shared" si="47"/>
        <v>1.46</v>
      </c>
      <c r="J128" s="44">
        <f t="shared" si="47"/>
        <v>1.46</v>
      </c>
      <c r="K128" s="44">
        <f t="shared" si="47"/>
        <v>1.46</v>
      </c>
      <c r="L128" s="44">
        <f t="shared" si="47"/>
        <v>1.46</v>
      </c>
      <c r="M128" s="44">
        <f t="shared" si="47"/>
        <v>1.46</v>
      </c>
      <c r="N128" s="44">
        <f t="shared" si="47"/>
        <v>1.46</v>
      </c>
      <c r="O128" s="44">
        <f t="shared" si="47"/>
        <v>1.46</v>
      </c>
      <c r="P128" s="44">
        <f t="shared" si="47"/>
        <v>1.46</v>
      </c>
      <c r="Q128" s="44">
        <f t="shared" si="47"/>
        <v>1.46</v>
      </c>
      <c r="R128" s="44">
        <f t="shared" si="47"/>
        <v>1.46</v>
      </c>
      <c r="S128" s="44">
        <f t="shared" si="47"/>
        <v>1.46</v>
      </c>
      <c r="T128" s="44">
        <f t="shared" ref="T128:AF129" si="48">S128</f>
        <v>1.46</v>
      </c>
      <c r="U128" s="44">
        <f t="shared" si="48"/>
        <v>1.46</v>
      </c>
      <c r="V128" s="44">
        <f t="shared" si="48"/>
        <v>1.46</v>
      </c>
      <c r="W128" s="44">
        <f t="shared" si="48"/>
        <v>1.46</v>
      </c>
      <c r="X128" s="44">
        <f t="shared" si="48"/>
        <v>1.46</v>
      </c>
      <c r="Y128" s="44">
        <f t="shared" si="48"/>
        <v>1.46</v>
      </c>
      <c r="Z128" s="44">
        <f t="shared" si="48"/>
        <v>1.46</v>
      </c>
      <c r="AA128" s="44">
        <f t="shared" si="48"/>
        <v>1.46</v>
      </c>
      <c r="AB128" s="44">
        <f t="shared" si="48"/>
        <v>1.46</v>
      </c>
      <c r="AC128" s="44">
        <f t="shared" si="48"/>
        <v>1.46</v>
      </c>
      <c r="AD128" s="44">
        <f t="shared" si="48"/>
        <v>1.46</v>
      </c>
      <c r="AE128" s="44">
        <f t="shared" si="48"/>
        <v>1.46</v>
      </c>
      <c r="AF128" s="44">
        <f t="shared" si="48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44"/>
        <v>1.48</v>
      </c>
      <c r="C129" s="55">
        <v>1.48</v>
      </c>
      <c r="D129" s="44">
        <f t="shared" si="47"/>
        <v>1.48</v>
      </c>
      <c r="E129" s="44">
        <f t="shared" si="47"/>
        <v>1.48</v>
      </c>
      <c r="F129" s="44">
        <f t="shared" si="47"/>
        <v>1.48</v>
      </c>
      <c r="G129" s="44">
        <f t="shared" si="47"/>
        <v>1.48</v>
      </c>
      <c r="H129" s="44">
        <f t="shared" si="47"/>
        <v>1.48</v>
      </c>
      <c r="I129" s="44">
        <f t="shared" si="47"/>
        <v>1.48</v>
      </c>
      <c r="J129" s="44">
        <f t="shared" si="47"/>
        <v>1.48</v>
      </c>
      <c r="K129" s="44">
        <f t="shared" si="47"/>
        <v>1.48</v>
      </c>
      <c r="L129" s="44">
        <f t="shared" si="47"/>
        <v>1.48</v>
      </c>
      <c r="M129" s="44">
        <f t="shared" si="47"/>
        <v>1.48</v>
      </c>
      <c r="N129" s="44">
        <f t="shared" si="47"/>
        <v>1.48</v>
      </c>
      <c r="O129" s="44">
        <f t="shared" si="47"/>
        <v>1.48</v>
      </c>
      <c r="P129" s="44">
        <f t="shared" si="47"/>
        <v>1.48</v>
      </c>
      <c r="Q129" s="44">
        <f t="shared" si="47"/>
        <v>1.48</v>
      </c>
      <c r="R129" s="44">
        <f t="shared" si="47"/>
        <v>1.48</v>
      </c>
      <c r="S129" s="44">
        <f t="shared" si="47"/>
        <v>1.48</v>
      </c>
      <c r="T129" s="44">
        <f t="shared" si="48"/>
        <v>1.48</v>
      </c>
      <c r="U129" s="44">
        <f t="shared" si="48"/>
        <v>1.48</v>
      </c>
      <c r="V129" s="44">
        <f t="shared" si="48"/>
        <v>1.48</v>
      </c>
      <c r="W129" s="44">
        <f t="shared" si="48"/>
        <v>1.48</v>
      </c>
      <c r="X129" s="44">
        <f t="shared" si="48"/>
        <v>1.48</v>
      </c>
      <c r="Y129" s="44">
        <f t="shared" si="48"/>
        <v>1.48</v>
      </c>
      <c r="Z129" s="44">
        <f t="shared" si="48"/>
        <v>1.48</v>
      </c>
      <c r="AA129" s="44">
        <f t="shared" si="48"/>
        <v>1.48</v>
      </c>
      <c r="AB129" s="44">
        <f t="shared" si="48"/>
        <v>1.48</v>
      </c>
      <c r="AC129" s="44">
        <f t="shared" si="48"/>
        <v>1.48</v>
      </c>
      <c r="AD129" s="44">
        <f t="shared" si="48"/>
        <v>1.48</v>
      </c>
      <c r="AE129" s="44">
        <f t="shared" si="48"/>
        <v>1.48</v>
      </c>
      <c r="AF129" s="44">
        <f t="shared" si="48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49">AF131</f>
        <v>2.2000000000000002</v>
      </c>
      <c r="C131" s="55">
        <v>2.2000000000000002</v>
      </c>
      <c r="D131" s="44">
        <f t="shared" ref="D131:S138" si="50">C131</f>
        <v>2.2000000000000002</v>
      </c>
      <c r="E131" s="44">
        <f t="shared" si="50"/>
        <v>2.2000000000000002</v>
      </c>
      <c r="F131" s="44">
        <f t="shared" si="50"/>
        <v>2.2000000000000002</v>
      </c>
      <c r="G131" s="44">
        <f t="shared" si="50"/>
        <v>2.2000000000000002</v>
      </c>
      <c r="H131" s="44">
        <f t="shared" si="50"/>
        <v>2.2000000000000002</v>
      </c>
      <c r="I131" s="44">
        <f t="shared" si="50"/>
        <v>2.2000000000000002</v>
      </c>
      <c r="J131" s="44">
        <f t="shared" si="50"/>
        <v>2.2000000000000002</v>
      </c>
      <c r="K131" s="44">
        <f t="shared" si="50"/>
        <v>2.2000000000000002</v>
      </c>
      <c r="L131" s="44">
        <f t="shared" si="50"/>
        <v>2.2000000000000002</v>
      </c>
      <c r="M131" s="44">
        <f t="shared" si="50"/>
        <v>2.2000000000000002</v>
      </c>
      <c r="N131" s="44">
        <f t="shared" si="50"/>
        <v>2.2000000000000002</v>
      </c>
      <c r="O131" s="44">
        <f t="shared" si="50"/>
        <v>2.2000000000000002</v>
      </c>
      <c r="P131" s="44">
        <f t="shared" si="50"/>
        <v>2.2000000000000002</v>
      </c>
      <c r="Q131" s="44">
        <f t="shared" si="50"/>
        <v>2.2000000000000002</v>
      </c>
      <c r="R131" s="44">
        <f t="shared" si="50"/>
        <v>2.2000000000000002</v>
      </c>
      <c r="S131" s="44">
        <f t="shared" si="50"/>
        <v>2.2000000000000002</v>
      </c>
      <c r="T131" s="44">
        <f t="shared" ref="T131:AF138" si="51">S131</f>
        <v>2.2000000000000002</v>
      </c>
      <c r="U131" s="44">
        <f t="shared" si="51"/>
        <v>2.2000000000000002</v>
      </c>
      <c r="V131" s="44">
        <f t="shared" si="51"/>
        <v>2.2000000000000002</v>
      </c>
      <c r="W131" s="44">
        <f t="shared" si="51"/>
        <v>2.2000000000000002</v>
      </c>
      <c r="X131" s="44">
        <f t="shared" si="51"/>
        <v>2.2000000000000002</v>
      </c>
      <c r="Y131" s="44">
        <f t="shared" si="51"/>
        <v>2.2000000000000002</v>
      </c>
      <c r="Z131" s="44">
        <f t="shared" si="51"/>
        <v>2.2000000000000002</v>
      </c>
      <c r="AA131" s="44">
        <f t="shared" si="51"/>
        <v>2.2000000000000002</v>
      </c>
      <c r="AB131" s="44">
        <f t="shared" si="51"/>
        <v>2.2000000000000002</v>
      </c>
      <c r="AC131" s="44">
        <f t="shared" si="51"/>
        <v>2.2000000000000002</v>
      </c>
      <c r="AD131" s="44">
        <f t="shared" si="51"/>
        <v>2.2000000000000002</v>
      </c>
      <c r="AE131" s="44">
        <f t="shared" si="51"/>
        <v>2.2000000000000002</v>
      </c>
      <c r="AF131" s="44">
        <f t="shared" si="51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49"/>
        <v>2</v>
      </c>
      <c r="C132" s="55">
        <v>2</v>
      </c>
      <c r="D132" s="44">
        <f t="shared" si="50"/>
        <v>2</v>
      </c>
      <c r="E132" s="44">
        <f t="shared" si="50"/>
        <v>2</v>
      </c>
      <c r="F132" s="44">
        <f t="shared" si="50"/>
        <v>2</v>
      </c>
      <c r="G132" s="44">
        <f t="shared" si="50"/>
        <v>2</v>
      </c>
      <c r="H132" s="44">
        <f t="shared" si="50"/>
        <v>2</v>
      </c>
      <c r="I132" s="44">
        <f t="shared" si="50"/>
        <v>2</v>
      </c>
      <c r="J132" s="44">
        <f t="shared" si="50"/>
        <v>2</v>
      </c>
      <c r="K132" s="44">
        <f t="shared" si="50"/>
        <v>2</v>
      </c>
      <c r="L132" s="44">
        <f t="shared" si="50"/>
        <v>2</v>
      </c>
      <c r="M132" s="44">
        <f t="shared" si="50"/>
        <v>2</v>
      </c>
      <c r="N132" s="44">
        <f t="shared" si="50"/>
        <v>2</v>
      </c>
      <c r="O132" s="44">
        <f t="shared" si="50"/>
        <v>2</v>
      </c>
      <c r="P132" s="44">
        <f t="shared" si="50"/>
        <v>2</v>
      </c>
      <c r="Q132" s="44">
        <f t="shared" si="50"/>
        <v>2</v>
      </c>
      <c r="R132" s="44">
        <f t="shared" si="50"/>
        <v>2</v>
      </c>
      <c r="S132" s="44">
        <f t="shared" si="50"/>
        <v>2</v>
      </c>
      <c r="T132" s="44">
        <f t="shared" si="51"/>
        <v>2</v>
      </c>
      <c r="U132" s="44">
        <f t="shared" si="51"/>
        <v>2</v>
      </c>
      <c r="V132" s="44">
        <f t="shared" si="51"/>
        <v>2</v>
      </c>
      <c r="W132" s="44">
        <f t="shared" si="51"/>
        <v>2</v>
      </c>
      <c r="X132" s="44">
        <f t="shared" si="51"/>
        <v>2</v>
      </c>
      <c r="Y132" s="44">
        <f t="shared" si="51"/>
        <v>2</v>
      </c>
      <c r="Z132" s="44">
        <f t="shared" si="51"/>
        <v>2</v>
      </c>
      <c r="AA132" s="44">
        <f t="shared" si="51"/>
        <v>2</v>
      </c>
      <c r="AB132" s="44">
        <f t="shared" si="51"/>
        <v>2</v>
      </c>
      <c r="AC132" s="44">
        <f t="shared" si="51"/>
        <v>2</v>
      </c>
      <c r="AD132" s="44">
        <f t="shared" si="51"/>
        <v>2</v>
      </c>
      <c r="AE132" s="44">
        <f t="shared" si="51"/>
        <v>2</v>
      </c>
      <c r="AF132" s="44">
        <f t="shared" si="51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49"/>
        <v>1.25</v>
      </c>
      <c r="C133" s="55">
        <v>1.25</v>
      </c>
      <c r="D133" s="44">
        <f t="shared" si="50"/>
        <v>1.25</v>
      </c>
      <c r="E133" s="44">
        <f t="shared" si="50"/>
        <v>1.25</v>
      </c>
      <c r="F133" s="44">
        <f t="shared" si="50"/>
        <v>1.25</v>
      </c>
      <c r="G133" s="44">
        <f t="shared" si="50"/>
        <v>1.25</v>
      </c>
      <c r="H133" s="44">
        <f t="shared" si="50"/>
        <v>1.25</v>
      </c>
      <c r="I133" s="44">
        <f t="shared" si="50"/>
        <v>1.25</v>
      </c>
      <c r="J133" s="44">
        <f t="shared" si="50"/>
        <v>1.25</v>
      </c>
      <c r="K133" s="44">
        <f t="shared" si="50"/>
        <v>1.25</v>
      </c>
      <c r="L133" s="44">
        <f t="shared" si="50"/>
        <v>1.25</v>
      </c>
      <c r="M133" s="44">
        <f t="shared" si="50"/>
        <v>1.25</v>
      </c>
      <c r="N133" s="44">
        <f t="shared" si="50"/>
        <v>1.25</v>
      </c>
      <c r="O133" s="44">
        <f t="shared" si="50"/>
        <v>1.25</v>
      </c>
      <c r="P133" s="44">
        <f t="shared" si="50"/>
        <v>1.25</v>
      </c>
      <c r="Q133" s="44">
        <f t="shared" si="50"/>
        <v>1.25</v>
      </c>
      <c r="R133" s="44">
        <f t="shared" si="50"/>
        <v>1.25</v>
      </c>
      <c r="S133" s="44">
        <f t="shared" si="50"/>
        <v>1.25</v>
      </c>
      <c r="T133" s="44">
        <f t="shared" si="51"/>
        <v>1.25</v>
      </c>
      <c r="U133" s="44">
        <f t="shared" si="51"/>
        <v>1.25</v>
      </c>
      <c r="V133" s="44">
        <f t="shared" si="51"/>
        <v>1.25</v>
      </c>
      <c r="W133" s="44">
        <f t="shared" si="51"/>
        <v>1.25</v>
      </c>
      <c r="X133" s="44">
        <f t="shared" si="51"/>
        <v>1.25</v>
      </c>
      <c r="Y133" s="44">
        <f t="shared" si="51"/>
        <v>1.25</v>
      </c>
      <c r="Z133" s="44">
        <f t="shared" si="51"/>
        <v>1.25</v>
      </c>
      <c r="AA133" s="44">
        <f t="shared" si="51"/>
        <v>1.25</v>
      </c>
      <c r="AB133" s="44">
        <f t="shared" si="51"/>
        <v>1.25</v>
      </c>
      <c r="AC133" s="44">
        <f t="shared" si="51"/>
        <v>1.25</v>
      </c>
      <c r="AD133" s="44">
        <f t="shared" si="51"/>
        <v>1.25</v>
      </c>
      <c r="AE133" s="44">
        <f t="shared" si="51"/>
        <v>1.25</v>
      </c>
      <c r="AF133" s="44">
        <f t="shared" si="51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49"/>
        <v>1.1499999999999999</v>
      </c>
      <c r="C134" s="55">
        <v>1.1499999999999999</v>
      </c>
      <c r="D134" s="44">
        <f t="shared" si="50"/>
        <v>1.1499999999999999</v>
      </c>
      <c r="E134" s="44">
        <f t="shared" si="50"/>
        <v>1.1499999999999999</v>
      </c>
      <c r="F134" s="44">
        <f t="shared" si="50"/>
        <v>1.1499999999999999</v>
      </c>
      <c r="G134" s="44">
        <f t="shared" si="50"/>
        <v>1.1499999999999999</v>
      </c>
      <c r="H134" s="44">
        <f t="shared" si="50"/>
        <v>1.1499999999999999</v>
      </c>
      <c r="I134" s="44">
        <f t="shared" si="50"/>
        <v>1.1499999999999999</v>
      </c>
      <c r="J134" s="44">
        <f t="shared" si="50"/>
        <v>1.1499999999999999</v>
      </c>
      <c r="K134" s="44">
        <f t="shared" si="50"/>
        <v>1.1499999999999999</v>
      </c>
      <c r="L134" s="44">
        <f t="shared" si="50"/>
        <v>1.1499999999999999</v>
      </c>
      <c r="M134" s="44">
        <f t="shared" si="50"/>
        <v>1.1499999999999999</v>
      </c>
      <c r="N134" s="44">
        <f t="shared" si="50"/>
        <v>1.1499999999999999</v>
      </c>
      <c r="O134" s="44">
        <f t="shared" si="50"/>
        <v>1.1499999999999999</v>
      </c>
      <c r="P134" s="44">
        <f t="shared" si="50"/>
        <v>1.1499999999999999</v>
      </c>
      <c r="Q134" s="44">
        <f t="shared" si="50"/>
        <v>1.1499999999999999</v>
      </c>
      <c r="R134" s="44">
        <f t="shared" si="50"/>
        <v>1.1499999999999999</v>
      </c>
      <c r="S134" s="44">
        <f t="shared" si="50"/>
        <v>1.1499999999999999</v>
      </c>
      <c r="T134" s="44">
        <f t="shared" si="51"/>
        <v>1.1499999999999999</v>
      </c>
      <c r="U134" s="44">
        <f t="shared" si="51"/>
        <v>1.1499999999999999</v>
      </c>
      <c r="V134" s="44">
        <f t="shared" si="51"/>
        <v>1.1499999999999999</v>
      </c>
      <c r="W134" s="44">
        <f t="shared" si="51"/>
        <v>1.1499999999999999</v>
      </c>
      <c r="X134" s="44">
        <f t="shared" si="51"/>
        <v>1.1499999999999999</v>
      </c>
      <c r="Y134" s="44">
        <f t="shared" si="51"/>
        <v>1.1499999999999999</v>
      </c>
      <c r="Z134" s="44">
        <f t="shared" si="51"/>
        <v>1.1499999999999999</v>
      </c>
      <c r="AA134" s="44">
        <f t="shared" si="51"/>
        <v>1.1499999999999999</v>
      </c>
      <c r="AB134" s="44">
        <f t="shared" si="51"/>
        <v>1.1499999999999999</v>
      </c>
      <c r="AC134" s="44">
        <f t="shared" si="51"/>
        <v>1.1499999999999999</v>
      </c>
      <c r="AD134" s="44">
        <f t="shared" si="51"/>
        <v>1.1499999999999999</v>
      </c>
      <c r="AE134" s="44">
        <f t="shared" si="51"/>
        <v>1.1499999999999999</v>
      </c>
      <c r="AF134" s="44">
        <f t="shared" si="51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49"/>
        <v>2.133</v>
      </c>
      <c r="C135" s="55">
        <v>2.133</v>
      </c>
      <c r="D135" s="44">
        <f t="shared" si="50"/>
        <v>2.133</v>
      </c>
      <c r="E135" s="44">
        <f t="shared" si="50"/>
        <v>2.133</v>
      </c>
      <c r="F135" s="44">
        <f t="shared" si="50"/>
        <v>2.133</v>
      </c>
      <c r="G135" s="44">
        <f t="shared" si="50"/>
        <v>2.133</v>
      </c>
      <c r="H135" s="44">
        <f t="shared" si="50"/>
        <v>2.133</v>
      </c>
      <c r="I135" s="44">
        <f t="shared" si="50"/>
        <v>2.133</v>
      </c>
      <c r="J135" s="44">
        <f t="shared" si="50"/>
        <v>2.133</v>
      </c>
      <c r="K135" s="44">
        <f t="shared" si="50"/>
        <v>2.133</v>
      </c>
      <c r="L135" s="44">
        <f t="shared" si="50"/>
        <v>2.133</v>
      </c>
      <c r="M135" s="44">
        <f t="shared" si="50"/>
        <v>2.133</v>
      </c>
      <c r="N135" s="44">
        <f t="shared" si="50"/>
        <v>2.133</v>
      </c>
      <c r="O135" s="44">
        <f t="shared" si="50"/>
        <v>2.133</v>
      </c>
      <c r="P135" s="44">
        <f t="shared" si="50"/>
        <v>2.133</v>
      </c>
      <c r="Q135" s="44">
        <f t="shared" si="50"/>
        <v>2.133</v>
      </c>
      <c r="R135" s="44">
        <f t="shared" si="50"/>
        <v>2.133</v>
      </c>
      <c r="S135" s="44">
        <f t="shared" si="50"/>
        <v>2.133</v>
      </c>
      <c r="T135" s="44">
        <f t="shared" si="51"/>
        <v>2.133</v>
      </c>
      <c r="U135" s="44">
        <f t="shared" si="51"/>
        <v>2.133</v>
      </c>
      <c r="V135" s="44">
        <f t="shared" si="51"/>
        <v>2.133</v>
      </c>
      <c r="W135" s="44">
        <f t="shared" si="51"/>
        <v>2.133</v>
      </c>
      <c r="X135" s="44">
        <f t="shared" si="51"/>
        <v>2.133</v>
      </c>
      <c r="Y135" s="44">
        <f t="shared" si="51"/>
        <v>2.133</v>
      </c>
      <c r="Z135" s="44">
        <f t="shared" si="51"/>
        <v>2.133</v>
      </c>
      <c r="AA135" s="44">
        <f t="shared" si="51"/>
        <v>2.133</v>
      </c>
      <c r="AB135" s="44">
        <f t="shared" si="51"/>
        <v>2.133</v>
      </c>
      <c r="AC135" s="44">
        <f t="shared" si="51"/>
        <v>2.133</v>
      </c>
      <c r="AD135" s="44">
        <f t="shared" si="51"/>
        <v>2.133</v>
      </c>
      <c r="AE135" s="44">
        <f t="shared" si="51"/>
        <v>2.133</v>
      </c>
      <c r="AF135" s="44">
        <f t="shared" si="51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49"/>
        <v>2.09</v>
      </c>
      <c r="C136" s="55">
        <v>2.09</v>
      </c>
      <c r="D136" s="44">
        <f t="shared" si="50"/>
        <v>2.09</v>
      </c>
      <c r="E136" s="44">
        <f t="shared" si="50"/>
        <v>2.09</v>
      </c>
      <c r="F136" s="44">
        <f t="shared" si="50"/>
        <v>2.09</v>
      </c>
      <c r="G136" s="44">
        <f t="shared" si="50"/>
        <v>2.09</v>
      </c>
      <c r="H136" s="44">
        <f t="shared" si="50"/>
        <v>2.09</v>
      </c>
      <c r="I136" s="44">
        <f t="shared" si="50"/>
        <v>2.09</v>
      </c>
      <c r="J136" s="44">
        <f t="shared" si="50"/>
        <v>2.09</v>
      </c>
      <c r="K136" s="44">
        <f t="shared" si="50"/>
        <v>2.09</v>
      </c>
      <c r="L136" s="44">
        <f t="shared" si="50"/>
        <v>2.09</v>
      </c>
      <c r="M136" s="44">
        <f t="shared" si="50"/>
        <v>2.09</v>
      </c>
      <c r="N136" s="44">
        <f t="shared" si="50"/>
        <v>2.09</v>
      </c>
      <c r="O136" s="44">
        <f t="shared" si="50"/>
        <v>2.09</v>
      </c>
      <c r="P136" s="44">
        <f t="shared" si="50"/>
        <v>2.09</v>
      </c>
      <c r="Q136" s="44">
        <f t="shared" si="50"/>
        <v>2.09</v>
      </c>
      <c r="R136" s="44">
        <f t="shared" si="50"/>
        <v>2.09</v>
      </c>
      <c r="S136" s="44">
        <f t="shared" si="50"/>
        <v>2.09</v>
      </c>
      <c r="T136" s="44">
        <f t="shared" si="51"/>
        <v>2.09</v>
      </c>
      <c r="U136" s="44">
        <f t="shared" si="51"/>
        <v>2.09</v>
      </c>
      <c r="V136" s="44">
        <f t="shared" si="51"/>
        <v>2.09</v>
      </c>
      <c r="W136" s="44">
        <f t="shared" si="51"/>
        <v>2.09</v>
      </c>
      <c r="X136" s="44">
        <f t="shared" si="51"/>
        <v>2.09</v>
      </c>
      <c r="Y136" s="44">
        <f t="shared" si="51"/>
        <v>2.09</v>
      </c>
      <c r="Z136" s="44">
        <f t="shared" si="51"/>
        <v>2.09</v>
      </c>
      <c r="AA136" s="44">
        <f t="shared" si="51"/>
        <v>2.09</v>
      </c>
      <c r="AB136" s="44">
        <f t="shared" si="51"/>
        <v>2.09</v>
      </c>
      <c r="AC136" s="44">
        <f t="shared" si="51"/>
        <v>2.09</v>
      </c>
      <c r="AD136" s="44">
        <f t="shared" si="51"/>
        <v>2.09</v>
      </c>
      <c r="AE136" s="44">
        <f t="shared" si="51"/>
        <v>2.09</v>
      </c>
      <c r="AF136" s="44">
        <f t="shared" si="51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49"/>
        <v>1.1399999999999999</v>
      </c>
      <c r="C137" s="55">
        <v>1.1399999999999999</v>
      </c>
      <c r="D137" s="44">
        <f t="shared" si="50"/>
        <v>1.1399999999999999</v>
      </c>
      <c r="E137" s="44">
        <f t="shared" si="50"/>
        <v>1.1399999999999999</v>
      </c>
      <c r="F137" s="44">
        <f t="shared" si="50"/>
        <v>1.1399999999999999</v>
      </c>
      <c r="G137" s="44">
        <f t="shared" si="50"/>
        <v>1.1399999999999999</v>
      </c>
      <c r="H137" s="44">
        <f t="shared" si="50"/>
        <v>1.1399999999999999</v>
      </c>
      <c r="I137" s="44">
        <f t="shared" si="50"/>
        <v>1.1399999999999999</v>
      </c>
      <c r="J137" s="44">
        <f t="shared" si="50"/>
        <v>1.1399999999999999</v>
      </c>
      <c r="K137" s="44">
        <f t="shared" si="50"/>
        <v>1.1399999999999999</v>
      </c>
      <c r="L137" s="44">
        <f t="shared" si="50"/>
        <v>1.1399999999999999</v>
      </c>
      <c r="M137" s="44">
        <f t="shared" si="50"/>
        <v>1.1399999999999999</v>
      </c>
      <c r="N137" s="44">
        <f t="shared" si="50"/>
        <v>1.1399999999999999</v>
      </c>
      <c r="O137" s="44">
        <f t="shared" si="50"/>
        <v>1.1399999999999999</v>
      </c>
      <c r="P137" s="44">
        <f t="shared" si="50"/>
        <v>1.1399999999999999</v>
      </c>
      <c r="Q137" s="44">
        <f t="shared" si="50"/>
        <v>1.1399999999999999</v>
      </c>
      <c r="R137" s="44">
        <f t="shared" si="50"/>
        <v>1.1399999999999999</v>
      </c>
      <c r="S137" s="44">
        <f t="shared" si="50"/>
        <v>1.1399999999999999</v>
      </c>
      <c r="T137" s="44">
        <f t="shared" si="51"/>
        <v>1.1399999999999999</v>
      </c>
      <c r="U137" s="44">
        <f t="shared" si="51"/>
        <v>1.1399999999999999</v>
      </c>
      <c r="V137" s="44">
        <f t="shared" si="51"/>
        <v>1.1399999999999999</v>
      </c>
      <c r="W137" s="44">
        <f t="shared" si="51"/>
        <v>1.1399999999999999</v>
      </c>
      <c r="X137" s="44">
        <f t="shared" si="51"/>
        <v>1.1399999999999999</v>
      </c>
      <c r="Y137" s="44">
        <f t="shared" si="51"/>
        <v>1.1399999999999999</v>
      </c>
      <c r="Z137" s="44">
        <f t="shared" si="51"/>
        <v>1.1399999999999999</v>
      </c>
      <c r="AA137" s="44">
        <f t="shared" si="51"/>
        <v>1.1399999999999999</v>
      </c>
      <c r="AB137" s="44">
        <f t="shared" si="51"/>
        <v>1.1399999999999999</v>
      </c>
      <c r="AC137" s="44">
        <f t="shared" si="51"/>
        <v>1.1399999999999999</v>
      </c>
      <c r="AD137" s="44">
        <f t="shared" si="51"/>
        <v>1.1399999999999999</v>
      </c>
      <c r="AE137" s="44">
        <f t="shared" si="51"/>
        <v>1.1399999999999999</v>
      </c>
      <c r="AF137" s="44">
        <f t="shared" si="51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49"/>
        <v>0.82</v>
      </c>
      <c r="C138" s="55">
        <v>0.82</v>
      </c>
      <c r="D138" s="44">
        <f t="shared" si="50"/>
        <v>0.82</v>
      </c>
      <c r="E138" s="44">
        <f t="shared" si="50"/>
        <v>0.82</v>
      </c>
      <c r="F138" s="44">
        <f t="shared" si="50"/>
        <v>0.82</v>
      </c>
      <c r="G138" s="44">
        <f t="shared" si="50"/>
        <v>0.82</v>
      </c>
      <c r="H138" s="44">
        <f t="shared" si="50"/>
        <v>0.82</v>
      </c>
      <c r="I138" s="44">
        <f t="shared" si="50"/>
        <v>0.82</v>
      </c>
      <c r="J138" s="44">
        <f t="shared" si="50"/>
        <v>0.82</v>
      </c>
      <c r="K138" s="44">
        <f t="shared" si="50"/>
        <v>0.82</v>
      </c>
      <c r="L138" s="44">
        <f t="shared" si="50"/>
        <v>0.82</v>
      </c>
      <c r="M138" s="44">
        <f t="shared" si="50"/>
        <v>0.82</v>
      </c>
      <c r="N138" s="44">
        <f t="shared" si="50"/>
        <v>0.82</v>
      </c>
      <c r="O138" s="44">
        <f t="shared" si="50"/>
        <v>0.82</v>
      </c>
      <c r="P138" s="44">
        <f t="shared" si="50"/>
        <v>0.82</v>
      </c>
      <c r="Q138" s="44">
        <f t="shared" si="50"/>
        <v>0.82</v>
      </c>
      <c r="R138" s="44">
        <f t="shared" si="50"/>
        <v>0.82</v>
      </c>
      <c r="S138" s="44">
        <f t="shared" si="50"/>
        <v>0.82</v>
      </c>
      <c r="T138" s="44">
        <f t="shared" si="51"/>
        <v>0.82</v>
      </c>
      <c r="U138" s="44">
        <f t="shared" si="51"/>
        <v>0.82</v>
      </c>
      <c r="V138" s="44">
        <f t="shared" si="51"/>
        <v>0.82</v>
      </c>
      <c r="W138" s="44">
        <f t="shared" si="51"/>
        <v>0.82</v>
      </c>
      <c r="X138" s="44">
        <f t="shared" si="51"/>
        <v>0.82</v>
      </c>
      <c r="Y138" s="44">
        <f t="shared" si="51"/>
        <v>0.82</v>
      </c>
      <c r="Z138" s="44">
        <f t="shared" si="51"/>
        <v>0.82</v>
      </c>
      <c r="AA138" s="44">
        <f t="shared" si="51"/>
        <v>0.82</v>
      </c>
      <c r="AB138" s="44">
        <f t="shared" si="51"/>
        <v>0.82</v>
      </c>
      <c r="AC138" s="44">
        <f t="shared" si="51"/>
        <v>0.82</v>
      </c>
      <c r="AD138" s="44">
        <f t="shared" si="51"/>
        <v>0.82</v>
      </c>
      <c r="AE138" s="44">
        <f t="shared" si="51"/>
        <v>0.82</v>
      </c>
      <c r="AF138" s="44">
        <f t="shared" si="51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52">AF140</f>
        <v>2</v>
      </c>
      <c r="C140" s="55">
        <v>2</v>
      </c>
      <c r="D140" s="44">
        <f t="shared" ref="D140:S146" si="53">C140</f>
        <v>2</v>
      </c>
      <c r="E140" s="44">
        <f t="shared" si="53"/>
        <v>2</v>
      </c>
      <c r="F140" s="44">
        <f t="shared" si="53"/>
        <v>2</v>
      </c>
      <c r="G140" s="44">
        <f t="shared" si="53"/>
        <v>2</v>
      </c>
      <c r="H140" s="44">
        <f t="shared" si="53"/>
        <v>2</v>
      </c>
      <c r="I140" s="44">
        <f t="shared" si="53"/>
        <v>2</v>
      </c>
      <c r="J140" s="44">
        <f t="shared" si="53"/>
        <v>2</v>
      </c>
      <c r="K140" s="44">
        <f t="shared" si="53"/>
        <v>2</v>
      </c>
      <c r="L140" s="44">
        <f t="shared" si="53"/>
        <v>2</v>
      </c>
      <c r="M140" s="44">
        <f t="shared" si="53"/>
        <v>2</v>
      </c>
      <c r="N140" s="44">
        <f t="shared" si="53"/>
        <v>2</v>
      </c>
      <c r="O140" s="44">
        <f t="shared" si="53"/>
        <v>2</v>
      </c>
      <c r="P140" s="44">
        <f t="shared" si="53"/>
        <v>2</v>
      </c>
      <c r="Q140" s="44">
        <f t="shared" si="53"/>
        <v>2</v>
      </c>
      <c r="R140" s="44">
        <f t="shared" si="53"/>
        <v>2</v>
      </c>
      <c r="S140" s="44">
        <f t="shared" si="53"/>
        <v>2</v>
      </c>
      <c r="T140" s="44">
        <f t="shared" ref="T140:AF146" si="54">S140</f>
        <v>2</v>
      </c>
      <c r="U140" s="44">
        <f t="shared" si="54"/>
        <v>2</v>
      </c>
      <c r="V140" s="44">
        <f t="shared" si="54"/>
        <v>2</v>
      </c>
      <c r="W140" s="44">
        <f t="shared" si="54"/>
        <v>2</v>
      </c>
      <c r="X140" s="44">
        <f t="shared" si="54"/>
        <v>2</v>
      </c>
      <c r="Y140" s="44">
        <f t="shared" si="54"/>
        <v>2</v>
      </c>
      <c r="Z140" s="44">
        <f t="shared" si="54"/>
        <v>2</v>
      </c>
      <c r="AA140" s="44">
        <f t="shared" si="54"/>
        <v>2</v>
      </c>
      <c r="AB140" s="44">
        <f t="shared" si="54"/>
        <v>2</v>
      </c>
      <c r="AC140" s="44">
        <f t="shared" si="54"/>
        <v>2</v>
      </c>
      <c r="AD140" s="44">
        <f t="shared" si="54"/>
        <v>2</v>
      </c>
      <c r="AE140" s="44">
        <f t="shared" si="54"/>
        <v>2</v>
      </c>
      <c r="AF140" s="44">
        <f t="shared" si="54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52"/>
        <v>5.61</v>
      </c>
      <c r="C141" s="55">
        <v>5.61</v>
      </c>
      <c r="D141" s="44">
        <f t="shared" si="53"/>
        <v>5.61</v>
      </c>
      <c r="E141" s="44">
        <f t="shared" si="53"/>
        <v>5.61</v>
      </c>
      <c r="F141" s="44">
        <f t="shared" si="53"/>
        <v>5.61</v>
      </c>
      <c r="G141" s="44">
        <f t="shared" si="53"/>
        <v>5.61</v>
      </c>
      <c r="H141" s="44">
        <f t="shared" si="53"/>
        <v>5.61</v>
      </c>
      <c r="I141" s="44">
        <f t="shared" si="53"/>
        <v>5.61</v>
      </c>
      <c r="J141" s="44">
        <f t="shared" si="53"/>
        <v>5.61</v>
      </c>
      <c r="K141" s="44">
        <f t="shared" si="53"/>
        <v>5.61</v>
      </c>
      <c r="L141" s="44">
        <f t="shared" si="53"/>
        <v>5.61</v>
      </c>
      <c r="M141" s="44">
        <f t="shared" si="53"/>
        <v>5.61</v>
      </c>
      <c r="N141" s="44">
        <f t="shared" si="53"/>
        <v>5.61</v>
      </c>
      <c r="O141" s="44">
        <f t="shared" si="53"/>
        <v>5.61</v>
      </c>
      <c r="P141" s="44">
        <f t="shared" si="53"/>
        <v>5.61</v>
      </c>
      <c r="Q141" s="44">
        <f t="shared" si="53"/>
        <v>5.61</v>
      </c>
      <c r="R141" s="44">
        <f t="shared" si="53"/>
        <v>5.61</v>
      </c>
      <c r="S141" s="44">
        <f t="shared" si="53"/>
        <v>5.61</v>
      </c>
      <c r="T141" s="44">
        <f t="shared" si="54"/>
        <v>5.61</v>
      </c>
      <c r="U141" s="44">
        <f t="shared" si="54"/>
        <v>5.61</v>
      </c>
      <c r="V141" s="44">
        <f t="shared" si="54"/>
        <v>5.61</v>
      </c>
      <c r="W141" s="44">
        <f t="shared" si="54"/>
        <v>5.61</v>
      </c>
      <c r="X141" s="44">
        <f t="shared" si="54"/>
        <v>5.61</v>
      </c>
      <c r="Y141" s="44">
        <f t="shared" si="54"/>
        <v>5.61</v>
      </c>
      <c r="Z141" s="44">
        <f t="shared" si="54"/>
        <v>5.61</v>
      </c>
      <c r="AA141" s="44">
        <f t="shared" si="54"/>
        <v>5.61</v>
      </c>
      <c r="AB141" s="44">
        <f t="shared" si="54"/>
        <v>5.61</v>
      </c>
      <c r="AC141" s="44">
        <f t="shared" si="54"/>
        <v>5.61</v>
      </c>
      <c r="AD141" s="44">
        <f t="shared" si="54"/>
        <v>5.61</v>
      </c>
      <c r="AE141" s="44">
        <f t="shared" si="54"/>
        <v>5.61</v>
      </c>
      <c r="AF141" s="44">
        <f t="shared" si="54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52"/>
        <v>1.25</v>
      </c>
      <c r="C142" s="55">
        <v>1.25</v>
      </c>
      <c r="D142" s="44">
        <f t="shared" si="53"/>
        <v>1.25</v>
      </c>
      <c r="E142" s="44">
        <f t="shared" si="53"/>
        <v>1.25</v>
      </c>
      <c r="F142" s="44">
        <f t="shared" si="53"/>
        <v>1.25</v>
      </c>
      <c r="G142" s="44">
        <f t="shared" si="53"/>
        <v>1.25</v>
      </c>
      <c r="H142" s="44">
        <f t="shared" si="53"/>
        <v>1.25</v>
      </c>
      <c r="I142" s="44">
        <f t="shared" si="53"/>
        <v>1.25</v>
      </c>
      <c r="J142" s="44">
        <f t="shared" si="53"/>
        <v>1.25</v>
      </c>
      <c r="K142" s="44">
        <f t="shared" si="53"/>
        <v>1.25</v>
      </c>
      <c r="L142" s="44">
        <f t="shared" si="53"/>
        <v>1.25</v>
      </c>
      <c r="M142" s="44">
        <f t="shared" si="53"/>
        <v>1.25</v>
      </c>
      <c r="N142" s="44">
        <f t="shared" si="53"/>
        <v>1.25</v>
      </c>
      <c r="O142" s="44">
        <f t="shared" si="53"/>
        <v>1.25</v>
      </c>
      <c r="P142" s="44">
        <f t="shared" si="53"/>
        <v>1.25</v>
      </c>
      <c r="Q142" s="44">
        <f t="shared" si="53"/>
        <v>1.25</v>
      </c>
      <c r="R142" s="44">
        <f t="shared" si="53"/>
        <v>1.25</v>
      </c>
      <c r="S142" s="44">
        <f t="shared" si="53"/>
        <v>1.25</v>
      </c>
      <c r="T142" s="44">
        <f t="shared" si="54"/>
        <v>1.25</v>
      </c>
      <c r="U142" s="44">
        <f t="shared" si="54"/>
        <v>1.25</v>
      </c>
      <c r="V142" s="44">
        <f t="shared" si="54"/>
        <v>1.25</v>
      </c>
      <c r="W142" s="44">
        <f t="shared" si="54"/>
        <v>1.25</v>
      </c>
      <c r="X142" s="44">
        <f t="shared" si="54"/>
        <v>1.25</v>
      </c>
      <c r="Y142" s="44">
        <f t="shared" si="54"/>
        <v>1.25</v>
      </c>
      <c r="Z142" s="44">
        <f t="shared" si="54"/>
        <v>1.25</v>
      </c>
      <c r="AA142" s="44">
        <f t="shared" si="54"/>
        <v>1.25</v>
      </c>
      <c r="AB142" s="44">
        <f t="shared" si="54"/>
        <v>1.25</v>
      </c>
      <c r="AC142" s="44">
        <f t="shared" si="54"/>
        <v>1.25</v>
      </c>
      <c r="AD142" s="44">
        <f t="shared" si="54"/>
        <v>1.25</v>
      </c>
      <c r="AE142" s="44">
        <f t="shared" si="54"/>
        <v>1.25</v>
      </c>
      <c r="AF142" s="44">
        <f t="shared" si="54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52"/>
        <v>1.25</v>
      </c>
      <c r="C143" s="55">
        <v>1.25</v>
      </c>
      <c r="D143" s="44">
        <f t="shared" si="53"/>
        <v>1.25</v>
      </c>
      <c r="E143" s="44">
        <f t="shared" si="53"/>
        <v>1.25</v>
      </c>
      <c r="F143" s="44">
        <f t="shared" si="53"/>
        <v>1.25</v>
      </c>
      <c r="G143" s="44">
        <f t="shared" si="53"/>
        <v>1.25</v>
      </c>
      <c r="H143" s="44">
        <f t="shared" si="53"/>
        <v>1.25</v>
      </c>
      <c r="I143" s="44">
        <f t="shared" si="53"/>
        <v>1.25</v>
      </c>
      <c r="J143" s="44">
        <f t="shared" si="53"/>
        <v>1.25</v>
      </c>
      <c r="K143" s="44">
        <f t="shared" si="53"/>
        <v>1.25</v>
      </c>
      <c r="L143" s="44">
        <f t="shared" si="53"/>
        <v>1.25</v>
      </c>
      <c r="M143" s="44">
        <f t="shared" si="53"/>
        <v>1.25</v>
      </c>
      <c r="N143" s="44">
        <f t="shared" si="53"/>
        <v>1.25</v>
      </c>
      <c r="O143" s="44">
        <f t="shared" si="53"/>
        <v>1.25</v>
      </c>
      <c r="P143" s="44">
        <f t="shared" si="53"/>
        <v>1.25</v>
      </c>
      <c r="Q143" s="44">
        <f t="shared" si="53"/>
        <v>1.25</v>
      </c>
      <c r="R143" s="44">
        <f t="shared" si="53"/>
        <v>1.25</v>
      </c>
      <c r="S143" s="44">
        <f t="shared" si="53"/>
        <v>1.25</v>
      </c>
      <c r="T143" s="44">
        <f t="shared" si="54"/>
        <v>1.25</v>
      </c>
      <c r="U143" s="44">
        <f t="shared" si="54"/>
        <v>1.25</v>
      </c>
      <c r="V143" s="44">
        <f t="shared" si="54"/>
        <v>1.25</v>
      </c>
      <c r="W143" s="44">
        <f t="shared" si="54"/>
        <v>1.25</v>
      </c>
      <c r="X143" s="44">
        <f t="shared" si="54"/>
        <v>1.25</v>
      </c>
      <c r="Y143" s="44">
        <f t="shared" si="54"/>
        <v>1.25</v>
      </c>
      <c r="Z143" s="44">
        <f t="shared" si="54"/>
        <v>1.25</v>
      </c>
      <c r="AA143" s="44">
        <f t="shared" si="54"/>
        <v>1.25</v>
      </c>
      <c r="AB143" s="44">
        <f t="shared" si="54"/>
        <v>1.25</v>
      </c>
      <c r="AC143" s="44">
        <f t="shared" si="54"/>
        <v>1.25</v>
      </c>
      <c r="AD143" s="44">
        <f t="shared" si="54"/>
        <v>1.25</v>
      </c>
      <c r="AE143" s="44">
        <f t="shared" si="54"/>
        <v>1.25</v>
      </c>
      <c r="AF143" s="44">
        <f t="shared" si="54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52"/>
        <v>1.46</v>
      </c>
      <c r="C144" s="55">
        <v>1.46</v>
      </c>
      <c r="D144" s="44">
        <f t="shared" si="53"/>
        <v>1.46</v>
      </c>
      <c r="E144" s="44">
        <f t="shared" si="53"/>
        <v>1.46</v>
      </c>
      <c r="F144" s="44">
        <f t="shared" si="53"/>
        <v>1.46</v>
      </c>
      <c r="G144" s="44">
        <f t="shared" si="53"/>
        <v>1.46</v>
      </c>
      <c r="H144" s="44">
        <f t="shared" si="53"/>
        <v>1.46</v>
      </c>
      <c r="I144" s="44">
        <f t="shared" si="53"/>
        <v>1.46</v>
      </c>
      <c r="J144" s="44">
        <f t="shared" si="53"/>
        <v>1.46</v>
      </c>
      <c r="K144" s="44">
        <f t="shared" si="53"/>
        <v>1.46</v>
      </c>
      <c r="L144" s="44">
        <f t="shared" si="53"/>
        <v>1.46</v>
      </c>
      <c r="M144" s="44">
        <f t="shared" si="53"/>
        <v>1.46</v>
      </c>
      <c r="N144" s="44">
        <f t="shared" si="53"/>
        <v>1.46</v>
      </c>
      <c r="O144" s="44">
        <f t="shared" si="53"/>
        <v>1.46</v>
      </c>
      <c r="P144" s="44">
        <f t="shared" si="53"/>
        <v>1.46</v>
      </c>
      <c r="Q144" s="44">
        <f t="shared" si="53"/>
        <v>1.46</v>
      </c>
      <c r="R144" s="44">
        <f t="shared" si="53"/>
        <v>1.46</v>
      </c>
      <c r="S144" s="44">
        <f t="shared" si="53"/>
        <v>1.46</v>
      </c>
      <c r="T144" s="44">
        <f t="shared" si="54"/>
        <v>1.46</v>
      </c>
      <c r="U144" s="44">
        <f t="shared" si="54"/>
        <v>1.46</v>
      </c>
      <c r="V144" s="44">
        <f t="shared" si="54"/>
        <v>1.46</v>
      </c>
      <c r="W144" s="44">
        <f t="shared" si="54"/>
        <v>1.46</v>
      </c>
      <c r="X144" s="44">
        <f t="shared" si="54"/>
        <v>1.46</v>
      </c>
      <c r="Y144" s="44">
        <f t="shared" si="54"/>
        <v>1.46</v>
      </c>
      <c r="Z144" s="44">
        <f t="shared" si="54"/>
        <v>1.46</v>
      </c>
      <c r="AA144" s="44">
        <f t="shared" si="54"/>
        <v>1.46</v>
      </c>
      <c r="AB144" s="44">
        <f t="shared" si="54"/>
        <v>1.46</v>
      </c>
      <c r="AC144" s="44">
        <f t="shared" si="54"/>
        <v>1.46</v>
      </c>
      <c r="AD144" s="44">
        <f t="shared" si="54"/>
        <v>1.46</v>
      </c>
      <c r="AE144" s="44">
        <f t="shared" si="54"/>
        <v>1.46</v>
      </c>
      <c r="AF144" s="44">
        <f t="shared" si="54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52"/>
        <v>3</v>
      </c>
      <c r="C145" s="55">
        <v>3</v>
      </c>
      <c r="D145" s="44">
        <f t="shared" si="53"/>
        <v>3</v>
      </c>
      <c r="E145" s="44">
        <f t="shared" si="53"/>
        <v>3</v>
      </c>
      <c r="F145" s="44">
        <f t="shared" si="53"/>
        <v>3</v>
      </c>
      <c r="G145" s="44">
        <f t="shared" si="53"/>
        <v>3</v>
      </c>
      <c r="H145" s="44">
        <f t="shared" si="53"/>
        <v>3</v>
      </c>
      <c r="I145" s="44">
        <f t="shared" si="53"/>
        <v>3</v>
      </c>
      <c r="J145" s="44">
        <f t="shared" si="53"/>
        <v>3</v>
      </c>
      <c r="K145" s="44">
        <f t="shared" si="53"/>
        <v>3</v>
      </c>
      <c r="L145" s="44">
        <f t="shared" si="53"/>
        <v>3</v>
      </c>
      <c r="M145" s="44">
        <f t="shared" si="53"/>
        <v>3</v>
      </c>
      <c r="N145" s="44">
        <f t="shared" si="53"/>
        <v>3</v>
      </c>
      <c r="O145" s="44">
        <f t="shared" si="53"/>
        <v>3</v>
      </c>
      <c r="P145" s="44">
        <f t="shared" si="53"/>
        <v>3</v>
      </c>
      <c r="Q145" s="44">
        <f t="shared" si="53"/>
        <v>3</v>
      </c>
      <c r="R145" s="44">
        <f t="shared" si="53"/>
        <v>3</v>
      </c>
      <c r="S145" s="44">
        <f t="shared" si="53"/>
        <v>3</v>
      </c>
      <c r="T145" s="44">
        <f t="shared" si="54"/>
        <v>3</v>
      </c>
      <c r="U145" s="44">
        <f t="shared" si="54"/>
        <v>3</v>
      </c>
      <c r="V145" s="44">
        <f t="shared" si="54"/>
        <v>3</v>
      </c>
      <c r="W145" s="44">
        <f t="shared" si="54"/>
        <v>3</v>
      </c>
      <c r="X145" s="44">
        <f t="shared" si="54"/>
        <v>3</v>
      </c>
      <c r="Y145" s="44">
        <f t="shared" si="54"/>
        <v>3</v>
      </c>
      <c r="Z145" s="44">
        <f t="shared" si="54"/>
        <v>3</v>
      </c>
      <c r="AA145" s="44">
        <f t="shared" si="54"/>
        <v>3</v>
      </c>
      <c r="AB145" s="44">
        <f t="shared" si="54"/>
        <v>3</v>
      </c>
      <c r="AC145" s="44">
        <f t="shared" si="54"/>
        <v>3</v>
      </c>
      <c r="AD145" s="44">
        <f t="shared" si="54"/>
        <v>3</v>
      </c>
      <c r="AE145" s="44">
        <f t="shared" si="54"/>
        <v>3</v>
      </c>
      <c r="AF145" s="44">
        <f t="shared" si="54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52"/>
        <v>3.3</v>
      </c>
      <c r="C146" s="55">
        <v>3.3</v>
      </c>
      <c r="D146" s="44">
        <f t="shared" si="53"/>
        <v>3.3</v>
      </c>
      <c r="E146" s="44">
        <f t="shared" si="53"/>
        <v>3.3</v>
      </c>
      <c r="F146" s="44">
        <f t="shared" si="53"/>
        <v>3.3</v>
      </c>
      <c r="G146" s="44">
        <f t="shared" si="53"/>
        <v>3.3</v>
      </c>
      <c r="H146" s="44">
        <f t="shared" si="53"/>
        <v>3.3</v>
      </c>
      <c r="I146" s="44">
        <f t="shared" si="53"/>
        <v>3.3</v>
      </c>
      <c r="J146" s="44">
        <f t="shared" si="53"/>
        <v>3.3</v>
      </c>
      <c r="K146" s="44">
        <f t="shared" si="53"/>
        <v>3.3</v>
      </c>
      <c r="L146" s="44">
        <f t="shared" si="53"/>
        <v>3.3</v>
      </c>
      <c r="M146" s="44">
        <f t="shared" si="53"/>
        <v>3.3</v>
      </c>
      <c r="N146" s="44">
        <f t="shared" si="53"/>
        <v>3.3</v>
      </c>
      <c r="O146" s="44">
        <f t="shared" si="53"/>
        <v>3.3</v>
      </c>
      <c r="P146" s="44">
        <f t="shared" si="53"/>
        <v>3.3</v>
      </c>
      <c r="Q146" s="44">
        <f t="shared" si="53"/>
        <v>3.3</v>
      </c>
      <c r="R146" s="44">
        <f t="shared" si="53"/>
        <v>3.3</v>
      </c>
      <c r="S146" s="44">
        <f t="shared" si="53"/>
        <v>3.3</v>
      </c>
      <c r="T146" s="44">
        <f t="shared" si="54"/>
        <v>3.3</v>
      </c>
      <c r="U146" s="44">
        <f t="shared" si="54"/>
        <v>3.3</v>
      </c>
      <c r="V146" s="44">
        <f t="shared" si="54"/>
        <v>3.3</v>
      </c>
      <c r="W146" s="44">
        <f t="shared" si="54"/>
        <v>3.3</v>
      </c>
      <c r="X146" s="44">
        <f t="shared" si="54"/>
        <v>3.3</v>
      </c>
      <c r="Y146" s="44">
        <f t="shared" si="54"/>
        <v>3.3</v>
      </c>
      <c r="Z146" s="44">
        <f t="shared" si="54"/>
        <v>3.3</v>
      </c>
      <c r="AA146" s="44">
        <f t="shared" si="54"/>
        <v>3.3</v>
      </c>
      <c r="AB146" s="44">
        <f t="shared" si="54"/>
        <v>3.3</v>
      </c>
      <c r="AC146" s="44">
        <f t="shared" si="54"/>
        <v>3.3</v>
      </c>
      <c r="AD146" s="44">
        <f t="shared" si="54"/>
        <v>3.3</v>
      </c>
      <c r="AE146" s="44">
        <f t="shared" si="54"/>
        <v>3.3</v>
      </c>
      <c r="AF146" s="44">
        <f t="shared" si="54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55">C148</f>
        <v>1.76</v>
      </c>
      <c r="E148" s="44">
        <f t="shared" si="55"/>
        <v>1.76</v>
      </c>
      <c r="F148" s="44">
        <f t="shared" si="55"/>
        <v>1.76</v>
      </c>
      <c r="G148" s="44">
        <f t="shared" si="55"/>
        <v>1.76</v>
      </c>
      <c r="H148" s="44">
        <f t="shared" si="55"/>
        <v>1.76</v>
      </c>
      <c r="I148" s="44">
        <f t="shared" si="55"/>
        <v>1.76</v>
      </c>
      <c r="J148" s="44">
        <f t="shared" si="55"/>
        <v>1.76</v>
      </c>
      <c r="K148" s="44">
        <f t="shared" si="55"/>
        <v>1.76</v>
      </c>
      <c r="L148" s="44">
        <f t="shared" si="55"/>
        <v>1.76</v>
      </c>
      <c r="M148" s="44">
        <f t="shared" si="55"/>
        <v>1.76</v>
      </c>
      <c r="N148" s="44">
        <f t="shared" si="55"/>
        <v>1.76</v>
      </c>
      <c r="O148" s="44">
        <f t="shared" si="55"/>
        <v>1.76</v>
      </c>
      <c r="P148" s="44">
        <f t="shared" si="55"/>
        <v>1.76</v>
      </c>
      <c r="Q148" s="44">
        <f t="shared" si="55"/>
        <v>1.76</v>
      </c>
      <c r="R148" s="44">
        <f t="shared" si="55"/>
        <v>1.76</v>
      </c>
      <c r="S148" s="44">
        <f t="shared" si="55"/>
        <v>1.76</v>
      </c>
      <c r="T148" s="44">
        <f t="shared" ref="T148:AF149" si="56">S148</f>
        <v>1.76</v>
      </c>
      <c r="U148" s="44">
        <f t="shared" si="56"/>
        <v>1.76</v>
      </c>
      <c r="V148" s="44">
        <f t="shared" si="56"/>
        <v>1.76</v>
      </c>
      <c r="W148" s="44">
        <f t="shared" si="56"/>
        <v>1.76</v>
      </c>
      <c r="X148" s="44">
        <f t="shared" si="56"/>
        <v>1.76</v>
      </c>
      <c r="Y148" s="44">
        <f t="shared" si="56"/>
        <v>1.76</v>
      </c>
      <c r="Z148" s="44">
        <f t="shared" si="56"/>
        <v>1.76</v>
      </c>
      <c r="AA148" s="44">
        <f t="shared" si="56"/>
        <v>1.76</v>
      </c>
      <c r="AB148" s="44">
        <f t="shared" si="56"/>
        <v>1.76</v>
      </c>
      <c r="AC148" s="44">
        <f t="shared" si="56"/>
        <v>1.76</v>
      </c>
      <c r="AD148" s="44">
        <f t="shared" si="56"/>
        <v>1.76</v>
      </c>
      <c r="AE148" s="44">
        <f t="shared" si="56"/>
        <v>1.76</v>
      </c>
      <c r="AF148" s="44">
        <f t="shared" si="56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55"/>
        <v>0</v>
      </c>
      <c r="E149" s="44">
        <f t="shared" si="55"/>
        <v>0</v>
      </c>
      <c r="F149" s="44">
        <f t="shared" si="55"/>
        <v>0</v>
      </c>
      <c r="G149" s="44">
        <f t="shared" si="55"/>
        <v>0</v>
      </c>
      <c r="H149" s="44">
        <f t="shared" si="55"/>
        <v>0</v>
      </c>
      <c r="I149" s="44">
        <f t="shared" si="55"/>
        <v>0</v>
      </c>
      <c r="J149" s="44">
        <f t="shared" si="55"/>
        <v>0</v>
      </c>
      <c r="K149" s="44">
        <f t="shared" si="55"/>
        <v>0</v>
      </c>
      <c r="L149" s="44">
        <f t="shared" si="55"/>
        <v>0</v>
      </c>
      <c r="M149" s="44">
        <f t="shared" si="55"/>
        <v>0</v>
      </c>
      <c r="N149" s="44">
        <f t="shared" si="55"/>
        <v>0</v>
      </c>
      <c r="O149" s="44">
        <f t="shared" si="55"/>
        <v>0</v>
      </c>
      <c r="P149" s="44">
        <f t="shared" si="55"/>
        <v>0</v>
      </c>
      <c r="Q149" s="44">
        <f t="shared" si="55"/>
        <v>0</v>
      </c>
      <c r="R149" s="44">
        <f t="shared" si="55"/>
        <v>0</v>
      </c>
      <c r="S149" s="44">
        <f t="shared" si="55"/>
        <v>0</v>
      </c>
      <c r="T149" s="44">
        <f t="shared" si="56"/>
        <v>0</v>
      </c>
      <c r="U149" s="44">
        <f t="shared" si="56"/>
        <v>0</v>
      </c>
      <c r="V149" s="44">
        <f t="shared" si="56"/>
        <v>0</v>
      </c>
      <c r="W149" s="44">
        <f t="shared" si="56"/>
        <v>0</v>
      </c>
      <c r="X149" s="44">
        <f t="shared" si="56"/>
        <v>0</v>
      </c>
      <c r="Y149" s="44">
        <f t="shared" si="56"/>
        <v>0</v>
      </c>
      <c r="Z149" s="44">
        <f t="shared" si="56"/>
        <v>0</v>
      </c>
      <c r="AA149" s="44">
        <f t="shared" si="56"/>
        <v>0</v>
      </c>
      <c r="AB149" s="44">
        <f t="shared" si="56"/>
        <v>0</v>
      </c>
      <c r="AC149" s="44">
        <f t="shared" si="56"/>
        <v>0</v>
      </c>
      <c r="AD149" s="44">
        <f t="shared" si="56"/>
        <v>0</v>
      </c>
      <c r="AE149" s="44">
        <f t="shared" si="56"/>
        <v>0</v>
      </c>
      <c r="AF149" s="44">
        <f t="shared" si="56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57">C151</f>
        <v>0.1</v>
      </c>
      <c r="E151" s="44">
        <f t="shared" si="57"/>
        <v>0.1</v>
      </c>
      <c r="F151" s="44">
        <f t="shared" si="57"/>
        <v>0.1</v>
      </c>
      <c r="G151" s="44">
        <f t="shared" si="57"/>
        <v>0.1</v>
      </c>
      <c r="H151" s="44">
        <f t="shared" si="57"/>
        <v>0.1</v>
      </c>
      <c r="I151" s="44">
        <f t="shared" si="57"/>
        <v>0.1</v>
      </c>
      <c r="J151" s="44">
        <f t="shared" si="57"/>
        <v>0.1</v>
      </c>
      <c r="K151" s="44">
        <f t="shared" si="57"/>
        <v>0.1</v>
      </c>
      <c r="L151" s="44">
        <f t="shared" si="57"/>
        <v>0.1</v>
      </c>
      <c r="M151" s="44">
        <f t="shared" si="57"/>
        <v>0.1</v>
      </c>
      <c r="N151" s="44">
        <f t="shared" si="57"/>
        <v>0.1</v>
      </c>
      <c r="O151" s="44">
        <f t="shared" si="57"/>
        <v>0.1</v>
      </c>
      <c r="P151" s="44">
        <f t="shared" si="57"/>
        <v>0.1</v>
      </c>
      <c r="Q151" s="44">
        <f t="shared" si="57"/>
        <v>0.1</v>
      </c>
      <c r="R151" s="44">
        <f t="shared" si="57"/>
        <v>0.1</v>
      </c>
      <c r="S151" s="44">
        <f t="shared" si="57"/>
        <v>0.1</v>
      </c>
      <c r="T151" s="44">
        <f t="shared" ref="T151:AF154" si="58">S151</f>
        <v>0.1</v>
      </c>
      <c r="U151" s="44">
        <f t="shared" si="58"/>
        <v>0.1</v>
      </c>
      <c r="V151" s="44">
        <f t="shared" si="58"/>
        <v>0.1</v>
      </c>
      <c r="W151" s="44">
        <f t="shared" si="58"/>
        <v>0.1</v>
      </c>
      <c r="X151" s="44">
        <f t="shared" si="58"/>
        <v>0.1</v>
      </c>
      <c r="Y151" s="44">
        <f t="shared" si="58"/>
        <v>0.1</v>
      </c>
      <c r="Z151" s="44">
        <f t="shared" si="58"/>
        <v>0.1</v>
      </c>
      <c r="AA151" s="44">
        <f t="shared" si="58"/>
        <v>0.1</v>
      </c>
      <c r="AB151" s="44">
        <f t="shared" si="58"/>
        <v>0.1</v>
      </c>
      <c r="AC151" s="44">
        <f t="shared" si="58"/>
        <v>0.1</v>
      </c>
      <c r="AD151" s="44">
        <f t="shared" si="58"/>
        <v>0.1</v>
      </c>
      <c r="AE151" s="44">
        <f t="shared" si="58"/>
        <v>0.1</v>
      </c>
      <c r="AF151" s="44">
        <f t="shared" si="58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57"/>
        <v>2.0499999999999998</v>
      </c>
      <c r="E152" s="44">
        <f t="shared" si="57"/>
        <v>2.0499999999999998</v>
      </c>
      <c r="F152" s="44">
        <f t="shared" si="57"/>
        <v>2.0499999999999998</v>
      </c>
      <c r="G152" s="44">
        <f t="shared" si="57"/>
        <v>2.0499999999999998</v>
      </c>
      <c r="H152" s="44">
        <f t="shared" si="57"/>
        <v>2.0499999999999998</v>
      </c>
      <c r="I152" s="44">
        <f t="shared" si="57"/>
        <v>2.0499999999999998</v>
      </c>
      <c r="J152" s="44">
        <f t="shared" si="57"/>
        <v>2.0499999999999998</v>
      </c>
      <c r="K152" s="44">
        <f t="shared" si="57"/>
        <v>2.0499999999999998</v>
      </c>
      <c r="L152" s="44">
        <f t="shared" si="57"/>
        <v>2.0499999999999998</v>
      </c>
      <c r="M152" s="44">
        <f t="shared" si="57"/>
        <v>2.0499999999999998</v>
      </c>
      <c r="N152" s="44">
        <f t="shared" si="57"/>
        <v>2.0499999999999998</v>
      </c>
      <c r="O152" s="44">
        <f t="shared" si="57"/>
        <v>2.0499999999999998</v>
      </c>
      <c r="P152" s="44">
        <f t="shared" si="57"/>
        <v>2.0499999999999998</v>
      </c>
      <c r="Q152" s="44">
        <f t="shared" si="57"/>
        <v>2.0499999999999998</v>
      </c>
      <c r="R152" s="44">
        <f t="shared" si="57"/>
        <v>2.0499999999999998</v>
      </c>
      <c r="S152" s="44">
        <f t="shared" si="57"/>
        <v>2.0499999999999998</v>
      </c>
      <c r="T152" s="44">
        <f t="shared" si="58"/>
        <v>2.0499999999999998</v>
      </c>
      <c r="U152" s="44">
        <f t="shared" si="58"/>
        <v>2.0499999999999998</v>
      </c>
      <c r="V152" s="44">
        <f t="shared" si="58"/>
        <v>2.0499999999999998</v>
      </c>
      <c r="W152" s="44">
        <f t="shared" si="58"/>
        <v>2.0499999999999998</v>
      </c>
      <c r="X152" s="44">
        <f t="shared" si="58"/>
        <v>2.0499999999999998</v>
      </c>
      <c r="Y152" s="44">
        <f t="shared" si="58"/>
        <v>2.0499999999999998</v>
      </c>
      <c r="Z152" s="44">
        <f t="shared" si="58"/>
        <v>2.0499999999999998</v>
      </c>
      <c r="AA152" s="44">
        <f t="shared" si="58"/>
        <v>2.0499999999999998</v>
      </c>
      <c r="AB152" s="44">
        <f t="shared" si="58"/>
        <v>2.0499999999999998</v>
      </c>
      <c r="AC152" s="44">
        <f t="shared" si="58"/>
        <v>2.0499999999999998</v>
      </c>
      <c r="AD152" s="44">
        <f t="shared" si="58"/>
        <v>2.0499999999999998</v>
      </c>
      <c r="AE152" s="44">
        <f t="shared" si="58"/>
        <v>2.0499999999999998</v>
      </c>
      <c r="AF152" s="44">
        <f t="shared" si="58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57"/>
        <v>2.7</v>
      </c>
      <c r="E153" s="44">
        <f t="shared" si="57"/>
        <v>2.7</v>
      </c>
      <c r="F153" s="44">
        <f t="shared" si="57"/>
        <v>2.7</v>
      </c>
      <c r="G153" s="44">
        <f t="shared" si="57"/>
        <v>2.7</v>
      </c>
      <c r="H153" s="44">
        <f t="shared" si="57"/>
        <v>2.7</v>
      </c>
      <c r="I153" s="44">
        <f t="shared" si="57"/>
        <v>2.7</v>
      </c>
      <c r="J153" s="44">
        <f t="shared" si="57"/>
        <v>2.7</v>
      </c>
      <c r="K153" s="44">
        <f t="shared" si="57"/>
        <v>2.7</v>
      </c>
      <c r="L153" s="44">
        <f t="shared" si="57"/>
        <v>2.7</v>
      </c>
      <c r="M153" s="44">
        <f t="shared" si="57"/>
        <v>2.7</v>
      </c>
      <c r="N153" s="44">
        <f t="shared" si="57"/>
        <v>2.7</v>
      </c>
      <c r="O153" s="44">
        <f t="shared" si="57"/>
        <v>2.7</v>
      </c>
      <c r="P153" s="44">
        <f t="shared" si="57"/>
        <v>2.7</v>
      </c>
      <c r="Q153" s="44">
        <f t="shared" si="57"/>
        <v>2.7</v>
      </c>
      <c r="R153" s="44">
        <f t="shared" si="57"/>
        <v>2.7</v>
      </c>
      <c r="S153" s="44">
        <f t="shared" si="57"/>
        <v>2.7</v>
      </c>
      <c r="T153" s="44">
        <f t="shared" si="58"/>
        <v>2.7</v>
      </c>
      <c r="U153" s="44">
        <f t="shared" si="58"/>
        <v>2.7</v>
      </c>
      <c r="V153" s="44">
        <f t="shared" si="58"/>
        <v>2.7</v>
      </c>
      <c r="W153" s="44">
        <f t="shared" si="58"/>
        <v>2.7</v>
      </c>
      <c r="X153" s="44">
        <f t="shared" si="58"/>
        <v>2.7</v>
      </c>
      <c r="Y153" s="44">
        <f t="shared" si="58"/>
        <v>2.7</v>
      </c>
      <c r="Z153" s="44">
        <f t="shared" si="58"/>
        <v>2.7</v>
      </c>
      <c r="AA153" s="44">
        <f t="shared" si="58"/>
        <v>2.7</v>
      </c>
      <c r="AB153" s="44">
        <f t="shared" si="58"/>
        <v>2.7</v>
      </c>
      <c r="AC153" s="44">
        <f t="shared" si="58"/>
        <v>2.7</v>
      </c>
      <c r="AD153" s="44">
        <f t="shared" si="58"/>
        <v>2.7</v>
      </c>
      <c r="AE153" s="44">
        <f t="shared" si="58"/>
        <v>2.7</v>
      </c>
      <c r="AF153" s="44">
        <f t="shared" si="58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57"/>
        <v>2.15</v>
      </c>
      <c r="E154" s="44">
        <f t="shared" si="57"/>
        <v>2.15</v>
      </c>
      <c r="F154" s="44">
        <f t="shared" si="57"/>
        <v>2.15</v>
      </c>
      <c r="G154" s="44">
        <f t="shared" si="57"/>
        <v>2.15</v>
      </c>
      <c r="H154" s="44">
        <f t="shared" si="57"/>
        <v>2.15</v>
      </c>
      <c r="I154" s="44">
        <f t="shared" si="57"/>
        <v>2.15</v>
      </c>
      <c r="J154" s="44">
        <f t="shared" si="57"/>
        <v>2.15</v>
      </c>
      <c r="K154" s="44">
        <f t="shared" si="57"/>
        <v>2.15</v>
      </c>
      <c r="L154" s="44">
        <f t="shared" si="57"/>
        <v>2.15</v>
      </c>
      <c r="M154" s="44">
        <f t="shared" si="57"/>
        <v>2.15</v>
      </c>
      <c r="N154" s="44">
        <f t="shared" si="57"/>
        <v>2.15</v>
      </c>
      <c r="O154" s="44">
        <f t="shared" si="57"/>
        <v>2.15</v>
      </c>
      <c r="P154" s="44">
        <f t="shared" si="57"/>
        <v>2.15</v>
      </c>
      <c r="Q154" s="44">
        <f t="shared" si="57"/>
        <v>2.15</v>
      </c>
      <c r="R154" s="44">
        <f t="shared" si="57"/>
        <v>2.15</v>
      </c>
      <c r="S154" s="44">
        <f t="shared" si="57"/>
        <v>2.15</v>
      </c>
      <c r="T154" s="44">
        <f t="shared" si="58"/>
        <v>2.15</v>
      </c>
      <c r="U154" s="44">
        <f t="shared" si="58"/>
        <v>2.15</v>
      </c>
      <c r="V154" s="44">
        <f t="shared" si="58"/>
        <v>2.15</v>
      </c>
      <c r="W154" s="44">
        <f t="shared" si="58"/>
        <v>2.15</v>
      </c>
      <c r="X154" s="44">
        <f t="shared" si="58"/>
        <v>2.15</v>
      </c>
      <c r="Y154" s="44">
        <f t="shared" si="58"/>
        <v>2.15</v>
      </c>
      <c r="Z154" s="44">
        <f t="shared" si="58"/>
        <v>2.15</v>
      </c>
      <c r="AA154" s="44">
        <f t="shared" si="58"/>
        <v>2.15</v>
      </c>
      <c r="AB154" s="44">
        <f t="shared" si="58"/>
        <v>2.15</v>
      </c>
      <c r="AC154" s="44">
        <f t="shared" si="58"/>
        <v>2.15</v>
      </c>
      <c r="AD154" s="44">
        <f t="shared" si="58"/>
        <v>2.15</v>
      </c>
      <c r="AE154" s="44">
        <f t="shared" si="58"/>
        <v>2.15</v>
      </c>
      <c r="AF154" s="44">
        <f t="shared" si="58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59">AF156</f>
        <v>0.9</v>
      </c>
      <c r="C156" s="55">
        <v>0.9</v>
      </c>
      <c r="D156" s="44">
        <f t="shared" ref="D156:S168" si="60">C156</f>
        <v>0.9</v>
      </c>
      <c r="E156" s="44">
        <f t="shared" si="60"/>
        <v>0.9</v>
      </c>
      <c r="F156" s="44">
        <f t="shared" si="60"/>
        <v>0.9</v>
      </c>
      <c r="G156" s="44">
        <f t="shared" si="60"/>
        <v>0.9</v>
      </c>
      <c r="H156" s="44">
        <f t="shared" si="60"/>
        <v>0.9</v>
      </c>
      <c r="I156" s="44">
        <f t="shared" si="60"/>
        <v>0.9</v>
      </c>
      <c r="J156" s="44">
        <f t="shared" si="60"/>
        <v>0.9</v>
      </c>
      <c r="K156" s="44">
        <f t="shared" si="60"/>
        <v>0.9</v>
      </c>
      <c r="L156" s="44">
        <f t="shared" si="60"/>
        <v>0.9</v>
      </c>
      <c r="M156" s="44">
        <f t="shared" si="60"/>
        <v>0.9</v>
      </c>
      <c r="N156" s="44">
        <f t="shared" si="60"/>
        <v>0.9</v>
      </c>
      <c r="O156" s="44">
        <f t="shared" si="60"/>
        <v>0.9</v>
      </c>
      <c r="P156" s="44">
        <f t="shared" si="60"/>
        <v>0.9</v>
      </c>
      <c r="Q156" s="44">
        <f t="shared" si="60"/>
        <v>0.9</v>
      </c>
      <c r="R156" s="44">
        <f t="shared" si="60"/>
        <v>0.9</v>
      </c>
      <c r="S156" s="44">
        <f t="shared" si="60"/>
        <v>0.9</v>
      </c>
      <c r="T156" s="44">
        <f t="shared" ref="S156:AF168" si="61">S156</f>
        <v>0.9</v>
      </c>
      <c r="U156" s="44">
        <f t="shared" si="61"/>
        <v>0.9</v>
      </c>
      <c r="V156" s="44">
        <f t="shared" si="61"/>
        <v>0.9</v>
      </c>
      <c r="W156" s="44">
        <f t="shared" si="61"/>
        <v>0.9</v>
      </c>
      <c r="X156" s="44">
        <f t="shared" si="61"/>
        <v>0.9</v>
      </c>
      <c r="Y156" s="44">
        <f t="shared" si="61"/>
        <v>0.9</v>
      </c>
      <c r="Z156" s="44">
        <f t="shared" si="61"/>
        <v>0.9</v>
      </c>
      <c r="AA156" s="44">
        <f t="shared" si="61"/>
        <v>0.9</v>
      </c>
      <c r="AB156" s="44">
        <f t="shared" si="61"/>
        <v>0.9</v>
      </c>
      <c r="AC156" s="44">
        <f t="shared" si="61"/>
        <v>0.9</v>
      </c>
      <c r="AD156" s="44">
        <f t="shared" si="61"/>
        <v>0.9</v>
      </c>
      <c r="AE156" s="44">
        <f t="shared" si="61"/>
        <v>0.9</v>
      </c>
      <c r="AF156" s="44">
        <f t="shared" si="61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59"/>
        <v>1.08</v>
      </c>
      <c r="C157" s="55">
        <v>1.08</v>
      </c>
      <c r="D157" s="44">
        <f t="shared" si="60"/>
        <v>1.08</v>
      </c>
      <c r="E157" s="44">
        <f t="shared" si="60"/>
        <v>1.08</v>
      </c>
      <c r="F157" s="44">
        <f t="shared" si="60"/>
        <v>1.08</v>
      </c>
      <c r="G157" s="44">
        <f t="shared" si="60"/>
        <v>1.08</v>
      </c>
      <c r="H157" s="44">
        <f t="shared" si="60"/>
        <v>1.08</v>
      </c>
      <c r="I157" s="44">
        <f t="shared" si="60"/>
        <v>1.08</v>
      </c>
      <c r="J157" s="44">
        <f t="shared" si="60"/>
        <v>1.08</v>
      </c>
      <c r="K157" s="44">
        <f t="shared" si="60"/>
        <v>1.08</v>
      </c>
      <c r="L157" s="44">
        <f t="shared" si="60"/>
        <v>1.08</v>
      </c>
      <c r="M157" s="44">
        <f t="shared" si="60"/>
        <v>1.08</v>
      </c>
      <c r="N157" s="44">
        <f t="shared" si="60"/>
        <v>1.08</v>
      </c>
      <c r="O157" s="44">
        <f t="shared" si="60"/>
        <v>1.08</v>
      </c>
      <c r="P157" s="44">
        <f t="shared" si="60"/>
        <v>1.08</v>
      </c>
      <c r="Q157" s="44">
        <f t="shared" si="60"/>
        <v>1.08</v>
      </c>
      <c r="R157" s="44">
        <f t="shared" si="60"/>
        <v>1.08</v>
      </c>
      <c r="S157" s="44">
        <f t="shared" si="60"/>
        <v>1.08</v>
      </c>
      <c r="T157" s="44">
        <f t="shared" si="61"/>
        <v>1.08</v>
      </c>
      <c r="U157" s="44">
        <f t="shared" si="61"/>
        <v>1.08</v>
      </c>
      <c r="V157" s="44">
        <f t="shared" si="61"/>
        <v>1.08</v>
      </c>
      <c r="W157" s="44">
        <f t="shared" si="61"/>
        <v>1.08</v>
      </c>
      <c r="X157" s="44">
        <f t="shared" si="61"/>
        <v>1.08</v>
      </c>
      <c r="Y157" s="44">
        <f t="shared" si="61"/>
        <v>1.08</v>
      </c>
      <c r="Z157" s="44">
        <f t="shared" si="61"/>
        <v>1.08</v>
      </c>
      <c r="AA157" s="44">
        <f t="shared" si="61"/>
        <v>1.08</v>
      </c>
      <c r="AB157" s="44">
        <f t="shared" si="61"/>
        <v>1.08</v>
      </c>
      <c r="AC157" s="44">
        <f t="shared" si="61"/>
        <v>1.08</v>
      </c>
      <c r="AD157" s="44">
        <f t="shared" si="61"/>
        <v>1.08</v>
      </c>
      <c r="AE157" s="44">
        <f t="shared" si="61"/>
        <v>1.08</v>
      </c>
      <c r="AF157" s="44">
        <f t="shared" si="61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59"/>
        <v>2.37</v>
      </c>
      <c r="C158" s="55">
        <v>2.37</v>
      </c>
      <c r="D158" s="44">
        <f t="shared" si="60"/>
        <v>2.37</v>
      </c>
      <c r="E158" s="44">
        <f t="shared" si="60"/>
        <v>2.37</v>
      </c>
      <c r="F158" s="44">
        <f t="shared" si="60"/>
        <v>2.37</v>
      </c>
      <c r="G158" s="44">
        <f t="shared" si="60"/>
        <v>2.37</v>
      </c>
      <c r="H158" s="44">
        <f t="shared" si="60"/>
        <v>2.37</v>
      </c>
      <c r="I158" s="44">
        <f t="shared" si="60"/>
        <v>2.37</v>
      </c>
      <c r="J158" s="44">
        <f t="shared" si="60"/>
        <v>2.37</v>
      </c>
      <c r="K158" s="44">
        <f t="shared" si="60"/>
        <v>2.37</v>
      </c>
      <c r="L158" s="44">
        <f t="shared" si="60"/>
        <v>2.37</v>
      </c>
      <c r="M158" s="44">
        <f t="shared" si="60"/>
        <v>2.37</v>
      </c>
      <c r="N158" s="44">
        <f t="shared" si="60"/>
        <v>2.37</v>
      </c>
      <c r="O158" s="44">
        <f t="shared" si="60"/>
        <v>2.37</v>
      </c>
      <c r="P158" s="44">
        <f t="shared" si="60"/>
        <v>2.37</v>
      </c>
      <c r="Q158" s="44">
        <f t="shared" si="60"/>
        <v>2.37</v>
      </c>
      <c r="R158" s="44">
        <f t="shared" si="60"/>
        <v>2.37</v>
      </c>
      <c r="S158" s="44">
        <f t="shared" si="60"/>
        <v>2.37</v>
      </c>
      <c r="T158" s="44">
        <f t="shared" si="61"/>
        <v>2.37</v>
      </c>
      <c r="U158" s="44">
        <f t="shared" si="61"/>
        <v>2.37</v>
      </c>
      <c r="V158" s="44">
        <f t="shared" si="61"/>
        <v>2.37</v>
      </c>
      <c r="W158" s="44">
        <f t="shared" si="61"/>
        <v>2.37</v>
      </c>
      <c r="X158" s="44">
        <f t="shared" si="61"/>
        <v>2.37</v>
      </c>
      <c r="Y158" s="44">
        <f t="shared" si="61"/>
        <v>2.37</v>
      </c>
      <c r="Z158" s="44">
        <f t="shared" si="61"/>
        <v>2.37</v>
      </c>
      <c r="AA158" s="44">
        <f t="shared" si="61"/>
        <v>2.37</v>
      </c>
      <c r="AB158" s="44">
        <f t="shared" si="61"/>
        <v>2.37</v>
      </c>
      <c r="AC158" s="44">
        <f t="shared" si="61"/>
        <v>2.37</v>
      </c>
      <c r="AD158" s="44">
        <f t="shared" si="61"/>
        <v>2.37</v>
      </c>
      <c r="AE158" s="44">
        <f t="shared" si="61"/>
        <v>2.37</v>
      </c>
      <c r="AF158" s="44">
        <f t="shared" si="61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59"/>
        <v>1.81</v>
      </c>
      <c r="C159" s="55">
        <v>1.81</v>
      </c>
      <c r="D159" s="44">
        <f t="shared" si="60"/>
        <v>1.81</v>
      </c>
      <c r="E159" s="44">
        <f t="shared" si="60"/>
        <v>1.81</v>
      </c>
      <c r="F159" s="44">
        <f t="shared" si="60"/>
        <v>1.81</v>
      </c>
      <c r="G159" s="44">
        <f t="shared" si="60"/>
        <v>1.81</v>
      </c>
      <c r="H159" s="44">
        <f t="shared" si="60"/>
        <v>1.81</v>
      </c>
      <c r="I159" s="44">
        <f t="shared" si="60"/>
        <v>1.81</v>
      </c>
      <c r="J159" s="44">
        <f t="shared" si="60"/>
        <v>1.81</v>
      </c>
      <c r="K159" s="44">
        <f t="shared" si="60"/>
        <v>1.81</v>
      </c>
      <c r="L159" s="44">
        <f t="shared" si="60"/>
        <v>1.81</v>
      </c>
      <c r="M159" s="44">
        <f t="shared" si="60"/>
        <v>1.81</v>
      </c>
      <c r="N159" s="44">
        <f t="shared" si="60"/>
        <v>1.81</v>
      </c>
      <c r="O159" s="44">
        <f t="shared" si="60"/>
        <v>1.81</v>
      </c>
      <c r="P159" s="44">
        <f t="shared" si="60"/>
        <v>1.81</v>
      </c>
      <c r="Q159" s="44">
        <f t="shared" si="60"/>
        <v>1.81</v>
      </c>
      <c r="R159" s="44">
        <f t="shared" si="60"/>
        <v>1.81</v>
      </c>
      <c r="S159" s="44">
        <f t="shared" si="60"/>
        <v>1.81</v>
      </c>
      <c r="T159" s="44">
        <f t="shared" si="61"/>
        <v>1.81</v>
      </c>
      <c r="U159" s="44">
        <f t="shared" si="61"/>
        <v>1.81</v>
      </c>
      <c r="V159" s="44">
        <f t="shared" si="61"/>
        <v>1.81</v>
      </c>
      <c r="W159" s="44">
        <f t="shared" si="61"/>
        <v>1.81</v>
      </c>
      <c r="X159" s="44">
        <f t="shared" si="61"/>
        <v>1.81</v>
      </c>
      <c r="Y159" s="44">
        <f t="shared" si="61"/>
        <v>1.81</v>
      </c>
      <c r="Z159" s="44">
        <f t="shared" si="61"/>
        <v>1.81</v>
      </c>
      <c r="AA159" s="44">
        <f t="shared" si="61"/>
        <v>1.81</v>
      </c>
      <c r="AB159" s="44">
        <f t="shared" si="61"/>
        <v>1.81</v>
      </c>
      <c r="AC159" s="44">
        <f t="shared" si="61"/>
        <v>1.81</v>
      </c>
      <c r="AD159" s="44">
        <f t="shared" si="61"/>
        <v>1.81</v>
      </c>
      <c r="AE159" s="44">
        <f t="shared" si="61"/>
        <v>1.81</v>
      </c>
      <c r="AF159" s="44">
        <f t="shared" si="61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59"/>
        <v>1.0900000000000001</v>
      </c>
      <c r="C160" s="55">
        <v>1.0900000000000001</v>
      </c>
      <c r="D160" s="44">
        <f t="shared" si="60"/>
        <v>1.0900000000000001</v>
      </c>
      <c r="E160" s="44">
        <f t="shared" si="60"/>
        <v>1.0900000000000001</v>
      </c>
      <c r="F160" s="44">
        <f t="shared" si="60"/>
        <v>1.0900000000000001</v>
      </c>
      <c r="G160" s="44">
        <f t="shared" si="60"/>
        <v>1.0900000000000001</v>
      </c>
      <c r="H160" s="44">
        <f t="shared" si="60"/>
        <v>1.0900000000000001</v>
      </c>
      <c r="I160" s="44">
        <f t="shared" si="60"/>
        <v>1.0900000000000001</v>
      </c>
      <c r="J160" s="44">
        <f t="shared" si="60"/>
        <v>1.0900000000000001</v>
      </c>
      <c r="K160" s="44">
        <f t="shared" si="60"/>
        <v>1.0900000000000001</v>
      </c>
      <c r="L160" s="44">
        <f t="shared" si="60"/>
        <v>1.0900000000000001</v>
      </c>
      <c r="M160" s="44">
        <f t="shared" si="60"/>
        <v>1.0900000000000001</v>
      </c>
      <c r="N160" s="44">
        <f t="shared" si="60"/>
        <v>1.0900000000000001</v>
      </c>
      <c r="O160" s="44">
        <f t="shared" si="60"/>
        <v>1.0900000000000001</v>
      </c>
      <c r="P160" s="44">
        <f t="shared" si="60"/>
        <v>1.0900000000000001</v>
      </c>
      <c r="Q160" s="44">
        <f t="shared" si="60"/>
        <v>1.0900000000000001</v>
      </c>
      <c r="R160" s="44">
        <f t="shared" si="60"/>
        <v>1.0900000000000001</v>
      </c>
      <c r="S160" s="44">
        <f t="shared" si="60"/>
        <v>1.0900000000000001</v>
      </c>
      <c r="T160" s="44">
        <f t="shared" si="61"/>
        <v>1.0900000000000001</v>
      </c>
      <c r="U160" s="44">
        <f t="shared" si="61"/>
        <v>1.0900000000000001</v>
      </c>
      <c r="V160" s="44">
        <f t="shared" si="61"/>
        <v>1.0900000000000001</v>
      </c>
      <c r="W160" s="44">
        <f t="shared" si="61"/>
        <v>1.0900000000000001</v>
      </c>
      <c r="X160" s="44">
        <f t="shared" si="61"/>
        <v>1.0900000000000001</v>
      </c>
      <c r="Y160" s="44">
        <f t="shared" si="61"/>
        <v>1.0900000000000001</v>
      </c>
      <c r="Z160" s="44">
        <f t="shared" si="61"/>
        <v>1.0900000000000001</v>
      </c>
      <c r="AA160" s="44">
        <f t="shared" si="61"/>
        <v>1.0900000000000001</v>
      </c>
      <c r="AB160" s="44">
        <f t="shared" si="61"/>
        <v>1.0900000000000001</v>
      </c>
      <c r="AC160" s="44">
        <f t="shared" si="61"/>
        <v>1.0900000000000001</v>
      </c>
      <c r="AD160" s="44">
        <f t="shared" si="61"/>
        <v>1.0900000000000001</v>
      </c>
      <c r="AE160" s="44">
        <f t="shared" si="61"/>
        <v>1.0900000000000001</v>
      </c>
      <c r="AF160" s="44">
        <f t="shared" si="61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59"/>
        <v>1.58</v>
      </c>
      <c r="C161" s="55">
        <v>1.58</v>
      </c>
      <c r="D161" s="44">
        <f t="shared" si="60"/>
        <v>1.58</v>
      </c>
      <c r="E161" s="44">
        <f t="shared" si="60"/>
        <v>1.58</v>
      </c>
      <c r="F161" s="44">
        <f t="shared" si="60"/>
        <v>1.58</v>
      </c>
      <c r="G161" s="44">
        <f t="shared" si="60"/>
        <v>1.58</v>
      </c>
      <c r="H161" s="44">
        <f t="shared" si="60"/>
        <v>1.58</v>
      </c>
      <c r="I161" s="44">
        <f t="shared" si="60"/>
        <v>1.58</v>
      </c>
      <c r="J161" s="44">
        <f t="shared" si="60"/>
        <v>1.58</v>
      </c>
      <c r="K161" s="44">
        <f t="shared" si="60"/>
        <v>1.58</v>
      </c>
      <c r="L161" s="44">
        <f t="shared" si="60"/>
        <v>1.58</v>
      </c>
      <c r="M161" s="44">
        <f t="shared" si="60"/>
        <v>1.58</v>
      </c>
      <c r="N161" s="44">
        <f t="shared" si="60"/>
        <v>1.58</v>
      </c>
      <c r="O161" s="44">
        <f t="shared" si="60"/>
        <v>1.58</v>
      </c>
      <c r="P161" s="44">
        <f t="shared" si="60"/>
        <v>1.58</v>
      </c>
      <c r="Q161" s="44">
        <f t="shared" si="60"/>
        <v>1.58</v>
      </c>
      <c r="R161" s="44">
        <f t="shared" si="60"/>
        <v>1.58</v>
      </c>
      <c r="S161" s="44">
        <f t="shared" si="60"/>
        <v>1.58</v>
      </c>
      <c r="T161" s="44">
        <f t="shared" si="61"/>
        <v>1.58</v>
      </c>
      <c r="U161" s="44">
        <f t="shared" si="61"/>
        <v>1.58</v>
      </c>
      <c r="V161" s="44">
        <f t="shared" si="61"/>
        <v>1.58</v>
      </c>
      <c r="W161" s="44">
        <f t="shared" si="61"/>
        <v>1.58</v>
      </c>
      <c r="X161" s="44">
        <f t="shared" si="61"/>
        <v>1.58</v>
      </c>
      <c r="Y161" s="44">
        <f t="shared" si="61"/>
        <v>1.58</v>
      </c>
      <c r="Z161" s="44">
        <f t="shared" si="61"/>
        <v>1.58</v>
      </c>
      <c r="AA161" s="44">
        <f t="shared" si="61"/>
        <v>1.58</v>
      </c>
      <c r="AB161" s="44">
        <f t="shared" si="61"/>
        <v>1.58</v>
      </c>
      <c r="AC161" s="44">
        <f t="shared" si="61"/>
        <v>1.58</v>
      </c>
      <c r="AD161" s="44">
        <f t="shared" si="61"/>
        <v>1.58</v>
      </c>
      <c r="AE161" s="44">
        <f t="shared" si="61"/>
        <v>1.58</v>
      </c>
      <c r="AF161" s="44">
        <f t="shared" si="61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59"/>
        <v>2</v>
      </c>
      <c r="C162" s="55">
        <v>2</v>
      </c>
      <c r="D162" s="44">
        <f t="shared" si="60"/>
        <v>2</v>
      </c>
      <c r="E162" s="44">
        <f t="shared" si="60"/>
        <v>2</v>
      </c>
      <c r="F162" s="44">
        <f t="shared" si="60"/>
        <v>2</v>
      </c>
      <c r="G162" s="44">
        <f t="shared" si="60"/>
        <v>2</v>
      </c>
      <c r="H162" s="44">
        <f t="shared" si="60"/>
        <v>2</v>
      </c>
      <c r="I162" s="44">
        <f t="shared" si="60"/>
        <v>2</v>
      </c>
      <c r="J162" s="44">
        <f t="shared" si="60"/>
        <v>2</v>
      </c>
      <c r="K162" s="44">
        <f t="shared" si="60"/>
        <v>2</v>
      </c>
      <c r="L162" s="44">
        <f t="shared" si="60"/>
        <v>2</v>
      </c>
      <c r="M162" s="44">
        <f t="shared" si="60"/>
        <v>2</v>
      </c>
      <c r="N162" s="44">
        <f t="shared" si="60"/>
        <v>2</v>
      </c>
      <c r="O162" s="44">
        <f t="shared" si="60"/>
        <v>2</v>
      </c>
      <c r="P162" s="44">
        <f t="shared" si="60"/>
        <v>2</v>
      </c>
      <c r="Q162" s="44">
        <f t="shared" si="60"/>
        <v>2</v>
      </c>
      <c r="R162" s="44">
        <f t="shared" si="60"/>
        <v>2</v>
      </c>
      <c r="S162" s="44">
        <f t="shared" si="60"/>
        <v>2</v>
      </c>
      <c r="T162" s="44">
        <f t="shared" si="61"/>
        <v>2</v>
      </c>
      <c r="U162" s="44">
        <f t="shared" si="61"/>
        <v>2</v>
      </c>
      <c r="V162" s="44">
        <f t="shared" si="61"/>
        <v>2</v>
      </c>
      <c r="W162" s="44">
        <f t="shared" si="61"/>
        <v>2</v>
      </c>
      <c r="X162" s="44">
        <f t="shared" si="61"/>
        <v>2</v>
      </c>
      <c r="Y162" s="44">
        <f t="shared" si="61"/>
        <v>2</v>
      </c>
      <c r="Z162" s="44">
        <f t="shared" si="61"/>
        <v>2</v>
      </c>
      <c r="AA162" s="44">
        <f t="shared" si="61"/>
        <v>2</v>
      </c>
      <c r="AB162" s="44">
        <f t="shared" si="61"/>
        <v>2</v>
      </c>
      <c r="AC162" s="44">
        <f t="shared" si="61"/>
        <v>2</v>
      </c>
      <c r="AD162" s="44">
        <f t="shared" si="61"/>
        <v>2</v>
      </c>
      <c r="AE162" s="44">
        <f t="shared" si="61"/>
        <v>2</v>
      </c>
      <c r="AF162" s="44">
        <f t="shared" si="61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59"/>
        <v>0.47</v>
      </c>
      <c r="C163" s="55">
        <v>0.47</v>
      </c>
      <c r="D163" s="44">
        <f t="shared" si="60"/>
        <v>0.47</v>
      </c>
      <c r="E163" s="44">
        <f t="shared" si="60"/>
        <v>0.47</v>
      </c>
      <c r="F163" s="44">
        <f t="shared" si="60"/>
        <v>0.47</v>
      </c>
      <c r="G163" s="44">
        <f t="shared" si="60"/>
        <v>0.47</v>
      </c>
      <c r="H163" s="44">
        <f t="shared" si="60"/>
        <v>0.47</v>
      </c>
      <c r="I163" s="44">
        <f t="shared" si="60"/>
        <v>0.47</v>
      </c>
      <c r="J163" s="44">
        <f t="shared" si="60"/>
        <v>0.47</v>
      </c>
      <c r="K163" s="44">
        <f t="shared" si="60"/>
        <v>0.47</v>
      </c>
      <c r="L163" s="44">
        <f t="shared" si="60"/>
        <v>0.47</v>
      </c>
      <c r="M163" s="44">
        <f t="shared" si="60"/>
        <v>0.47</v>
      </c>
      <c r="N163" s="44">
        <f t="shared" si="60"/>
        <v>0.47</v>
      </c>
      <c r="O163" s="44">
        <f t="shared" si="60"/>
        <v>0.47</v>
      </c>
      <c r="P163" s="44">
        <f t="shared" si="60"/>
        <v>0.47</v>
      </c>
      <c r="Q163" s="44">
        <f t="shared" si="60"/>
        <v>0.47</v>
      </c>
      <c r="R163" s="44">
        <f t="shared" si="60"/>
        <v>0.47</v>
      </c>
      <c r="S163" s="44">
        <f t="shared" si="60"/>
        <v>0.47</v>
      </c>
      <c r="T163" s="44">
        <f t="shared" si="61"/>
        <v>0.47</v>
      </c>
      <c r="U163" s="44">
        <f t="shared" si="61"/>
        <v>0.47</v>
      </c>
      <c r="V163" s="44">
        <f t="shared" si="61"/>
        <v>0.47</v>
      </c>
      <c r="W163" s="44">
        <f t="shared" si="61"/>
        <v>0.47</v>
      </c>
      <c r="X163" s="44">
        <f t="shared" si="61"/>
        <v>0.47</v>
      </c>
      <c r="Y163" s="44">
        <f t="shared" si="61"/>
        <v>0.47</v>
      </c>
      <c r="Z163" s="44">
        <f t="shared" si="61"/>
        <v>0.47</v>
      </c>
      <c r="AA163" s="44">
        <f t="shared" si="61"/>
        <v>0.47</v>
      </c>
      <c r="AB163" s="44">
        <f t="shared" si="61"/>
        <v>0.47</v>
      </c>
      <c r="AC163" s="44">
        <f t="shared" si="61"/>
        <v>0.47</v>
      </c>
      <c r="AD163" s="44">
        <f t="shared" si="61"/>
        <v>0.47</v>
      </c>
      <c r="AE163" s="44">
        <f t="shared" si="61"/>
        <v>0.47</v>
      </c>
      <c r="AF163" s="44">
        <f t="shared" si="61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59"/>
        <v>0</v>
      </c>
      <c r="C164" s="55">
        <v>0</v>
      </c>
      <c r="D164" s="44">
        <f t="shared" si="60"/>
        <v>0</v>
      </c>
      <c r="E164" s="44">
        <f t="shared" si="60"/>
        <v>0</v>
      </c>
      <c r="F164" s="44">
        <f t="shared" si="60"/>
        <v>0</v>
      </c>
      <c r="G164" s="44">
        <f t="shared" si="60"/>
        <v>0</v>
      </c>
      <c r="H164" s="44">
        <f t="shared" si="60"/>
        <v>0</v>
      </c>
      <c r="I164" s="44">
        <f t="shared" si="60"/>
        <v>0</v>
      </c>
      <c r="J164" s="44">
        <f t="shared" si="60"/>
        <v>0</v>
      </c>
      <c r="K164" s="44">
        <f t="shared" si="60"/>
        <v>0</v>
      </c>
      <c r="L164" s="44">
        <f t="shared" si="60"/>
        <v>0</v>
      </c>
      <c r="M164" s="44">
        <f t="shared" si="60"/>
        <v>0</v>
      </c>
      <c r="N164" s="44">
        <f t="shared" si="60"/>
        <v>0</v>
      </c>
      <c r="O164" s="44">
        <f t="shared" si="60"/>
        <v>0</v>
      </c>
      <c r="P164" s="44">
        <f t="shared" si="60"/>
        <v>0</v>
      </c>
      <c r="Q164" s="44">
        <f t="shared" si="60"/>
        <v>0</v>
      </c>
      <c r="R164" s="44">
        <f t="shared" si="60"/>
        <v>0</v>
      </c>
      <c r="S164" s="44">
        <f t="shared" si="60"/>
        <v>0</v>
      </c>
      <c r="T164" s="44">
        <f t="shared" si="61"/>
        <v>0</v>
      </c>
      <c r="U164" s="44">
        <f t="shared" si="61"/>
        <v>0</v>
      </c>
      <c r="V164" s="44">
        <f t="shared" si="61"/>
        <v>0</v>
      </c>
      <c r="W164" s="44">
        <f t="shared" si="61"/>
        <v>0</v>
      </c>
      <c r="X164" s="44">
        <f t="shared" si="61"/>
        <v>0</v>
      </c>
      <c r="Y164" s="44">
        <f t="shared" si="61"/>
        <v>0</v>
      </c>
      <c r="Z164" s="44">
        <f t="shared" si="61"/>
        <v>0</v>
      </c>
      <c r="AA164" s="44">
        <f t="shared" si="61"/>
        <v>0</v>
      </c>
      <c r="AB164" s="44">
        <f t="shared" si="61"/>
        <v>0</v>
      </c>
      <c r="AC164" s="44">
        <f t="shared" si="61"/>
        <v>0</v>
      </c>
      <c r="AD164" s="44">
        <f t="shared" si="61"/>
        <v>0</v>
      </c>
      <c r="AE164" s="44">
        <f t="shared" si="61"/>
        <v>0</v>
      </c>
      <c r="AF164" s="44">
        <f t="shared" si="61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59"/>
        <v>0</v>
      </c>
      <c r="C165" s="55">
        <v>0</v>
      </c>
      <c r="D165" s="44">
        <f t="shared" si="60"/>
        <v>0</v>
      </c>
      <c r="E165" s="44">
        <f t="shared" si="60"/>
        <v>0</v>
      </c>
      <c r="F165" s="44">
        <f t="shared" si="60"/>
        <v>0</v>
      </c>
      <c r="G165" s="44">
        <f t="shared" si="60"/>
        <v>0</v>
      </c>
      <c r="H165" s="44">
        <f t="shared" si="60"/>
        <v>0</v>
      </c>
      <c r="I165" s="44">
        <f t="shared" si="60"/>
        <v>0</v>
      </c>
      <c r="J165" s="44">
        <f t="shared" si="60"/>
        <v>0</v>
      </c>
      <c r="K165" s="44">
        <f t="shared" si="60"/>
        <v>0</v>
      </c>
      <c r="L165" s="44">
        <f t="shared" si="60"/>
        <v>0</v>
      </c>
      <c r="M165" s="44">
        <f t="shared" si="60"/>
        <v>0</v>
      </c>
      <c r="N165" s="44">
        <f t="shared" si="60"/>
        <v>0</v>
      </c>
      <c r="O165" s="44">
        <f t="shared" si="60"/>
        <v>0</v>
      </c>
      <c r="P165" s="44">
        <f t="shared" si="60"/>
        <v>0</v>
      </c>
      <c r="Q165" s="44">
        <f t="shared" si="60"/>
        <v>0</v>
      </c>
      <c r="R165" s="44">
        <f t="shared" si="60"/>
        <v>0</v>
      </c>
      <c r="S165" s="44">
        <f t="shared" si="61"/>
        <v>0</v>
      </c>
      <c r="T165" s="44">
        <f t="shared" si="61"/>
        <v>0</v>
      </c>
      <c r="U165" s="44">
        <f t="shared" si="61"/>
        <v>0</v>
      </c>
      <c r="V165" s="44">
        <f t="shared" si="61"/>
        <v>0</v>
      </c>
      <c r="W165" s="44">
        <f t="shared" si="61"/>
        <v>0</v>
      </c>
      <c r="X165" s="44">
        <f t="shared" si="61"/>
        <v>0</v>
      </c>
      <c r="Y165" s="44">
        <f t="shared" si="61"/>
        <v>0</v>
      </c>
      <c r="Z165" s="44">
        <f t="shared" si="61"/>
        <v>0</v>
      </c>
      <c r="AA165" s="44">
        <f t="shared" si="61"/>
        <v>0</v>
      </c>
      <c r="AB165" s="44">
        <f t="shared" si="61"/>
        <v>0</v>
      </c>
      <c r="AC165" s="44">
        <f t="shared" si="61"/>
        <v>0</v>
      </c>
      <c r="AD165" s="44">
        <f t="shared" si="61"/>
        <v>0</v>
      </c>
      <c r="AE165" s="44">
        <f t="shared" si="61"/>
        <v>0</v>
      </c>
      <c r="AF165" s="44">
        <f t="shared" si="61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59"/>
        <v>0.8</v>
      </c>
      <c r="C166" s="55">
        <v>0.8</v>
      </c>
      <c r="D166" s="44">
        <f t="shared" si="60"/>
        <v>0.8</v>
      </c>
      <c r="E166" s="44">
        <f t="shared" si="60"/>
        <v>0.8</v>
      </c>
      <c r="F166" s="44">
        <f t="shared" si="60"/>
        <v>0.8</v>
      </c>
      <c r="G166" s="44">
        <f t="shared" si="60"/>
        <v>0.8</v>
      </c>
      <c r="H166" s="44">
        <f t="shared" si="60"/>
        <v>0.8</v>
      </c>
      <c r="I166" s="44">
        <f t="shared" si="60"/>
        <v>0.8</v>
      </c>
      <c r="J166" s="44">
        <f t="shared" si="60"/>
        <v>0.8</v>
      </c>
      <c r="K166" s="44">
        <f t="shared" si="60"/>
        <v>0.8</v>
      </c>
      <c r="L166" s="44">
        <f t="shared" si="60"/>
        <v>0.8</v>
      </c>
      <c r="M166" s="44">
        <f t="shared" si="60"/>
        <v>0.8</v>
      </c>
      <c r="N166" s="44">
        <f t="shared" si="60"/>
        <v>0.8</v>
      </c>
      <c r="O166" s="44">
        <f t="shared" si="60"/>
        <v>0.8</v>
      </c>
      <c r="P166" s="44">
        <f t="shared" si="60"/>
        <v>0.8</v>
      </c>
      <c r="Q166" s="44">
        <f t="shared" si="60"/>
        <v>0.8</v>
      </c>
      <c r="R166" s="44">
        <f t="shared" si="60"/>
        <v>0.8</v>
      </c>
      <c r="S166" s="44">
        <f t="shared" si="61"/>
        <v>0.8</v>
      </c>
      <c r="T166" s="44">
        <f t="shared" si="61"/>
        <v>0.8</v>
      </c>
      <c r="U166" s="44">
        <f t="shared" si="61"/>
        <v>0.8</v>
      </c>
      <c r="V166" s="44">
        <f t="shared" si="61"/>
        <v>0.8</v>
      </c>
      <c r="W166" s="44">
        <f t="shared" si="61"/>
        <v>0.8</v>
      </c>
      <c r="X166" s="44">
        <f t="shared" si="61"/>
        <v>0.8</v>
      </c>
      <c r="Y166" s="44">
        <f t="shared" si="61"/>
        <v>0.8</v>
      </c>
      <c r="Z166" s="44">
        <f t="shared" si="61"/>
        <v>0.8</v>
      </c>
      <c r="AA166" s="44">
        <f t="shared" si="61"/>
        <v>0.8</v>
      </c>
      <c r="AB166" s="44">
        <f t="shared" si="61"/>
        <v>0.8</v>
      </c>
      <c r="AC166" s="44">
        <f t="shared" si="61"/>
        <v>0.8</v>
      </c>
      <c r="AD166" s="44">
        <f t="shared" si="61"/>
        <v>0.8</v>
      </c>
      <c r="AE166" s="44">
        <f t="shared" si="61"/>
        <v>0.8</v>
      </c>
      <c r="AF166" s="44">
        <f t="shared" si="61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59"/>
        <v>1.5</v>
      </c>
      <c r="C167" s="55">
        <v>1.5</v>
      </c>
      <c r="D167" s="44">
        <f t="shared" si="60"/>
        <v>1.5</v>
      </c>
      <c r="E167" s="44">
        <f t="shared" si="60"/>
        <v>1.5</v>
      </c>
      <c r="F167" s="44">
        <f t="shared" si="60"/>
        <v>1.5</v>
      </c>
      <c r="G167" s="44">
        <f t="shared" si="60"/>
        <v>1.5</v>
      </c>
      <c r="H167" s="44">
        <f t="shared" si="60"/>
        <v>1.5</v>
      </c>
      <c r="I167" s="44">
        <f t="shared" si="60"/>
        <v>1.5</v>
      </c>
      <c r="J167" s="44">
        <f t="shared" si="60"/>
        <v>1.5</v>
      </c>
      <c r="K167" s="44">
        <f t="shared" si="60"/>
        <v>1.5</v>
      </c>
      <c r="L167" s="44">
        <f t="shared" si="60"/>
        <v>1.5</v>
      </c>
      <c r="M167" s="44">
        <f t="shared" si="60"/>
        <v>1.5</v>
      </c>
      <c r="N167" s="44">
        <f t="shared" si="60"/>
        <v>1.5</v>
      </c>
      <c r="O167" s="44">
        <f t="shared" si="60"/>
        <v>1.5</v>
      </c>
      <c r="P167" s="44">
        <f t="shared" si="60"/>
        <v>1.5</v>
      </c>
      <c r="Q167" s="44">
        <f t="shared" si="60"/>
        <v>1.5</v>
      </c>
      <c r="R167" s="44">
        <f t="shared" si="60"/>
        <v>1.5</v>
      </c>
      <c r="S167" s="44">
        <f t="shared" si="61"/>
        <v>1.5</v>
      </c>
      <c r="T167" s="44">
        <f t="shared" si="61"/>
        <v>1.5</v>
      </c>
      <c r="U167" s="44">
        <f t="shared" si="61"/>
        <v>1.5</v>
      </c>
      <c r="V167" s="44">
        <f t="shared" si="61"/>
        <v>1.5</v>
      </c>
      <c r="W167" s="44">
        <f t="shared" si="61"/>
        <v>1.5</v>
      </c>
      <c r="X167" s="44">
        <f t="shared" si="61"/>
        <v>1.5</v>
      </c>
      <c r="Y167" s="44">
        <f t="shared" si="61"/>
        <v>1.5</v>
      </c>
      <c r="Z167" s="44">
        <f t="shared" si="61"/>
        <v>1.5</v>
      </c>
      <c r="AA167" s="44">
        <f t="shared" si="61"/>
        <v>1.5</v>
      </c>
      <c r="AB167" s="44">
        <f t="shared" si="61"/>
        <v>1.5</v>
      </c>
      <c r="AC167" s="44">
        <f t="shared" si="61"/>
        <v>1.5</v>
      </c>
      <c r="AD167" s="44">
        <f t="shared" si="61"/>
        <v>1.5</v>
      </c>
      <c r="AE167" s="44">
        <f t="shared" si="61"/>
        <v>1.5</v>
      </c>
      <c r="AF167" s="44">
        <f t="shared" si="61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59"/>
        <v>1</v>
      </c>
      <c r="C168" s="55">
        <v>1</v>
      </c>
      <c r="D168" s="44">
        <f t="shared" si="60"/>
        <v>1</v>
      </c>
      <c r="E168" s="44">
        <f t="shared" si="60"/>
        <v>1</v>
      </c>
      <c r="F168" s="44">
        <f t="shared" si="60"/>
        <v>1</v>
      </c>
      <c r="G168" s="44">
        <f t="shared" si="60"/>
        <v>1</v>
      </c>
      <c r="H168" s="44">
        <f t="shared" si="60"/>
        <v>1</v>
      </c>
      <c r="I168" s="44">
        <f t="shared" si="60"/>
        <v>1</v>
      </c>
      <c r="J168" s="44">
        <f t="shared" si="60"/>
        <v>1</v>
      </c>
      <c r="K168" s="44">
        <f t="shared" si="60"/>
        <v>1</v>
      </c>
      <c r="L168" s="44">
        <f t="shared" si="60"/>
        <v>1</v>
      </c>
      <c r="M168" s="44">
        <f t="shared" si="60"/>
        <v>1</v>
      </c>
      <c r="N168" s="44">
        <f t="shared" si="60"/>
        <v>1</v>
      </c>
      <c r="O168" s="44">
        <f t="shared" si="60"/>
        <v>1</v>
      </c>
      <c r="P168" s="44">
        <f t="shared" si="60"/>
        <v>1</v>
      </c>
      <c r="Q168" s="44">
        <f t="shared" si="60"/>
        <v>1</v>
      </c>
      <c r="R168" s="44">
        <f t="shared" si="60"/>
        <v>1</v>
      </c>
      <c r="S168" s="44">
        <f t="shared" si="61"/>
        <v>1</v>
      </c>
      <c r="T168" s="44">
        <f t="shared" si="61"/>
        <v>1</v>
      </c>
      <c r="U168" s="44">
        <f t="shared" si="61"/>
        <v>1</v>
      </c>
      <c r="V168" s="44">
        <f t="shared" si="61"/>
        <v>1</v>
      </c>
      <c r="W168" s="44">
        <f t="shared" si="61"/>
        <v>1</v>
      </c>
      <c r="X168" s="44">
        <f t="shared" si="61"/>
        <v>1</v>
      </c>
      <c r="Y168" s="44">
        <f t="shared" si="61"/>
        <v>1</v>
      </c>
      <c r="Z168" s="44">
        <f t="shared" si="61"/>
        <v>1</v>
      </c>
      <c r="AA168" s="44">
        <f t="shared" si="61"/>
        <v>1</v>
      </c>
      <c r="AB168" s="44">
        <f t="shared" si="61"/>
        <v>1</v>
      </c>
      <c r="AC168" s="44">
        <f t="shared" si="61"/>
        <v>1</v>
      </c>
      <c r="AD168" s="44">
        <f t="shared" si="61"/>
        <v>1</v>
      </c>
      <c r="AE168" s="44">
        <f t="shared" si="61"/>
        <v>1</v>
      </c>
      <c r="AF168" s="44">
        <f t="shared" si="61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62">AF170</f>
        <v>1</v>
      </c>
      <c r="C170" s="55">
        <v>1</v>
      </c>
      <c r="D170" s="44">
        <f t="shared" ref="D170:S177" si="63">C170</f>
        <v>1</v>
      </c>
      <c r="E170" s="44">
        <f t="shared" si="63"/>
        <v>1</v>
      </c>
      <c r="F170" s="44">
        <f t="shared" si="63"/>
        <v>1</v>
      </c>
      <c r="G170" s="44">
        <f t="shared" si="63"/>
        <v>1</v>
      </c>
      <c r="H170" s="44">
        <f t="shared" si="63"/>
        <v>1</v>
      </c>
      <c r="I170" s="44">
        <f t="shared" si="63"/>
        <v>1</v>
      </c>
      <c r="J170" s="44">
        <f t="shared" si="63"/>
        <v>1</v>
      </c>
      <c r="K170" s="44">
        <f t="shared" si="63"/>
        <v>1</v>
      </c>
      <c r="L170" s="44">
        <f t="shared" si="63"/>
        <v>1</v>
      </c>
      <c r="M170" s="44">
        <f t="shared" si="63"/>
        <v>1</v>
      </c>
      <c r="N170" s="44">
        <f t="shared" si="63"/>
        <v>1</v>
      </c>
      <c r="O170" s="44">
        <f t="shared" si="63"/>
        <v>1</v>
      </c>
      <c r="P170" s="44">
        <f t="shared" si="63"/>
        <v>1</v>
      </c>
      <c r="Q170" s="44">
        <f t="shared" si="63"/>
        <v>1</v>
      </c>
      <c r="R170" s="44">
        <f t="shared" si="63"/>
        <v>1</v>
      </c>
      <c r="S170" s="44">
        <f t="shared" si="63"/>
        <v>1</v>
      </c>
      <c r="T170" s="44">
        <f t="shared" ref="S170:AF177" si="64">S170</f>
        <v>1</v>
      </c>
      <c r="U170" s="44">
        <f t="shared" si="64"/>
        <v>1</v>
      </c>
      <c r="V170" s="44">
        <f t="shared" si="64"/>
        <v>1</v>
      </c>
      <c r="W170" s="44">
        <f t="shared" si="64"/>
        <v>1</v>
      </c>
      <c r="X170" s="44">
        <f t="shared" si="64"/>
        <v>1</v>
      </c>
      <c r="Y170" s="44">
        <f t="shared" si="64"/>
        <v>1</v>
      </c>
      <c r="Z170" s="44">
        <f t="shared" si="64"/>
        <v>1</v>
      </c>
      <c r="AA170" s="44">
        <f t="shared" si="64"/>
        <v>1</v>
      </c>
      <c r="AB170" s="44">
        <f t="shared" si="64"/>
        <v>1</v>
      </c>
      <c r="AC170" s="44">
        <f t="shared" si="64"/>
        <v>1</v>
      </c>
      <c r="AD170" s="44">
        <f t="shared" si="64"/>
        <v>1</v>
      </c>
      <c r="AE170" s="44">
        <f t="shared" si="64"/>
        <v>1</v>
      </c>
      <c r="AF170" s="44">
        <f t="shared" si="64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62"/>
        <v>0.42</v>
      </c>
      <c r="C171" s="55">
        <v>0.42</v>
      </c>
      <c r="D171" s="44">
        <f t="shared" si="63"/>
        <v>0.42</v>
      </c>
      <c r="E171" s="44">
        <f t="shared" si="63"/>
        <v>0.42</v>
      </c>
      <c r="F171" s="44">
        <f t="shared" si="63"/>
        <v>0.42</v>
      </c>
      <c r="G171" s="44">
        <f t="shared" si="63"/>
        <v>0.42</v>
      </c>
      <c r="H171" s="44">
        <f t="shared" si="63"/>
        <v>0.42</v>
      </c>
      <c r="I171" s="44">
        <f t="shared" si="63"/>
        <v>0.42</v>
      </c>
      <c r="J171" s="44">
        <f t="shared" si="63"/>
        <v>0.42</v>
      </c>
      <c r="K171" s="44">
        <f t="shared" si="63"/>
        <v>0.42</v>
      </c>
      <c r="L171" s="44">
        <f t="shared" si="63"/>
        <v>0.42</v>
      </c>
      <c r="M171" s="44">
        <f t="shared" si="63"/>
        <v>0.42</v>
      </c>
      <c r="N171" s="44">
        <f t="shared" si="63"/>
        <v>0.42</v>
      </c>
      <c r="O171" s="44">
        <f t="shared" si="63"/>
        <v>0.42</v>
      </c>
      <c r="P171" s="44">
        <f t="shared" si="63"/>
        <v>0.42</v>
      </c>
      <c r="Q171" s="44">
        <f t="shared" si="63"/>
        <v>0.42</v>
      </c>
      <c r="R171" s="44">
        <f t="shared" si="63"/>
        <v>0.42</v>
      </c>
      <c r="S171" s="44">
        <f t="shared" si="64"/>
        <v>0.42</v>
      </c>
      <c r="T171" s="44">
        <f t="shared" si="64"/>
        <v>0.42</v>
      </c>
      <c r="U171" s="44">
        <f t="shared" si="64"/>
        <v>0.42</v>
      </c>
      <c r="V171" s="44">
        <f t="shared" si="64"/>
        <v>0.42</v>
      </c>
      <c r="W171" s="44">
        <f t="shared" si="64"/>
        <v>0.42</v>
      </c>
      <c r="X171" s="44">
        <f t="shared" si="64"/>
        <v>0.42</v>
      </c>
      <c r="Y171" s="44">
        <f t="shared" si="64"/>
        <v>0.42</v>
      </c>
      <c r="Z171" s="44">
        <f t="shared" si="64"/>
        <v>0.42</v>
      </c>
      <c r="AA171" s="44">
        <f t="shared" si="64"/>
        <v>0.42</v>
      </c>
      <c r="AB171" s="44">
        <f t="shared" si="64"/>
        <v>0.42</v>
      </c>
      <c r="AC171" s="44">
        <f t="shared" si="64"/>
        <v>0.42</v>
      </c>
      <c r="AD171" s="44">
        <f t="shared" si="64"/>
        <v>0.42</v>
      </c>
      <c r="AE171" s="44">
        <f t="shared" si="64"/>
        <v>0.42</v>
      </c>
      <c r="AF171" s="44">
        <f t="shared" si="64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62"/>
        <v>0.46</v>
      </c>
      <c r="C172" s="55">
        <v>0.46</v>
      </c>
      <c r="D172" s="44">
        <f t="shared" si="63"/>
        <v>0.46</v>
      </c>
      <c r="E172" s="44">
        <f t="shared" si="63"/>
        <v>0.46</v>
      </c>
      <c r="F172" s="44">
        <f t="shared" si="63"/>
        <v>0.46</v>
      </c>
      <c r="G172" s="44">
        <f t="shared" si="63"/>
        <v>0.46</v>
      </c>
      <c r="H172" s="44">
        <f t="shared" si="63"/>
        <v>0.46</v>
      </c>
      <c r="I172" s="44">
        <f t="shared" si="63"/>
        <v>0.46</v>
      </c>
      <c r="J172" s="44">
        <f t="shared" si="63"/>
        <v>0.46</v>
      </c>
      <c r="K172" s="44">
        <f t="shared" si="63"/>
        <v>0.46</v>
      </c>
      <c r="L172" s="44">
        <f t="shared" si="63"/>
        <v>0.46</v>
      </c>
      <c r="M172" s="44">
        <f t="shared" si="63"/>
        <v>0.46</v>
      </c>
      <c r="N172" s="44">
        <f t="shared" si="63"/>
        <v>0.46</v>
      </c>
      <c r="O172" s="44">
        <f t="shared" si="63"/>
        <v>0.46</v>
      </c>
      <c r="P172" s="44">
        <f t="shared" si="63"/>
        <v>0.46</v>
      </c>
      <c r="Q172" s="44">
        <f t="shared" si="63"/>
        <v>0.46</v>
      </c>
      <c r="R172" s="44">
        <f t="shared" si="63"/>
        <v>0.46</v>
      </c>
      <c r="S172" s="44">
        <f t="shared" si="64"/>
        <v>0.46</v>
      </c>
      <c r="T172" s="44">
        <f t="shared" si="64"/>
        <v>0.46</v>
      </c>
      <c r="U172" s="44">
        <f t="shared" si="64"/>
        <v>0.46</v>
      </c>
      <c r="V172" s="44">
        <f t="shared" si="64"/>
        <v>0.46</v>
      </c>
      <c r="W172" s="44">
        <f t="shared" si="64"/>
        <v>0.46</v>
      </c>
      <c r="X172" s="44">
        <f t="shared" si="64"/>
        <v>0.46</v>
      </c>
      <c r="Y172" s="44">
        <f t="shared" si="64"/>
        <v>0.46</v>
      </c>
      <c r="Z172" s="44">
        <f t="shared" si="64"/>
        <v>0.46</v>
      </c>
      <c r="AA172" s="44">
        <f t="shared" si="64"/>
        <v>0.46</v>
      </c>
      <c r="AB172" s="44">
        <f t="shared" si="64"/>
        <v>0.46</v>
      </c>
      <c r="AC172" s="44">
        <f t="shared" si="64"/>
        <v>0.46</v>
      </c>
      <c r="AD172" s="44">
        <f t="shared" si="64"/>
        <v>0.46</v>
      </c>
      <c r="AE172" s="44">
        <f t="shared" si="64"/>
        <v>0.46</v>
      </c>
      <c r="AF172" s="44">
        <f t="shared" si="64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62"/>
        <v>0.85</v>
      </c>
      <c r="C173" s="55">
        <v>0.85</v>
      </c>
      <c r="D173" s="44">
        <f t="shared" si="63"/>
        <v>0.85</v>
      </c>
      <c r="E173" s="44">
        <f t="shared" si="63"/>
        <v>0.85</v>
      </c>
      <c r="F173" s="44">
        <f t="shared" si="63"/>
        <v>0.85</v>
      </c>
      <c r="G173" s="44">
        <f t="shared" si="63"/>
        <v>0.85</v>
      </c>
      <c r="H173" s="44">
        <f t="shared" si="63"/>
        <v>0.85</v>
      </c>
      <c r="I173" s="44">
        <f t="shared" si="63"/>
        <v>0.85</v>
      </c>
      <c r="J173" s="44">
        <f t="shared" si="63"/>
        <v>0.85</v>
      </c>
      <c r="K173" s="44">
        <f t="shared" si="63"/>
        <v>0.85</v>
      </c>
      <c r="L173" s="44">
        <f t="shared" si="63"/>
        <v>0.85</v>
      </c>
      <c r="M173" s="44">
        <f t="shared" si="63"/>
        <v>0.85</v>
      </c>
      <c r="N173" s="44">
        <f t="shared" si="63"/>
        <v>0.85</v>
      </c>
      <c r="O173" s="44">
        <f t="shared" si="63"/>
        <v>0.85</v>
      </c>
      <c r="P173" s="44">
        <f t="shared" si="63"/>
        <v>0.85</v>
      </c>
      <c r="Q173" s="44">
        <f t="shared" si="63"/>
        <v>0.85</v>
      </c>
      <c r="R173" s="44">
        <f t="shared" si="63"/>
        <v>0.85</v>
      </c>
      <c r="S173" s="44">
        <f t="shared" si="64"/>
        <v>0.85</v>
      </c>
      <c r="T173" s="44">
        <f t="shared" si="64"/>
        <v>0.85</v>
      </c>
      <c r="U173" s="44">
        <f t="shared" si="64"/>
        <v>0.85</v>
      </c>
      <c r="V173" s="44">
        <f t="shared" si="64"/>
        <v>0.85</v>
      </c>
      <c r="W173" s="44">
        <f t="shared" si="64"/>
        <v>0.85</v>
      </c>
      <c r="X173" s="44">
        <f t="shared" si="64"/>
        <v>0.85</v>
      </c>
      <c r="Y173" s="44">
        <f t="shared" si="64"/>
        <v>0.85</v>
      </c>
      <c r="Z173" s="44">
        <f t="shared" si="64"/>
        <v>0.85</v>
      </c>
      <c r="AA173" s="44">
        <f t="shared" si="64"/>
        <v>0.85</v>
      </c>
      <c r="AB173" s="44">
        <f t="shared" si="64"/>
        <v>0.85</v>
      </c>
      <c r="AC173" s="44">
        <f t="shared" si="64"/>
        <v>0.85</v>
      </c>
      <c r="AD173" s="44">
        <f t="shared" si="64"/>
        <v>0.85</v>
      </c>
      <c r="AE173" s="44">
        <f t="shared" si="64"/>
        <v>0.85</v>
      </c>
      <c r="AF173" s="44">
        <f t="shared" si="64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62"/>
        <v>0.9</v>
      </c>
      <c r="C174" s="55">
        <v>0.9</v>
      </c>
      <c r="D174" s="44">
        <f t="shared" si="63"/>
        <v>0.9</v>
      </c>
      <c r="E174" s="44">
        <f t="shared" si="63"/>
        <v>0.9</v>
      </c>
      <c r="F174" s="44">
        <f t="shared" si="63"/>
        <v>0.9</v>
      </c>
      <c r="G174" s="44">
        <f t="shared" si="63"/>
        <v>0.9</v>
      </c>
      <c r="H174" s="44">
        <f t="shared" si="63"/>
        <v>0.9</v>
      </c>
      <c r="I174" s="44">
        <f t="shared" si="63"/>
        <v>0.9</v>
      </c>
      <c r="J174" s="44">
        <f t="shared" si="63"/>
        <v>0.9</v>
      </c>
      <c r="K174" s="44">
        <f t="shared" si="63"/>
        <v>0.9</v>
      </c>
      <c r="L174" s="44">
        <f t="shared" si="63"/>
        <v>0.9</v>
      </c>
      <c r="M174" s="44">
        <f t="shared" si="63"/>
        <v>0.9</v>
      </c>
      <c r="N174" s="44">
        <f t="shared" si="63"/>
        <v>0.9</v>
      </c>
      <c r="O174" s="44">
        <f t="shared" si="63"/>
        <v>0.9</v>
      </c>
      <c r="P174" s="44">
        <f t="shared" si="63"/>
        <v>0.9</v>
      </c>
      <c r="Q174" s="44">
        <f t="shared" si="63"/>
        <v>0.9</v>
      </c>
      <c r="R174" s="44">
        <f t="shared" si="63"/>
        <v>0.9</v>
      </c>
      <c r="S174" s="44">
        <f t="shared" si="64"/>
        <v>0.9</v>
      </c>
      <c r="T174" s="44">
        <f t="shared" si="64"/>
        <v>0.9</v>
      </c>
      <c r="U174" s="44">
        <f t="shared" si="64"/>
        <v>0.9</v>
      </c>
      <c r="V174" s="44">
        <f t="shared" si="64"/>
        <v>0.9</v>
      </c>
      <c r="W174" s="44">
        <f t="shared" si="64"/>
        <v>0.9</v>
      </c>
      <c r="X174" s="44">
        <f t="shared" si="64"/>
        <v>0.9</v>
      </c>
      <c r="Y174" s="44">
        <f t="shared" si="64"/>
        <v>0.9</v>
      </c>
      <c r="Z174" s="44">
        <f t="shared" si="64"/>
        <v>0.9</v>
      </c>
      <c r="AA174" s="44">
        <f t="shared" si="64"/>
        <v>0.9</v>
      </c>
      <c r="AB174" s="44">
        <f t="shared" si="64"/>
        <v>0.9</v>
      </c>
      <c r="AC174" s="44">
        <f t="shared" si="64"/>
        <v>0.9</v>
      </c>
      <c r="AD174" s="44">
        <f t="shared" si="64"/>
        <v>0.9</v>
      </c>
      <c r="AE174" s="44">
        <f t="shared" si="64"/>
        <v>0.9</v>
      </c>
      <c r="AF174" s="44">
        <f t="shared" si="64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62"/>
        <v>0.44</v>
      </c>
      <c r="C175" s="55">
        <v>0.44</v>
      </c>
      <c r="D175" s="44">
        <f t="shared" si="63"/>
        <v>0.44</v>
      </c>
      <c r="E175" s="44">
        <f t="shared" si="63"/>
        <v>0.44</v>
      </c>
      <c r="F175" s="44">
        <f t="shared" si="63"/>
        <v>0.44</v>
      </c>
      <c r="G175" s="44">
        <f t="shared" si="63"/>
        <v>0.44</v>
      </c>
      <c r="H175" s="44">
        <f t="shared" si="63"/>
        <v>0.44</v>
      </c>
      <c r="I175" s="44">
        <f t="shared" si="63"/>
        <v>0.44</v>
      </c>
      <c r="J175" s="44">
        <f t="shared" si="63"/>
        <v>0.44</v>
      </c>
      <c r="K175" s="44">
        <f t="shared" si="63"/>
        <v>0.44</v>
      </c>
      <c r="L175" s="44">
        <f t="shared" si="63"/>
        <v>0.44</v>
      </c>
      <c r="M175" s="44">
        <f t="shared" si="63"/>
        <v>0.44</v>
      </c>
      <c r="N175" s="44">
        <f t="shared" si="63"/>
        <v>0.44</v>
      </c>
      <c r="O175" s="44">
        <f t="shared" si="63"/>
        <v>0.44</v>
      </c>
      <c r="P175" s="44">
        <f t="shared" si="63"/>
        <v>0.44</v>
      </c>
      <c r="Q175" s="44">
        <f t="shared" si="63"/>
        <v>0.44</v>
      </c>
      <c r="R175" s="44">
        <f t="shared" si="63"/>
        <v>0.44</v>
      </c>
      <c r="S175" s="44">
        <f t="shared" si="64"/>
        <v>0.44</v>
      </c>
      <c r="T175" s="44">
        <f t="shared" si="64"/>
        <v>0.44</v>
      </c>
      <c r="U175" s="44">
        <f t="shared" si="64"/>
        <v>0.44</v>
      </c>
      <c r="V175" s="44">
        <f t="shared" si="64"/>
        <v>0.44</v>
      </c>
      <c r="W175" s="44">
        <f t="shared" si="64"/>
        <v>0.44</v>
      </c>
      <c r="X175" s="44">
        <f t="shared" si="64"/>
        <v>0.44</v>
      </c>
      <c r="Y175" s="44">
        <f t="shared" si="64"/>
        <v>0.44</v>
      </c>
      <c r="Z175" s="44">
        <f t="shared" si="64"/>
        <v>0.44</v>
      </c>
      <c r="AA175" s="44">
        <f t="shared" si="64"/>
        <v>0.44</v>
      </c>
      <c r="AB175" s="44">
        <f t="shared" si="64"/>
        <v>0.44</v>
      </c>
      <c r="AC175" s="44">
        <f t="shared" si="64"/>
        <v>0.44</v>
      </c>
      <c r="AD175" s="44">
        <f t="shared" si="64"/>
        <v>0.44</v>
      </c>
      <c r="AE175" s="44">
        <f t="shared" si="64"/>
        <v>0.44</v>
      </c>
      <c r="AF175" s="44">
        <f t="shared" si="64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62"/>
        <v>2.1</v>
      </c>
      <c r="C176" s="55">
        <v>2.1</v>
      </c>
      <c r="D176" s="44">
        <f t="shared" si="63"/>
        <v>2.1</v>
      </c>
      <c r="E176" s="44">
        <f t="shared" si="63"/>
        <v>2.1</v>
      </c>
      <c r="F176" s="44">
        <f t="shared" si="63"/>
        <v>2.1</v>
      </c>
      <c r="G176" s="44">
        <f t="shared" si="63"/>
        <v>2.1</v>
      </c>
      <c r="H176" s="44">
        <f t="shared" si="63"/>
        <v>2.1</v>
      </c>
      <c r="I176" s="44">
        <f t="shared" si="63"/>
        <v>2.1</v>
      </c>
      <c r="J176" s="44">
        <f t="shared" si="63"/>
        <v>2.1</v>
      </c>
      <c r="K176" s="44">
        <f t="shared" si="63"/>
        <v>2.1</v>
      </c>
      <c r="L176" s="44">
        <f t="shared" si="63"/>
        <v>2.1</v>
      </c>
      <c r="M176" s="44">
        <f t="shared" si="63"/>
        <v>2.1</v>
      </c>
      <c r="N176" s="44">
        <f t="shared" si="63"/>
        <v>2.1</v>
      </c>
      <c r="O176" s="44">
        <f t="shared" si="63"/>
        <v>2.1</v>
      </c>
      <c r="P176" s="44">
        <f t="shared" si="63"/>
        <v>2.1</v>
      </c>
      <c r="Q176" s="44">
        <f t="shared" si="63"/>
        <v>2.1</v>
      </c>
      <c r="R176" s="44">
        <f t="shared" si="63"/>
        <v>2.1</v>
      </c>
      <c r="S176" s="44">
        <f t="shared" si="64"/>
        <v>2.1</v>
      </c>
      <c r="T176" s="44">
        <f t="shared" si="64"/>
        <v>2.1</v>
      </c>
      <c r="U176" s="44">
        <f t="shared" si="64"/>
        <v>2.1</v>
      </c>
      <c r="V176" s="44">
        <f t="shared" si="64"/>
        <v>2.1</v>
      </c>
      <c r="W176" s="44">
        <f t="shared" si="64"/>
        <v>2.1</v>
      </c>
      <c r="X176" s="44">
        <f t="shared" si="64"/>
        <v>2.1</v>
      </c>
      <c r="Y176" s="44">
        <f t="shared" si="64"/>
        <v>2.1</v>
      </c>
      <c r="Z176" s="44">
        <f t="shared" si="64"/>
        <v>2.1</v>
      </c>
      <c r="AA176" s="44">
        <f t="shared" si="64"/>
        <v>2.1</v>
      </c>
      <c r="AB176" s="44">
        <f t="shared" si="64"/>
        <v>2.1</v>
      </c>
      <c r="AC176" s="44">
        <f t="shared" si="64"/>
        <v>2.1</v>
      </c>
      <c r="AD176" s="44">
        <f t="shared" si="64"/>
        <v>2.1</v>
      </c>
      <c r="AE176" s="44">
        <f t="shared" si="64"/>
        <v>2.1</v>
      </c>
      <c r="AF176" s="44">
        <f t="shared" si="64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62"/>
        <v>0.9</v>
      </c>
      <c r="C177" s="55">
        <v>0.9</v>
      </c>
      <c r="D177" s="44">
        <f t="shared" si="63"/>
        <v>0.9</v>
      </c>
      <c r="E177" s="44">
        <f t="shared" si="63"/>
        <v>0.9</v>
      </c>
      <c r="F177" s="44">
        <f t="shared" si="63"/>
        <v>0.9</v>
      </c>
      <c r="G177" s="44">
        <f t="shared" si="63"/>
        <v>0.9</v>
      </c>
      <c r="H177" s="44">
        <f t="shared" si="63"/>
        <v>0.9</v>
      </c>
      <c r="I177" s="44">
        <f t="shared" si="63"/>
        <v>0.9</v>
      </c>
      <c r="J177" s="44">
        <f t="shared" si="63"/>
        <v>0.9</v>
      </c>
      <c r="K177" s="44">
        <f t="shared" si="63"/>
        <v>0.9</v>
      </c>
      <c r="L177" s="44">
        <f t="shared" si="63"/>
        <v>0.9</v>
      </c>
      <c r="M177" s="44">
        <f t="shared" si="63"/>
        <v>0.9</v>
      </c>
      <c r="N177" s="44">
        <f t="shared" si="63"/>
        <v>0.9</v>
      </c>
      <c r="O177" s="44">
        <f t="shared" si="63"/>
        <v>0.9</v>
      </c>
      <c r="P177" s="44">
        <f t="shared" si="63"/>
        <v>0.9</v>
      </c>
      <c r="Q177" s="44">
        <f t="shared" si="63"/>
        <v>0.9</v>
      </c>
      <c r="R177" s="44">
        <f t="shared" si="63"/>
        <v>0.9</v>
      </c>
      <c r="S177" s="44">
        <f t="shared" si="64"/>
        <v>0.9</v>
      </c>
      <c r="T177" s="44">
        <f t="shared" si="64"/>
        <v>0.9</v>
      </c>
      <c r="U177" s="44">
        <f t="shared" si="64"/>
        <v>0.9</v>
      </c>
      <c r="V177" s="44">
        <f t="shared" si="64"/>
        <v>0.9</v>
      </c>
      <c r="W177" s="44">
        <f t="shared" si="64"/>
        <v>0.9</v>
      </c>
      <c r="X177" s="44">
        <f t="shared" si="64"/>
        <v>0.9</v>
      </c>
      <c r="Y177" s="44">
        <f t="shared" si="64"/>
        <v>0.9</v>
      </c>
      <c r="Z177" s="44">
        <f t="shared" si="64"/>
        <v>0.9</v>
      </c>
      <c r="AA177" s="44">
        <f t="shared" si="64"/>
        <v>0.9</v>
      </c>
      <c r="AB177" s="44">
        <f t="shared" si="64"/>
        <v>0.9</v>
      </c>
      <c r="AC177" s="44">
        <f t="shared" si="64"/>
        <v>0.9</v>
      </c>
      <c r="AD177" s="44">
        <f t="shared" si="64"/>
        <v>0.9</v>
      </c>
      <c r="AE177" s="44">
        <f t="shared" si="64"/>
        <v>0.9</v>
      </c>
      <c r="AF177" s="44">
        <f t="shared" si="64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65">AF179</f>
        <v>0.57999999999999996</v>
      </c>
      <c r="C179" s="55">
        <v>0.57999999999999996</v>
      </c>
      <c r="D179" s="44">
        <f t="shared" ref="D179:S191" si="66">C179</f>
        <v>0.57999999999999996</v>
      </c>
      <c r="E179" s="44">
        <f t="shared" si="66"/>
        <v>0.57999999999999996</v>
      </c>
      <c r="F179" s="44">
        <f t="shared" si="66"/>
        <v>0.57999999999999996</v>
      </c>
      <c r="G179" s="44">
        <f t="shared" si="66"/>
        <v>0.57999999999999996</v>
      </c>
      <c r="H179" s="44">
        <f t="shared" si="66"/>
        <v>0.57999999999999996</v>
      </c>
      <c r="I179" s="44">
        <f t="shared" si="66"/>
        <v>0.57999999999999996</v>
      </c>
      <c r="J179" s="44">
        <f t="shared" si="66"/>
        <v>0.57999999999999996</v>
      </c>
      <c r="K179" s="44">
        <f t="shared" si="66"/>
        <v>0.57999999999999996</v>
      </c>
      <c r="L179" s="44">
        <f t="shared" si="66"/>
        <v>0.57999999999999996</v>
      </c>
      <c r="M179" s="44">
        <f t="shared" si="66"/>
        <v>0.57999999999999996</v>
      </c>
      <c r="N179" s="44">
        <f t="shared" si="66"/>
        <v>0.57999999999999996</v>
      </c>
      <c r="O179" s="44">
        <f t="shared" si="66"/>
        <v>0.57999999999999996</v>
      </c>
      <c r="P179" s="44">
        <f t="shared" si="66"/>
        <v>0.57999999999999996</v>
      </c>
      <c r="Q179" s="44">
        <f t="shared" si="66"/>
        <v>0.57999999999999996</v>
      </c>
      <c r="R179" s="44">
        <f t="shared" si="66"/>
        <v>0.57999999999999996</v>
      </c>
      <c r="S179" s="44">
        <f t="shared" si="66"/>
        <v>0.57999999999999996</v>
      </c>
      <c r="T179" s="44">
        <f t="shared" ref="S179:AF191" si="67">S179</f>
        <v>0.57999999999999996</v>
      </c>
      <c r="U179" s="44">
        <f t="shared" si="67"/>
        <v>0.57999999999999996</v>
      </c>
      <c r="V179" s="44">
        <f t="shared" si="67"/>
        <v>0.57999999999999996</v>
      </c>
      <c r="W179" s="44">
        <f t="shared" si="67"/>
        <v>0.57999999999999996</v>
      </c>
      <c r="X179" s="44">
        <f t="shared" si="67"/>
        <v>0.57999999999999996</v>
      </c>
      <c r="Y179" s="44">
        <f t="shared" si="67"/>
        <v>0.57999999999999996</v>
      </c>
      <c r="Z179" s="44">
        <f t="shared" si="67"/>
        <v>0.57999999999999996</v>
      </c>
      <c r="AA179" s="44">
        <f t="shared" si="67"/>
        <v>0.57999999999999996</v>
      </c>
      <c r="AB179" s="44">
        <f t="shared" si="67"/>
        <v>0.57999999999999996</v>
      </c>
      <c r="AC179" s="44">
        <f t="shared" si="67"/>
        <v>0.57999999999999996</v>
      </c>
      <c r="AD179" s="44">
        <f t="shared" si="67"/>
        <v>0.57999999999999996</v>
      </c>
      <c r="AE179" s="44">
        <f t="shared" si="67"/>
        <v>0.57999999999999996</v>
      </c>
      <c r="AF179" s="44">
        <f t="shared" si="67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65"/>
        <v>0.8</v>
      </c>
      <c r="C180" s="55">
        <v>0.8</v>
      </c>
      <c r="D180" s="44">
        <f t="shared" si="66"/>
        <v>0.8</v>
      </c>
      <c r="E180" s="44">
        <f t="shared" si="66"/>
        <v>0.8</v>
      </c>
      <c r="F180" s="44">
        <f t="shared" si="66"/>
        <v>0.8</v>
      </c>
      <c r="G180" s="44">
        <f t="shared" si="66"/>
        <v>0.8</v>
      </c>
      <c r="H180" s="44">
        <f t="shared" si="66"/>
        <v>0.8</v>
      </c>
      <c r="I180" s="44">
        <f t="shared" si="66"/>
        <v>0.8</v>
      </c>
      <c r="J180" s="44">
        <f t="shared" si="66"/>
        <v>0.8</v>
      </c>
      <c r="K180" s="44">
        <f t="shared" si="66"/>
        <v>0.8</v>
      </c>
      <c r="L180" s="44">
        <f t="shared" si="66"/>
        <v>0.8</v>
      </c>
      <c r="M180" s="44">
        <f t="shared" si="66"/>
        <v>0.8</v>
      </c>
      <c r="N180" s="44">
        <f t="shared" si="66"/>
        <v>0.8</v>
      </c>
      <c r="O180" s="44">
        <f t="shared" si="66"/>
        <v>0.8</v>
      </c>
      <c r="P180" s="44">
        <f t="shared" si="66"/>
        <v>0.8</v>
      </c>
      <c r="Q180" s="44">
        <f t="shared" si="66"/>
        <v>0.8</v>
      </c>
      <c r="R180" s="44">
        <f t="shared" si="66"/>
        <v>0.8</v>
      </c>
      <c r="S180" s="44">
        <f t="shared" si="66"/>
        <v>0.8</v>
      </c>
      <c r="T180" s="44">
        <f t="shared" si="67"/>
        <v>0.8</v>
      </c>
      <c r="U180" s="44">
        <f t="shared" si="67"/>
        <v>0.8</v>
      </c>
      <c r="V180" s="44">
        <f t="shared" si="67"/>
        <v>0.8</v>
      </c>
      <c r="W180" s="44">
        <f t="shared" si="67"/>
        <v>0.8</v>
      </c>
      <c r="X180" s="44">
        <f t="shared" si="67"/>
        <v>0.8</v>
      </c>
      <c r="Y180" s="44">
        <f t="shared" si="67"/>
        <v>0.8</v>
      </c>
      <c r="Z180" s="44">
        <f t="shared" si="67"/>
        <v>0.8</v>
      </c>
      <c r="AA180" s="44">
        <f t="shared" si="67"/>
        <v>0.8</v>
      </c>
      <c r="AB180" s="44">
        <f t="shared" si="67"/>
        <v>0.8</v>
      </c>
      <c r="AC180" s="44">
        <f t="shared" si="67"/>
        <v>0.8</v>
      </c>
      <c r="AD180" s="44">
        <f t="shared" si="67"/>
        <v>0.8</v>
      </c>
      <c r="AE180" s="44">
        <f t="shared" si="67"/>
        <v>0.8</v>
      </c>
      <c r="AF180" s="44">
        <f t="shared" si="67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65"/>
        <v>0</v>
      </c>
      <c r="C181" s="55">
        <v>0</v>
      </c>
      <c r="D181" s="44">
        <f t="shared" si="66"/>
        <v>0</v>
      </c>
      <c r="E181" s="44">
        <f t="shared" si="66"/>
        <v>0</v>
      </c>
      <c r="F181" s="44">
        <f t="shared" si="66"/>
        <v>0</v>
      </c>
      <c r="G181" s="44">
        <f t="shared" si="66"/>
        <v>0</v>
      </c>
      <c r="H181" s="44">
        <f t="shared" si="66"/>
        <v>0</v>
      </c>
      <c r="I181" s="44">
        <f t="shared" si="66"/>
        <v>0</v>
      </c>
      <c r="J181" s="44">
        <f t="shared" si="66"/>
        <v>0</v>
      </c>
      <c r="K181" s="44">
        <f t="shared" si="66"/>
        <v>0</v>
      </c>
      <c r="L181" s="44">
        <f t="shared" si="66"/>
        <v>0</v>
      </c>
      <c r="M181" s="44">
        <f t="shared" si="66"/>
        <v>0</v>
      </c>
      <c r="N181" s="44">
        <f t="shared" si="66"/>
        <v>0</v>
      </c>
      <c r="O181" s="44">
        <f t="shared" si="66"/>
        <v>0</v>
      </c>
      <c r="P181" s="44">
        <f t="shared" si="66"/>
        <v>0</v>
      </c>
      <c r="Q181" s="44">
        <f t="shared" si="66"/>
        <v>0</v>
      </c>
      <c r="R181" s="44">
        <f t="shared" si="66"/>
        <v>0</v>
      </c>
      <c r="S181" s="44">
        <f t="shared" si="66"/>
        <v>0</v>
      </c>
      <c r="T181" s="44">
        <f t="shared" si="67"/>
        <v>0</v>
      </c>
      <c r="U181" s="44">
        <f t="shared" si="67"/>
        <v>0</v>
      </c>
      <c r="V181" s="44">
        <f t="shared" si="67"/>
        <v>0</v>
      </c>
      <c r="W181" s="44">
        <f t="shared" si="67"/>
        <v>0</v>
      </c>
      <c r="X181" s="44">
        <f t="shared" si="67"/>
        <v>0</v>
      </c>
      <c r="Y181" s="44">
        <f t="shared" si="67"/>
        <v>0</v>
      </c>
      <c r="Z181" s="44">
        <f t="shared" si="67"/>
        <v>0</v>
      </c>
      <c r="AA181" s="44">
        <f t="shared" si="67"/>
        <v>0</v>
      </c>
      <c r="AB181" s="44">
        <f t="shared" si="67"/>
        <v>0</v>
      </c>
      <c r="AC181" s="44">
        <f t="shared" si="67"/>
        <v>0</v>
      </c>
      <c r="AD181" s="44">
        <f t="shared" si="67"/>
        <v>0</v>
      </c>
      <c r="AE181" s="44">
        <f t="shared" si="67"/>
        <v>0</v>
      </c>
      <c r="AF181" s="44">
        <f t="shared" si="67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65"/>
        <v>0.6</v>
      </c>
      <c r="C182" s="55">
        <v>0.6</v>
      </c>
      <c r="D182" s="44">
        <f t="shared" si="66"/>
        <v>0.6</v>
      </c>
      <c r="E182" s="44">
        <f t="shared" si="66"/>
        <v>0.6</v>
      </c>
      <c r="F182" s="44">
        <f t="shared" si="66"/>
        <v>0.6</v>
      </c>
      <c r="G182" s="44">
        <f t="shared" si="66"/>
        <v>0.6</v>
      </c>
      <c r="H182" s="44">
        <f t="shared" si="66"/>
        <v>0.6</v>
      </c>
      <c r="I182" s="44">
        <f t="shared" si="66"/>
        <v>0.6</v>
      </c>
      <c r="J182" s="44">
        <f t="shared" si="66"/>
        <v>0.6</v>
      </c>
      <c r="K182" s="44">
        <f t="shared" si="66"/>
        <v>0.6</v>
      </c>
      <c r="L182" s="44">
        <f t="shared" si="66"/>
        <v>0.6</v>
      </c>
      <c r="M182" s="44">
        <f t="shared" si="66"/>
        <v>0.6</v>
      </c>
      <c r="N182" s="44">
        <f t="shared" si="66"/>
        <v>0.6</v>
      </c>
      <c r="O182" s="44">
        <f t="shared" si="66"/>
        <v>0.6</v>
      </c>
      <c r="P182" s="44">
        <f t="shared" si="66"/>
        <v>0.6</v>
      </c>
      <c r="Q182" s="44">
        <f t="shared" si="66"/>
        <v>0.6</v>
      </c>
      <c r="R182" s="44">
        <f t="shared" si="66"/>
        <v>0.6</v>
      </c>
      <c r="S182" s="44">
        <f t="shared" si="66"/>
        <v>0.6</v>
      </c>
      <c r="T182" s="44">
        <f t="shared" si="67"/>
        <v>0.6</v>
      </c>
      <c r="U182" s="44">
        <f t="shared" si="67"/>
        <v>0.6</v>
      </c>
      <c r="V182" s="44">
        <f t="shared" si="67"/>
        <v>0.6</v>
      </c>
      <c r="W182" s="44">
        <f t="shared" si="67"/>
        <v>0.6</v>
      </c>
      <c r="X182" s="44">
        <f t="shared" si="67"/>
        <v>0.6</v>
      </c>
      <c r="Y182" s="44">
        <f t="shared" si="67"/>
        <v>0.6</v>
      </c>
      <c r="Z182" s="44">
        <f t="shared" si="67"/>
        <v>0.6</v>
      </c>
      <c r="AA182" s="44">
        <f t="shared" si="67"/>
        <v>0.6</v>
      </c>
      <c r="AB182" s="44">
        <f t="shared" si="67"/>
        <v>0.6</v>
      </c>
      <c r="AC182" s="44">
        <f t="shared" si="67"/>
        <v>0.6</v>
      </c>
      <c r="AD182" s="44">
        <f t="shared" si="67"/>
        <v>0.6</v>
      </c>
      <c r="AE182" s="44">
        <f t="shared" si="67"/>
        <v>0.6</v>
      </c>
      <c r="AF182" s="44">
        <f t="shared" si="67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65"/>
        <v>0.6</v>
      </c>
      <c r="C183" s="55">
        <v>0.6</v>
      </c>
      <c r="D183" s="44">
        <f t="shared" si="66"/>
        <v>0.6</v>
      </c>
      <c r="E183" s="44">
        <f t="shared" si="66"/>
        <v>0.6</v>
      </c>
      <c r="F183" s="44">
        <f t="shared" si="66"/>
        <v>0.6</v>
      </c>
      <c r="G183" s="44">
        <f t="shared" si="66"/>
        <v>0.6</v>
      </c>
      <c r="H183" s="44">
        <f t="shared" si="66"/>
        <v>0.6</v>
      </c>
      <c r="I183" s="44">
        <f t="shared" si="66"/>
        <v>0.6</v>
      </c>
      <c r="J183" s="44">
        <f t="shared" si="66"/>
        <v>0.6</v>
      </c>
      <c r="K183" s="44">
        <f t="shared" si="66"/>
        <v>0.6</v>
      </c>
      <c r="L183" s="44">
        <f t="shared" si="66"/>
        <v>0.6</v>
      </c>
      <c r="M183" s="44">
        <f t="shared" si="66"/>
        <v>0.6</v>
      </c>
      <c r="N183" s="44">
        <f t="shared" si="66"/>
        <v>0.6</v>
      </c>
      <c r="O183" s="44">
        <f t="shared" si="66"/>
        <v>0.6</v>
      </c>
      <c r="P183" s="44">
        <f t="shared" si="66"/>
        <v>0.6</v>
      </c>
      <c r="Q183" s="44">
        <f t="shared" si="66"/>
        <v>0.6</v>
      </c>
      <c r="R183" s="44">
        <f t="shared" si="66"/>
        <v>0.6</v>
      </c>
      <c r="S183" s="44">
        <f t="shared" si="66"/>
        <v>0.6</v>
      </c>
      <c r="T183" s="44">
        <f t="shared" si="67"/>
        <v>0.6</v>
      </c>
      <c r="U183" s="44">
        <f t="shared" si="67"/>
        <v>0.6</v>
      </c>
      <c r="V183" s="44">
        <f t="shared" si="67"/>
        <v>0.6</v>
      </c>
      <c r="W183" s="44">
        <f t="shared" si="67"/>
        <v>0.6</v>
      </c>
      <c r="X183" s="44">
        <f t="shared" si="67"/>
        <v>0.6</v>
      </c>
      <c r="Y183" s="44">
        <f t="shared" si="67"/>
        <v>0.6</v>
      </c>
      <c r="Z183" s="44">
        <f t="shared" si="67"/>
        <v>0.6</v>
      </c>
      <c r="AA183" s="44">
        <f t="shared" si="67"/>
        <v>0.6</v>
      </c>
      <c r="AB183" s="44">
        <f t="shared" si="67"/>
        <v>0.6</v>
      </c>
      <c r="AC183" s="44">
        <f t="shared" si="67"/>
        <v>0.6</v>
      </c>
      <c r="AD183" s="44">
        <f t="shared" si="67"/>
        <v>0.6</v>
      </c>
      <c r="AE183" s="44">
        <f t="shared" si="67"/>
        <v>0.6</v>
      </c>
      <c r="AF183" s="44">
        <f t="shared" si="67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65"/>
        <v>0.35</v>
      </c>
      <c r="C184" s="55">
        <v>0.35</v>
      </c>
      <c r="D184" s="44">
        <f t="shared" si="66"/>
        <v>0.35</v>
      </c>
      <c r="E184" s="44">
        <f t="shared" si="66"/>
        <v>0.35</v>
      </c>
      <c r="F184" s="44">
        <f t="shared" si="66"/>
        <v>0.35</v>
      </c>
      <c r="G184" s="44">
        <f t="shared" si="66"/>
        <v>0.35</v>
      </c>
      <c r="H184" s="44">
        <f t="shared" si="66"/>
        <v>0.35</v>
      </c>
      <c r="I184" s="44">
        <f t="shared" si="66"/>
        <v>0.35</v>
      </c>
      <c r="J184" s="44">
        <f t="shared" si="66"/>
        <v>0.35</v>
      </c>
      <c r="K184" s="44">
        <f t="shared" si="66"/>
        <v>0.35</v>
      </c>
      <c r="L184" s="44">
        <f t="shared" si="66"/>
        <v>0.35</v>
      </c>
      <c r="M184" s="44">
        <f t="shared" si="66"/>
        <v>0.35</v>
      </c>
      <c r="N184" s="44">
        <f t="shared" si="66"/>
        <v>0.35</v>
      </c>
      <c r="O184" s="44">
        <f t="shared" si="66"/>
        <v>0.35</v>
      </c>
      <c r="P184" s="44">
        <f t="shared" si="66"/>
        <v>0.35</v>
      </c>
      <c r="Q184" s="44">
        <f t="shared" si="66"/>
        <v>0.35</v>
      </c>
      <c r="R184" s="44">
        <f t="shared" si="66"/>
        <v>0.35</v>
      </c>
      <c r="S184" s="44">
        <f t="shared" si="66"/>
        <v>0.35</v>
      </c>
      <c r="T184" s="44">
        <f t="shared" si="67"/>
        <v>0.35</v>
      </c>
      <c r="U184" s="44">
        <f t="shared" si="67"/>
        <v>0.35</v>
      </c>
      <c r="V184" s="44">
        <f t="shared" si="67"/>
        <v>0.35</v>
      </c>
      <c r="W184" s="44">
        <f t="shared" si="67"/>
        <v>0.35</v>
      </c>
      <c r="X184" s="44">
        <f t="shared" si="67"/>
        <v>0.35</v>
      </c>
      <c r="Y184" s="44">
        <f t="shared" si="67"/>
        <v>0.35</v>
      </c>
      <c r="Z184" s="44">
        <f t="shared" si="67"/>
        <v>0.35</v>
      </c>
      <c r="AA184" s="44">
        <f t="shared" si="67"/>
        <v>0.35</v>
      </c>
      <c r="AB184" s="44">
        <f t="shared" si="67"/>
        <v>0.35</v>
      </c>
      <c r="AC184" s="44">
        <f t="shared" si="67"/>
        <v>0.35</v>
      </c>
      <c r="AD184" s="44">
        <f t="shared" si="67"/>
        <v>0.35</v>
      </c>
      <c r="AE184" s="44">
        <f t="shared" si="67"/>
        <v>0.35</v>
      </c>
      <c r="AF184" s="44">
        <f t="shared" si="67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65"/>
        <v>0.28999999999999998</v>
      </c>
      <c r="C185" s="55">
        <v>0.28999999999999998</v>
      </c>
      <c r="D185" s="44">
        <f t="shared" si="66"/>
        <v>0.28999999999999998</v>
      </c>
      <c r="E185" s="44">
        <f t="shared" si="66"/>
        <v>0.28999999999999998</v>
      </c>
      <c r="F185" s="44">
        <f t="shared" si="66"/>
        <v>0.28999999999999998</v>
      </c>
      <c r="G185" s="44">
        <f t="shared" si="66"/>
        <v>0.28999999999999998</v>
      </c>
      <c r="H185" s="44">
        <f t="shared" si="66"/>
        <v>0.28999999999999998</v>
      </c>
      <c r="I185" s="44">
        <f t="shared" si="66"/>
        <v>0.28999999999999998</v>
      </c>
      <c r="J185" s="44">
        <f t="shared" si="66"/>
        <v>0.28999999999999998</v>
      </c>
      <c r="K185" s="44">
        <f t="shared" si="66"/>
        <v>0.28999999999999998</v>
      </c>
      <c r="L185" s="44">
        <f t="shared" si="66"/>
        <v>0.28999999999999998</v>
      </c>
      <c r="M185" s="44">
        <f t="shared" si="66"/>
        <v>0.28999999999999998</v>
      </c>
      <c r="N185" s="44">
        <f t="shared" si="66"/>
        <v>0.28999999999999998</v>
      </c>
      <c r="O185" s="44">
        <f t="shared" si="66"/>
        <v>0.28999999999999998</v>
      </c>
      <c r="P185" s="44">
        <f t="shared" si="66"/>
        <v>0.28999999999999998</v>
      </c>
      <c r="Q185" s="44">
        <f t="shared" si="66"/>
        <v>0.28999999999999998</v>
      </c>
      <c r="R185" s="44">
        <f t="shared" si="66"/>
        <v>0.28999999999999998</v>
      </c>
      <c r="S185" s="44">
        <f t="shared" si="66"/>
        <v>0.28999999999999998</v>
      </c>
      <c r="T185" s="44">
        <f t="shared" si="67"/>
        <v>0.28999999999999998</v>
      </c>
      <c r="U185" s="44">
        <f t="shared" si="67"/>
        <v>0.28999999999999998</v>
      </c>
      <c r="V185" s="44">
        <f t="shared" si="67"/>
        <v>0.28999999999999998</v>
      </c>
      <c r="W185" s="44">
        <f t="shared" si="67"/>
        <v>0.28999999999999998</v>
      </c>
      <c r="X185" s="44">
        <f t="shared" si="67"/>
        <v>0.28999999999999998</v>
      </c>
      <c r="Y185" s="44">
        <f t="shared" si="67"/>
        <v>0.28999999999999998</v>
      </c>
      <c r="Z185" s="44">
        <f t="shared" si="67"/>
        <v>0.28999999999999998</v>
      </c>
      <c r="AA185" s="44">
        <f t="shared" si="67"/>
        <v>0.28999999999999998</v>
      </c>
      <c r="AB185" s="44">
        <f t="shared" si="67"/>
        <v>0.28999999999999998</v>
      </c>
      <c r="AC185" s="44">
        <f t="shared" si="67"/>
        <v>0.28999999999999998</v>
      </c>
      <c r="AD185" s="44">
        <f t="shared" si="67"/>
        <v>0.28999999999999998</v>
      </c>
      <c r="AE185" s="44">
        <f t="shared" si="67"/>
        <v>0.28999999999999998</v>
      </c>
      <c r="AF185" s="44">
        <f t="shared" si="67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65"/>
        <v>0.06</v>
      </c>
      <c r="C186" s="55">
        <v>0.06</v>
      </c>
      <c r="D186" s="44">
        <f t="shared" si="66"/>
        <v>0.06</v>
      </c>
      <c r="E186" s="44">
        <f t="shared" si="66"/>
        <v>0.06</v>
      </c>
      <c r="F186" s="44">
        <f t="shared" si="66"/>
        <v>0.06</v>
      </c>
      <c r="G186" s="44">
        <f t="shared" si="66"/>
        <v>0.06</v>
      </c>
      <c r="H186" s="44">
        <f t="shared" si="66"/>
        <v>0.06</v>
      </c>
      <c r="I186" s="44">
        <f t="shared" si="66"/>
        <v>0.06</v>
      </c>
      <c r="J186" s="44">
        <f t="shared" si="66"/>
        <v>0.06</v>
      </c>
      <c r="K186" s="44">
        <f t="shared" si="66"/>
        <v>0.06</v>
      </c>
      <c r="L186" s="44">
        <f t="shared" si="66"/>
        <v>0.06</v>
      </c>
      <c r="M186" s="44">
        <f t="shared" si="66"/>
        <v>0.06</v>
      </c>
      <c r="N186" s="44">
        <f t="shared" si="66"/>
        <v>0.06</v>
      </c>
      <c r="O186" s="44">
        <f t="shared" si="66"/>
        <v>0.06</v>
      </c>
      <c r="P186" s="44">
        <f t="shared" si="66"/>
        <v>0.06</v>
      </c>
      <c r="Q186" s="44">
        <f t="shared" si="66"/>
        <v>0.06</v>
      </c>
      <c r="R186" s="44">
        <f t="shared" si="66"/>
        <v>0.06</v>
      </c>
      <c r="S186" s="44">
        <f t="shared" si="66"/>
        <v>0.06</v>
      </c>
      <c r="T186" s="44">
        <f t="shared" si="67"/>
        <v>0.06</v>
      </c>
      <c r="U186" s="44">
        <f t="shared" si="67"/>
        <v>0.06</v>
      </c>
      <c r="V186" s="44">
        <f t="shared" si="67"/>
        <v>0.06</v>
      </c>
      <c r="W186" s="44">
        <f t="shared" si="67"/>
        <v>0.06</v>
      </c>
      <c r="X186" s="44">
        <f t="shared" si="67"/>
        <v>0.06</v>
      </c>
      <c r="Y186" s="44">
        <f t="shared" si="67"/>
        <v>0.06</v>
      </c>
      <c r="Z186" s="44">
        <f t="shared" si="67"/>
        <v>0.06</v>
      </c>
      <c r="AA186" s="44">
        <f t="shared" si="67"/>
        <v>0.06</v>
      </c>
      <c r="AB186" s="44">
        <f t="shared" si="67"/>
        <v>0.06</v>
      </c>
      <c r="AC186" s="44">
        <f t="shared" si="67"/>
        <v>0.06</v>
      </c>
      <c r="AD186" s="44">
        <f t="shared" si="67"/>
        <v>0.06</v>
      </c>
      <c r="AE186" s="44">
        <f t="shared" si="67"/>
        <v>0.06</v>
      </c>
      <c r="AF186" s="44">
        <f t="shared" si="67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65"/>
        <v>0.11</v>
      </c>
      <c r="C187" s="55">
        <v>0.11</v>
      </c>
      <c r="D187" s="44">
        <f t="shared" si="66"/>
        <v>0.11</v>
      </c>
      <c r="E187" s="44">
        <f t="shared" si="66"/>
        <v>0.11</v>
      </c>
      <c r="F187" s="44">
        <f t="shared" si="66"/>
        <v>0.11</v>
      </c>
      <c r="G187" s="44">
        <f t="shared" si="66"/>
        <v>0.11</v>
      </c>
      <c r="H187" s="44">
        <f t="shared" si="66"/>
        <v>0.11</v>
      </c>
      <c r="I187" s="44">
        <f t="shared" si="66"/>
        <v>0.11</v>
      </c>
      <c r="J187" s="44">
        <f t="shared" si="66"/>
        <v>0.11</v>
      </c>
      <c r="K187" s="44">
        <f t="shared" si="66"/>
        <v>0.11</v>
      </c>
      <c r="L187" s="44">
        <f t="shared" si="66"/>
        <v>0.11</v>
      </c>
      <c r="M187" s="44">
        <f t="shared" si="66"/>
        <v>0.11</v>
      </c>
      <c r="N187" s="44">
        <f t="shared" si="66"/>
        <v>0.11</v>
      </c>
      <c r="O187" s="44">
        <f t="shared" si="66"/>
        <v>0.11</v>
      </c>
      <c r="P187" s="44">
        <f t="shared" si="66"/>
        <v>0.11</v>
      </c>
      <c r="Q187" s="44">
        <f t="shared" si="66"/>
        <v>0.11</v>
      </c>
      <c r="R187" s="44">
        <f t="shared" si="66"/>
        <v>0.11</v>
      </c>
      <c r="S187" s="44">
        <f t="shared" si="66"/>
        <v>0.11</v>
      </c>
      <c r="T187" s="44">
        <f t="shared" si="67"/>
        <v>0.11</v>
      </c>
      <c r="U187" s="44">
        <f t="shared" si="67"/>
        <v>0.11</v>
      </c>
      <c r="V187" s="44">
        <f t="shared" si="67"/>
        <v>0.11</v>
      </c>
      <c r="W187" s="44">
        <f t="shared" si="67"/>
        <v>0.11</v>
      </c>
      <c r="X187" s="44">
        <f t="shared" si="67"/>
        <v>0.11</v>
      </c>
      <c r="Y187" s="44">
        <f t="shared" si="67"/>
        <v>0.11</v>
      </c>
      <c r="Z187" s="44">
        <f t="shared" si="67"/>
        <v>0.11</v>
      </c>
      <c r="AA187" s="44">
        <f t="shared" si="67"/>
        <v>0.11</v>
      </c>
      <c r="AB187" s="44">
        <f t="shared" si="67"/>
        <v>0.11</v>
      </c>
      <c r="AC187" s="44">
        <f t="shared" si="67"/>
        <v>0.11</v>
      </c>
      <c r="AD187" s="44">
        <f t="shared" si="67"/>
        <v>0.11</v>
      </c>
      <c r="AE187" s="44">
        <f t="shared" si="67"/>
        <v>0.11</v>
      </c>
      <c r="AF187" s="44">
        <f t="shared" si="67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65"/>
        <v>0.1</v>
      </c>
      <c r="C188" s="55">
        <v>0.1</v>
      </c>
      <c r="D188" s="44">
        <f t="shared" si="66"/>
        <v>0.1</v>
      </c>
      <c r="E188" s="44">
        <f t="shared" si="66"/>
        <v>0.1</v>
      </c>
      <c r="F188" s="44">
        <f t="shared" si="66"/>
        <v>0.1</v>
      </c>
      <c r="G188" s="44">
        <f t="shared" si="66"/>
        <v>0.1</v>
      </c>
      <c r="H188" s="44">
        <f t="shared" si="66"/>
        <v>0.1</v>
      </c>
      <c r="I188" s="44">
        <f t="shared" si="66"/>
        <v>0.1</v>
      </c>
      <c r="J188" s="44">
        <f t="shared" si="66"/>
        <v>0.1</v>
      </c>
      <c r="K188" s="44">
        <f t="shared" si="66"/>
        <v>0.1</v>
      </c>
      <c r="L188" s="44">
        <f t="shared" si="66"/>
        <v>0.1</v>
      </c>
      <c r="M188" s="44">
        <f t="shared" si="66"/>
        <v>0.1</v>
      </c>
      <c r="N188" s="44">
        <f t="shared" si="66"/>
        <v>0.1</v>
      </c>
      <c r="O188" s="44">
        <f t="shared" si="66"/>
        <v>0.1</v>
      </c>
      <c r="P188" s="44">
        <f t="shared" si="66"/>
        <v>0.1</v>
      </c>
      <c r="Q188" s="44">
        <f t="shared" si="66"/>
        <v>0.1</v>
      </c>
      <c r="R188" s="44">
        <f t="shared" si="66"/>
        <v>0.1</v>
      </c>
      <c r="S188" s="44">
        <f t="shared" si="67"/>
        <v>0.1</v>
      </c>
      <c r="T188" s="44">
        <f t="shared" si="67"/>
        <v>0.1</v>
      </c>
      <c r="U188" s="44">
        <f t="shared" si="67"/>
        <v>0.1</v>
      </c>
      <c r="V188" s="44">
        <f t="shared" si="67"/>
        <v>0.1</v>
      </c>
      <c r="W188" s="44">
        <f t="shared" si="67"/>
        <v>0.1</v>
      </c>
      <c r="X188" s="44">
        <f t="shared" si="67"/>
        <v>0.1</v>
      </c>
      <c r="Y188" s="44">
        <f t="shared" si="67"/>
        <v>0.1</v>
      </c>
      <c r="Z188" s="44">
        <f t="shared" si="67"/>
        <v>0.1</v>
      </c>
      <c r="AA188" s="44">
        <f t="shared" si="67"/>
        <v>0.1</v>
      </c>
      <c r="AB188" s="44">
        <f t="shared" si="67"/>
        <v>0.1</v>
      </c>
      <c r="AC188" s="44">
        <f t="shared" si="67"/>
        <v>0.1</v>
      </c>
      <c r="AD188" s="44">
        <f t="shared" si="67"/>
        <v>0.1</v>
      </c>
      <c r="AE188" s="44">
        <f t="shared" si="67"/>
        <v>0.1</v>
      </c>
      <c r="AF188" s="44">
        <f t="shared" si="67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65"/>
        <v>0.09</v>
      </c>
      <c r="C189" s="55">
        <v>0.09</v>
      </c>
      <c r="D189" s="44">
        <f t="shared" si="66"/>
        <v>0.09</v>
      </c>
      <c r="E189" s="44">
        <f t="shared" si="66"/>
        <v>0.09</v>
      </c>
      <c r="F189" s="44">
        <f t="shared" si="66"/>
        <v>0.09</v>
      </c>
      <c r="G189" s="44">
        <f t="shared" si="66"/>
        <v>0.09</v>
      </c>
      <c r="H189" s="44">
        <f t="shared" si="66"/>
        <v>0.09</v>
      </c>
      <c r="I189" s="44">
        <f t="shared" si="66"/>
        <v>0.09</v>
      </c>
      <c r="J189" s="44">
        <f t="shared" si="66"/>
        <v>0.09</v>
      </c>
      <c r="K189" s="44">
        <f t="shared" si="66"/>
        <v>0.09</v>
      </c>
      <c r="L189" s="44">
        <f t="shared" si="66"/>
        <v>0.09</v>
      </c>
      <c r="M189" s="44">
        <f t="shared" si="66"/>
        <v>0.09</v>
      </c>
      <c r="N189" s="44">
        <f t="shared" si="66"/>
        <v>0.09</v>
      </c>
      <c r="O189" s="44">
        <f t="shared" si="66"/>
        <v>0.09</v>
      </c>
      <c r="P189" s="44">
        <f t="shared" si="66"/>
        <v>0.09</v>
      </c>
      <c r="Q189" s="44">
        <f t="shared" si="66"/>
        <v>0.09</v>
      </c>
      <c r="R189" s="44">
        <f t="shared" si="66"/>
        <v>0.09</v>
      </c>
      <c r="S189" s="44">
        <f t="shared" si="67"/>
        <v>0.09</v>
      </c>
      <c r="T189" s="44">
        <f t="shared" si="67"/>
        <v>0.09</v>
      </c>
      <c r="U189" s="44">
        <f t="shared" si="67"/>
        <v>0.09</v>
      </c>
      <c r="V189" s="44">
        <f t="shared" si="67"/>
        <v>0.09</v>
      </c>
      <c r="W189" s="44">
        <f t="shared" si="67"/>
        <v>0.09</v>
      </c>
      <c r="X189" s="44">
        <f t="shared" si="67"/>
        <v>0.09</v>
      </c>
      <c r="Y189" s="44">
        <f t="shared" si="67"/>
        <v>0.09</v>
      </c>
      <c r="Z189" s="44">
        <f t="shared" si="67"/>
        <v>0.09</v>
      </c>
      <c r="AA189" s="44">
        <f t="shared" si="67"/>
        <v>0.09</v>
      </c>
      <c r="AB189" s="44">
        <f t="shared" si="67"/>
        <v>0.09</v>
      </c>
      <c r="AC189" s="44">
        <f t="shared" si="67"/>
        <v>0.09</v>
      </c>
      <c r="AD189" s="44">
        <f t="shared" si="67"/>
        <v>0.09</v>
      </c>
      <c r="AE189" s="44">
        <f t="shared" si="67"/>
        <v>0.09</v>
      </c>
      <c r="AF189" s="44">
        <f t="shared" si="67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65"/>
        <v>0.04</v>
      </c>
      <c r="C190" s="54">
        <v>0.04</v>
      </c>
      <c r="D190" s="44">
        <f t="shared" si="66"/>
        <v>0.04</v>
      </c>
      <c r="E190" s="44">
        <f t="shared" si="66"/>
        <v>0.04</v>
      </c>
      <c r="F190" s="44">
        <f t="shared" si="66"/>
        <v>0.04</v>
      </c>
      <c r="G190" s="44">
        <f t="shared" si="66"/>
        <v>0.04</v>
      </c>
      <c r="H190" s="44">
        <f t="shared" si="66"/>
        <v>0.04</v>
      </c>
      <c r="I190" s="44">
        <f t="shared" si="66"/>
        <v>0.04</v>
      </c>
      <c r="J190" s="44">
        <f t="shared" si="66"/>
        <v>0.04</v>
      </c>
      <c r="K190" s="44">
        <f t="shared" si="66"/>
        <v>0.04</v>
      </c>
      <c r="L190" s="44">
        <f t="shared" si="66"/>
        <v>0.04</v>
      </c>
      <c r="M190" s="44">
        <f t="shared" si="66"/>
        <v>0.04</v>
      </c>
      <c r="N190" s="44">
        <f t="shared" si="66"/>
        <v>0.04</v>
      </c>
      <c r="O190" s="44">
        <f t="shared" si="66"/>
        <v>0.04</v>
      </c>
      <c r="P190" s="44">
        <f t="shared" si="66"/>
        <v>0.04</v>
      </c>
      <c r="Q190" s="44">
        <f t="shared" si="66"/>
        <v>0.04</v>
      </c>
      <c r="R190" s="44">
        <f t="shared" si="66"/>
        <v>0.04</v>
      </c>
      <c r="S190" s="44">
        <f t="shared" si="67"/>
        <v>0.04</v>
      </c>
      <c r="T190" s="44">
        <f t="shared" si="67"/>
        <v>0.04</v>
      </c>
      <c r="U190" s="44">
        <f t="shared" si="67"/>
        <v>0.04</v>
      </c>
      <c r="V190" s="44">
        <f t="shared" si="67"/>
        <v>0.04</v>
      </c>
      <c r="W190" s="44">
        <f t="shared" si="67"/>
        <v>0.04</v>
      </c>
      <c r="X190" s="44">
        <f t="shared" si="67"/>
        <v>0.04</v>
      </c>
      <c r="Y190" s="44">
        <f t="shared" si="67"/>
        <v>0.04</v>
      </c>
      <c r="Z190" s="44">
        <f t="shared" si="67"/>
        <v>0.04</v>
      </c>
      <c r="AA190" s="44">
        <f t="shared" si="67"/>
        <v>0.04</v>
      </c>
      <c r="AB190" s="44">
        <f t="shared" si="67"/>
        <v>0.04</v>
      </c>
      <c r="AC190" s="44">
        <f t="shared" si="67"/>
        <v>0.04</v>
      </c>
      <c r="AD190" s="44">
        <f t="shared" si="67"/>
        <v>0.04</v>
      </c>
      <c r="AE190" s="44">
        <f t="shared" si="67"/>
        <v>0.04</v>
      </c>
      <c r="AF190" s="44">
        <f t="shared" si="67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65"/>
        <v>2.3E-2</v>
      </c>
      <c r="C191" s="54">
        <v>2.3E-2</v>
      </c>
      <c r="D191" s="44">
        <f>C191</f>
        <v>2.3E-2</v>
      </c>
      <c r="E191" s="44">
        <f t="shared" si="66"/>
        <v>2.3E-2</v>
      </c>
      <c r="F191" s="44">
        <f t="shared" si="66"/>
        <v>2.3E-2</v>
      </c>
      <c r="G191" s="44">
        <f t="shared" si="66"/>
        <v>2.3E-2</v>
      </c>
      <c r="H191" s="44">
        <f t="shared" si="66"/>
        <v>2.3E-2</v>
      </c>
      <c r="I191" s="44">
        <f t="shared" si="66"/>
        <v>2.3E-2</v>
      </c>
      <c r="J191" s="44">
        <f t="shared" si="66"/>
        <v>2.3E-2</v>
      </c>
      <c r="K191" s="44">
        <f t="shared" si="66"/>
        <v>2.3E-2</v>
      </c>
      <c r="L191" s="44">
        <f t="shared" si="66"/>
        <v>2.3E-2</v>
      </c>
      <c r="M191" s="44">
        <f t="shared" si="66"/>
        <v>2.3E-2</v>
      </c>
      <c r="N191" s="44">
        <f t="shared" si="66"/>
        <v>2.3E-2</v>
      </c>
      <c r="O191" s="44">
        <f t="shared" si="66"/>
        <v>2.3E-2</v>
      </c>
      <c r="P191" s="44">
        <f t="shared" si="66"/>
        <v>2.3E-2</v>
      </c>
      <c r="Q191" s="44">
        <f t="shared" si="66"/>
        <v>2.3E-2</v>
      </c>
      <c r="R191" s="44">
        <f t="shared" si="66"/>
        <v>2.3E-2</v>
      </c>
      <c r="S191" s="44">
        <f t="shared" si="67"/>
        <v>2.3E-2</v>
      </c>
      <c r="T191" s="44">
        <f t="shared" si="67"/>
        <v>2.3E-2</v>
      </c>
      <c r="U191" s="44">
        <f t="shared" si="67"/>
        <v>2.3E-2</v>
      </c>
      <c r="V191" s="44">
        <f t="shared" si="67"/>
        <v>2.3E-2</v>
      </c>
      <c r="W191" s="44">
        <f t="shared" si="67"/>
        <v>2.3E-2</v>
      </c>
      <c r="X191" s="44">
        <f t="shared" si="67"/>
        <v>2.3E-2</v>
      </c>
      <c r="Y191" s="44">
        <f t="shared" si="67"/>
        <v>2.3E-2</v>
      </c>
      <c r="Z191" s="44">
        <f t="shared" si="67"/>
        <v>2.3E-2</v>
      </c>
      <c r="AA191" s="44">
        <f t="shared" si="67"/>
        <v>2.3E-2</v>
      </c>
      <c r="AB191" s="44">
        <f t="shared" si="67"/>
        <v>2.3E-2</v>
      </c>
      <c r="AC191" s="44">
        <f t="shared" si="67"/>
        <v>2.3E-2</v>
      </c>
      <c r="AD191" s="44">
        <f t="shared" si="67"/>
        <v>2.3E-2</v>
      </c>
      <c r="AE191" s="44">
        <f t="shared" si="67"/>
        <v>2.3E-2</v>
      </c>
      <c r="AF191" s="44">
        <f t="shared" si="67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68">SUM(C102:C191)</f>
        <v>194.70600000000002</v>
      </c>
      <c r="D192" s="51">
        <f t="shared" si="68"/>
        <v>194.70600000000002</v>
      </c>
      <c r="E192" s="51">
        <f t="shared" si="68"/>
        <v>194.70600000000002</v>
      </c>
      <c r="F192" s="51">
        <f t="shared" si="68"/>
        <v>194.70600000000002</v>
      </c>
      <c r="G192" s="51">
        <f t="shared" si="68"/>
        <v>194.70600000000002</v>
      </c>
      <c r="H192" s="51">
        <f t="shared" si="68"/>
        <v>194.70600000000002</v>
      </c>
      <c r="I192" s="51">
        <f t="shared" si="68"/>
        <v>194.70600000000002</v>
      </c>
      <c r="J192" s="51">
        <f t="shared" si="68"/>
        <v>192.10600000000005</v>
      </c>
      <c r="K192" s="51">
        <f t="shared" si="68"/>
        <v>192.10600000000005</v>
      </c>
      <c r="L192" s="51">
        <f t="shared" si="68"/>
        <v>192.10600000000005</v>
      </c>
      <c r="M192" s="51">
        <f t="shared" si="68"/>
        <v>192.10600000000005</v>
      </c>
      <c r="N192" s="51">
        <f t="shared" si="68"/>
        <v>192.10600000000005</v>
      </c>
      <c r="O192" s="51">
        <f t="shared" si="68"/>
        <v>192.10600000000005</v>
      </c>
      <c r="P192" s="51">
        <f t="shared" si="68"/>
        <v>192.10600000000005</v>
      </c>
      <c r="Q192" s="51">
        <f t="shared" si="68"/>
        <v>192.10600000000005</v>
      </c>
      <c r="R192" s="51">
        <f t="shared" si="68"/>
        <v>192.10600000000005</v>
      </c>
      <c r="S192" s="51">
        <f t="shared" si="68"/>
        <v>192.10600000000005</v>
      </c>
      <c r="T192" s="51">
        <f t="shared" si="68"/>
        <v>192.10600000000005</v>
      </c>
      <c r="U192" s="51">
        <f t="shared" si="68"/>
        <v>192.10600000000005</v>
      </c>
      <c r="V192" s="51">
        <f t="shared" si="68"/>
        <v>192.10600000000005</v>
      </c>
      <c r="W192" s="51">
        <f t="shared" si="68"/>
        <v>192.10600000000005</v>
      </c>
      <c r="X192" s="51">
        <f t="shared" si="68"/>
        <v>192.10600000000005</v>
      </c>
      <c r="Y192" s="51">
        <f t="shared" si="68"/>
        <v>192.10600000000005</v>
      </c>
      <c r="Z192" s="51">
        <f t="shared" si="68"/>
        <v>192.10600000000005</v>
      </c>
      <c r="AA192" s="51">
        <f t="shared" si="68"/>
        <v>192.10600000000005</v>
      </c>
      <c r="AB192" s="51">
        <f t="shared" si="68"/>
        <v>192.10600000000005</v>
      </c>
      <c r="AC192" s="51">
        <f t="shared" si="68"/>
        <v>192.10600000000005</v>
      </c>
      <c r="AD192" s="51">
        <f t="shared" si="68"/>
        <v>192.10600000000005</v>
      </c>
      <c r="AE192" s="51">
        <f t="shared" si="68"/>
        <v>192.10600000000005</v>
      </c>
      <c r="AF192" s="51">
        <f t="shared" si="68"/>
        <v>192.10600000000005</v>
      </c>
      <c r="AG192" s="50">
        <f t="shared" si="68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69">AF194</f>
        <v>0.3</v>
      </c>
      <c r="C194" s="47">
        <v>0.3</v>
      </c>
      <c r="D194" s="47">
        <f t="shared" ref="D194:S199" si="70">C194</f>
        <v>0.3</v>
      </c>
      <c r="E194" s="47">
        <f t="shared" si="70"/>
        <v>0.3</v>
      </c>
      <c r="F194" s="47">
        <f t="shared" si="70"/>
        <v>0.3</v>
      </c>
      <c r="G194" s="47">
        <f t="shared" si="70"/>
        <v>0.3</v>
      </c>
      <c r="H194" s="47">
        <f t="shared" si="70"/>
        <v>0.3</v>
      </c>
      <c r="I194" s="47">
        <f t="shared" si="70"/>
        <v>0.3</v>
      </c>
      <c r="J194" s="47">
        <f t="shared" si="70"/>
        <v>0.3</v>
      </c>
      <c r="K194" s="47">
        <f t="shared" si="70"/>
        <v>0.3</v>
      </c>
      <c r="L194" s="47">
        <f t="shared" si="70"/>
        <v>0.3</v>
      </c>
      <c r="M194" s="47">
        <f t="shared" si="70"/>
        <v>0.3</v>
      </c>
      <c r="N194" s="47">
        <f t="shared" si="70"/>
        <v>0.3</v>
      </c>
      <c r="O194" s="47">
        <f t="shared" si="70"/>
        <v>0.3</v>
      </c>
      <c r="P194" s="47">
        <f t="shared" si="70"/>
        <v>0.3</v>
      </c>
      <c r="Q194" s="47">
        <f t="shared" si="70"/>
        <v>0.3</v>
      </c>
      <c r="R194" s="47">
        <f t="shared" si="70"/>
        <v>0.3</v>
      </c>
      <c r="S194" s="47">
        <f t="shared" si="70"/>
        <v>0.3</v>
      </c>
      <c r="T194" s="47">
        <f t="shared" ref="T194:AF199" si="71">S194</f>
        <v>0.3</v>
      </c>
      <c r="U194" s="47">
        <f t="shared" si="71"/>
        <v>0.3</v>
      </c>
      <c r="V194" s="47">
        <f t="shared" si="71"/>
        <v>0.3</v>
      </c>
      <c r="W194" s="47">
        <f t="shared" si="71"/>
        <v>0.3</v>
      </c>
      <c r="X194" s="47">
        <f t="shared" si="71"/>
        <v>0.3</v>
      </c>
      <c r="Y194" s="47">
        <f t="shared" si="71"/>
        <v>0.3</v>
      </c>
      <c r="Z194" s="47">
        <f t="shared" si="71"/>
        <v>0.3</v>
      </c>
      <c r="AA194" s="47">
        <f t="shared" si="71"/>
        <v>0.3</v>
      </c>
      <c r="AB194" s="47">
        <f t="shared" si="71"/>
        <v>0.3</v>
      </c>
      <c r="AC194" s="47">
        <f t="shared" si="71"/>
        <v>0.3</v>
      </c>
      <c r="AD194" s="47">
        <f t="shared" si="71"/>
        <v>0.3</v>
      </c>
      <c r="AE194" s="47">
        <f t="shared" si="71"/>
        <v>0.3</v>
      </c>
      <c r="AF194" s="47">
        <f t="shared" si="71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69"/>
        <v>0.4</v>
      </c>
      <c r="C195" s="44">
        <v>0.4</v>
      </c>
      <c r="D195" s="44">
        <f t="shared" si="70"/>
        <v>0.4</v>
      </c>
      <c r="E195" s="44">
        <f t="shared" si="70"/>
        <v>0.4</v>
      </c>
      <c r="F195" s="44">
        <f t="shared" si="70"/>
        <v>0.4</v>
      </c>
      <c r="G195" s="44">
        <f t="shared" si="70"/>
        <v>0.4</v>
      </c>
      <c r="H195" s="44">
        <f t="shared" si="70"/>
        <v>0.4</v>
      </c>
      <c r="I195" s="44">
        <f t="shared" si="70"/>
        <v>0.4</v>
      </c>
      <c r="J195" s="44">
        <f t="shared" si="70"/>
        <v>0.4</v>
      </c>
      <c r="K195" s="44">
        <f t="shared" si="70"/>
        <v>0.4</v>
      </c>
      <c r="L195" s="44">
        <f t="shared" si="70"/>
        <v>0.4</v>
      </c>
      <c r="M195" s="44">
        <f t="shared" si="70"/>
        <v>0.4</v>
      </c>
      <c r="N195" s="44">
        <f t="shared" si="70"/>
        <v>0.4</v>
      </c>
      <c r="O195" s="44">
        <f t="shared" si="70"/>
        <v>0.4</v>
      </c>
      <c r="P195" s="44">
        <f t="shared" si="70"/>
        <v>0.4</v>
      </c>
      <c r="Q195" s="44">
        <f t="shared" si="70"/>
        <v>0.4</v>
      </c>
      <c r="R195" s="44">
        <f t="shared" si="70"/>
        <v>0.4</v>
      </c>
      <c r="S195" s="44">
        <f t="shared" si="70"/>
        <v>0.4</v>
      </c>
      <c r="T195" s="44">
        <f t="shared" si="71"/>
        <v>0.4</v>
      </c>
      <c r="U195" s="44">
        <f t="shared" si="71"/>
        <v>0.4</v>
      </c>
      <c r="V195" s="44">
        <f t="shared" si="71"/>
        <v>0.4</v>
      </c>
      <c r="W195" s="44">
        <f>V195</f>
        <v>0.4</v>
      </c>
      <c r="X195" s="44">
        <f>W195</f>
        <v>0.4</v>
      </c>
      <c r="Y195" s="44">
        <f t="shared" si="71"/>
        <v>0.4</v>
      </c>
      <c r="Z195" s="44">
        <f t="shared" si="71"/>
        <v>0.4</v>
      </c>
      <c r="AA195" s="44">
        <f t="shared" si="71"/>
        <v>0.4</v>
      </c>
      <c r="AB195" s="44">
        <f t="shared" si="71"/>
        <v>0.4</v>
      </c>
      <c r="AC195" s="44">
        <f t="shared" si="71"/>
        <v>0.4</v>
      </c>
      <c r="AD195" s="44">
        <f t="shared" si="71"/>
        <v>0.4</v>
      </c>
      <c r="AE195" s="44">
        <f t="shared" si="71"/>
        <v>0.4</v>
      </c>
      <c r="AF195" s="44">
        <f t="shared" si="71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69"/>
        <v>1.5</v>
      </c>
      <c r="C196" s="44">
        <v>1.5</v>
      </c>
      <c r="D196" s="44">
        <f t="shared" si="70"/>
        <v>1.5</v>
      </c>
      <c r="E196" s="44">
        <f t="shared" si="70"/>
        <v>1.5</v>
      </c>
      <c r="F196" s="44">
        <f t="shared" si="70"/>
        <v>1.5</v>
      </c>
      <c r="G196" s="44">
        <f t="shared" si="70"/>
        <v>1.5</v>
      </c>
      <c r="H196" s="44">
        <f t="shared" si="70"/>
        <v>1.5</v>
      </c>
      <c r="I196" s="44">
        <f t="shared" si="70"/>
        <v>1.5</v>
      </c>
      <c r="J196" s="44">
        <f t="shared" si="70"/>
        <v>1.5</v>
      </c>
      <c r="K196" s="44">
        <f t="shared" si="70"/>
        <v>1.5</v>
      </c>
      <c r="L196" s="44">
        <f t="shared" si="70"/>
        <v>1.5</v>
      </c>
      <c r="M196" s="44">
        <f t="shared" si="70"/>
        <v>1.5</v>
      </c>
      <c r="N196" s="44">
        <f t="shared" si="70"/>
        <v>1.5</v>
      </c>
      <c r="O196" s="44">
        <f t="shared" si="70"/>
        <v>1.5</v>
      </c>
      <c r="P196" s="44">
        <f t="shared" si="70"/>
        <v>1.5</v>
      </c>
      <c r="Q196" s="44">
        <f t="shared" si="70"/>
        <v>1.5</v>
      </c>
      <c r="R196" s="44">
        <f t="shared" si="70"/>
        <v>1.5</v>
      </c>
      <c r="S196" s="44">
        <f t="shared" si="70"/>
        <v>1.5</v>
      </c>
      <c r="T196" s="44">
        <f t="shared" si="71"/>
        <v>1.5</v>
      </c>
      <c r="U196" s="44">
        <f t="shared" si="71"/>
        <v>1.5</v>
      </c>
      <c r="V196" s="44">
        <f t="shared" si="71"/>
        <v>1.5</v>
      </c>
      <c r="W196" s="44">
        <f t="shared" si="71"/>
        <v>1.5</v>
      </c>
      <c r="X196" s="44">
        <f t="shared" si="71"/>
        <v>1.5</v>
      </c>
      <c r="Y196" s="44">
        <f t="shared" si="71"/>
        <v>1.5</v>
      </c>
      <c r="Z196" s="44">
        <f t="shared" si="71"/>
        <v>1.5</v>
      </c>
      <c r="AA196" s="44">
        <f t="shared" si="71"/>
        <v>1.5</v>
      </c>
      <c r="AB196" s="44">
        <f t="shared" si="71"/>
        <v>1.5</v>
      </c>
      <c r="AC196" s="44">
        <f t="shared" si="71"/>
        <v>1.5</v>
      </c>
      <c r="AD196" s="44">
        <f t="shared" si="71"/>
        <v>1.5</v>
      </c>
      <c r="AE196" s="44">
        <f t="shared" si="71"/>
        <v>1.5</v>
      </c>
      <c r="AF196" s="44">
        <f t="shared" si="71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69"/>
        <v>0.3</v>
      </c>
      <c r="C197" s="44">
        <v>0.3</v>
      </c>
      <c r="D197" s="44">
        <f t="shared" si="70"/>
        <v>0.3</v>
      </c>
      <c r="E197" s="44">
        <f t="shared" si="70"/>
        <v>0.3</v>
      </c>
      <c r="F197" s="44">
        <f t="shared" si="70"/>
        <v>0.3</v>
      </c>
      <c r="G197" s="44">
        <f t="shared" si="70"/>
        <v>0.3</v>
      </c>
      <c r="H197" s="44">
        <f t="shared" si="70"/>
        <v>0.3</v>
      </c>
      <c r="I197" s="44">
        <f t="shared" si="70"/>
        <v>0.3</v>
      </c>
      <c r="J197" s="44">
        <f t="shared" si="70"/>
        <v>0.3</v>
      </c>
      <c r="K197" s="44">
        <f t="shared" si="70"/>
        <v>0.3</v>
      </c>
      <c r="L197" s="44">
        <f t="shared" si="70"/>
        <v>0.3</v>
      </c>
      <c r="M197" s="44">
        <f t="shared" si="70"/>
        <v>0.3</v>
      </c>
      <c r="N197" s="44">
        <f t="shared" si="70"/>
        <v>0.3</v>
      </c>
      <c r="O197" s="44">
        <f t="shared" si="70"/>
        <v>0.3</v>
      </c>
      <c r="P197" s="44">
        <f t="shared" si="70"/>
        <v>0.3</v>
      </c>
      <c r="Q197" s="44">
        <f t="shared" si="70"/>
        <v>0.3</v>
      </c>
      <c r="R197" s="44">
        <f t="shared" si="70"/>
        <v>0.3</v>
      </c>
      <c r="S197" s="44">
        <f t="shared" si="70"/>
        <v>0.3</v>
      </c>
      <c r="T197" s="44">
        <f t="shared" si="71"/>
        <v>0.3</v>
      </c>
      <c r="U197" s="44">
        <f t="shared" si="71"/>
        <v>0.3</v>
      </c>
      <c r="V197" s="44">
        <f t="shared" si="71"/>
        <v>0.3</v>
      </c>
      <c r="W197" s="44">
        <f t="shared" si="71"/>
        <v>0.3</v>
      </c>
      <c r="X197" s="44">
        <f t="shared" si="71"/>
        <v>0.3</v>
      </c>
      <c r="Y197" s="44">
        <f t="shared" si="71"/>
        <v>0.3</v>
      </c>
      <c r="Z197" s="44">
        <f t="shared" si="71"/>
        <v>0.3</v>
      </c>
      <c r="AA197" s="44">
        <f t="shared" si="71"/>
        <v>0.3</v>
      </c>
      <c r="AB197" s="44">
        <f t="shared" si="71"/>
        <v>0.3</v>
      </c>
      <c r="AC197" s="44">
        <f t="shared" si="71"/>
        <v>0.3</v>
      </c>
      <c r="AD197" s="44">
        <f t="shared" si="71"/>
        <v>0.3</v>
      </c>
      <c r="AE197" s="44">
        <f t="shared" si="71"/>
        <v>0.3</v>
      </c>
      <c r="AF197" s="44">
        <f t="shared" si="71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69"/>
        <v>0.4</v>
      </c>
      <c r="C198" s="44">
        <v>0.4</v>
      </c>
      <c r="D198" s="44">
        <f t="shared" si="70"/>
        <v>0.4</v>
      </c>
      <c r="E198" s="44">
        <f t="shared" si="70"/>
        <v>0.4</v>
      </c>
      <c r="F198" s="44">
        <f t="shared" si="70"/>
        <v>0.4</v>
      </c>
      <c r="G198" s="44">
        <f t="shared" si="70"/>
        <v>0.4</v>
      </c>
      <c r="H198" s="44">
        <f t="shared" si="70"/>
        <v>0.4</v>
      </c>
      <c r="I198" s="44">
        <f t="shared" si="70"/>
        <v>0.4</v>
      </c>
      <c r="J198" s="44">
        <f t="shared" si="70"/>
        <v>0.4</v>
      </c>
      <c r="K198" s="44">
        <f t="shared" si="70"/>
        <v>0.4</v>
      </c>
      <c r="L198" s="44">
        <f t="shared" si="70"/>
        <v>0.4</v>
      </c>
      <c r="M198" s="44">
        <f t="shared" si="70"/>
        <v>0.4</v>
      </c>
      <c r="N198" s="44">
        <f t="shared" si="70"/>
        <v>0.4</v>
      </c>
      <c r="O198" s="44">
        <f t="shared" si="70"/>
        <v>0.4</v>
      </c>
      <c r="P198" s="44">
        <f t="shared" si="70"/>
        <v>0.4</v>
      </c>
      <c r="Q198" s="44">
        <f t="shared" si="70"/>
        <v>0.4</v>
      </c>
      <c r="R198" s="44">
        <f t="shared" si="70"/>
        <v>0.4</v>
      </c>
      <c r="S198" s="44">
        <f t="shared" si="70"/>
        <v>0.4</v>
      </c>
      <c r="T198" s="44">
        <f t="shared" si="71"/>
        <v>0.4</v>
      </c>
      <c r="U198" s="44">
        <f t="shared" si="71"/>
        <v>0.4</v>
      </c>
      <c r="V198" s="44">
        <f t="shared" si="71"/>
        <v>0.4</v>
      </c>
      <c r="W198" s="44">
        <f t="shared" si="71"/>
        <v>0.4</v>
      </c>
      <c r="X198" s="44">
        <f t="shared" si="71"/>
        <v>0.4</v>
      </c>
      <c r="Y198" s="44">
        <f t="shared" si="71"/>
        <v>0.4</v>
      </c>
      <c r="Z198" s="44">
        <f t="shared" si="71"/>
        <v>0.4</v>
      </c>
      <c r="AA198" s="44">
        <f t="shared" si="71"/>
        <v>0.4</v>
      </c>
      <c r="AB198" s="44">
        <f t="shared" si="71"/>
        <v>0.4</v>
      </c>
      <c r="AC198" s="44">
        <f t="shared" si="71"/>
        <v>0.4</v>
      </c>
      <c r="AD198" s="44">
        <f t="shared" si="71"/>
        <v>0.4</v>
      </c>
      <c r="AE198" s="44">
        <f t="shared" si="71"/>
        <v>0.4</v>
      </c>
      <c r="AF198" s="44">
        <f t="shared" si="71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69"/>
        <v>0.64</v>
      </c>
      <c r="C199" s="40">
        <v>0.64</v>
      </c>
      <c r="D199" s="40">
        <f t="shared" si="70"/>
        <v>0.64</v>
      </c>
      <c r="E199" s="40">
        <f t="shared" si="70"/>
        <v>0.64</v>
      </c>
      <c r="F199" s="40">
        <f t="shared" si="70"/>
        <v>0.64</v>
      </c>
      <c r="G199" s="40">
        <f t="shared" si="70"/>
        <v>0.64</v>
      </c>
      <c r="H199" s="40">
        <f t="shared" si="70"/>
        <v>0.64</v>
      </c>
      <c r="I199" s="40">
        <f t="shared" si="70"/>
        <v>0.64</v>
      </c>
      <c r="J199" s="40">
        <f t="shared" si="70"/>
        <v>0.64</v>
      </c>
      <c r="K199" s="40">
        <f t="shared" si="70"/>
        <v>0.64</v>
      </c>
      <c r="L199" s="40">
        <f t="shared" si="70"/>
        <v>0.64</v>
      </c>
      <c r="M199" s="40">
        <f t="shared" si="70"/>
        <v>0.64</v>
      </c>
      <c r="N199" s="40">
        <f t="shared" si="70"/>
        <v>0.64</v>
      </c>
      <c r="O199" s="40">
        <f t="shared" si="70"/>
        <v>0.64</v>
      </c>
      <c r="P199" s="40">
        <f t="shared" si="70"/>
        <v>0.64</v>
      </c>
      <c r="Q199" s="40">
        <f t="shared" si="70"/>
        <v>0.64</v>
      </c>
      <c r="R199" s="40">
        <f t="shared" si="70"/>
        <v>0.64</v>
      </c>
      <c r="S199" s="40">
        <f t="shared" si="70"/>
        <v>0.64</v>
      </c>
      <c r="T199" s="40">
        <f t="shared" si="71"/>
        <v>0.64</v>
      </c>
      <c r="U199" s="40">
        <f t="shared" si="71"/>
        <v>0.64</v>
      </c>
      <c r="V199" s="40">
        <f t="shared" si="71"/>
        <v>0.64</v>
      </c>
      <c r="W199" s="40">
        <f t="shared" si="71"/>
        <v>0.64</v>
      </c>
      <c r="X199" s="40">
        <f t="shared" si="71"/>
        <v>0.64</v>
      </c>
      <c r="Y199" s="40">
        <f t="shared" si="71"/>
        <v>0.64</v>
      </c>
      <c r="Z199" s="40">
        <f t="shared" si="71"/>
        <v>0.64</v>
      </c>
      <c r="AA199" s="40">
        <f t="shared" si="71"/>
        <v>0.64</v>
      </c>
      <c r="AB199" s="40">
        <f t="shared" si="71"/>
        <v>0.64</v>
      </c>
      <c r="AC199" s="40">
        <f t="shared" si="71"/>
        <v>0.64</v>
      </c>
      <c r="AD199" s="40">
        <f t="shared" si="71"/>
        <v>0.64</v>
      </c>
      <c r="AE199" s="40">
        <f t="shared" si="71"/>
        <v>0.64</v>
      </c>
      <c r="AF199" s="40">
        <f t="shared" si="71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72">SUM(D194:D199)</f>
        <v>3.54</v>
      </c>
      <c r="E200" s="37">
        <f t="shared" si="72"/>
        <v>3.54</v>
      </c>
      <c r="F200" s="37">
        <f t="shared" si="72"/>
        <v>3.54</v>
      </c>
      <c r="G200" s="37">
        <f t="shared" si="72"/>
        <v>3.54</v>
      </c>
      <c r="H200" s="37">
        <f t="shared" si="72"/>
        <v>3.54</v>
      </c>
      <c r="I200" s="37">
        <f t="shared" si="72"/>
        <v>3.54</v>
      </c>
      <c r="J200" s="37">
        <f t="shared" si="72"/>
        <v>3.54</v>
      </c>
      <c r="K200" s="37">
        <f t="shared" si="72"/>
        <v>3.54</v>
      </c>
      <c r="L200" s="37">
        <f t="shared" si="72"/>
        <v>3.54</v>
      </c>
      <c r="M200" s="37">
        <f>SUM(M194:M199)</f>
        <v>3.54</v>
      </c>
      <c r="N200" s="37">
        <f t="shared" ref="N200:S200" si="73">SUM(N194:N199)</f>
        <v>3.54</v>
      </c>
      <c r="O200" s="37">
        <f t="shared" si="73"/>
        <v>3.54</v>
      </c>
      <c r="P200" s="37">
        <f t="shared" si="73"/>
        <v>3.54</v>
      </c>
      <c r="Q200" s="37">
        <f t="shared" si="73"/>
        <v>3.54</v>
      </c>
      <c r="R200" s="37">
        <f t="shared" si="73"/>
        <v>3.54</v>
      </c>
      <c r="S200" s="37">
        <f t="shared" si="73"/>
        <v>3.54</v>
      </c>
      <c r="T200" s="37">
        <f>SUM(T194:T199)</f>
        <v>3.54</v>
      </c>
      <c r="U200" s="37">
        <f t="shared" ref="U200:AG200" si="74">SUM(U194:U199)</f>
        <v>3.54</v>
      </c>
      <c r="V200" s="37">
        <f t="shared" si="74"/>
        <v>3.54</v>
      </c>
      <c r="W200" s="37">
        <f t="shared" si="74"/>
        <v>3.54</v>
      </c>
      <c r="X200" s="37">
        <f t="shared" si="74"/>
        <v>3.54</v>
      </c>
      <c r="Y200" s="37">
        <f t="shared" si="74"/>
        <v>3.54</v>
      </c>
      <c r="Z200" s="37">
        <f t="shared" si="74"/>
        <v>3.54</v>
      </c>
      <c r="AA200" s="37">
        <f t="shared" si="74"/>
        <v>3.54</v>
      </c>
      <c r="AB200" s="37">
        <f t="shared" si="74"/>
        <v>3.54</v>
      </c>
      <c r="AC200" s="37">
        <f t="shared" si="74"/>
        <v>3.54</v>
      </c>
      <c r="AD200" s="37">
        <f t="shared" si="74"/>
        <v>3.54</v>
      </c>
      <c r="AE200" s="37">
        <f t="shared" si="74"/>
        <v>3.54</v>
      </c>
      <c r="AF200" s="37">
        <f t="shared" si="74"/>
        <v>3.54</v>
      </c>
      <c r="AG200" s="36">
        <f t="shared" si="74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1497.04</v>
      </c>
      <c r="C209" s="17">
        <f>INDEX(G9:N9,1,MATCH(MAX(G75:N75),G75:N75,0))</f>
        <v>0.375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30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str">
        <f ca="1">"Pie Chart of Daily Peak Demand(Inclusive of Export) of Nepal ("&amp;A4&amp;" "&amp;B4&amp;")"</f>
        <v>Pie Chart of Daily Peak Demand(Inclusive of Export) of Nepal (Nepali Date: 2078/12/30)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str">
        <f ca="1">"Daily Load Curve(Excluding of Export) of Nepal ("&amp;A4&amp;" "&amp;B4&amp;")"</f>
        <v>Daily Load Curve(Excluding of Export) of Nepal (Nepali Date: 2078/12/30)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75">B75</f>
        <v>1348.34</v>
      </c>
      <c r="U214" s="9">
        <f t="shared" si="75"/>
        <v>1333.6399999999999</v>
      </c>
      <c r="V214" s="9">
        <f t="shared" si="75"/>
        <v>1326.7399999999998</v>
      </c>
      <c r="W214" s="9">
        <f t="shared" si="75"/>
        <v>1294.8399999999999</v>
      </c>
      <c r="X214" s="9">
        <f t="shared" si="75"/>
        <v>1256.1400000000001</v>
      </c>
      <c r="Y214" s="9">
        <f t="shared" si="75"/>
        <v>1275.44</v>
      </c>
      <c r="Z214" s="9">
        <f t="shared" si="75"/>
        <v>1276.3400000000001</v>
      </c>
      <c r="AA214" s="9">
        <f t="shared" si="75"/>
        <v>1275.94</v>
      </c>
      <c r="AB214" s="9">
        <f t="shared" si="75"/>
        <v>1329.44</v>
      </c>
      <c r="AC214" s="9">
        <f t="shared" si="75"/>
        <v>1391.24</v>
      </c>
      <c r="AD214" s="9">
        <f t="shared" si="75"/>
        <v>1439.24</v>
      </c>
      <c r="AE214" s="9">
        <f t="shared" si="75"/>
        <v>1484.84</v>
      </c>
      <c r="AF214" s="9">
        <f t="shared" si="75"/>
        <v>1497.04</v>
      </c>
      <c r="AG214" s="9">
        <f t="shared" si="75"/>
        <v>1508.5399999999997</v>
      </c>
      <c r="AH214" s="9">
        <f t="shared" si="75"/>
        <v>1530.44</v>
      </c>
      <c r="AI214" s="9">
        <f t="shared" si="75"/>
        <v>1535.84</v>
      </c>
      <c r="AJ214" s="9">
        <f t="shared" si="75"/>
        <v>1492.2399999999998</v>
      </c>
      <c r="AK214" s="9">
        <f t="shared" si="75"/>
        <v>1522.5399999999997</v>
      </c>
      <c r="AL214" s="9">
        <f t="shared" si="75"/>
        <v>1540.4399999999998</v>
      </c>
      <c r="AM214" s="9">
        <f t="shared" si="75"/>
        <v>1517.04</v>
      </c>
      <c r="AN214" s="9">
        <f t="shared" si="75"/>
        <v>1465.34</v>
      </c>
      <c r="AO214" s="9">
        <f t="shared" si="75"/>
        <v>1443.64</v>
      </c>
      <c r="AP214" s="9">
        <f t="shared" si="75"/>
        <v>1450.54</v>
      </c>
      <c r="AQ214" s="9">
        <f t="shared" si="75"/>
        <v>1604.1400000000003</v>
      </c>
      <c r="AR214" s="9">
        <f t="shared" si="75"/>
        <v>1698.24</v>
      </c>
      <c r="AS214" s="9">
        <f t="shared" si="75"/>
        <v>1660.74</v>
      </c>
      <c r="AT214" s="9">
        <f t="shared" si="75"/>
        <v>1654.44</v>
      </c>
      <c r="AU214" s="9">
        <f t="shared" si="75"/>
        <v>1639.1399999999999</v>
      </c>
      <c r="AV214" s="9">
        <f t="shared" si="75"/>
        <v>1521.24</v>
      </c>
      <c r="AW214" s="9">
        <f t="shared" si="75"/>
        <v>1448.94</v>
      </c>
      <c r="AX214" s="9">
        <f t="shared" si="75"/>
        <v>1370.44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76">C199</f>
        <v>0.64</v>
      </c>
      <c r="C235" s="4">
        <f t="shared" si="76"/>
        <v>0.64</v>
      </c>
      <c r="D235" s="4">
        <f t="shared" si="76"/>
        <v>0.64</v>
      </c>
      <c r="E235" s="4">
        <f t="shared" si="76"/>
        <v>0.64</v>
      </c>
      <c r="F235" s="4">
        <f t="shared" si="76"/>
        <v>0.64</v>
      </c>
      <c r="G235" s="4">
        <f t="shared" si="76"/>
        <v>0.64</v>
      </c>
      <c r="H235" s="4">
        <f t="shared" si="76"/>
        <v>0.64</v>
      </c>
      <c r="I235" s="4">
        <f t="shared" si="76"/>
        <v>0.64</v>
      </c>
      <c r="J235" s="4">
        <f t="shared" si="76"/>
        <v>0.64</v>
      </c>
      <c r="K235" s="4">
        <f t="shared" si="76"/>
        <v>0.64</v>
      </c>
      <c r="L235" s="4">
        <f t="shared" si="76"/>
        <v>0.64</v>
      </c>
      <c r="M235" s="4">
        <f t="shared" si="76"/>
        <v>0.64</v>
      </c>
      <c r="N235" s="4">
        <f t="shared" si="76"/>
        <v>0.64</v>
      </c>
      <c r="O235" s="4">
        <f t="shared" si="76"/>
        <v>0.64</v>
      </c>
      <c r="P235" s="4">
        <f t="shared" si="76"/>
        <v>0.64</v>
      </c>
      <c r="Q235" s="4">
        <f t="shared" si="76"/>
        <v>0.64</v>
      </c>
      <c r="R235" s="4">
        <f t="shared" si="76"/>
        <v>0.64</v>
      </c>
      <c r="S235" s="4">
        <f t="shared" si="76"/>
        <v>0.64</v>
      </c>
      <c r="T235" s="4">
        <f t="shared" si="76"/>
        <v>0.64</v>
      </c>
      <c r="U235" s="4">
        <f t="shared" si="76"/>
        <v>0.64</v>
      </c>
      <c r="V235" s="4">
        <f t="shared" si="76"/>
        <v>0.64</v>
      </c>
      <c r="W235" s="4">
        <f t="shared" si="76"/>
        <v>0.64</v>
      </c>
      <c r="X235" s="4">
        <f t="shared" si="76"/>
        <v>0.64</v>
      </c>
      <c r="Y235" s="4">
        <f t="shared" si="76"/>
        <v>0.64</v>
      </c>
      <c r="Z235" s="4">
        <f t="shared" si="76"/>
        <v>0.64</v>
      </c>
      <c r="AA235" s="4">
        <f t="shared" si="76"/>
        <v>0.64</v>
      </c>
      <c r="AB235" s="4">
        <f t="shared" si="76"/>
        <v>0.64</v>
      </c>
      <c r="AC235" s="4">
        <f t="shared" si="76"/>
        <v>0.64</v>
      </c>
      <c r="AD235" s="4">
        <f t="shared" si="76"/>
        <v>0.64</v>
      </c>
      <c r="AE235" s="4">
        <f t="shared" si="76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77">IF(C203&lt;100,"",C203-520)</f>
        <v/>
      </c>
      <c r="D236" s="3" t="str">
        <f t="shared" si="77"/>
        <v/>
      </c>
      <c r="E236" s="3" t="str">
        <f t="shared" si="77"/>
        <v/>
      </c>
      <c r="F236" s="3" t="str">
        <f t="shared" si="77"/>
        <v/>
      </c>
      <c r="G236" s="3" t="str">
        <f t="shared" si="77"/>
        <v/>
      </c>
      <c r="H236" s="3" t="str">
        <f t="shared" si="77"/>
        <v/>
      </c>
      <c r="I236" s="3" t="str">
        <f t="shared" si="77"/>
        <v/>
      </c>
      <c r="J236" s="3" t="str">
        <f t="shared" si="77"/>
        <v/>
      </c>
      <c r="K236" s="3" t="str">
        <f t="shared" si="77"/>
        <v/>
      </c>
      <c r="L236" s="3" t="str">
        <f t="shared" si="77"/>
        <v/>
      </c>
      <c r="M236" s="3" t="str">
        <f t="shared" si="77"/>
        <v/>
      </c>
      <c r="N236" s="3" t="str">
        <f t="shared" si="77"/>
        <v/>
      </c>
      <c r="O236" s="3" t="str">
        <f t="shared" si="77"/>
        <v/>
      </c>
      <c r="P236" s="3" t="str">
        <f t="shared" si="77"/>
        <v/>
      </c>
      <c r="Q236" s="3" t="str">
        <f t="shared" si="77"/>
        <v/>
      </c>
      <c r="R236" s="3" t="str">
        <f t="shared" si="77"/>
        <v/>
      </c>
      <c r="S236" s="3" t="str">
        <f t="shared" si="77"/>
        <v/>
      </c>
      <c r="T236" s="3" t="str">
        <f t="shared" si="77"/>
        <v/>
      </c>
      <c r="U236" s="3" t="str">
        <f t="shared" si="77"/>
        <v/>
      </c>
      <c r="V236" s="3" t="str">
        <f t="shared" si="77"/>
        <v/>
      </c>
      <c r="W236" s="3" t="str">
        <f t="shared" si="77"/>
        <v/>
      </c>
      <c r="X236" s="3" t="str">
        <f t="shared" si="77"/>
        <v/>
      </c>
      <c r="Y236" s="3" t="str">
        <f t="shared" si="77"/>
        <v/>
      </c>
      <c r="Z236" s="3" t="str">
        <f t="shared" si="77"/>
        <v/>
      </c>
      <c r="AA236" s="3" t="str">
        <f t="shared" si="77"/>
        <v/>
      </c>
      <c r="AB236" s="3" t="str">
        <f t="shared" si="77"/>
        <v/>
      </c>
      <c r="AC236" s="3" t="str">
        <f t="shared" si="77"/>
        <v/>
      </c>
      <c r="AD236" s="3" t="str">
        <f t="shared" si="77"/>
        <v/>
      </c>
      <c r="AE236" s="3" t="str">
        <f t="shared" si="77"/>
        <v/>
      </c>
      <c r="AF236" s="3" t="str">
        <f t="shared" si="77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78">IF(B204&lt;100,"",B204-620)</f>
        <v/>
      </c>
      <c r="C237" s="3" t="str">
        <f t="shared" si="78"/>
        <v/>
      </c>
      <c r="D237" s="3" t="str">
        <f t="shared" si="78"/>
        <v/>
      </c>
      <c r="E237" s="3" t="str">
        <f t="shared" si="78"/>
        <v/>
      </c>
      <c r="F237" s="3" t="str">
        <f t="shared" si="78"/>
        <v/>
      </c>
      <c r="G237" s="3" t="str">
        <f t="shared" si="78"/>
        <v/>
      </c>
      <c r="H237" s="3" t="str">
        <f t="shared" si="78"/>
        <v/>
      </c>
      <c r="I237" s="3" t="str">
        <f t="shared" si="78"/>
        <v/>
      </c>
      <c r="J237" s="3" t="str">
        <f t="shared" si="78"/>
        <v/>
      </c>
      <c r="K237" s="3" t="str">
        <f t="shared" si="78"/>
        <v/>
      </c>
      <c r="L237" s="3" t="str">
        <f t="shared" si="78"/>
        <v/>
      </c>
      <c r="M237" s="3" t="str">
        <f t="shared" si="78"/>
        <v/>
      </c>
      <c r="N237" s="3" t="str">
        <f t="shared" si="78"/>
        <v/>
      </c>
      <c r="O237" s="3" t="str">
        <f t="shared" si="78"/>
        <v/>
      </c>
      <c r="P237" s="3" t="str">
        <f t="shared" si="78"/>
        <v/>
      </c>
      <c r="Q237" s="3" t="str">
        <f t="shared" si="78"/>
        <v/>
      </c>
      <c r="R237" s="3" t="str">
        <f t="shared" si="78"/>
        <v/>
      </c>
      <c r="S237" s="3" t="str">
        <f t="shared" si="78"/>
        <v/>
      </c>
      <c r="T237" s="3" t="str">
        <f t="shared" si="78"/>
        <v/>
      </c>
      <c r="U237" s="3" t="str">
        <f t="shared" si="78"/>
        <v/>
      </c>
      <c r="V237" s="3" t="str">
        <f t="shared" si="78"/>
        <v/>
      </c>
      <c r="W237" s="3" t="str">
        <f t="shared" si="78"/>
        <v/>
      </c>
      <c r="X237" s="3" t="str">
        <f t="shared" si="78"/>
        <v/>
      </c>
      <c r="Y237" s="3" t="str">
        <f t="shared" si="78"/>
        <v/>
      </c>
      <c r="Z237" s="3" t="str">
        <f t="shared" si="78"/>
        <v/>
      </c>
      <c r="AA237" s="3" t="str">
        <f t="shared" si="78"/>
        <v/>
      </c>
      <c r="AB237" s="3" t="str">
        <f t="shared" si="78"/>
        <v/>
      </c>
      <c r="AC237" s="3" t="str">
        <f t="shared" si="78"/>
        <v/>
      </c>
      <c r="AD237" s="3" t="str">
        <f t="shared" si="78"/>
        <v/>
      </c>
      <c r="AE237" s="3" t="str">
        <f t="shared" si="78"/>
        <v/>
      </c>
      <c r="AF237" s="3" t="str">
        <f t="shared" si="78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79">IF(B205&lt;100,"",B205-330)</f>
        <v/>
      </c>
      <c r="C238" s="3" t="str">
        <f t="shared" si="79"/>
        <v/>
      </c>
      <c r="D238" s="3" t="str">
        <f t="shared" si="79"/>
        <v/>
      </c>
      <c r="E238" s="3" t="str">
        <f t="shared" si="79"/>
        <v/>
      </c>
      <c r="F238" s="3" t="str">
        <f t="shared" si="79"/>
        <v/>
      </c>
      <c r="G238" s="3" t="str">
        <f t="shared" si="79"/>
        <v/>
      </c>
      <c r="H238" s="3" t="str">
        <f t="shared" si="79"/>
        <v/>
      </c>
      <c r="I238" s="3" t="str">
        <f t="shared" si="79"/>
        <v/>
      </c>
      <c r="J238" s="3" t="str">
        <f t="shared" si="79"/>
        <v/>
      </c>
      <c r="K238" s="3" t="str">
        <f t="shared" si="79"/>
        <v/>
      </c>
      <c r="L238" s="3" t="str">
        <f t="shared" si="79"/>
        <v/>
      </c>
      <c r="M238" s="3" t="str">
        <f t="shared" si="79"/>
        <v/>
      </c>
      <c r="N238" s="3" t="str">
        <f t="shared" si="79"/>
        <v/>
      </c>
      <c r="O238" s="3" t="str">
        <f t="shared" si="79"/>
        <v/>
      </c>
      <c r="P238" s="3" t="str">
        <f t="shared" si="79"/>
        <v/>
      </c>
      <c r="Q238" s="3" t="str">
        <f t="shared" si="79"/>
        <v/>
      </c>
      <c r="R238" s="3" t="str">
        <f t="shared" si="79"/>
        <v/>
      </c>
      <c r="S238" s="3" t="str">
        <f t="shared" si="79"/>
        <v/>
      </c>
      <c r="T238" s="3" t="str">
        <f t="shared" si="79"/>
        <v/>
      </c>
      <c r="U238" s="3" t="str">
        <f t="shared" si="79"/>
        <v/>
      </c>
      <c r="V238" s="3" t="str">
        <f t="shared" si="79"/>
        <v/>
      </c>
      <c r="W238" s="3" t="str">
        <f t="shared" si="79"/>
        <v/>
      </c>
      <c r="X238" s="3" t="str">
        <f t="shared" si="79"/>
        <v/>
      </c>
      <c r="Y238" s="3" t="str">
        <f t="shared" si="79"/>
        <v/>
      </c>
      <c r="Z238" s="3" t="str">
        <f t="shared" si="79"/>
        <v/>
      </c>
      <c r="AA238" s="3" t="str">
        <f t="shared" si="79"/>
        <v/>
      </c>
      <c r="AB238" s="3" t="str">
        <f t="shared" si="79"/>
        <v/>
      </c>
      <c r="AC238" s="3" t="str">
        <f t="shared" si="79"/>
        <v/>
      </c>
      <c r="AD238" s="3" t="str">
        <f t="shared" si="79"/>
        <v/>
      </c>
      <c r="AE238" s="3" t="str">
        <f t="shared" si="79"/>
        <v/>
      </c>
      <c r="AF238" s="3" t="str">
        <f t="shared" si="79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80">IF(C206&lt;100,"",C206-1500)</f>
        <v/>
      </c>
      <c r="D239" s="3" t="str">
        <f t="shared" si="80"/>
        <v/>
      </c>
      <c r="E239" s="3" t="str">
        <f t="shared" si="80"/>
        <v/>
      </c>
      <c r="F239" s="3" t="str">
        <f t="shared" si="80"/>
        <v/>
      </c>
      <c r="G239" s="3" t="str">
        <f t="shared" si="80"/>
        <v/>
      </c>
      <c r="H239" s="3" t="str">
        <f t="shared" si="80"/>
        <v/>
      </c>
      <c r="I239" s="3" t="str">
        <f t="shared" si="80"/>
        <v/>
      </c>
      <c r="J239" s="3" t="str">
        <f t="shared" si="80"/>
        <v/>
      </c>
      <c r="K239" s="3" t="str">
        <f t="shared" si="80"/>
        <v/>
      </c>
      <c r="L239" s="3" t="str">
        <f t="shared" si="80"/>
        <v/>
      </c>
      <c r="M239" s="3" t="str">
        <f t="shared" si="80"/>
        <v/>
      </c>
      <c r="N239" s="3" t="str">
        <f t="shared" si="80"/>
        <v/>
      </c>
      <c r="O239" s="3" t="str">
        <f t="shared" si="80"/>
        <v/>
      </c>
      <c r="P239" s="3" t="str">
        <f t="shared" si="80"/>
        <v/>
      </c>
      <c r="Q239" s="3" t="str">
        <f t="shared" si="80"/>
        <v/>
      </c>
      <c r="R239" s="3" t="str">
        <f t="shared" si="80"/>
        <v/>
      </c>
      <c r="S239" s="3" t="str">
        <f t="shared" si="80"/>
        <v/>
      </c>
      <c r="T239" s="3" t="str">
        <f t="shared" si="80"/>
        <v/>
      </c>
      <c r="U239" s="3" t="str">
        <f t="shared" si="80"/>
        <v/>
      </c>
      <c r="V239" s="3" t="str">
        <f t="shared" si="80"/>
        <v/>
      </c>
      <c r="W239" s="3" t="str">
        <f t="shared" si="80"/>
        <v/>
      </c>
      <c r="X239" s="3" t="str">
        <f t="shared" si="80"/>
        <v/>
      </c>
      <c r="Y239" s="3" t="str">
        <f t="shared" si="80"/>
        <v/>
      </c>
      <c r="Z239" s="3" t="str">
        <f t="shared" si="80"/>
        <v/>
      </c>
      <c r="AA239" s="3" t="str">
        <f t="shared" si="80"/>
        <v/>
      </c>
      <c r="AB239" s="3" t="str">
        <f t="shared" si="80"/>
        <v/>
      </c>
      <c r="AC239" s="3" t="str">
        <f t="shared" si="80"/>
        <v/>
      </c>
      <c r="AD239" s="3" t="str">
        <f t="shared" si="80"/>
        <v/>
      </c>
      <c r="AE239" s="3" t="str">
        <f t="shared" si="80"/>
        <v/>
      </c>
      <c r="AF239" s="3" t="str">
        <f t="shared" si="80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M37:P37 E57:L59 N62:N67 E60:O60 P39:R39 M11:Z11 Z12:Z14 X85:AA91 AB81:AF81 C81:R81 C82:AF83 D194:AF200 B194:B200 B9:AF10 B192:AF192 AF57:AF67 AG73 AB94:AF100 U213:AF213 B94:C100 E61:N61 M39:O42 O61:O67 K36:P36 Q36:R37 M53:AF55 M58:W59 P60:S67 P40:AE41 M12:U14 V12:Y12 V14:Y14 M16:Y32 T62:Y67 C56:AF56 C68:AF80 Z43:AB43 Z16:AC31 P42:AB42 AB84:AF91 S36:AF36 AA11:AE14 AC42:AE43 AD28:AF31 AD16:AF26 AF12:AF14">
    <cfRule type="expression" dxfId="549" priority="305">
      <formula>B$9&gt;=20/24</formula>
    </cfRule>
    <cfRule type="expression" dxfId="548" priority="306">
      <formula>AND(B$9&gt;=14/24,B$9&lt;20/24)</formula>
    </cfRule>
    <cfRule type="expression" dxfId="547" priority="307">
      <formula>AND(B$9&gt;=8/24,B$9&lt;14/24)</formula>
    </cfRule>
    <cfRule type="expression" dxfId="546" priority="308">
      <formula>B$9&lt;8/24</formula>
    </cfRule>
  </conditionalFormatting>
  <conditionalFormatting sqref="AL4:AL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45" priority="300">
      <formula>M$9&gt;=20/24</formula>
    </cfRule>
    <cfRule type="expression" dxfId="544" priority="301">
      <formula>AND(M$9&gt;=14/24,M$9&lt;20/24)</formula>
    </cfRule>
    <cfRule type="expression" dxfId="543" priority="302">
      <formula>AND(M$9&gt;=8/24,M$9&lt;14/24)</formula>
    </cfRule>
    <cfRule type="expression" dxfId="542" priority="303">
      <formula>M$9&lt;8/24</formula>
    </cfRule>
  </conditionalFormatting>
  <conditionalFormatting sqref="O43:X43">
    <cfRule type="expression" dxfId="541" priority="296">
      <formula>O$9&gt;=20/24</formula>
    </cfRule>
    <cfRule type="expression" dxfId="540" priority="297">
      <formula>AND(O$9&gt;=14/24,O$9&lt;20/24)</formula>
    </cfRule>
    <cfRule type="expression" dxfId="539" priority="298">
      <formula>AND(O$9&gt;=8/24,O$9&lt;14/24)</formula>
    </cfRule>
    <cfRule type="expression" dxfId="538" priority="299">
      <formula>O$9&lt;8/24</formula>
    </cfRule>
  </conditionalFormatting>
  <conditionalFormatting sqref="Z32:AF32">
    <cfRule type="expression" dxfId="537" priority="292">
      <formula>Z$9&gt;=20/24</formula>
    </cfRule>
    <cfRule type="expression" dxfId="536" priority="293">
      <formula>AND(Z$9&gt;=14/24,Z$9&lt;20/24)</formula>
    </cfRule>
    <cfRule type="expression" dxfId="535" priority="294">
      <formula>AND(Z$9&gt;=8/24,Z$9&lt;14/24)</formula>
    </cfRule>
    <cfRule type="expression" dxfId="534" priority="295">
      <formula>Z$9&lt;8/24</formula>
    </cfRule>
  </conditionalFormatting>
  <conditionalFormatting sqref="S39:AE39">
    <cfRule type="expression" dxfId="533" priority="288">
      <formula>S$9&gt;=20/24</formula>
    </cfRule>
    <cfRule type="expression" dxfId="532" priority="289">
      <formula>AND(S$9&gt;=14/24,S$9&lt;20/24)</formula>
    </cfRule>
    <cfRule type="expression" dxfId="531" priority="290">
      <formula>AND(S$9&gt;=8/24,S$9&lt;14/24)</formula>
    </cfRule>
    <cfRule type="expression" dxfId="530" priority="291">
      <formula>S$9&lt;8/24</formula>
    </cfRule>
  </conditionalFormatting>
  <conditionalFormatting sqref="S57:AE57">
    <cfRule type="expression" dxfId="529" priority="284">
      <formula>S$9&gt;=20/24</formula>
    </cfRule>
    <cfRule type="expression" dxfId="528" priority="285">
      <formula>AND(S$9&gt;=14/24,S$9&lt;20/24)</formula>
    </cfRule>
    <cfRule type="expression" dxfId="527" priority="286">
      <formula>AND(S$9&gt;=8/24,S$9&lt;14/24)</formula>
    </cfRule>
    <cfRule type="expression" dxfId="526" priority="287">
      <formula>S$9&lt;8/24</formula>
    </cfRule>
  </conditionalFormatting>
  <conditionalFormatting sqref="S81:AA81">
    <cfRule type="expression" dxfId="525" priority="280">
      <formula>S$9&gt;=20/24</formula>
    </cfRule>
    <cfRule type="expression" dxfId="524" priority="281">
      <formula>AND(S$9&gt;=14/24,S$9&lt;20/24)</formula>
    </cfRule>
    <cfRule type="expression" dxfId="523" priority="282">
      <formula>AND(S$9&gt;=8/24,S$9&lt;14/24)</formula>
    </cfRule>
    <cfRule type="expression" dxfId="522" priority="283">
      <formula>S$9&lt;8/24</formula>
    </cfRule>
  </conditionalFormatting>
  <conditionalFormatting sqref="U84:AA84">
    <cfRule type="expression" dxfId="521" priority="276">
      <formula>U$9&gt;=20/24</formula>
    </cfRule>
    <cfRule type="expression" dxfId="520" priority="277">
      <formula>AND(U$9&gt;=14/24,U$9&lt;20/24)</formula>
    </cfRule>
    <cfRule type="expression" dxfId="519" priority="278">
      <formula>AND(U$9&gt;=8/24,U$9&lt;14/24)</formula>
    </cfRule>
    <cfRule type="expression" dxfId="518" priority="279">
      <formula>U$9&lt;8/24</formula>
    </cfRule>
  </conditionalFormatting>
  <conditionalFormatting sqref="M35:Y35">
    <cfRule type="expression" dxfId="517" priority="272">
      <formula>M$9&gt;=20/24</formula>
    </cfRule>
    <cfRule type="expression" dxfId="516" priority="273">
      <formula>AND(M$9&gt;=14/24,M$9&lt;20/24)</formula>
    </cfRule>
    <cfRule type="expression" dxfId="515" priority="274">
      <formula>AND(M$9&gt;=8/24,M$9&lt;14/24)</formula>
    </cfRule>
    <cfRule type="expression" dxfId="514" priority="275">
      <formula>M$9&lt;8/24</formula>
    </cfRule>
  </conditionalFormatting>
  <conditionalFormatting sqref="S37:AE37">
    <cfRule type="expression" dxfId="513" priority="256">
      <formula>S$9&gt;=20/24</formula>
    </cfRule>
    <cfRule type="expression" dxfId="512" priority="257">
      <formula>AND(S$9&gt;=14/24,S$9&lt;20/24)</formula>
    </cfRule>
    <cfRule type="expression" dxfId="511" priority="258">
      <formula>AND(S$9&gt;=8/24,S$9&lt;14/24)</formula>
    </cfRule>
    <cfRule type="expression" dxfId="510" priority="259">
      <formula>S$9&lt;8/24</formula>
    </cfRule>
  </conditionalFormatting>
  <conditionalFormatting sqref="Z35:AF35">
    <cfRule type="expression" dxfId="509" priority="252">
      <formula>Z$9&gt;=20/24</formula>
    </cfRule>
    <cfRule type="expression" dxfId="508" priority="253">
      <formula>AND(Z$9&gt;=14/24,Z$9&lt;20/24)</formula>
    </cfRule>
    <cfRule type="expression" dxfId="507" priority="254">
      <formula>AND(Z$9&gt;=8/24,Z$9&lt;14/24)</formula>
    </cfRule>
    <cfRule type="expression" dxfId="506" priority="255">
      <formula>Z$9&lt;8/24</formula>
    </cfRule>
  </conditionalFormatting>
  <conditionalFormatting sqref="Y43 Z45:AE48">
    <cfRule type="expression" dxfId="505" priority="248">
      <formula>Y$9&gt;=20/24</formula>
    </cfRule>
    <cfRule type="expression" dxfId="504" priority="249">
      <formula>AND(Y$9&gt;=14/24,Y$9&lt;20/24)</formula>
    </cfRule>
    <cfRule type="expression" dxfId="503" priority="250">
      <formula>AND(Y$9&gt;=8/24,Y$9&lt;14/24)</formula>
    </cfRule>
    <cfRule type="expression" dxfId="502" priority="251">
      <formula>Y$9&lt;8/24</formula>
    </cfRule>
  </conditionalFormatting>
  <conditionalFormatting sqref="Z49:AE49">
    <cfRule type="expression" dxfId="501" priority="244">
      <formula>Z$9&gt;=20/24</formula>
    </cfRule>
    <cfRule type="expression" dxfId="500" priority="245">
      <formula>AND(Z$9&gt;=14/24,Z$9&lt;20/24)</formula>
    </cfRule>
    <cfRule type="expression" dxfId="499" priority="246">
      <formula>AND(Z$9&gt;=8/24,Z$9&lt;14/24)</formula>
    </cfRule>
    <cfRule type="expression" dxfId="498" priority="247">
      <formula>Z$9&lt;8/24</formula>
    </cfRule>
  </conditionalFormatting>
  <conditionalFormatting sqref="Z50:AE50">
    <cfRule type="expression" dxfId="497" priority="240">
      <formula>Z$9&gt;=20/24</formula>
    </cfRule>
    <cfRule type="expression" dxfId="496" priority="241">
      <formula>AND(Z$9&gt;=14/24,Z$9&lt;20/24)</formula>
    </cfRule>
    <cfRule type="expression" dxfId="495" priority="242">
      <formula>AND(Z$9&gt;=8/24,Z$9&lt;14/24)</formula>
    </cfRule>
    <cfRule type="expression" dxfId="494" priority="243">
      <formula>Z$9&lt;8/24</formula>
    </cfRule>
  </conditionalFormatting>
  <conditionalFormatting sqref="T60:T61 X60:Z61 Z62:Z67 AA60:AE67">
    <cfRule type="expression" dxfId="493" priority="236">
      <formula>T$9&gt;=20/24</formula>
    </cfRule>
    <cfRule type="expression" dxfId="492" priority="237">
      <formula>AND(T$9&gt;=14/24,T$9&lt;20/24)</formula>
    </cfRule>
    <cfRule type="expression" dxfId="491" priority="238">
      <formula>AND(T$9&gt;=8/24,T$9&lt;14/24)</formula>
    </cfRule>
    <cfRule type="expression" dxfId="490" priority="239">
      <formula>T$9&lt;8/24</formula>
    </cfRule>
  </conditionalFormatting>
  <conditionalFormatting sqref="E62:J62 K62:M67">
    <cfRule type="expression" dxfId="489" priority="232">
      <formula>E$9&gt;=20/24</formula>
    </cfRule>
    <cfRule type="expression" dxfId="488" priority="233">
      <formula>AND(E$9&gt;=14/24,E$9&lt;20/24)</formula>
    </cfRule>
    <cfRule type="expression" dxfId="487" priority="234">
      <formula>AND(E$9&gt;=8/24,E$9&lt;14/24)</formula>
    </cfRule>
    <cfRule type="expression" dxfId="486" priority="235">
      <formula>E$9&lt;8/24</formula>
    </cfRule>
  </conditionalFormatting>
  <conditionalFormatting sqref="U94:AA97">
    <cfRule type="expression" dxfId="485" priority="228">
      <formula>U$9&gt;=20/24</formula>
    </cfRule>
    <cfRule type="expression" dxfId="484" priority="229">
      <formula>AND(U$9&gt;=14/24,U$9&lt;20/24)</formula>
    </cfRule>
    <cfRule type="expression" dxfId="483" priority="230">
      <formula>AND(U$9&gt;=8/24,U$9&lt;14/24)</formula>
    </cfRule>
    <cfRule type="expression" dxfId="482" priority="231">
      <formula>U$9&lt;8/24</formula>
    </cfRule>
  </conditionalFormatting>
  <conditionalFormatting sqref="AG51 E17:J17 D39:AF40 P44:Q44 D41:Q43 T41:AF41 R41:S44 E53:AF55 U42:AB42 T42:T44 K12:U14 Y43:Z43 U43:X44 V12:Y12 K16:Y32 V14:Y14 Z44:Z50 Y44 C38:AF38 C51:AF52 C56:AF56 AA43:AB50 E37:AF37 E11:AF11 AC42:AF50 K34:AF36 Z12:AF32">
    <cfRule type="expression" dxfId="481" priority="227">
      <formula>C11&gt;$AG11</formula>
    </cfRule>
  </conditionalFormatting>
  <conditionalFormatting sqref="A101:A157 A84:A97 A11:A14 A16:A32 A45:A72 A80:A82 A74:A78 A35:A43 A170:A200">
    <cfRule type="expression" dxfId="480" priority="226">
      <formula>$AH11=0</formula>
    </cfRule>
  </conditionalFormatting>
  <conditionalFormatting sqref="U98:AA98">
    <cfRule type="expression" dxfId="479" priority="222">
      <formula>U$9&gt;=20/24</formula>
    </cfRule>
    <cfRule type="expression" dxfId="478" priority="223">
      <formula>AND(U$9&gt;=14/24,U$9&lt;20/24)</formula>
    </cfRule>
    <cfRule type="expression" dxfId="477" priority="224">
      <formula>AND(U$9&gt;=8/24,U$9&lt;14/24)</formula>
    </cfRule>
    <cfRule type="expression" dxfId="476" priority="225">
      <formula>U$9&lt;8/24</formula>
    </cfRule>
  </conditionalFormatting>
  <conditionalFormatting sqref="A98">
    <cfRule type="expression" dxfId="475" priority="221">
      <formula>$AH98=0</formula>
    </cfRule>
  </conditionalFormatting>
  <conditionalFormatting sqref="AL32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474" priority="204">
      <formula>Z$9&gt;=20/24</formula>
    </cfRule>
    <cfRule type="expression" dxfId="473" priority="205">
      <formula>AND(Z$9&gt;=14/24,Z$9&lt;20/24)</formula>
    </cfRule>
    <cfRule type="expression" dxfId="472" priority="206">
      <formula>AND(Z$9&gt;=8/24,Z$9&lt;14/24)</formula>
    </cfRule>
    <cfRule type="expression" dxfId="471" priority="207">
      <formula>Z$9&lt;8/24</formula>
    </cfRule>
  </conditionalFormatting>
  <conditionalFormatting sqref="M34:Y34">
    <cfRule type="expression" dxfId="470" priority="200">
      <formula>M$9&gt;=20/24</formula>
    </cfRule>
    <cfRule type="expression" dxfId="469" priority="201">
      <formula>AND(M$9&gt;=14/24,M$9&lt;20/24)</formula>
    </cfRule>
    <cfRule type="expression" dxfId="468" priority="202">
      <formula>AND(M$9&gt;=8/24,M$9&lt;14/24)</formula>
    </cfRule>
    <cfRule type="expression" dxfId="467" priority="203">
      <formula>M$9&lt;8/24</formula>
    </cfRule>
  </conditionalFormatting>
  <conditionalFormatting sqref="A34">
    <cfRule type="expression" dxfId="466" priority="195">
      <formula>$AH34=0</formula>
    </cfRule>
  </conditionalFormatting>
  <conditionalFormatting sqref="A83">
    <cfRule type="expression" dxfId="465" priority="194">
      <formula>$AH83=0</formula>
    </cfRule>
  </conditionalFormatting>
  <conditionalFormatting sqref="Z15:AF15">
    <cfRule type="expression" dxfId="464" priority="190">
      <formula>Z$9&gt;=20/24</formula>
    </cfRule>
    <cfRule type="expression" dxfId="463" priority="191">
      <formula>AND(Z$9&gt;=14/24,Z$9&lt;20/24)</formula>
    </cfRule>
    <cfRule type="expression" dxfId="462" priority="192">
      <formula>AND(Z$9&gt;=8/24,Z$9&lt;14/24)</formula>
    </cfRule>
    <cfRule type="expression" dxfId="461" priority="193">
      <formula>Z$9&lt;8/24</formula>
    </cfRule>
  </conditionalFormatting>
  <conditionalFormatting sqref="M15:Y15">
    <cfRule type="expression" dxfId="460" priority="186">
      <formula>M$9&gt;=20/24</formula>
    </cfRule>
    <cfRule type="expression" dxfId="459" priority="187">
      <formula>AND(M$9&gt;=14/24,M$9&lt;20/24)</formula>
    </cfRule>
    <cfRule type="expression" dxfId="458" priority="188">
      <formula>AND(M$9&gt;=8/24,M$9&lt;14/24)</formula>
    </cfRule>
    <cfRule type="expression" dxfId="457" priority="189">
      <formula>M$9&lt;8/24</formula>
    </cfRule>
  </conditionalFormatting>
  <conditionalFormatting sqref="K15:Y15">
    <cfRule type="expression" dxfId="456" priority="185">
      <formula>K15&gt;$AG15</formula>
    </cfRule>
  </conditionalFormatting>
  <conditionalFormatting sqref="A15">
    <cfRule type="expression" dxfId="455" priority="184">
      <formula>$AH15=0</formula>
    </cfRule>
  </conditionalFormatting>
  <conditionalFormatting sqref="A164:A169">
    <cfRule type="expression" dxfId="454" priority="183">
      <formula>$AH164=0</formula>
    </cfRule>
  </conditionalFormatting>
  <conditionalFormatting sqref="A158:A163">
    <cfRule type="expression" dxfId="453" priority="182">
      <formula>$AH158=0</formula>
    </cfRule>
  </conditionalFormatting>
  <conditionalFormatting sqref="Z44:AE44">
    <cfRule type="expression" dxfId="452" priority="178">
      <formula>Z$9&gt;=20/24</formula>
    </cfRule>
    <cfRule type="expression" dxfId="451" priority="179">
      <formula>AND(Z$9&gt;=14/24,Z$9&lt;20/24)</formula>
    </cfRule>
    <cfRule type="expression" dxfId="450" priority="180">
      <formula>AND(Z$9&gt;=8/24,Z$9&lt;14/24)</formula>
    </cfRule>
    <cfRule type="expression" dxfId="449" priority="181">
      <formula>Z$9&lt;8/24</formula>
    </cfRule>
  </conditionalFormatting>
  <conditionalFormatting sqref="P44:Y44">
    <cfRule type="expression" dxfId="448" priority="174">
      <formula>P$9&gt;=20/24</formula>
    </cfRule>
    <cfRule type="expression" dxfId="447" priority="175">
      <formula>AND(P$9&gt;=14/24,P$9&lt;20/24)</formula>
    </cfRule>
    <cfRule type="expression" dxfId="446" priority="176">
      <formula>AND(P$9&gt;=8/24,P$9&lt;14/24)</formula>
    </cfRule>
    <cfRule type="expression" dxfId="445" priority="177">
      <formula>P$9&lt;8/24</formula>
    </cfRule>
  </conditionalFormatting>
  <conditionalFormatting sqref="A44">
    <cfRule type="expression" dxfId="444" priority="169">
      <formula>$AH44=0</formula>
    </cfRule>
  </conditionalFormatting>
  <conditionalFormatting sqref="A79">
    <cfRule type="expression" dxfId="443" priority="168">
      <formula>$AH79=0</formula>
    </cfRule>
  </conditionalFormatting>
  <conditionalFormatting sqref="A73">
    <cfRule type="expression" dxfId="442" priority="167">
      <formula>$AH73=0</formula>
    </cfRule>
  </conditionalFormatting>
  <conditionalFormatting sqref="AL34:AL35 AL7:AL31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441" priority="163">
      <formula>U$9&gt;=20/24</formula>
    </cfRule>
    <cfRule type="expression" dxfId="440" priority="164">
      <formula>AND(U$9&gt;=14/24,U$9&lt;20/24)</formula>
    </cfRule>
    <cfRule type="expression" dxfId="439" priority="165">
      <formula>AND(U$9&gt;=8/24,U$9&lt;14/24)</formula>
    </cfRule>
    <cfRule type="expression" dxfId="438" priority="166">
      <formula>U$9&lt;8/24</formula>
    </cfRule>
  </conditionalFormatting>
  <conditionalFormatting sqref="U85:W91">
    <cfRule type="expression" dxfId="437" priority="159">
      <formula>U$9&gt;=20/24</formula>
    </cfRule>
    <cfRule type="expression" dxfId="436" priority="160">
      <formula>AND(U$9&gt;=14/24,U$9&lt;20/24)</formula>
    </cfRule>
    <cfRule type="expression" dxfId="435" priority="161">
      <formula>AND(U$9&gt;=8/24,U$9&lt;14/24)</formula>
    </cfRule>
    <cfRule type="expression" dxfId="434" priority="162">
      <formula>U$9&lt;8/24</formula>
    </cfRule>
  </conditionalFormatting>
  <conditionalFormatting sqref="C84:J84 D85:J91 L84:R84 K84:K91 L85:T91">
    <cfRule type="expression" dxfId="433" priority="155">
      <formula>C$9&gt;=20/24</formula>
    </cfRule>
    <cfRule type="expression" dxfId="432" priority="156">
      <formula>AND(C$9&gt;=14/24,C$9&lt;20/24)</formula>
    </cfRule>
    <cfRule type="expression" dxfId="431" priority="157">
      <formula>AND(C$9&gt;=8/24,C$9&lt;14/24)</formula>
    </cfRule>
    <cfRule type="expression" dxfId="430" priority="158">
      <formula>C$9&lt;8/24</formula>
    </cfRule>
  </conditionalFormatting>
  <conditionalFormatting sqref="S84:T84">
    <cfRule type="expression" dxfId="429" priority="151">
      <formula>S$9&gt;=20/24</formula>
    </cfRule>
    <cfRule type="expression" dxfId="428" priority="152">
      <formula>AND(S$9&gt;=14/24,S$9&lt;20/24)</formula>
    </cfRule>
    <cfRule type="expression" dxfId="427" priority="153">
      <formula>AND(S$9&gt;=8/24,S$9&lt;14/24)</formula>
    </cfRule>
    <cfRule type="expression" dxfId="426" priority="154">
      <formula>S$9&lt;8/24</formula>
    </cfRule>
  </conditionalFormatting>
  <conditionalFormatting sqref="D94:F94 D95:M97">
    <cfRule type="expression" dxfId="425" priority="147">
      <formula>D$9&gt;=20/24</formula>
    </cfRule>
    <cfRule type="expression" dxfId="424" priority="148">
      <formula>AND(D$9&gt;=14/24,D$9&lt;20/24)</formula>
    </cfRule>
    <cfRule type="expression" dxfId="423" priority="149">
      <formula>AND(D$9&gt;=8/24,D$9&lt;14/24)</formula>
    </cfRule>
    <cfRule type="expression" dxfId="422" priority="150">
      <formula>D$9&lt;8/24</formula>
    </cfRule>
  </conditionalFormatting>
  <conditionalFormatting sqref="N95:R97 O94:R94 S94:S97">
    <cfRule type="expression" dxfId="421" priority="143">
      <formula>N$9&gt;=20/24</formula>
    </cfRule>
    <cfRule type="expression" dxfId="420" priority="144">
      <formula>AND(N$9&gt;=14/24,N$9&lt;20/24)</formula>
    </cfRule>
    <cfRule type="expression" dxfId="419" priority="145">
      <formula>AND(N$9&gt;=8/24,N$9&lt;14/24)</formula>
    </cfRule>
    <cfRule type="expression" dxfId="418" priority="146">
      <formula>N$9&lt;8/24</formula>
    </cfRule>
  </conditionalFormatting>
  <conditionalFormatting sqref="T94:T97">
    <cfRule type="expression" dxfId="417" priority="139">
      <formula>T$9&gt;=20/24</formula>
    </cfRule>
    <cfRule type="expression" dxfId="416" priority="140">
      <formula>AND(T$9&gt;=14/24,T$9&lt;20/24)</formula>
    </cfRule>
    <cfRule type="expression" dxfId="415" priority="141">
      <formula>AND(T$9&gt;=8/24,T$9&lt;14/24)</formula>
    </cfRule>
    <cfRule type="expression" dxfId="414" priority="142">
      <formula>T$9&lt;8/24</formula>
    </cfRule>
  </conditionalFormatting>
  <conditionalFormatting sqref="D98:M98">
    <cfRule type="expression" dxfId="413" priority="135">
      <formula>D$9&gt;=20/24</formula>
    </cfRule>
    <cfRule type="expression" dxfId="412" priority="136">
      <formula>AND(D$9&gt;=14/24,D$9&lt;20/24)</formula>
    </cfRule>
    <cfRule type="expression" dxfId="411" priority="137">
      <formula>AND(D$9&gt;=8/24,D$9&lt;14/24)</formula>
    </cfRule>
    <cfRule type="expression" dxfId="410" priority="138">
      <formula>D$9&lt;8/24</formula>
    </cfRule>
  </conditionalFormatting>
  <conditionalFormatting sqref="N98:S98">
    <cfRule type="expression" dxfId="409" priority="131">
      <formula>N$9&gt;=20/24</formula>
    </cfRule>
    <cfRule type="expression" dxfId="408" priority="132">
      <formula>AND(N$9&gt;=14/24,N$9&lt;20/24)</formula>
    </cfRule>
    <cfRule type="expression" dxfId="407" priority="133">
      <formula>AND(N$9&gt;=8/24,N$9&lt;14/24)</formula>
    </cfRule>
    <cfRule type="expression" dxfId="406" priority="134">
      <formula>N$9&lt;8/24</formula>
    </cfRule>
  </conditionalFormatting>
  <conditionalFormatting sqref="T98">
    <cfRule type="expression" dxfId="405" priority="127">
      <formula>T$9&gt;=20/24</formula>
    </cfRule>
    <cfRule type="expression" dxfId="404" priority="128">
      <formula>AND(T$9&gt;=14/24,T$9&lt;20/24)</formula>
    </cfRule>
    <cfRule type="expression" dxfId="403" priority="129">
      <formula>AND(T$9&gt;=8/24,T$9&lt;14/24)</formula>
    </cfRule>
    <cfRule type="expression" dxfId="402" priority="130">
      <formula>T$9&lt;8/24</formula>
    </cfRule>
  </conditionalFormatting>
  <conditionalFormatting sqref="M94:N94">
    <cfRule type="expression" dxfId="401" priority="123">
      <formula>M$9&gt;=20/24</formula>
    </cfRule>
    <cfRule type="expression" dxfId="400" priority="124">
      <formula>AND(M$9&gt;=14/24,M$9&lt;20/24)</formula>
    </cfRule>
    <cfRule type="expression" dxfId="399" priority="125">
      <formula>AND(M$9&gt;=8/24,M$9&lt;14/24)</formula>
    </cfRule>
    <cfRule type="expression" dxfId="398" priority="126">
      <formula>M$9&lt;8/24</formula>
    </cfRule>
  </conditionalFormatting>
  <conditionalFormatting sqref="G94:L94">
    <cfRule type="expression" dxfId="397" priority="119">
      <formula>G$9&gt;=20/24</formula>
    </cfRule>
    <cfRule type="expression" dxfId="396" priority="120">
      <formula>AND(G$9&gt;=14/24,G$9&lt;20/24)</formula>
    </cfRule>
    <cfRule type="expression" dxfId="395" priority="121">
      <formula>AND(G$9&gt;=8/24,G$9&lt;14/24)</formula>
    </cfRule>
    <cfRule type="expression" dxfId="394" priority="122">
      <formula>G$9&lt;8/24</formula>
    </cfRule>
  </conditionalFormatting>
  <conditionalFormatting sqref="U94:W94">
    <cfRule type="expression" dxfId="393" priority="115">
      <formula>U$9&gt;=20/24</formula>
    </cfRule>
    <cfRule type="expression" dxfId="392" priority="116">
      <formula>AND(U$9&gt;=14/24,U$9&lt;20/24)</formula>
    </cfRule>
    <cfRule type="expression" dxfId="391" priority="117">
      <formula>AND(U$9&gt;=8/24,U$9&lt;14/24)</formula>
    </cfRule>
    <cfRule type="expression" dxfId="390" priority="118">
      <formula>U$9&lt;8/24</formula>
    </cfRule>
  </conditionalFormatting>
  <conditionalFormatting sqref="N94:T94">
    <cfRule type="expression" dxfId="389" priority="111">
      <formula>N$9&gt;=20/24</formula>
    </cfRule>
    <cfRule type="expression" dxfId="388" priority="112">
      <formula>AND(N$9&gt;=14/24,N$9&lt;20/24)</formula>
    </cfRule>
    <cfRule type="expression" dxfId="387" priority="113">
      <formula>AND(N$9&gt;=8/24,N$9&lt;14/24)</formula>
    </cfRule>
    <cfRule type="expression" dxfId="386" priority="114">
      <formula>N$9&lt;8/24</formula>
    </cfRule>
  </conditionalFormatting>
  <conditionalFormatting sqref="U99:AA100">
    <cfRule type="expression" dxfId="385" priority="107">
      <formula>U$9&gt;=20/24</formula>
    </cfRule>
    <cfRule type="expression" dxfId="384" priority="108">
      <formula>AND(U$9&gt;=14/24,U$9&lt;20/24)</formula>
    </cfRule>
    <cfRule type="expression" dxfId="383" priority="109">
      <formula>AND(U$9&gt;=8/24,U$9&lt;14/24)</formula>
    </cfRule>
    <cfRule type="expression" dxfId="382" priority="110">
      <formula>U$9&lt;8/24</formula>
    </cfRule>
  </conditionalFormatting>
  <conditionalFormatting sqref="D99:M100">
    <cfRule type="expression" dxfId="381" priority="103">
      <formula>D$9&gt;=20/24</formula>
    </cfRule>
    <cfRule type="expression" dxfId="380" priority="104">
      <formula>AND(D$9&gt;=14/24,D$9&lt;20/24)</formula>
    </cfRule>
    <cfRule type="expression" dxfId="379" priority="105">
      <formula>AND(D$9&gt;=8/24,D$9&lt;14/24)</formula>
    </cfRule>
    <cfRule type="expression" dxfId="378" priority="106">
      <formula>D$9&lt;8/24</formula>
    </cfRule>
  </conditionalFormatting>
  <conditionalFormatting sqref="N99:S100">
    <cfRule type="expression" dxfId="377" priority="99">
      <formula>N$9&gt;=20/24</formula>
    </cfRule>
    <cfRule type="expression" dxfId="376" priority="100">
      <formula>AND(N$9&gt;=14/24,N$9&lt;20/24)</formula>
    </cfRule>
    <cfRule type="expression" dxfId="375" priority="101">
      <formula>AND(N$9&gt;=8/24,N$9&lt;14/24)</formula>
    </cfRule>
    <cfRule type="expression" dxfId="374" priority="102">
      <formula>N$9&lt;8/24</formula>
    </cfRule>
  </conditionalFormatting>
  <conditionalFormatting sqref="T99:T100">
    <cfRule type="expression" dxfId="373" priority="95">
      <formula>T$9&gt;=20/24</formula>
    </cfRule>
    <cfRule type="expression" dxfId="372" priority="96">
      <formula>AND(T$9&gt;=14/24,T$9&lt;20/24)</formula>
    </cfRule>
    <cfRule type="expression" dxfId="371" priority="97">
      <formula>AND(T$9&gt;=8/24,T$9&lt;14/24)</formula>
    </cfRule>
    <cfRule type="expression" dxfId="370" priority="98">
      <formula>T$9&lt;8/24</formula>
    </cfRule>
  </conditionalFormatting>
  <conditionalFormatting sqref="V13:Y13">
    <cfRule type="expression" dxfId="369" priority="91">
      <formula>V$9&gt;=20/24</formula>
    </cfRule>
    <cfRule type="expression" dxfId="368" priority="92">
      <formula>AND(V$9&gt;=14/24,V$9&lt;20/24)</formula>
    </cfRule>
    <cfRule type="expression" dxfId="367" priority="93">
      <formula>AND(V$9&gt;=8/24,V$9&lt;14/24)</formula>
    </cfRule>
    <cfRule type="expression" dxfId="366" priority="94">
      <formula>V$9&lt;8/24</formula>
    </cfRule>
  </conditionalFormatting>
  <conditionalFormatting sqref="V13:Y13">
    <cfRule type="expression" dxfId="365" priority="83">
      <formula>V$9&gt;=20/24</formula>
    </cfRule>
    <cfRule type="expression" dxfId="364" priority="84">
      <formula>AND(V$9&gt;=14/24,V$9&lt;20/24)</formula>
    </cfRule>
    <cfRule type="expression" dxfId="363" priority="85">
      <formula>AND(V$9&gt;=8/24,V$9&lt;14/24)</formula>
    </cfRule>
    <cfRule type="expression" dxfId="362" priority="86">
      <formula>V$9&lt;8/24</formula>
    </cfRule>
  </conditionalFormatting>
  <conditionalFormatting sqref="AD58:AE59">
    <cfRule type="expression" dxfId="361" priority="79">
      <formula>AD$9&gt;=20/24</formula>
    </cfRule>
    <cfRule type="expression" dxfId="360" priority="80">
      <formula>AND(AD$9&gt;=14/24,AD$9&lt;20/24)</formula>
    </cfRule>
    <cfRule type="expression" dxfId="359" priority="81">
      <formula>AND(AD$9&gt;=8/24,AD$9&lt;14/24)</formula>
    </cfRule>
    <cfRule type="expression" dxfId="358" priority="82">
      <formula>AD$9&lt;8/24</formula>
    </cfRule>
  </conditionalFormatting>
  <conditionalFormatting sqref="AL3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57" priority="312">
      <formula>C$9&gt;=20/24</formula>
    </cfRule>
    <cfRule type="expression" dxfId="356" priority="313">
      <formula>AND(C$9&gt;=14/24,C$9&lt;20/24)</formula>
    </cfRule>
    <cfRule type="expression" dxfId="355" priority="314">
      <formula>AND(C$9&gt;=8/24,C$9&lt;14/24)</formula>
    </cfRule>
    <cfRule type="expression" dxfId="354" priority="315">
      <formula>C$9&lt;8/24</formula>
    </cfRule>
  </conditionalFormatting>
  <conditionalFormatting sqref="A201">
    <cfRule type="expression" dxfId="353" priority="316">
      <formula>$AH201=0</formula>
    </cfRule>
  </conditionalFormatting>
  <conditionalFormatting sqref="AG213">
    <cfRule type="expression" dxfId="352" priority="317">
      <formula>B$9&gt;=20/24</formula>
    </cfRule>
    <cfRule type="expression" dxfId="351" priority="318">
      <formula>AND(B$9&gt;=14/24,B$9&lt;20/24)</formula>
    </cfRule>
    <cfRule type="expression" dxfId="350" priority="319">
      <formula>AND(B$9&gt;=8/24,B$9&lt;14/24)</formula>
    </cfRule>
    <cfRule type="expression" dxfId="349" priority="320">
      <formula>B$9&lt;8/24</formula>
    </cfRule>
  </conditionalFormatting>
  <conditionalFormatting sqref="S8">
    <cfRule type="expression" dxfId="348" priority="73">
      <formula>U$9&gt;=20/24</formula>
    </cfRule>
    <cfRule type="expression" dxfId="347" priority="74">
      <formula>AND(U$9&gt;=14/24,U$9&lt;20/24)</formula>
    </cfRule>
    <cfRule type="expression" dxfId="346" priority="75">
      <formula>AND(U$9&gt;=8/24,U$9&lt;14/24)</formula>
    </cfRule>
    <cfRule type="expression" dxfId="345" priority="76">
      <formula>U$9&lt;8/24</formula>
    </cfRule>
  </conditionalFormatting>
  <conditionalFormatting sqref="AB8">
    <cfRule type="expression" dxfId="344" priority="69">
      <formula>AD$9&gt;=20/24</formula>
    </cfRule>
    <cfRule type="expression" dxfId="343" priority="70">
      <formula>AND(AD$9&gt;=14/24,AD$9&lt;20/24)</formula>
    </cfRule>
    <cfRule type="expression" dxfId="342" priority="71">
      <formula>AND(AD$9&gt;=8/24,AD$9&lt;14/24)</formula>
    </cfRule>
    <cfRule type="expression" dxfId="341" priority="72">
      <formula>AD$9&lt;8/24</formula>
    </cfRule>
  </conditionalFormatting>
  <conditionalFormatting sqref="AH213:AX213">
    <cfRule type="expression" dxfId="340" priority="321">
      <formula>AG$9&gt;=20/24</formula>
    </cfRule>
    <cfRule type="expression" dxfId="339" priority="322">
      <formula>AND(AG$9&gt;=14/24,AG$9&lt;20/24)</formula>
    </cfRule>
    <cfRule type="expression" dxfId="338" priority="323">
      <formula>AND(AG$9&gt;=8/24,AG$9&lt;14/24)</formula>
    </cfRule>
    <cfRule type="expression" dxfId="337" priority="324">
      <formula>AG$9&lt;8/24</formula>
    </cfRule>
  </conditionalFormatting>
  <conditionalFormatting sqref="T213">
    <cfRule type="expression" dxfId="336" priority="325">
      <formula>AX$9&gt;=20/24</formula>
    </cfRule>
    <cfRule type="expression" dxfId="335" priority="326">
      <formula>AND(AX$9&gt;=14/24,AX$9&lt;20/24)</formula>
    </cfRule>
    <cfRule type="expression" dxfId="334" priority="327">
      <formula>AND(AX$9&gt;=8/24,AX$9&lt;14/24)</formula>
    </cfRule>
    <cfRule type="expression" dxfId="333" priority="328">
      <formula>AX$9&lt;8/24</formula>
    </cfRule>
  </conditionalFormatting>
  <conditionalFormatting sqref="A99:A100">
    <cfRule type="expression" dxfId="332" priority="68">
      <formula>$AH99=0</formula>
    </cfRule>
  </conditionalFormatting>
  <conditionalFormatting sqref="M33:Y33">
    <cfRule type="expression" dxfId="331" priority="64">
      <formula>M$9&gt;=20/24</formula>
    </cfRule>
    <cfRule type="expression" dxfId="330" priority="65">
      <formula>AND(M$9&gt;=14/24,M$9&lt;20/24)</formula>
    </cfRule>
    <cfRule type="expression" dxfId="329" priority="66">
      <formula>AND(M$9&gt;=8/24,M$9&lt;14/24)</formula>
    </cfRule>
    <cfRule type="expression" dxfId="328" priority="67">
      <formula>M$9&lt;8/24</formula>
    </cfRule>
  </conditionalFormatting>
  <conditionalFormatting sqref="Z33:AF33">
    <cfRule type="expression" dxfId="327" priority="60">
      <formula>Z$9&gt;=20/24</formula>
    </cfRule>
    <cfRule type="expression" dxfId="326" priority="61">
      <formula>AND(Z$9&gt;=14/24,Z$9&lt;20/24)</formula>
    </cfRule>
    <cfRule type="expression" dxfId="325" priority="62">
      <formula>AND(Z$9&gt;=8/24,Z$9&lt;14/24)</formula>
    </cfRule>
    <cfRule type="expression" dxfId="324" priority="63">
      <formula>Z$9&lt;8/24</formula>
    </cfRule>
  </conditionalFormatting>
  <conditionalFormatting sqref="K33:AF33">
    <cfRule type="expression" dxfId="323" priority="55">
      <formula>K33&gt;$AG33</formula>
    </cfRule>
  </conditionalFormatting>
  <conditionalFormatting sqref="B53:B91 B40:C43 C85:C91 B11:D14 C53:D55 C57:D67 B28:J31 B36:J36 E12:J14 B16:J16 E63:J67 B18:J26 B17:D17">
    <cfRule type="expression" dxfId="322" priority="51">
      <formula>B$9&gt;=20/24</formula>
    </cfRule>
    <cfRule type="expression" dxfId="321" priority="52">
      <formula>AND(B$9&gt;=14/24,B$9&lt;20/24)</formula>
    </cfRule>
    <cfRule type="expression" dxfId="320" priority="53">
      <formula>AND(B$9&gt;=8/24,B$9&lt;14/24)</formula>
    </cfRule>
    <cfRule type="expression" dxfId="319" priority="54">
      <formula>B$9&lt;8/24</formula>
    </cfRule>
  </conditionalFormatting>
  <conditionalFormatting sqref="B32:J32">
    <cfRule type="expression" dxfId="318" priority="47">
      <formula>B$9&gt;=20/24</formula>
    </cfRule>
    <cfRule type="expression" dxfId="317" priority="48">
      <formula>AND(B$9&gt;=14/24,B$9&lt;20/24)</formula>
    </cfRule>
    <cfRule type="expression" dxfId="316" priority="49">
      <formula>AND(B$9&gt;=8/24,B$9&lt;14/24)</formula>
    </cfRule>
    <cfRule type="expression" dxfId="315" priority="50">
      <formula>B$9&lt;8/24</formula>
    </cfRule>
  </conditionalFormatting>
  <conditionalFormatting sqref="B39:C39">
    <cfRule type="expression" dxfId="314" priority="43">
      <formula>B$9&gt;=20/24</formula>
    </cfRule>
    <cfRule type="expression" dxfId="313" priority="44">
      <formula>AND(B$9&gt;=14/24,B$9&lt;20/24)</formula>
    </cfRule>
    <cfRule type="expression" dxfId="312" priority="45">
      <formula>AND(B$9&gt;=8/24,B$9&lt;14/24)</formula>
    </cfRule>
    <cfRule type="expression" dxfId="311" priority="46">
      <formula>B$9&lt;8/24</formula>
    </cfRule>
  </conditionalFormatting>
  <conditionalFormatting sqref="B37:D37">
    <cfRule type="expression" dxfId="310" priority="39">
      <formula>B$9&gt;=20/24</formula>
    </cfRule>
    <cfRule type="expression" dxfId="309" priority="40">
      <formula>AND(B$9&gt;=14/24,B$9&lt;20/24)</formula>
    </cfRule>
    <cfRule type="expression" dxfId="308" priority="41">
      <formula>AND(B$9&gt;=8/24,B$9&lt;14/24)</formula>
    </cfRule>
    <cfRule type="expression" dxfId="307" priority="42">
      <formula>B$9&lt;8/24</formula>
    </cfRule>
  </conditionalFormatting>
  <conditionalFormatting sqref="B35:J35">
    <cfRule type="expression" dxfId="306" priority="35">
      <formula>B$9&gt;=20/24</formula>
    </cfRule>
    <cfRule type="expression" dxfId="305" priority="36">
      <formula>AND(B$9&gt;=14/24,B$9&lt;20/24)</formula>
    </cfRule>
    <cfRule type="expression" dxfId="304" priority="37">
      <formula>AND(B$9&gt;=8/24,B$9&lt;14/24)</formula>
    </cfRule>
    <cfRule type="expression" dxfId="303" priority="38">
      <formula>B$9&lt;8/24</formula>
    </cfRule>
  </conditionalFormatting>
  <conditionalFormatting sqref="B45:Y48">
    <cfRule type="expression" dxfId="302" priority="31">
      <formula>B$9&gt;=20/24</formula>
    </cfRule>
    <cfRule type="expression" dxfId="301" priority="32">
      <formula>AND(B$9&gt;=14/24,B$9&lt;20/24)</formula>
    </cfRule>
    <cfRule type="expression" dxfId="300" priority="33">
      <formula>AND(B$9&gt;=8/24,B$9&lt;14/24)</formula>
    </cfRule>
    <cfRule type="expression" dxfId="299" priority="34">
      <formula>B$9&lt;8/24</formula>
    </cfRule>
  </conditionalFormatting>
  <conditionalFormatting sqref="B49:Y49">
    <cfRule type="expression" dxfId="298" priority="27">
      <formula>B$9&gt;=20/24</formula>
    </cfRule>
    <cfRule type="expression" dxfId="297" priority="28">
      <formula>AND(B$9&gt;=14/24,B$9&lt;20/24)</formula>
    </cfRule>
    <cfRule type="expression" dxfId="296" priority="29">
      <formula>AND(B$9&gt;=8/24,B$9&lt;14/24)</formula>
    </cfRule>
    <cfRule type="expression" dxfId="295" priority="30">
      <formula>B$9&lt;8/24</formula>
    </cfRule>
  </conditionalFormatting>
  <conditionalFormatting sqref="B50:Y50">
    <cfRule type="expression" dxfId="294" priority="23">
      <formula>B$9&gt;=20/24</formula>
    </cfRule>
    <cfRule type="expression" dxfId="293" priority="24">
      <formula>AND(B$9&gt;=14/24,B$9&lt;20/24)</formula>
    </cfRule>
    <cfRule type="expression" dxfId="292" priority="25">
      <formula>AND(B$9&gt;=8/24,B$9&lt;14/24)</formula>
    </cfRule>
    <cfRule type="expression" dxfId="291" priority="26">
      <formula>B$9&lt;8/24</formula>
    </cfRule>
  </conditionalFormatting>
  <conditionalFormatting sqref="B34:B56 C39:C50 B11:D32 C34:D37 C53:D55 B19:G19 E12:J16 E34:J36 E18:J32 D44:O50 P45:Y50">
    <cfRule type="expression" dxfId="290" priority="22">
      <formula>B11&gt;$AG11</formula>
    </cfRule>
  </conditionalFormatting>
  <conditionalFormatting sqref="B34:J34">
    <cfRule type="expression" dxfId="289" priority="18">
      <formula>B$9&gt;=20/24</formula>
    </cfRule>
    <cfRule type="expression" dxfId="288" priority="19">
      <formula>AND(B$9&gt;=14/24,B$9&lt;20/24)</formula>
    </cfRule>
    <cfRule type="expression" dxfId="287" priority="20">
      <formula>AND(B$9&gt;=8/24,B$9&lt;14/24)</formula>
    </cfRule>
    <cfRule type="expression" dxfId="286" priority="21">
      <formula>B$9&lt;8/24</formula>
    </cfRule>
  </conditionalFormatting>
  <conditionalFormatting sqref="B15:J15">
    <cfRule type="expression" dxfId="285" priority="14">
      <formula>B$9&gt;=20/24</formula>
    </cfRule>
    <cfRule type="expression" dxfId="284" priority="15">
      <formula>AND(B$9&gt;=14/24,B$9&lt;20/24)</formula>
    </cfRule>
    <cfRule type="expression" dxfId="283" priority="16">
      <formula>AND(B$9&gt;=8/24,B$9&lt;14/24)</formula>
    </cfRule>
    <cfRule type="expression" dxfId="282" priority="17">
      <formula>B$9&lt;8/24</formula>
    </cfRule>
  </conditionalFormatting>
  <conditionalFormatting sqref="B44:O44">
    <cfRule type="expression" dxfId="281" priority="10">
      <formula>B$9&gt;=20/24</formula>
    </cfRule>
    <cfRule type="expression" dxfId="280" priority="11">
      <formula>AND(B$9&gt;=14/24,B$9&lt;20/24)</formula>
    </cfRule>
    <cfRule type="expression" dxfId="279" priority="12">
      <formula>AND(B$9&gt;=8/24,B$9&lt;14/24)</formula>
    </cfRule>
    <cfRule type="expression" dxfId="278" priority="13">
      <formula>B$9&lt;8/24</formula>
    </cfRule>
  </conditionalFormatting>
  <conditionalFormatting sqref="B33:J33">
    <cfRule type="expression" dxfId="277" priority="6">
      <formula>B$9&gt;=20/24</formula>
    </cfRule>
    <cfRule type="expression" dxfId="276" priority="7">
      <formula>AND(B$9&gt;=14/24,B$9&lt;20/24)</formula>
    </cfRule>
    <cfRule type="expression" dxfId="275" priority="8">
      <formula>AND(B$9&gt;=8/24,B$9&lt;14/24)</formula>
    </cfRule>
    <cfRule type="expression" dxfId="274" priority="9">
      <formula>B$9&lt;8/24</formula>
    </cfRule>
  </conditionalFormatting>
  <conditionalFormatting sqref="B33:J33">
    <cfRule type="expression" dxfId="273" priority="5">
      <formula>B33&gt;$AG33</formula>
    </cfRule>
  </conditionalFormatting>
  <conditionalFormatting sqref="M43:N43">
    <cfRule type="expression" dxfId="272" priority="1">
      <formula>M$9&gt;=20/24</formula>
    </cfRule>
    <cfRule type="expression" dxfId="271" priority="2">
      <formula>AND(M$9&gt;=14/24,M$9&lt;20/24)</formula>
    </cfRule>
    <cfRule type="expression" dxfId="270" priority="3">
      <formula>AND(M$9&gt;=8/24,M$9&lt;14/24)</formula>
    </cfRule>
    <cfRule type="expression" dxfId="269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" id="{A0DC24A2-556D-437E-8973-BFA76395BDA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6" sqref="B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5" t="s">
        <v>218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6" t="s">
        <v>201</v>
      </c>
      <c r="AH1" s="186"/>
      <c r="AI1" s="186"/>
      <c r="AL1" s="178"/>
      <c r="AM1" s="169"/>
    </row>
    <row r="2" spans="1:88" ht="20.25" x14ac:dyDescent="0.25">
      <c r="A2" s="177"/>
      <c r="B2" s="187" t="s">
        <v>216</v>
      </c>
      <c r="C2" s="176"/>
      <c r="D2" s="189" t="s">
        <v>215</v>
      </c>
      <c r="E2" s="176"/>
      <c r="F2" s="189" t="s">
        <v>214</v>
      </c>
      <c r="G2" s="176"/>
      <c r="H2" s="189" t="s">
        <v>213</v>
      </c>
      <c r="I2" s="175"/>
      <c r="J2" s="191" t="s">
        <v>217</v>
      </c>
      <c r="K2" s="174" t="s">
        <v>216</v>
      </c>
      <c r="L2" s="174" t="s">
        <v>215</v>
      </c>
      <c r="M2" s="174" t="s">
        <v>214</v>
      </c>
      <c r="N2" s="173" t="s">
        <v>213</v>
      </c>
      <c r="O2" s="172"/>
      <c r="P2" s="172"/>
      <c r="Q2" s="171"/>
      <c r="R2" s="171"/>
      <c r="S2" s="171"/>
      <c r="T2" s="171"/>
      <c r="U2" s="171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70">
        <f>AG38</f>
        <v>1492.8299999999997</v>
      </c>
      <c r="AH2" s="156" t="s">
        <v>10</v>
      </c>
      <c r="AI2" s="148"/>
      <c r="AL2" s="169"/>
      <c r="AM2" s="168"/>
      <c r="AN2" s="167"/>
      <c r="AO2" s="167"/>
    </row>
    <row r="3" spans="1:88" ht="19.5" thickBot="1" x14ac:dyDescent="0.3">
      <c r="A3" s="166"/>
      <c r="B3" s="188"/>
      <c r="C3" s="165"/>
      <c r="D3" s="190"/>
      <c r="E3" s="165"/>
      <c r="F3" s="190"/>
      <c r="G3" s="165"/>
      <c r="H3" s="190"/>
      <c r="I3" s="164"/>
      <c r="J3" s="191"/>
      <c r="K3" s="163"/>
      <c r="L3" s="163"/>
      <c r="M3" s="163"/>
      <c r="N3" s="163"/>
      <c r="O3" s="161"/>
      <c r="P3" s="161"/>
      <c r="Q3" s="152"/>
      <c r="R3" s="152"/>
      <c r="S3" s="152"/>
      <c r="T3" s="152"/>
      <c r="U3" s="152"/>
      <c r="V3" s="162" t="s">
        <v>212</v>
      </c>
      <c r="W3" s="162"/>
      <c r="X3" s="162" t="s">
        <v>211</v>
      </c>
      <c r="Y3" s="162"/>
      <c r="Z3" s="162"/>
      <c r="AA3" s="162"/>
      <c r="AB3" s="161"/>
      <c r="AC3" s="160"/>
      <c r="AD3" s="160"/>
      <c r="AE3" s="160"/>
      <c r="AF3" s="160"/>
      <c r="AG3" s="150">
        <f>AG52</f>
        <v>489.91</v>
      </c>
      <c r="AH3" s="156" t="s">
        <v>210</v>
      </c>
      <c r="AI3" s="148"/>
      <c r="AL3" s="159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</row>
    <row r="4" spans="1:88" ht="18.75" x14ac:dyDescent="0.25">
      <c r="A4" s="158" t="s">
        <v>209</v>
      </c>
      <c r="B4" s="192" t="e">
        <f ca="1">"2078/"&amp;"12/"&amp;INT(MID(CELL("filename",D6),FIND("]",CELL("filename",D6))+1,200))</f>
        <v>#VALUE!</v>
      </c>
      <c r="C4" s="192"/>
      <c r="D4" s="192"/>
      <c r="E4" s="193" t="str">
        <f ca="1">IFERROR([1]!DateBStoAD(B4),"")</f>
        <v/>
      </c>
      <c r="F4" s="194"/>
      <c r="G4" s="194"/>
      <c r="H4" s="194" t="str">
        <f ca="1">TEXT(E4,"dddd")</f>
        <v/>
      </c>
      <c r="I4" s="194"/>
      <c r="J4" s="49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1"/>
      <c r="AE4" s="151"/>
      <c r="AF4" s="151"/>
      <c r="AG4" s="150">
        <f>AG56</f>
        <v>106</v>
      </c>
      <c r="AH4" s="156" t="s">
        <v>208</v>
      </c>
      <c r="AI4" s="148"/>
      <c r="AL4" s="133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</row>
    <row r="5" spans="1:88" ht="15.75" hidden="1" customHeight="1" x14ac:dyDescent="0.25">
      <c r="A5" s="154"/>
      <c r="B5" s="157">
        <f t="shared" ref="B5:AE5" si="0">C68</f>
        <v>0</v>
      </c>
      <c r="C5" s="157">
        <f t="shared" si="0"/>
        <v>0</v>
      </c>
      <c r="D5" s="157">
        <f t="shared" si="0"/>
        <v>0</v>
      </c>
      <c r="E5" s="157">
        <f t="shared" si="0"/>
        <v>0</v>
      </c>
      <c r="F5" s="157">
        <f t="shared" si="0"/>
        <v>0</v>
      </c>
      <c r="G5" s="157">
        <f t="shared" si="0"/>
        <v>0</v>
      </c>
      <c r="H5" s="157">
        <f t="shared" si="0"/>
        <v>0</v>
      </c>
      <c r="I5" s="157">
        <f t="shared" si="0"/>
        <v>0</v>
      </c>
      <c r="J5" s="157">
        <f t="shared" si="0"/>
        <v>0</v>
      </c>
      <c r="K5" s="157">
        <f t="shared" si="0"/>
        <v>0</v>
      </c>
      <c r="L5" s="157">
        <f t="shared" si="0"/>
        <v>0</v>
      </c>
      <c r="M5" s="157">
        <f t="shared" si="0"/>
        <v>0</v>
      </c>
      <c r="N5" s="157">
        <f t="shared" si="0"/>
        <v>0</v>
      </c>
      <c r="O5" s="157">
        <f t="shared" si="0"/>
        <v>0</v>
      </c>
      <c r="P5" s="157">
        <f t="shared" si="0"/>
        <v>0</v>
      </c>
      <c r="Q5" s="157">
        <f t="shared" si="0"/>
        <v>0</v>
      </c>
      <c r="R5" s="157">
        <f t="shared" si="0"/>
        <v>0</v>
      </c>
      <c r="S5" s="157">
        <f t="shared" si="0"/>
        <v>0</v>
      </c>
      <c r="T5" s="157">
        <f t="shared" si="0"/>
        <v>0</v>
      </c>
      <c r="U5" s="157">
        <f t="shared" si="0"/>
        <v>0</v>
      </c>
      <c r="V5" s="157">
        <f t="shared" si="0"/>
        <v>0</v>
      </c>
      <c r="W5" s="157">
        <f t="shared" si="0"/>
        <v>0</v>
      </c>
      <c r="X5" s="157">
        <f t="shared" si="0"/>
        <v>0</v>
      </c>
      <c r="Y5" s="157">
        <f t="shared" si="0"/>
        <v>0</v>
      </c>
      <c r="Z5" s="157">
        <f t="shared" si="0"/>
        <v>0</v>
      </c>
      <c r="AA5" s="157">
        <f t="shared" si="0"/>
        <v>0</v>
      </c>
      <c r="AB5" s="157">
        <f t="shared" si="0"/>
        <v>0</v>
      </c>
      <c r="AC5" s="157">
        <f t="shared" si="0"/>
        <v>0</v>
      </c>
      <c r="AD5" s="157">
        <f t="shared" si="0"/>
        <v>0</v>
      </c>
      <c r="AE5" s="157">
        <f t="shared" si="0"/>
        <v>0</v>
      </c>
      <c r="AF5" s="157">
        <f>B68</f>
        <v>0</v>
      </c>
      <c r="AG5" s="150"/>
      <c r="AH5" s="156"/>
      <c r="AI5" s="148"/>
      <c r="AL5" s="133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</row>
    <row r="6" spans="1:88" ht="18.75" x14ac:dyDescent="0.25">
      <c r="A6" s="154"/>
      <c r="B6" s="155"/>
      <c r="C6" s="154"/>
      <c r="D6" s="153"/>
      <c r="E6" s="153"/>
      <c r="F6" s="153"/>
      <c r="G6" s="153"/>
      <c r="H6" s="153"/>
      <c r="I6" s="153"/>
      <c r="J6" s="49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4MW at 4:60hr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1"/>
      <c r="AE6" s="151"/>
      <c r="AF6" s="151"/>
      <c r="AG6" s="150">
        <f>SUM(AG2:AG4)</f>
        <v>2088.7399999999998</v>
      </c>
      <c r="AH6" s="149" t="s">
        <v>207</v>
      </c>
      <c r="AI6" s="148"/>
      <c r="AL6" s="133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</row>
    <row r="7" spans="1:88" ht="16.5" thickBot="1" x14ac:dyDescent="0.3">
      <c r="A7" s="147" t="str">
        <f>"Base Load="&amp;ROUND(MIN($B$7:$AF$7),0)</f>
        <v>Base Load=4</v>
      </c>
      <c r="B7" s="146">
        <f>B75</f>
        <v>3.54</v>
      </c>
      <c r="C7" s="146">
        <f t="shared" ref="C7:AF7" si="1">C75</f>
        <v>3.54</v>
      </c>
      <c r="D7" s="146">
        <f t="shared" si="1"/>
        <v>3.54</v>
      </c>
      <c r="E7" s="146">
        <f t="shared" si="1"/>
        <v>3.54</v>
      </c>
      <c r="F7" s="146">
        <f t="shared" si="1"/>
        <v>3.54</v>
      </c>
      <c r="G7" s="146">
        <f t="shared" si="1"/>
        <v>3.54</v>
      </c>
      <c r="H7" s="146">
        <f t="shared" si="1"/>
        <v>3.54</v>
      </c>
      <c r="I7" s="146">
        <f t="shared" si="1"/>
        <v>3.54</v>
      </c>
      <c r="J7" s="146">
        <f t="shared" si="1"/>
        <v>3.54</v>
      </c>
      <c r="K7" s="146">
        <f t="shared" si="1"/>
        <v>3.54</v>
      </c>
      <c r="L7" s="146">
        <f t="shared" si="1"/>
        <v>3.54</v>
      </c>
      <c r="M7" s="146">
        <f t="shared" si="1"/>
        <v>3.54</v>
      </c>
      <c r="N7" s="146">
        <f t="shared" si="1"/>
        <v>3.54</v>
      </c>
      <c r="O7" s="146">
        <f t="shared" si="1"/>
        <v>3.54</v>
      </c>
      <c r="P7" s="146">
        <f t="shared" si="1"/>
        <v>3.54</v>
      </c>
      <c r="Q7" s="146">
        <f t="shared" si="1"/>
        <v>3.54</v>
      </c>
      <c r="R7" s="146">
        <f t="shared" si="1"/>
        <v>3.54</v>
      </c>
      <c r="S7" s="146">
        <f t="shared" si="1"/>
        <v>3.54</v>
      </c>
      <c r="T7" s="146">
        <f t="shared" si="1"/>
        <v>3.54</v>
      </c>
      <c r="U7" s="146">
        <f t="shared" si="1"/>
        <v>3.54</v>
      </c>
      <c r="V7" s="146">
        <f t="shared" si="1"/>
        <v>3.54</v>
      </c>
      <c r="W7" s="146">
        <f t="shared" si="1"/>
        <v>3.54</v>
      </c>
      <c r="X7" s="146">
        <f t="shared" si="1"/>
        <v>3.54</v>
      </c>
      <c r="Y7" s="146">
        <f t="shared" si="1"/>
        <v>3.54</v>
      </c>
      <c r="Z7" s="146">
        <f t="shared" si="1"/>
        <v>3.54</v>
      </c>
      <c r="AA7" s="146">
        <f t="shared" si="1"/>
        <v>3.54</v>
      </c>
      <c r="AB7" s="146">
        <f t="shared" si="1"/>
        <v>3.54</v>
      </c>
      <c r="AC7" s="146">
        <f t="shared" si="1"/>
        <v>3.54</v>
      </c>
      <c r="AD7" s="146">
        <f t="shared" si="1"/>
        <v>3.54</v>
      </c>
      <c r="AE7" s="146">
        <f t="shared" si="1"/>
        <v>3.54</v>
      </c>
      <c r="AF7" s="146">
        <f t="shared" si="1"/>
        <v>3.54</v>
      </c>
      <c r="AG7" s="145"/>
      <c r="AH7" s="144"/>
      <c r="AI7" s="143"/>
      <c r="AL7" s="142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</row>
    <row r="8" spans="1:88" ht="17.25" thickTop="1" thickBot="1" x14ac:dyDescent="0.3">
      <c r="A8" s="141"/>
      <c r="B8" s="195" t="s">
        <v>206</v>
      </c>
      <c r="C8" s="196"/>
      <c r="D8" s="196"/>
      <c r="E8" s="196"/>
      <c r="F8" s="196"/>
      <c r="G8" s="196"/>
      <c r="H8" s="196"/>
      <c r="I8" s="196"/>
      <c r="J8" s="196"/>
      <c r="K8" s="196"/>
      <c r="L8" s="197"/>
      <c r="M8" s="198" t="s">
        <v>205</v>
      </c>
      <c r="N8" s="199"/>
      <c r="O8" s="199"/>
      <c r="P8" s="199"/>
      <c r="Q8" s="199"/>
      <c r="R8" s="200"/>
      <c r="S8" s="198" t="s">
        <v>204</v>
      </c>
      <c r="T8" s="199"/>
      <c r="U8" s="199"/>
      <c r="V8" s="199"/>
      <c r="W8" s="199"/>
      <c r="X8" s="199"/>
      <c r="Y8" s="199"/>
      <c r="Z8" s="199"/>
      <c r="AA8" s="200"/>
      <c r="AB8" s="198" t="s">
        <v>203</v>
      </c>
      <c r="AC8" s="199"/>
      <c r="AD8" s="199"/>
      <c r="AE8" s="199"/>
      <c r="AF8" s="200"/>
      <c r="AG8" s="140"/>
      <c r="AH8" s="139"/>
      <c r="AI8" s="137"/>
      <c r="AL8" s="133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</row>
    <row r="9" spans="1:88" ht="13.5" customHeight="1" thickTop="1" x14ac:dyDescent="0.25">
      <c r="A9" s="201" t="s">
        <v>202</v>
      </c>
      <c r="B9" s="203">
        <v>0</v>
      </c>
      <c r="C9" s="205">
        <v>4.1666666666666664E-2</v>
      </c>
      <c r="D9" s="205">
        <v>8.3333333333333301E-2</v>
      </c>
      <c r="E9" s="205">
        <v>0.125</v>
      </c>
      <c r="F9" s="205">
        <v>0.16666666666666699</v>
      </c>
      <c r="G9" s="205">
        <v>0.20833333333333301</v>
      </c>
      <c r="H9" s="205">
        <v>0.22916666666666666</v>
      </c>
      <c r="I9" s="205">
        <v>0.25</v>
      </c>
      <c r="J9" s="205">
        <v>0.27083333333333331</v>
      </c>
      <c r="K9" s="205">
        <v>0.29166666666666669</v>
      </c>
      <c r="L9" s="205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7" t="s">
        <v>201</v>
      </c>
      <c r="AH9" s="138"/>
      <c r="AI9" s="137"/>
      <c r="AL9" s="133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</row>
    <row r="10" spans="1:88" ht="15.75" thickBot="1" x14ac:dyDescent="0.3">
      <c r="A10" s="202"/>
      <c r="B10" s="20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8"/>
      <c r="AH10" s="2"/>
      <c r="AL10" s="133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</row>
    <row r="11" spans="1:88" ht="15.75" thickTop="1" x14ac:dyDescent="0.25">
      <c r="A11" s="136" t="s">
        <v>200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03"/>
      <c r="N11" s="103"/>
      <c r="O11" s="103"/>
      <c r="P11" s="103"/>
      <c r="Q11" s="103"/>
      <c r="R11" s="135"/>
      <c r="S11" s="103"/>
      <c r="T11" s="103"/>
      <c r="U11" s="103"/>
      <c r="V11" s="103"/>
      <c r="W11" s="103"/>
      <c r="X11" s="103"/>
      <c r="Y11" s="103"/>
      <c r="Z11" s="179"/>
      <c r="AA11" s="103"/>
      <c r="AB11" s="103"/>
      <c r="AC11" s="103"/>
      <c r="AD11" s="103"/>
      <c r="AE11" s="103"/>
      <c r="AF11" s="127"/>
      <c r="AG11" s="54">
        <v>456</v>
      </c>
      <c r="AH11" s="21">
        <f>MAX(B11:AF11)</f>
        <v>0</v>
      </c>
      <c r="AI11" s="20">
        <f>MIN(B11:AF11)</f>
        <v>0</v>
      </c>
      <c r="AK11" s="42"/>
      <c r="AL11" s="133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</row>
    <row r="12" spans="1:88" x14ac:dyDescent="0.25">
      <c r="A12" s="109" t="s">
        <v>199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77"/>
      <c r="T12" s="77"/>
      <c r="U12" s="77"/>
      <c r="V12" s="77"/>
      <c r="W12" s="77"/>
      <c r="X12" s="77"/>
      <c r="Y12" s="77"/>
      <c r="Z12" s="103"/>
      <c r="AA12" s="103"/>
      <c r="AB12" s="103"/>
      <c r="AC12" s="103"/>
      <c r="AD12" s="103"/>
      <c r="AE12" s="103"/>
      <c r="AF12" s="127"/>
      <c r="AG12" s="134">
        <v>60</v>
      </c>
      <c r="AH12" s="21">
        <f t="shared" ref="AH12:AH75" si="2">MAX(B12:AF12)</f>
        <v>0</v>
      </c>
      <c r="AI12" s="20">
        <f t="shared" ref="AI12:AI75" si="3">MIN(B12:AF12)</f>
        <v>0</v>
      </c>
      <c r="AK12" s="42"/>
      <c r="AL12" s="133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</row>
    <row r="13" spans="1:88" x14ac:dyDescent="0.25">
      <c r="A13" s="109" t="s">
        <v>198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77"/>
      <c r="T13" s="77"/>
      <c r="U13" s="77"/>
      <c r="V13" s="77"/>
      <c r="W13" s="77"/>
      <c r="X13" s="77"/>
      <c r="Y13" s="77"/>
      <c r="Z13" s="103"/>
      <c r="AA13" s="103"/>
      <c r="AB13" s="103"/>
      <c r="AC13" s="103"/>
      <c r="AD13" s="103"/>
      <c r="AE13" s="103"/>
      <c r="AF13" s="127"/>
      <c r="AG13" s="134">
        <v>52.4</v>
      </c>
      <c r="AH13" s="21">
        <f t="shared" si="2"/>
        <v>0</v>
      </c>
      <c r="AI13" s="20">
        <f t="shared" si="3"/>
        <v>0</v>
      </c>
      <c r="AK13" s="42"/>
      <c r="AL13" s="133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</row>
    <row r="14" spans="1:88" x14ac:dyDescent="0.25">
      <c r="A14" s="109" t="s">
        <v>197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03"/>
      <c r="N14" s="103"/>
      <c r="O14" s="103"/>
      <c r="P14" s="103"/>
      <c r="Q14" s="103"/>
      <c r="R14" s="103"/>
      <c r="S14" s="67"/>
      <c r="T14" s="67"/>
      <c r="U14" s="67"/>
      <c r="V14" s="67"/>
      <c r="W14" s="67"/>
      <c r="X14" s="67"/>
      <c r="Y14" s="67"/>
      <c r="Z14" s="103"/>
      <c r="AA14" s="103"/>
      <c r="AB14" s="103"/>
      <c r="AC14" s="103"/>
      <c r="AD14" s="103"/>
      <c r="AE14" s="103"/>
      <c r="AF14" s="127"/>
      <c r="AG14" s="134">
        <v>50</v>
      </c>
      <c r="AH14" s="21">
        <f t="shared" si="2"/>
        <v>0</v>
      </c>
      <c r="AI14" s="20">
        <f t="shared" si="3"/>
        <v>0</v>
      </c>
      <c r="AK14" s="42"/>
      <c r="AL14" s="133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</row>
    <row r="15" spans="1:88" x14ac:dyDescent="0.25">
      <c r="A15" s="109" t="s">
        <v>196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03"/>
      <c r="N15" s="103"/>
      <c r="O15" s="103"/>
      <c r="P15" s="103"/>
      <c r="Q15" s="103"/>
      <c r="R15" s="103"/>
      <c r="S15" s="67"/>
      <c r="T15" s="67"/>
      <c r="U15" s="67"/>
      <c r="V15" s="67"/>
      <c r="W15" s="67"/>
      <c r="X15" s="67"/>
      <c r="Y15" s="67"/>
      <c r="Z15" s="103"/>
      <c r="AA15" s="103"/>
      <c r="AB15" s="103"/>
      <c r="AC15" s="103"/>
      <c r="AD15" s="103"/>
      <c r="AE15" s="103"/>
      <c r="AF15" s="123"/>
      <c r="AG15" s="108">
        <v>45</v>
      </c>
      <c r="AH15" s="21">
        <f t="shared" si="2"/>
        <v>0</v>
      </c>
      <c r="AI15" s="20">
        <f t="shared" si="3"/>
        <v>0</v>
      </c>
      <c r="AK15" s="42"/>
      <c r="AL15" s="133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</row>
    <row r="16" spans="1:88" x14ac:dyDescent="0.25">
      <c r="A16" s="109" t="s">
        <v>195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03"/>
      <c r="N16" s="103"/>
      <c r="O16" s="103"/>
      <c r="P16" s="103"/>
      <c r="Q16" s="103"/>
      <c r="R16" s="103"/>
      <c r="S16" s="70"/>
      <c r="T16" s="70"/>
      <c r="U16" s="70"/>
      <c r="V16" s="70"/>
      <c r="W16" s="70"/>
      <c r="X16" s="70"/>
      <c r="Y16" s="70"/>
      <c r="Z16" s="103"/>
      <c r="AA16" s="103"/>
      <c r="AB16" s="103"/>
      <c r="AC16" s="103"/>
      <c r="AD16" s="103"/>
      <c r="AE16" s="103"/>
      <c r="AF16" s="127"/>
      <c r="AG16" s="134">
        <v>45</v>
      </c>
      <c r="AH16" s="21">
        <f t="shared" si="2"/>
        <v>0</v>
      </c>
      <c r="AI16" s="20">
        <f t="shared" si="3"/>
        <v>0</v>
      </c>
      <c r="AK16" s="42"/>
      <c r="AL16" s="133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</row>
    <row r="17" spans="1:88" x14ac:dyDescent="0.25">
      <c r="A17" s="109" t="s">
        <v>194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03"/>
      <c r="N17" s="103"/>
      <c r="O17" s="103"/>
      <c r="P17" s="103"/>
      <c r="Q17" s="103"/>
      <c r="R17" s="103"/>
      <c r="S17" s="67"/>
      <c r="T17" s="67"/>
      <c r="U17" s="67"/>
      <c r="V17" s="67"/>
      <c r="W17" s="67"/>
      <c r="X17" s="67"/>
      <c r="Y17" s="67"/>
      <c r="Z17" s="103"/>
      <c r="AA17" s="103"/>
      <c r="AB17" s="103"/>
      <c r="AC17" s="103"/>
      <c r="AD17" s="103"/>
      <c r="AE17" s="103"/>
      <c r="AF17" s="127"/>
      <c r="AG17" s="134">
        <v>42</v>
      </c>
      <c r="AH17" s="21">
        <f t="shared" si="2"/>
        <v>0</v>
      </c>
      <c r="AI17" s="20">
        <f t="shared" si="3"/>
        <v>0</v>
      </c>
      <c r="AK17" s="42"/>
      <c r="AL17" s="133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</row>
    <row r="18" spans="1:88" x14ac:dyDescent="0.25">
      <c r="A18" s="109" t="s">
        <v>193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27"/>
      <c r="AG18" s="134">
        <v>36</v>
      </c>
      <c r="AH18" s="21">
        <f t="shared" si="2"/>
        <v>0</v>
      </c>
      <c r="AI18" s="20">
        <f t="shared" si="3"/>
        <v>0</v>
      </c>
      <c r="AK18" s="42"/>
      <c r="AL18" s="133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</row>
    <row r="19" spans="1:88" x14ac:dyDescent="0.25">
      <c r="A19" s="109" t="s">
        <v>192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27"/>
      <c r="AG19" s="134">
        <v>30</v>
      </c>
      <c r="AH19" s="21">
        <f t="shared" si="2"/>
        <v>0</v>
      </c>
      <c r="AI19" s="20">
        <f t="shared" si="3"/>
        <v>0</v>
      </c>
      <c r="AK19" s="42"/>
      <c r="AL19" s="133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</row>
    <row r="20" spans="1:88" x14ac:dyDescent="0.25">
      <c r="A20" s="109" t="s">
        <v>191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27"/>
      <c r="AG20" s="134">
        <v>27</v>
      </c>
      <c r="AH20" s="21">
        <f t="shared" si="2"/>
        <v>0</v>
      </c>
      <c r="AI20" s="20">
        <f t="shared" si="3"/>
        <v>0</v>
      </c>
      <c r="AK20" s="42"/>
      <c r="AL20" s="133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</row>
    <row r="21" spans="1:88" x14ac:dyDescent="0.25">
      <c r="A21" s="109" t="s">
        <v>190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27"/>
      <c r="AG21" s="134">
        <v>25</v>
      </c>
      <c r="AH21" s="21">
        <f t="shared" si="2"/>
        <v>0</v>
      </c>
      <c r="AI21" s="20">
        <f t="shared" si="3"/>
        <v>0</v>
      </c>
      <c r="AK21" s="42"/>
      <c r="AL21" s="133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</row>
    <row r="22" spans="1:88" x14ac:dyDescent="0.25">
      <c r="A22" s="109" t="s">
        <v>189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27"/>
      <c r="AG22" s="134">
        <v>25</v>
      </c>
      <c r="AH22" s="21">
        <f t="shared" si="2"/>
        <v>0</v>
      </c>
      <c r="AI22" s="20">
        <f t="shared" si="3"/>
        <v>0</v>
      </c>
      <c r="AK22" s="42"/>
      <c r="AL22" s="133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</row>
    <row r="23" spans="1:88" x14ac:dyDescent="0.25">
      <c r="A23" s="109" t="s">
        <v>188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27"/>
      <c r="AG23" s="134">
        <v>25</v>
      </c>
      <c r="AH23" s="21">
        <f t="shared" si="2"/>
        <v>0</v>
      </c>
      <c r="AI23" s="20">
        <f t="shared" si="3"/>
        <v>0</v>
      </c>
      <c r="AK23" s="42"/>
      <c r="AL23" s="133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</row>
    <row r="24" spans="1:88" x14ac:dyDescent="0.25">
      <c r="A24" s="109" t="s">
        <v>187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27"/>
      <c r="AG24" s="134">
        <v>25</v>
      </c>
      <c r="AH24" s="21">
        <f t="shared" si="2"/>
        <v>0</v>
      </c>
      <c r="AI24" s="20">
        <f t="shared" si="3"/>
        <v>0</v>
      </c>
      <c r="AK24" s="42"/>
      <c r="AL24" s="133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</row>
    <row r="25" spans="1:88" x14ac:dyDescent="0.25">
      <c r="A25" s="109" t="s">
        <v>186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27"/>
      <c r="AG25" s="134">
        <v>24.2</v>
      </c>
      <c r="AH25" s="21">
        <f t="shared" si="2"/>
        <v>0</v>
      </c>
      <c r="AI25" s="20">
        <f t="shared" si="3"/>
        <v>0</v>
      </c>
      <c r="AK25" s="42"/>
      <c r="AL25" s="133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</row>
    <row r="26" spans="1:88" x14ac:dyDescent="0.25">
      <c r="A26" s="109" t="s">
        <v>185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27"/>
      <c r="AG26" s="134">
        <v>20</v>
      </c>
      <c r="AH26" s="21">
        <f t="shared" si="2"/>
        <v>0</v>
      </c>
      <c r="AI26" s="20">
        <f t="shared" si="3"/>
        <v>0</v>
      </c>
      <c r="AK26" s="42"/>
      <c r="AL26" s="133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</row>
    <row r="27" spans="1:88" x14ac:dyDescent="0.25">
      <c r="A27" s="109" t="s">
        <v>184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27"/>
      <c r="AC27" s="127"/>
      <c r="AD27" s="127"/>
      <c r="AE27" s="127"/>
      <c r="AF27" s="127"/>
      <c r="AG27" s="134">
        <v>23.5</v>
      </c>
      <c r="AH27" s="21">
        <f t="shared" si="2"/>
        <v>0</v>
      </c>
      <c r="AI27" s="20">
        <f t="shared" si="3"/>
        <v>0</v>
      </c>
      <c r="AK27" s="42"/>
      <c r="AL27" s="133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</row>
    <row r="28" spans="1:88" x14ac:dyDescent="0.25">
      <c r="A28" s="109" t="s">
        <v>183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27"/>
      <c r="AG28" s="134">
        <v>22.2</v>
      </c>
      <c r="AH28" s="21">
        <f t="shared" si="2"/>
        <v>0</v>
      </c>
      <c r="AI28" s="20">
        <f t="shared" si="3"/>
        <v>0</v>
      </c>
      <c r="AK28" s="42"/>
      <c r="AL28" s="133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</row>
    <row r="29" spans="1:88" x14ac:dyDescent="0.25">
      <c r="A29" s="109" t="s">
        <v>182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27"/>
      <c r="AG29" s="134">
        <v>22.1</v>
      </c>
      <c r="AH29" s="21">
        <f t="shared" si="2"/>
        <v>0</v>
      </c>
      <c r="AI29" s="20">
        <f t="shared" si="3"/>
        <v>0</v>
      </c>
      <c r="AK29" s="42"/>
      <c r="AL29" s="133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</row>
    <row r="30" spans="1:88" x14ac:dyDescent="0.25">
      <c r="A30" s="109" t="s">
        <v>181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27"/>
      <c r="AG30" s="134">
        <v>22.1</v>
      </c>
      <c r="AH30" s="21">
        <f t="shared" si="2"/>
        <v>0</v>
      </c>
      <c r="AI30" s="20">
        <f t="shared" si="3"/>
        <v>0</v>
      </c>
      <c r="AK30" s="42"/>
      <c r="AL30" s="133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</row>
    <row r="31" spans="1:88" ht="14.25" customHeight="1" x14ac:dyDescent="0.25">
      <c r="A31" s="109" t="s">
        <v>180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23"/>
      <c r="AG31" s="108">
        <v>22</v>
      </c>
      <c r="AH31" s="21">
        <f t="shared" si="2"/>
        <v>0</v>
      </c>
      <c r="AI31" s="20">
        <f t="shared" si="3"/>
        <v>0</v>
      </c>
      <c r="AK31" s="42"/>
      <c r="AL31" s="133"/>
      <c r="AM31" s="130"/>
      <c r="AN31" s="130"/>
      <c r="AO31" s="130"/>
      <c r="AP31" s="130"/>
      <c r="AQ31" s="132"/>
      <c r="AR31" s="131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</row>
    <row r="32" spans="1:88" ht="14.25" customHeight="1" x14ac:dyDescent="0.25">
      <c r="A32" s="107" t="s">
        <v>179</v>
      </c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23"/>
      <c r="AG32" s="106">
        <v>22</v>
      </c>
      <c r="AH32" s="21">
        <f t="shared" si="2"/>
        <v>0</v>
      </c>
      <c r="AI32" s="20">
        <f t="shared" si="3"/>
        <v>0</v>
      </c>
      <c r="AK32" s="42"/>
      <c r="AL32" s="133"/>
      <c r="AM32" s="130"/>
      <c r="AN32" s="130"/>
      <c r="AO32" s="130"/>
      <c r="AP32" s="130"/>
      <c r="AQ32" s="132"/>
      <c r="AR32" s="131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</row>
    <row r="33" spans="1:88" ht="14.25" customHeight="1" x14ac:dyDescent="0.25">
      <c r="A33" s="107" t="s">
        <v>178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23"/>
      <c r="AG33" s="106">
        <v>11</v>
      </c>
      <c r="AH33" s="21">
        <f t="shared" si="2"/>
        <v>0</v>
      </c>
      <c r="AI33" s="20">
        <f t="shared" si="3"/>
        <v>0</v>
      </c>
      <c r="AK33" s="42"/>
      <c r="AL33" s="133"/>
      <c r="AM33" s="130"/>
      <c r="AN33" s="130"/>
      <c r="AO33" s="130"/>
      <c r="AP33" s="130"/>
      <c r="AQ33" s="132"/>
      <c r="AR33" s="131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</row>
    <row r="34" spans="1:88" x14ac:dyDescent="0.25">
      <c r="A34" s="107" t="s">
        <v>177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23"/>
      <c r="AG34" s="106">
        <v>20</v>
      </c>
      <c r="AH34" s="21">
        <f t="shared" si="2"/>
        <v>0</v>
      </c>
      <c r="AI34" s="20">
        <f t="shared" si="3"/>
        <v>0</v>
      </c>
      <c r="AK34" s="42"/>
      <c r="AL34" s="133"/>
      <c r="AO34" s="130"/>
      <c r="AP34" s="130"/>
      <c r="AQ34" s="132"/>
      <c r="AR34" s="131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</row>
    <row r="35" spans="1:88" x14ac:dyDescent="0.25">
      <c r="A35" s="107" t="s">
        <v>176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23"/>
      <c r="AG35" s="106">
        <v>15.33</v>
      </c>
      <c r="AH35" s="21">
        <f t="shared" si="2"/>
        <v>0</v>
      </c>
      <c r="AI35" s="20">
        <f t="shared" si="3"/>
        <v>0</v>
      </c>
      <c r="AK35" s="42"/>
      <c r="AL35" s="133"/>
      <c r="AO35" s="130"/>
      <c r="AP35" s="130"/>
      <c r="AQ35" s="132"/>
      <c r="AR35" s="131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</row>
    <row r="36" spans="1:88" x14ac:dyDescent="0.25">
      <c r="A36" s="125" t="s">
        <v>175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06">
        <v>85</v>
      </c>
      <c r="AH36" s="21">
        <f t="shared" si="2"/>
        <v>0</v>
      </c>
      <c r="AI36" s="20">
        <f t="shared" si="3"/>
        <v>0</v>
      </c>
      <c r="AK36" s="42"/>
    </row>
    <row r="37" spans="1:88" ht="15.75" thickBot="1" x14ac:dyDescent="0.3">
      <c r="A37" s="129" t="s">
        <v>174</v>
      </c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3"/>
      <c r="AG37" s="106">
        <v>240</v>
      </c>
      <c r="AH37" s="21">
        <f t="shared" si="2"/>
        <v>0</v>
      </c>
      <c r="AI37" s="20">
        <f t="shared" si="3"/>
        <v>0</v>
      </c>
      <c r="AK37" s="42"/>
    </row>
    <row r="38" spans="1:88" ht="15.75" thickBot="1" x14ac:dyDescent="0.3">
      <c r="A38" s="100" t="s">
        <v>173</v>
      </c>
      <c r="B38" s="99">
        <f>SUM(B11:B36)</f>
        <v>0</v>
      </c>
      <c r="C38" s="99">
        <f t="shared" ref="C38:AF38" si="4">SUM(C11:C36)</f>
        <v>0</v>
      </c>
      <c r="D38" s="99">
        <f t="shared" si="4"/>
        <v>0</v>
      </c>
      <c r="E38" s="99">
        <f t="shared" si="4"/>
        <v>0</v>
      </c>
      <c r="F38" s="99">
        <f t="shared" si="4"/>
        <v>0</v>
      </c>
      <c r="G38" s="99">
        <f t="shared" si="4"/>
        <v>0</v>
      </c>
      <c r="H38" s="99">
        <f t="shared" si="4"/>
        <v>0</v>
      </c>
      <c r="I38" s="99">
        <f t="shared" si="4"/>
        <v>0</v>
      </c>
      <c r="J38" s="99">
        <f t="shared" si="4"/>
        <v>0</v>
      </c>
      <c r="K38" s="99">
        <f t="shared" si="4"/>
        <v>0</v>
      </c>
      <c r="L38" s="99">
        <f t="shared" si="4"/>
        <v>0</v>
      </c>
      <c r="M38" s="99">
        <f t="shared" si="4"/>
        <v>0</v>
      </c>
      <c r="N38" s="99">
        <f t="shared" si="4"/>
        <v>0</v>
      </c>
      <c r="O38" s="99">
        <f t="shared" si="4"/>
        <v>0</v>
      </c>
      <c r="P38" s="99">
        <f t="shared" si="4"/>
        <v>0</v>
      </c>
      <c r="Q38" s="99">
        <f t="shared" si="4"/>
        <v>0</v>
      </c>
      <c r="R38" s="99">
        <f t="shared" si="4"/>
        <v>0</v>
      </c>
      <c r="S38" s="99">
        <f t="shared" si="4"/>
        <v>0</v>
      </c>
      <c r="T38" s="99">
        <f t="shared" si="4"/>
        <v>0</v>
      </c>
      <c r="U38" s="99">
        <f t="shared" si="4"/>
        <v>0</v>
      </c>
      <c r="V38" s="99">
        <f t="shared" si="4"/>
        <v>0</v>
      </c>
      <c r="W38" s="99">
        <f t="shared" si="4"/>
        <v>0</v>
      </c>
      <c r="X38" s="99">
        <f t="shared" si="4"/>
        <v>0</v>
      </c>
      <c r="Y38" s="99">
        <f t="shared" si="4"/>
        <v>0</v>
      </c>
      <c r="Z38" s="99">
        <f t="shared" si="4"/>
        <v>0</v>
      </c>
      <c r="AA38" s="99">
        <f t="shared" si="4"/>
        <v>0</v>
      </c>
      <c r="AB38" s="99">
        <f t="shared" si="4"/>
        <v>0</v>
      </c>
      <c r="AC38" s="99">
        <f t="shared" si="4"/>
        <v>0</v>
      </c>
      <c r="AD38" s="99">
        <f t="shared" si="4"/>
        <v>0</v>
      </c>
      <c r="AE38" s="99">
        <f t="shared" si="4"/>
        <v>0</v>
      </c>
      <c r="AF38" s="99">
        <f t="shared" si="4"/>
        <v>0</v>
      </c>
      <c r="AG38" s="106">
        <f>SUM(AG11:AG37)</f>
        <v>1492.8299999999997</v>
      </c>
      <c r="AH38" s="21">
        <f t="shared" si="2"/>
        <v>0</v>
      </c>
      <c r="AI38" s="20">
        <f t="shared" si="3"/>
        <v>0</v>
      </c>
      <c r="AK38" s="42"/>
    </row>
    <row r="39" spans="1:88" x14ac:dyDescent="0.25">
      <c r="A39" s="109" t="s">
        <v>172</v>
      </c>
      <c r="B39" s="127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27"/>
      <c r="AG39" s="108">
        <v>144</v>
      </c>
      <c r="AH39" s="21">
        <f t="shared" si="2"/>
        <v>0</v>
      </c>
      <c r="AI39" s="20">
        <f t="shared" si="3"/>
        <v>0</v>
      </c>
      <c r="AK39" s="42"/>
    </row>
    <row r="40" spans="1:88" x14ac:dyDescent="0.25">
      <c r="A40" s="107" t="s">
        <v>171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123"/>
      <c r="AG40" s="106">
        <v>70</v>
      </c>
      <c r="AH40" s="21">
        <f t="shared" si="2"/>
        <v>0</v>
      </c>
      <c r="AI40" s="20">
        <f t="shared" si="3"/>
        <v>0</v>
      </c>
      <c r="AK40" s="42"/>
    </row>
    <row r="41" spans="1:88" x14ac:dyDescent="0.25">
      <c r="A41" s="107" t="s">
        <v>170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123"/>
      <c r="AG41" s="106">
        <v>69</v>
      </c>
      <c r="AH41" s="21">
        <f t="shared" si="2"/>
        <v>0</v>
      </c>
      <c r="AI41" s="20">
        <f t="shared" si="3"/>
        <v>0</v>
      </c>
      <c r="AK41" s="42"/>
    </row>
    <row r="42" spans="1:88" x14ac:dyDescent="0.25">
      <c r="A42" s="107" t="s">
        <v>169</v>
      </c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123"/>
      <c r="AG42" s="106">
        <v>60</v>
      </c>
      <c r="AH42" s="21">
        <f t="shared" si="2"/>
        <v>0</v>
      </c>
      <c r="AI42" s="20">
        <f t="shared" si="3"/>
        <v>0</v>
      </c>
      <c r="AK42" s="42"/>
    </row>
    <row r="43" spans="1:88" x14ac:dyDescent="0.25">
      <c r="A43" s="107" t="s">
        <v>168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73"/>
      <c r="AA43" s="73"/>
      <c r="AB43" s="73"/>
      <c r="AC43" s="73"/>
      <c r="AD43" s="73"/>
      <c r="AE43" s="73"/>
      <c r="AF43" s="123"/>
      <c r="AG43" s="106">
        <v>30</v>
      </c>
      <c r="AH43" s="21">
        <f t="shared" si="2"/>
        <v>0</v>
      </c>
      <c r="AI43" s="20">
        <f t="shared" si="3"/>
        <v>0</v>
      </c>
      <c r="AK43" s="42"/>
    </row>
    <row r="44" spans="1:88" x14ac:dyDescent="0.25">
      <c r="A44" s="107" t="s">
        <v>167</v>
      </c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23"/>
      <c r="AG44" s="106">
        <v>25</v>
      </c>
      <c r="AH44" s="21">
        <f t="shared" si="2"/>
        <v>0</v>
      </c>
      <c r="AI44" s="20">
        <f t="shared" si="3"/>
        <v>0</v>
      </c>
      <c r="AK44" s="42"/>
    </row>
    <row r="45" spans="1:88" x14ac:dyDescent="0.25">
      <c r="A45" s="107" t="s">
        <v>166</v>
      </c>
      <c r="B45" s="123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23"/>
      <c r="AG45" s="106">
        <v>24</v>
      </c>
      <c r="AH45" s="21">
        <f t="shared" si="2"/>
        <v>0</v>
      </c>
      <c r="AI45" s="20">
        <f t="shared" si="3"/>
        <v>0</v>
      </c>
      <c r="AK45" s="42"/>
    </row>
    <row r="46" spans="1:88" x14ac:dyDescent="0.25">
      <c r="A46" s="107" t="s">
        <v>165</v>
      </c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23"/>
      <c r="AG46" s="106">
        <v>15</v>
      </c>
      <c r="AH46" s="21">
        <f t="shared" si="2"/>
        <v>0</v>
      </c>
      <c r="AI46" s="20">
        <f t="shared" si="3"/>
        <v>0</v>
      </c>
      <c r="AK46" s="42"/>
      <c r="AL46" s="126"/>
      <c r="AO46" s="126"/>
    </row>
    <row r="47" spans="1:88" s="126" customFormat="1" x14ac:dyDescent="0.25">
      <c r="A47" s="107" t="s">
        <v>164</v>
      </c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23"/>
      <c r="AG47" s="106">
        <v>14.1</v>
      </c>
      <c r="AH47" s="21">
        <f t="shared" si="2"/>
        <v>0</v>
      </c>
      <c r="AI47" s="20">
        <f t="shared" si="3"/>
        <v>0</v>
      </c>
      <c r="AJ47" s="1"/>
      <c r="AK47" s="42"/>
      <c r="AL47"/>
      <c r="AM47"/>
      <c r="AN47"/>
      <c r="AO47"/>
    </row>
    <row r="48" spans="1:88" x14ac:dyDescent="0.25">
      <c r="A48" s="121" t="s">
        <v>163</v>
      </c>
      <c r="B48" s="123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23"/>
      <c r="AG48" s="106">
        <v>14</v>
      </c>
      <c r="AH48" s="21">
        <f t="shared" si="2"/>
        <v>0</v>
      </c>
      <c r="AI48" s="20">
        <f t="shared" si="3"/>
        <v>0</v>
      </c>
      <c r="AK48" s="42"/>
    </row>
    <row r="49" spans="1:37" x14ac:dyDescent="0.25">
      <c r="A49" s="107" t="s">
        <v>162</v>
      </c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23"/>
      <c r="AG49" s="106">
        <v>10.050000000000001</v>
      </c>
      <c r="AH49" s="21">
        <f t="shared" si="2"/>
        <v>0</v>
      </c>
      <c r="AI49" s="20">
        <f t="shared" si="3"/>
        <v>0</v>
      </c>
      <c r="AK49" s="42"/>
    </row>
    <row r="50" spans="1:37" x14ac:dyDescent="0.25">
      <c r="A50" s="107" t="s">
        <v>161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23"/>
      <c r="AG50" s="106">
        <v>6.2</v>
      </c>
      <c r="AH50" s="21">
        <f t="shared" si="2"/>
        <v>0</v>
      </c>
      <c r="AI50" s="20">
        <f t="shared" si="3"/>
        <v>0</v>
      </c>
      <c r="AK50" s="42"/>
    </row>
    <row r="51" spans="1:37" ht="15.75" thickBot="1" x14ac:dyDescent="0.3">
      <c r="A51" s="125" t="s">
        <v>17</v>
      </c>
      <c r="B51" s="124">
        <f>B200</f>
        <v>3.54</v>
      </c>
      <c r="C51" s="124">
        <v>3.54</v>
      </c>
      <c r="D51" s="124">
        <v>3.54</v>
      </c>
      <c r="E51" s="124">
        <v>3.54</v>
      </c>
      <c r="F51" s="124">
        <v>3.54</v>
      </c>
      <c r="G51" s="124">
        <v>3.54</v>
      </c>
      <c r="H51" s="124">
        <v>3.54</v>
      </c>
      <c r="I51" s="124">
        <v>3.54</v>
      </c>
      <c r="J51" s="124">
        <v>3.54</v>
      </c>
      <c r="K51" s="124">
        <v>3.54</v>
      </c>
      <c r="L51" s="124">
        <v>3.54</v>
      </c>
      <c r="M51" s="124">
        <v>3.54</v>
      </c>
      <c r="N51" s="124">
        <v>3.54</v>
      </c>
      <c r="O51" s="124">
        <v>3.54</v>
      </c>
      <c r="P51" s="124">
        <v>3.54</v>
      </c>
      <c r="Q51" s="124">
        <v>3.54</v>
      </c>
      <c r="R51" s="124">
        <v>3.54</v>
      </c>
      <c r="S51" s="124">
        <v>3.54</v>
      </c>
      <c r="T51" s="124">
        <v>3.54</v>
      </c>
      <c r="U51" s="124">
        <f t="shared" ref="U51:AG51" si="5">U200</f>
        <v>3.54</v>
      </c>
      <c r="V51" s="124">
        <f t="shared" si="5"/>
        <v>3.54</v>
      </c>
      <c r="W51" s="124">
        <f t="shared" si="5"/>
        <v>3.54</v>
      </c>
      <c r="X51" s="124">
        <f t="shared" si="5"/>
        <v>3.54</v>
      </c>
      <c r="Y51" s="124">
        <f t="shared" si="5"/>
        <v>3.54</v>
      </c>
      <c r="Z51" s="124">
        <v>3.54</v>
      </c>
      <c r="AA51" s="124">
        <f t="shared" si="5"/>
        <v>3.54</v>
      </c>
      <c r="AB51" s="124">
        <f t="shared" si="5"/>
        <v>3.54</v>
      </c>
      <c r="AC51" s="124">
        <f t="shared" si="5"/>
        <v>3.54</v>
      </c>
      <c r="AD51" s="124">
        <f t="shared" si="5"/>
        <v>3.54</v>
      </c>
      <c r="AE51" s="124">
        <f t="shared" si="5"/>
        <v>3.54</v>
      </c>
      <c r="AF51" s="124">
        <f t="shared" si="5"/>
        <v>3.54</v>
      </c>
      <c r="AG51" s="124">
        <f t="shared" si="5"/>
        <v>8.56</v>
      </c>
      <c r="AH51" s="21">
        <f t="shared" si="2"/>
        <v>3.54</v>
      </c>
      <c r="AI51" s="20">
        <f t="shared" si="3"/>
        <v>3.54</v>
      </c>
      <c r="AK51" s="42"/>
    </row>
    <row r="52" spans="1:37" ht="15.75" thickBot="1" x14ac:dyDescent="0.3">
      <c r="A52" s="100" t="s">
        <v>160</v>
      </c>
      <c r="B52" s="99">
        <f>SUM(B39:B51)</f>
        <v>3.54</v>
      </c>
      <c r="C52" s="99">
        <f t="shared" ref="C52:AF52" si="6">SUM(C39:C51)</f>
        <v>3.54</v>
      </c>
      <c r="D52" s="99">
        <f t="shared" si="6"/>
        <v>3.54</v>
      </c>
      <c r="E52" s="99">
        <f t="shared" si="6"/>
        <v>3.54</v>
      </c>
      <c r="F52" s="99">
        <f t="shared" si="6"/>
        <v>3.54</v>
      </c>
      <c r="G52" s="99">
        <f t="shared" si="6"/>
        <v>3.54</v>
      </c>
      <c r="H52" s="99">
        <f t="shared" si="6"/>
        <v>3.54</v>
      </c>
      <c r="I52" s="99">
        <f t="shared" si="6"/>
        <v>3.54</v>
      </c>
      <c r="J52" s="99">
        <f t="shared" si="6"/>
        <v>3.54</v>
      </c>
      <c r="K52" s="99">
        <f t="shared" si="6"/>
        <v>3.54</v>
      </c>
      <c r="L52" s="99">
        <f t="shared" si="6"/>
        <v>3.54</v>
      </c>
      <c r="M52" s="99">
        <f t="shared" si="6"/>
        <v>3.54</v>
      </c>
      <c r="N52" s="99">
        <f t="shared" si="6"/>
        <v>3.54</v>
      </c>
      <c r="O52" s="99">
        <f t="shared" si="6"/>
        <v>3.54</v>
      </c>
      <c r="P52" s="99">
        <f t="shared" si="6"/>
        <v>3.54</v>
      </c>
      <c r="Q52" s="99">
        <f t="shared" si="6"/>
        <v>3.54</v>
      </c>
      <c r="R52" s="99">
        <f t="shared" si="6"/>
        <v>3.54</v>
      </c>
      <c r="S52" s="99">
        <f t="shared" si="6"/>
        <v>3.54</v>
      </c>
      <c r="T52" s="99">
        <f t="shared" si="6"/>
        <v>3.54</v>
      </c>
      <c r="U52" s="99">
        <f t="shared" si="6"/>
        <v>3.54</v>
      </c>
      <c r="V52" s="99">
        <f t="shared" si="6"/>
        <v>3.54</v>
      </c>
      <c r="W52" s="99">
        <f t="shared" si="6"/>
        <v>3.54</v>
      </c>
      <c r="X52" s="99">
        <f t="shared" si="6"/>
        <v>3.54</v>
      </c>
      <c r="Y52" s="99">
        <f t="shared" si="6"/>
        <v>3.54</v>
      </c>
      <c r="Z52" s="99">
        <f t="shared" si="6"/>
        <v>3.54</v>
      </c>
      <c r="AA52" s="99">
        <f t="shared" si="6"/>
        <v>3.54</v>
      </c>
      <c r="AB52" s="99">
        <f t="shared" si="6"/>
        <v>3.54</v>
      </c>
      <c r="AC52" s="99">
        <f t="shared" si="6"/>
        <v>3.54</v>
      </c>
      <c r="AD52" s="99">
        <f t="shared" si="6"/>
        <v>3.54</v>
      </c>
      <c r="AE52" s="99">
        <f t="shared" si="6"/>
        <v>3.54</v>
      </c>
      <c r="AF52" s="99">
        <f t="shared" si="6"/>
        <v>3.54</v>
      </c>
      <c r="AG52" s="98">
        <f>SUM(AG39:AG51)</f>
        <v>489.91</v>
      </c>
      <c r="AH52" s="21">
        <f t="shared" si="2"/>
        <v>3.54</v>
      </c>
      <c r="AI52" s="20">
        <f t="shared" si="3"/>
        <v>3.54</v>
      </c>
      <c r="AK52" s="42"/>
    </row>
    <row r="53" spans="1:37" x14ac:dyDescent="0.25">
      <c r="A53" s="109" t="s">
        <v>159</v>
      </c>
      <c r="B53" s="10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2"/>
      <c r="N53" s="122"/>
      <c r="O53" s="122"/>
      <c r="P53" s="122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8">
        <v>60</v>
      </c>
      <c r="AH53" s="21">
        <f t="shared" si="2"/>
        <v>0</v>
      </c>
      <c r="AI53" s="20">
        <f t="shared" si="3"/>
        <v>0</v>
      </c>
      <c r="AK53" s="42"/>
    </row>
    <row r="54" spans="1:37" x14ac:dyDescent="0.25">
      <c r="A54" s="107" t="s">
        <v>158</v>
      </c>
      <c r="B54" s="7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2"/>
      <c r="N54" s="122"/>
      <c r="O54" s="122"/>
      <c r="P54" s="122"/>
      <c r="Q54" s="73"/>
      <c r="R54" s="73"/>
      <c r="S54" s="103"/>
      <c r="T54" s="103"/>
      <c r="U54" s="10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106">
        <v>32</v>
      </c>
      <c r="AH54" s="21">
        <f t="shared" si="2"/>
        <v>0</v>
      </c>
      <c r="AI54" s="20">
        <f t="shared" si="3"/>
        <v>0</v>
      </c>
      <c r="AK54" s="42"/>
    </row>
    <row r="55" spans="1:37" ht="15.75" thickBot="1" x14ac:dyDescent="0.3">
      <c r="A55" s="121" t="s">
        <v>157</v>
      </c>
      <c r="B55" s="118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19"/>
      <c r="N55" s="119"/>
      <c r="O55" s="119"/>
      <c r="P55" s="119"/>
      <c r="Q55" s="118"/>
      <c r="R55" s="118"/>
      <c r="S55" s="103"/>
      <c r="T55" s="103"/>
      <c r="U55" s="103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7">
        <v>14</v>
      </c>
      <c r="AH55" s="21">
        <f t="shared" si="2"/>
        <v>0</v>
      </c>
      <c r="AI55" s="20">
        <f t="shared" si="3"/>
        <v>0</v>
      </c>
      <c r="AK55" s="42"/>
    </row>
    <row r="56" spans="1:37" ht="15.75" thickBot="1" x14ac:dyDescent="0.3">
      <c r="A56" s="100" t="s">
        <v>156</v>
      </c>
      <c r="B56" s="99">
        <f>SUM(B53:B55)</f>
        <v>0</v>
      </c>
      <c r="C56" s="99">
        <f>SUM(C53:C55)</f>
        <v>0</v>
      </c>
      <c r="D56" s="99">
        <f t="shared" ref="D56:AF56" si="7">SUM(D53:D55)</f>
        <v>0</v>
      </c>
      <c r="E56" s="99">
        <f t="shared" si="7"/>
        <v>0</v>
      </c>
      <c r="F56" s="99">
        <f t="shared" si="7"/>
        <v>0</v>
      </c>
      <c r="G56" s="99">
        <f t="shared" si="7"/>
        <v>0</v>
      </c>
      <c r="H56" s="99">
        <f t="shared" si="7"/>
        <v>0</v>
      </c>
      <c r="I56" s="99">
        <f t="shared" si="7"/>
        <v>0</v>
      </c>
      <c r="J56" s="99">
        <f t="shared" si="7"/>
        <v>0</v>
      </c>
      <c r="K56" s="99">
        <f t="shared" si="7"/>
        <v>0</v>
      </c>
      <c r="L56" s="99">
        <f t="shared" si="7"/>
        <v>0</v>
      </c>
      <c r="M56" s="99">
        <f t="shared" si="7"/>
        <v>0</v>
      </c>
      <c r="N56" s="99">
        <f t="shared" si="7"/>
        <v>0</v>
      </c>
      <c r="O56" s="99">
        <f t="shared" si="7"/>
        <v>0</v>
      </c>
      <c r="P56" s="99">
        <f t="shared" si="7"/>
        <v>0</v>
      </c>
      <c r="Q56" s="99">
        <f t="shared" si="7"/>
        <v>0</v>
      </c>
      <c r="R56" s="99">
        <f t="shared" si="7"/>
        <v>0</v>
      </c>
      <c r="S56" s="99">
        <f t="shared" si="7"/>
        <v>0</v>
      </c>
      <c r="T56" s="99">
        <f t="shared" si="7"/>
        <v>0</v>
      </c>
      <c r="U56" s="99">
        <f t="shared" si="7"/>
        <v>0</v>
      </c>
      <c r="V56" s="99">
        <f t="shared" si="7"/>
        <v>0</v>
      </c>
      <c r="W56" s="99">
        <f t="shared" si="7"/>
        <v>0</v>
      </c>
      <c r="X56" s="99">
        <f t="shared" si="7"/>
        <v>0</v>
      </c>
      <c r="Y56" s="99">
        <f t="shared" si="7"/>
        <v>0</v>
      </c>
      <c r="Z56" s="99">
        <f t="shared" si="7"/>
        <v>0</v>
      </c>
      <c r="AA56" s="99">
        <f t="shared" si="7"/>
        <v>0</v>
      </c>
      <c r="AB56" s="99">
        <f t="shared" si="7"/>
        <v>0</v>
      </c>
      <c r="AC56" s="99">
        <f t="shared" si="7"/>
        <v>0</v>
      </c>
      <c r="AD56" s="99">
        <f t="shared" si="7"/>
        <v>0</v>
      </c>
      <c r="AE56" s="99">
        <f t="shared" si="7"/>
        <v>0</v>
      </c>
      <c r="AF56" s="99">
        <f t="shared" si="7"/>
        <v>0</v>
      </c>
      <c r="AG56" s="98">
        <f>SUM(AG53:AG55)</f>
        <v>106</v>
      </c>
      <c r="AH56" s="21">
        <f t="shared" si="2"/>
        <v>0</v>
      </c>
      <c r="AI56" s="20">
        <f t="shared" si="3"/>
        <v>0</v>
      </c>
      <c r="AK56" s="42"/>
    </row>
    <row r="57" spans="1:37" x14ac:dyDescent="0.25">
      <c r="A57" s="109" t="s">
        <v>135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8"/>
      <c r="AH57" s="21">
        <f t="shared" si="2"/>
        <v>0</v>
      </c>
      <c r="AI57" s="20">
        <f t="shared" si="3"/>
        <v>0</v>
      </c>
      <c r="AK57" s="42"/>
    </row>
    <row r="58" spans="1:37" x14ac:dyDescent="0.25">
      <c r="A58" s="107" t="s">
        <v>138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16"/>
      <c r="Y58" s="116"/>
      <c r="Z58" s="116"/>
      <c r="AA58" s="116"/>
      <c r="AB58" s="73"/>
      <c r="AC58" s="73"/>
      <c r="AD58" s="73"/>
      <c r="AE58" s="73"/>
      <c r="AF58" s="73"/>
      <c r="AG58" s="106"/>
      <c r="AH58" s="21">
        <f t="shared" si="2"/>
        <v>0</v>
      </c>
      <c r="AI58" s="20">
        <f t="shared" si="3"/>
        <v>0</v>
      </c>
      <c r="AK58" s="42"/>
    </row>
    <row r="59" spans="1:37" x14ac:dyDescent="0.25">
      <c r="A59" s="107" t="s">
        <v>155</v>
      </c>
      <c r="B59" s="73"/>
      <c r="C59" s="73"/>
      <c r="D59" s="73"/>
      <c r="E59" s="73"/>
      <c r="F59" s="73"/>
      <c r="G59" s="73"/>
      <c r="H59" s="103"/>
      <c r="I59" s="103"/>
      <c r="J59" s="103"/>
      <c r="K59" s="103"/>
      <c r="L59" s="10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115"/>
      <c r="Y59" s="115"/>
      <c r="Z59" s="115"/>
      <c r="AA59" s="115"/>
      <c r="AB59" s="73"/>
      <c r="AC59" s="73"/>
      <c r="AD59" s="73"/>
      <c r="AE59" s="73"/>
      <c r="AF59" s="73"/>
      <c r="AG59" s="113"/>
      <c r="AH59" s="21">
        <f t="shared" si="2"/>
        <v>0</v>
      </c>
      <c r="AI59" s="20">
        <f t="shared" si="3"/>
        <v>0</v>
      </c>
      <c r="AK59" s="42"/>
    </row>
    <row r="60" spans="1:37" x14ac:dyDescent="0.25">
      <c r="A60" s="107" t="s">
        <v>139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7"/>
      <c r="AG60" s="113"/>
      <c r="AH60" s="21">
        <f t="shared" si="2"/>
        <v>0</v>
      </c>
      <c r="AI60" s="20">
        <f t="shared" si="3"/>
        <v>0</v>
      </c>
      <c r="AK60" s="42"/>
    </row>
    <row r="61" spans="1:37" x14ac:dyDescent="0.25">
      <c r="A61" s="107" t="s">
        <v>154</v>
      </c>
      <c r="B61" s="103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13"/>
      <c r="AH61" s="21">
        <f t="shared" si="2"/>
        <v>0</v>
      </c>
      <c r="AI61" s="20">
        <f t="shared" si="3"/>
        <v>0</v>
      </c>
      <c r="AK61" s="42"/>
    </row>
    <row r="62" spans="1:37" x14ac:dyDescent="0.25">
      <c r="A62" s="107" t="s">
        <v>153</v>
      </c>
      <c r="B62" s="67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113"/>
      <c r="AH62" s="21">
        <f t="shared" si="2"/>
        <v>0</v>
      </c>
      <c r="AI62" s="20">
        <f t="shared" si="3"/>
        <v>0</v>
      </c>
      <c r="AK62" s="42"/>
    </row>
    <row r="63" spans="1:37" x14ac:dyDescent="0.25">
      <c r="A63" s="107" t="s">
        <v>152</v>
      </c>
      <c r="B63" s="67"/>
      <c r="C63" s="77"/>
      <c r="D63" s="77"/>
      <c r="E63" s="77"/>
      <c r="F63" s="77"/>
      <c r="G63" s="77"/>
      <c r="H63" s="77"/>
      <c r="I63" s="103"/>
      <c r="J63" s="103"/>
      <c r="K63" s="103"/>
      <c r="L63" s="103"/>
      <c r="M63" s="103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113"/>
      <c r="AH63" s="21">
        <f t="shared" si="2"/>
        <v>0</v>
      </c>
      <c r="AI63" s="20">
        <f t="shared" si="3"/>
        <v>0</v>
      </c>
      <c r="AK63" s="42"/>
    </row>
    <row r="64" spans="1:37" x14ac:dyDescent="0.25">
      <c r="A64" s="107" t="s">
        <v>151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113"/>
      <c r="AH64" s="21">
        <f t="shared" si="2"/>
        <v>0</v>
      </c>
      <c r="AI64" s="20">
        <f t="shared" si="3"/>
        <v>0</v>
      </c>
      <c r="AK64" s="42"/>
    </row>
    <row r="65" spans="1:88" x14ac:dyDescent="0.25">
      <c r="A65" s="107" t="s">
        <v>150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113"/>
      <c r="AH65" s="21">
        <f t="shared" si="2"/>
        <v>0</v>
      </c>
      <c r="AI65" s="20">
        <f t="shared" si="3"/>
        <v>0</v>
      </c>
      <c r="AK65" s="42"/>
    </row>
    <row r="66" spans="1:88" x14ac:dyDescent="0.25">
      <c r="A66" s="104" t="s">
        <v>149</v>
      </c>
      <c r="B66" s="70"/>
      <c r="C66" s="77"/>
      <c r="D66" s="77"/>
      <c r="E66" s="77"/>
      <c r="F66" s="77"/>
      <c r="G66" s="77"/>
      <c r="H66" s="77"/>
      <c r="I66" s="73"/>
      <c r="J66" s="73"/>
      <c r="K66" s="73"/>
      <c r="L66" s="73"/>
      <c r="M66" s="73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102"/>
      <c r="AH66" s="21">
        <f t="shared" si="2"/>
        <v>0</v>
      </c>
      <c r="AI66" s="20">
        <f t="shared" si="3"/>
        <v>0</v>
      </c>
      <c r="AK66" s="42"/>
    </row>
    <row r="67" spans="1:88" ht="15.75" thickBot="1" x14ac:dyDescent="0.3">
      <c r="A67" s="104" t="s">
        <v>148</v>
      </c>
      <c r="B67" s="70"/>
      <c r="C67" s="77"/>
      <c r="D67" s="77"/>
      <c r="E67" s="77"/>
      <c r="F67" s="77"/>
      <c r="G67" s="77"/>
      <c r="H67" s="77"/>
      <c r="I67" s="103"/>
      <c r="J67" s="103"/>
      <c r="K67" s="103"/>
      <c r="L67" s="103"/>
      <c r="M67" s="103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102"/>
      <c r="AH67" s="21">
        <f t="shared" si="2"/>
        <v>0</v>
      </c>
      <c r="AI67" s="20">
        <f t="shared" si="3"/>
        <v>0</v>
      </c>
      <c r="AK67" s="42"/>
    </row>
    <row r="68" spans="1:88" ht="15.75" thickBot="1" x14ac:dyDescent="0.3">
      <c r="A68" s="100" t="s">
        <v>147</v>
      </c>
      <c r="B68" s="99">
        <f>SUM(B57:B67)</f>
        <v>0</v>
      </c>
      <c r="C68" s="99">
        <f>SUM(C57:C67)</f>
        <v>0</v>
      </c>
      <c r="D68" s="99">
        <f t="shared" ref="D68:AF68" si="8">SUM(D57:D67)</f>
        <v>0</v>
      </c>
      <c r="E68" s="99">
        <f t="shared" si="8"/>
        <v>0</v>
      </c>
      <c r="F68" s="99">
        <f t="shared" si="8"/>
        <v>0</v>
      </c>
      <c r="G68" s="99">
        <f t="shared" si="8"/>
        <v>0</v>
      </c>
      <c r="H68" s="99">
        <f t="shared" si="8"/>
        <v>0</v>
      </c>
      <c r="I68" s="99">
        <f t="shared" si="8"/>
        <v>0</v>
      </c>
      <c r="J68" s="99">
        <f t="shared" si="8"/>
        <v>0</v>
      </c>
      <c r="K68" s="99">
        <f t="shared" si="8"/>
        <v>0</v>
      </c>
      <c r="L68" s="99">
        <f t="shared" si="8"/>
        <v>0</v>
      </c>
      <c r="M68" s="99">
        <f t="shared" si="8"/>
        <v>0</v>
      </c>
      <c r="N68" s="99">
        <f t="shared" si="8"/>
        <v>0</v>
      </c>
      <c r="O68" s="99">
        <f t="shared" si="8"/>
        <v>0</v>
      </c>
      <c r="P68" s="99">
        <f t="shared" si="8"/>
        <v>0</v>
      </c>
      <c r="Q68" s="99">
        <f t="shared" si="8"/>
        <v>0</v>
      </c>
      <c r="R68" s="99">
        <f t="shared" si="8"/>
        <v>0</v>
      </c>
      <c r="S68" s="99">
        <f t="shared" si="8"/>
        <v>0</v>
      </c>
      <c r="T68" s="99">
        <f t="shared" si="8"/>
        <v>0</v>
      </c>
      <c r="U68" s="99">
        <f t="shared" si="8"/>
        <v>0</v>
      </c>
      <c r="V68" s="99">
        <f t="shared" si="8"/>
        <v>0</v>
      </c>
      <c r="W68" s="99">
        <f t="shared" si="8"/>
        <v>0</v>
      </c>
      <c r="X68" s="99">
        <f t="shared" si="8"/>
        <v>0</v>
      </c>
      <c r="Y68" s="99">
        <f t="shared" si="8"/>
        <v>0</v>
      </c>
      <c r="Z68" s="99">
        <f t="shared" si="8"/>
        <v>0</v>
      </c>
      <c r="AA68" s="99">
        <f t="shared" si="8"/>
        <v>0</v>
      </c>
      <c r="AB68" s="99">
        <f t="shared" si="8"/>
        <v>0</v>
      </c>
      <c r="AC68" s="99">
        <f t="shared" si="8"/>
        <v>0</v>
      </c>
      <c r="AD68" s="99">
        <f t="shared" si="8"/>
        <v>0</v>
      </c>
      <c r="AE68" s="99">
        <f t="shared" si="8"/>
        <v>0</v>
      </c>
      <c r="AF68" s="99">
        <f t="shared" si="8"/>
        <v>0</v>
      </c>
      <c r="AG68" s="98">
        <f>SUM(AG57:AG67)</f>
        <v>0</v>
      </c>
      <c r="AH68" s="21">
        <f t="shared" si="2"/>
        <v>0</v>
      </c>
      <c r="AI68" s="20">
        <f t="shared" si="3"/>
        <v>0</v>
      </c>
      <c r="AK68" s="42"/>
    </row>
    <row r="69" spans="1:88" x14ac:dyDescent="0.25">
      <c r="A69" s="109" t="s">
        <v>146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114">
        <v>39</v>
      </c>
      <c r="AH69" s="21">
        <f t="shared" si="2"/>
        <v>0</v>
      </c>
      <c r="AI69" s="20">
        <f t="shared" si="3"/>
        <v>0</v>
      </c>
      <c r="AK69" s="42"/>
    </row>
    <row r="70" spans="1:88" x14ac:dyDescent="0.25">
      <c r="A70" s="107" t="s">
        <v>145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113">
        <v>14.4</v>
      </c>
      <c r="AH70" s="21">
        <f t="shared" si="2"/>
        <v>0</v>
      </c>
      <c r="AI70" s="20">
        <f t="shared" si="3"/>
        <v>0</v>
      </c>
      <c r="AK70" s="42"/>
    </row>
    <row r="71" spans="1:88" ht="15.75" thickBot="1" x14ac:dyDescent="0.3">
      <c r="A71" s="104" t="s">
        <v>144</v>
      </c>
      <c r="B71" s="70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102">
        <v>2</v>
      </c>
      <c r="AH71" s="21">
        <f t="shared" si="2"/>
        <v>0</v>
      </c>
      <c r="AI71" s="20">
        <f t="shared" si="3"/>
        <v>0</v>
      </c>
    </row>
    <row r="72" spans="1:88" s="1" customFormat="1" ht="15.75" thickBot="1" x14ac:dyDescent="0.3">
      <c r="A72" s="100" t="s">
        <v>143</v>
      </c>
      <c r="B72" s="99">
        <f>SUM(B69:B71)</f>
        <v>0</v>
      </c>
      <c r="C72" s="99">
        <f>SUM(C69:C71)</f>
        <v>0</v>
      </c>
      <c r="D72" s="99">
        <f t="shared" ref="D72:AF72" si="9">SUM(D69:D71)</f>
        <v>0</v>
      </c>
      <c r="E72" s="99">
        <f t="shared" si="9"/>
        <v>0</v>
      </c>
      <c r="F72" s="99">
        <f t="shared" si="9"/>
        <v>0</v>
      </c>
      <c r="G72" s="99">
        <f t="shared" si="9"/>
        <v>0</v>
      </c>
      <c r="H72" s="99">
        <f t="shared" si="9"/>
        <v>0</v>
      </c>
      <c r="I72" s="99">
        <f t="shared" si="9"/>
        <v>0</v>
      </c>
      <c r="J72" s="99">
        <f t="shared" si="9"/>
        <v>0</v>
      </c>
      <c r="K72" s="99">
        <f t="shared" si="9"/>
        <v>0</v>
      </c>
      <c r="L72" s="99">
        <f t="shared" si="9"/>
        <v>0</v>
      </c>
      <c r="M72" s="99">
        <f t="shared" si="9"/>
        <v>0</v>
      </c>
      <c r="N72" s="99">
        <f t="shared" si="9"/>
        <v>0</v>
      </c>
      <c r="O72" s="99">
        <f t="shared" si="9"/>
        <v>0</v>
      </c>
      <c r="P72" s="99">
        <f t="shared" si="9"/>
        <v>0</v>
      </c>
      <c r="Q72" s="99">
        <f t="shared" si="9"/>
        <v>0</v>
      </c>
      <c r="R72" s="99">
        <f t="shared" si="9"/>
        <v>0</v>
      </c>
      <c r="S72" s="99">
        <f t="shared" si="9"/>
        <v>0</v>
      </c>
      <c r="T72" s="99">
        <f t="shared" si="9"/>
        <v>0</v>
      </c>
      <c r="U72" s="99">
        <f t="shared" si="9"/>
        <v>0</v>
      </c>
      <c r="V72" s="99">
        <f t="shared" si="9"/>
        <v>0</v>
      </c>
      <c r="W72" s="99">
        <f t="shared" si="9"/>
        <v>0</v>
      </c>
      <c r="X72" s="99">
        <f t="shared" si="9"/>
        <v>0</v>
      </c>
      <c r="Y72" s="99">
        <f t="shared" si="9"/>
        <v>0</v>
      </c>
      <c r="Z72" s="99">
        <f t="shared" si="9"/>
        <v>0</v>
      </c>
      <c r="AA72" s="99">
        <f t="shared" si="9"/>
        <v>0</v>
      </c>
      <c r="AB72" s="99">
        <f t="shared" si="9"/>
        <v>0</v>
      </c>
      <c r="AC72" s="99">
        <f t="shared" si="9"/>
        <v>0</v>
      </c>
      <c r="AD72" s="99">
        <f t="shared" si="9"/>
        <v>0</v>
      </c>
      <c r="AE72" s="99">
        <f t="shared" si="9"/>
        <v>0</v>
      </c>
      <c r="AF72" s="99">
        <f t="shared" si="9"/>
        <v>0</v>
      </c>
      <c r="AG72" s="98">
        <f>SUM(AG69:AG71)</f>
        <v>55.4</v>
      </c>
      <c r="AH72" s="21">
        <f t="shared" si="2"/>
        <v>0</v>
      </c>
      <c r="AI72" s="20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100" t="s">
        <v>142</v>
      </c>
      <c r="B73" s="110">
        <f>B68+B56+B52+B38+B72</f>
        <v>3.54</v>
      </c>
      <c r="C73" s="110">
        <f>C68+C56+C52+C38+C72</f>
        <v>3.54</v>
      </c>
      <c r="D73" s="110">
        <f t="shared" ref="D73:AG73" si="10">D68+D56+D52+D38+D72</f>
        <v>3.54</v>
      </c>
      <c r="E73" s="110">
        <f t="shared" si="10"/>
        <v>3.54</v>
      </c>
      <c r="F73" s="110">
        <f t="shared" si="10"/>
        <v>3.54</v>
      </c>
      <c r="G73" s="110">
        <f t="shared" si="10"/>
        <v>3.54</v>
      </c>
      <c r="H73" s="110">
        <f t="shared" si="10"/>
        <v>3.54</v>
      </c>
      <c r="I73" s="110">
        <f t="shared" si="10"/>
        <v>3.54</v>
      </c>
      <c r="J73" s="110">
        <f t="shared" si="10"/>
        <v>3.54</v>
      </c>
      <c r="K73" s="110">
        <f t="shared" si="10"/>
        <v>3.54</v>
      </c>
      <c r="L73" s="110">
        <f t="shared" si="10"/>
        <v>3.54</v>
      </c>
      <c r="M73" s="110">
        <f t="shared" si="10"/>
        <v>3.54</v>
      </c>
      <c r="N73" s="110">
        <f t="shared" si="10"/>
        <v>3.54</v>
      </c>
      <c r="O73" s="110">
        <f t="shared" si="10"/>
        <v>3.54</v>
      </c>
      <c r="P73" s="110">
        <f t="shared" si="10"/>
        <v>3.54</v>
      </c>
      <c r="Q73" s="110">
        <f t="shared" si="10"/>
        <v>3.54</v>
      </c>
      <c r="R73" s="110">
        <f t="shared" si="10"/>
        <v>3.54</v>
      </c>
      <c r="S73" s="110">
        <f t="shared" si="10"/>
        <v>3.54</v>
      </c>
      <c r="T73" s="110">
        <f t="shared" si="10"/>
        <v>3.54</v>
      </c>
      <c r="U73" s="110">
        <f t="shared" si="10"/>
        <v>3.54</v>
      </c>
      <c r="V73" s="110">
        <f t="shared" si="10"/>
        <v>3.54</v>
      </c>
      <c r="W73" s="110">
        <f t="shared" si="10"/>
        <v>3.54</v>
      </c>
      <c r="X73" s="110">
        <f t="shared" si="10"/>
        <v>3.54</v>
      </c>
      <c r="Y73" s="110">
        <f t="shared" si="10"/>
        <v>3.54</v>
      </c>
      <c r="Z73" s="110">
        <f t="shared" si="10"/>
        <v>3.54</v>
      </c>
      <c r="AA73" s="110">
        <f t="shared" si="10"/>
        <v>3.54</v>
      </c>
      <c r="AB73" s="110">
        <f t="shared" si="10"/>
        <v>3.54</v>
      </c>
      <c r="AC73" s="110">
        <f t="shared" si="10"/>
        <v>3.54</v>
      </c>
      <c r="AD73" s="110">
        <f t="shared" si="10"/>
        <v>3.54</v>
      </c>
      <c r="AE73" s="110">
        <f t="shared" si="10"/>
        <v>3.54</v>
      </c>
      <c r="AF73" s="110">
        <f t="shared" si="10"/>
        <v>3.54</v>
      </c>
      <c r="AG73" s="110">
        <f t="shared" si="10"/>
        <v>2144.14</v>
      </c>
      <c r="AH73" s="21">
        <f t="shared" si="2"/>
        <v>3.54</v>
      </c>
      <c r="AI73" s="20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112" t="s">
        <v>141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98"/>
      <c r="AH74" s="21">
        <f t="shared" si="2"/>
        <v>0</v>
      </c>
      <c r="AI74" s="20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100" t="s">
        <v>140</v>
      </c>
      <c r="B75" s="110">
        <f>B72+B68+B56+B52+B38+B74</f>
        <v>3.54</v>
      </c>
      <c r="C75" s="110">
        <f>C73+C74</f>
        <v>3.54</v>
      </c>
      <c r="D75" s="110">
        <f t="shared" ref="D75:AF75" si="11">D72+D68+D56+D52+D38+D74</f>
        <v>3.54</v>
      </c>
      <c r="E75" s="110">
        <f t="shared" si="11"/>
        <v>3.54</v>
      </c>
      <c r="F75" s="110">
        <f t="shared" si="11"/>
        <v>3.54</v>
      </c>
      <c r="G75" s="110">
        <f t="shared" si="11"/>
        <v>3.54</v>
      </c>
      <c r="H75" s="110">
        <f t="shared" si="11"/>
        <v>3.54</v>
      </c>
      <c r="I75" s="110">
        <f t="shared" si="11"/>
        <v>3.54</v>
      </c>
      <c r="J75" s="110">
        <f t="shared" si="11"/>
        <v>3.54</v>
      </c>
      <c r="K75" s="110">
        <f t="shared" si="11"/>
        <v>3.54</v>
      </c>
      <c r="L75" s="110">
        <f t="shared" si="11"/>
        <v>3.54</v>
      </c>
      <c r="M75" s="110">
        <f t="shared" si="11"/>
        <v>3.54</v>
      </c>
      <c r="N75" s="110">
        <f t="shared" si="11"/>
        <v>3.54</v>
      </c>
      <c r="O75" s="110">
        <f t="shared" si="11"/>
        <v>3.54</v>
      </c>
      <c r="P75" s="110">
        <f t="shared" si="11"/>
        <v>3.54</v>
      </c>
      <c r="Q75" s="110">
        <f t="shared" si="11"/>
        <v>3.54</v>
      </c>
      <c r="R75" s="110">
        <f t="shared" si="11"/>
        <v>3.54</v>
      </c>
      <c r="S75" s="110">
        <f t="shared" si="11"/>
        <v>3.54</v>
      </c>
      <c r="T75" s="110">
        <f t="shared" si="11"/>
        <v>3.54</v>
      </c>
      <c r="U75" s="110">
        <f t="shared" si="11"/>
        <v>3.54</v>
      </c>
      <c r="V75" s="110">
        <f t="shared" si="11"/>
        <v>3.54</v>
      </c>
      <c r="W75" s="110">
        <f t="shared" si="11"/>
        <v>3.54</v>
      </c>
      <c r="X75" s="110">
        <f t="shared" si="11"/>
        <v>3.54</v>
      </c>
      <c r="Y75" s="110">
        <f t="shared" si="11"/>
        <v>3.54</v>
      </c>
      <c r="Z75" s="110">
        <f t="shared" si="11"/>
        <v>3.54</v>
      </c>
      <c r="AA75" s="110">
        <f t="shared" si="11"/>
        <v>3.54</v>
      </c>
      <c r="AB75" s="110">
        <f t="shared" si="11"/>
        <v>3.54</v>
      </c>
      <c r="AC75" s="110">
        <f t="shared" si="11"/>
        <v>3.54</v>
      </c>
      <c r="AD75" s="110">
        <f t="shared" si="11"/>
        <v>3.54</v>
      </c>
      <c r="AE75" s="110">
        <f t="shared" si="11"/>
        <v>3.54</v>
      </c>
      <c r="AF75" s="110">
        <f t="shared" si="11"/>
        <v>3.54</v>
      </c>
      <c r="AG75" s="98">
        <f>AG72+AG68+AG56+AG52+AG38+AG74</f>
        <v>2144.14</v>
      </c>
      <c r="AH75" s="21">
        <f t="shared" si="2"/>
        <v>3.54</v>
      </c>
      <c r="AI75" s="20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109" t="s">
        <v>139</v>
      </c>
      <c r="B76" s="77">
        <f>IF(B60&lt;0,B60*-1,0)</f>
        <v>0</v>
      </c>
      <c r="C76" s="77">
        <f>IF(C60&lt;0,C60*-1,0)</f>
        <v>0</v>
      </c>
      <c r="D76" s="77">
        <f t="shared" ref="D76:AF76" si="12">IF(D60&lt;0,D60*-1,0)</f>
        <v>0</v>
      </c>
      <c r="E76" s="77">
        <f t="shared" si="12"/>
        <v>0</v>
      </c>
      <c r="F76" s="77">
        <f t="shared" si="12"/>
        <v>0</v>
      </c>
      <c r="G76" s="77">
        <f t="shared" si="12"/>
        <v>0</v>
      </c>
      <c r="H76" s="77">
        <f t="shared" si="12"/>
        <v>0</v>
      </c>
      <c r="I76" s="77">
        <f t="shared" si="12"/>
        <v>0</v>
      </c>
      <c r="J76" s="77">
        <f t="shared" si="12"/>
        <v>0</v>
      </c>
      <c r="K76" s="77">
        <f t="shared" si="12"/>
        <v>0</v>
      </c>
      <c r="L76" s="77">
        <f t="shared" si="12"/>
        <v>0</v>
      </c>
      <c r="M76" s="77">
        <f t="shared" si="12"/>
        <v>0</v>
      </c>
      <c r="N76" s="77">
        <f t="shared" si="12"/>
        <v>0</v>
      </c>
      <c r="O76" s="77">
        <f t="shared" si="12"/>
        <v>0</v>
      </c>
      <c r="P76" s="77">
        <f t="shared" si="12"/>
        <v>0</v>
      </c>
      <c r="Q76" s="77">
        <f t="shared" si="12"/>
        <v>0</v>
      </c>
      <c r="R76" s="77">
        <f t="shared" si="12"/>
        <v>0</v>
      </c>
      <c r="S76" s="77">
        <f t="shared" si="12"/>
        <v>0</v>
      </c>
      <c r="T76" s="77">
        <f t="shared" si="12"/>
        <v>0</v>
      </c>
      <c r="U76" s="77">
        <f t="shared" si="12"/>
        <v>0</v>
      </c>
      <c r="V76" s="77">
        <f t="shared" si="12"/>
        <v>0</v>
      </c>
      <c r="W76" s="77">
        <f t="shared" si="12"/>
        <v>0</v>
      </c>
      <c r="X76" s="77">
        <f t="shared" si="12"/>
        <v>0</v>
      </c>
      <c r="Y76" s="77">
        <f t="shared" si="12"/>
        <v>0</v>
      </c>
      <c r="Z76" s="77">
        <f t="shared" si="12"/>
        <v>0</v>
      </c>
      <c r="AA76" s="77">
        <f t="shared" si="12"/>
        <v>0</v>
      </c>
      <c r="AB76" s="77">
        <f t="shared" si="12"/>
        <v>0</v>
      </c>
      <c r="AC76" s="77">
        <f t="shared" si="12"/>
        <v>0</v>
      </c>
      <c r="AD76" s="77">
        <f t="shared" si="12"/>
        <v>0</v>
      </c>
      <c r="AE76" s="77">
        <f t="shared" si="12"/>
        <v>0</v>
      </c>
      <c r="AF76" s="77">
        <f t="shared" si="12"/>
        <v>0</v>
      </c>
      <c r="AG76" s="108"/>
      <c r="AH76" s="21">
        <f t="shared" ref="AH76:AH91" si="13">MAX(B76:AF76)</f>
        <v>0</v>
      </c>
      <c r="AI76" s="20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107" t="s">
        <v>138</v>
      </c>
      <c r="B77" s="77">
        <f>IF(B58&lt;0,B58*-1,0)</f>
        <v>0</v>
      </c>
      <c r="C77" s="77">
        <f>IF(C58&lt;0,C58*-1,0)</f>
        <v>0</v>
      </c>
      <c r="D77" s="77">
        <f t="shared" ref="D77:AF77" si="15">IF(D58&lt;0,D58*-1,0)</f>
        <v>0</v>
      </c>
      <c r="E77" s="77">
        <f t="shared" si="15"/>
        <v>0</v>
      </c>
      <c r="F77" s="77">
        <f t="shared" si="15"/>
        <v>0</v>
      </c>
      <c r="G77" s="77">
        <f t="shared" si="15"/>
        <v>0</v>
      </c>
      <c r="H77" s="77">
        <f t="shared" si="15"/>
        <v>0</v>
      </c>
      <c r="I77" s="77">
        <f t="shared" si="15"/>
        <v>0</v>
      </c>
      <c r="J77" s="77">
        <f t="shared" si="15"/>
        <v>0</v>
      </c>
      <c r="K77" s="77">
        <f t="shared" si="15"/>
        <v>0</v>
      </c>
      <c r="L77" s="77">
        <f t="shared" si="15"/>
        <v>0</v>
      </c>
      <c r="M77" s="77">
        <f t="shared" si="15"/>
        <v>0</v>
      </c>
      <c r="N77" s="77">
        <f t="shared" si="15"/>
        <v>0</v>
      </c>
      <c r="O77" s="77">
        <f t="shared" si="15"/>
        <v>0</v>
      </c>
      <c r="P77" s="77">
        <f t="shared" si="15"/>
        <v>0</v>
      </c>
      <c r="Q77" s="77">
        <f t="shared" si="15"/>
        <v>0</v>
      </c>
      <c r="R77" s="77">
        <f t="shared" si="15"/>
        <v>0</v>
      </c>
      <c r="S77" s="77">
        <f t="shared" si="15"/>
        <v>0</v>
      </c>
      <c r="T77" s="77">
        <f t="shared" si="15"/>
        <v>0</v>
      </c>
      <c r="U77" s="77">
        <f t="shared" si="15"/>
        <v>0</v>
      </c>
      <c r="V77" s="77">
        <f t="shared" si="15"/>
        <v>0</v>
      </c>
      <c r="W77" s="77">
        <f t="shared" si="15"/>
        <v>0</v>
      </c>
      <c r="X77" s="77">
        <f t="shared" si="15"/>
        <v>0</v>
      </c>
      <c r="Y77" s="77">
        <f t="shared" si="15"/>
        <v>0</v>
      </c>
      <c r="Z77" s="77">
        <f t="shared" si="15"/>
        <v>0</v>
      </c>
      <c r="AA77" s="77">
        <f t="shared" si="15"/>
        <v>0</v>
      </c>
      <c r="AB77" s="77">
        <f t="shared" si="15"/>
        <v>0</v>
      </c>
      <c r="AC77" s="77">
        <f t="shared" si="15"/>
        <v>0</v>
      </c>
      <c r="AD77" s="77">
        <f t="shared" si="15"/>
        <v>0</v>
      </c>
      <c r="AE77" s="77">
        <f t="shared" si="15"/>
        <v>0</v>
      </c>
      <c r="AF77" s="77">
        <f t="shared" si="15"/>
        <v>0</v>
      </c>
      <c r="AG77" s="106"/>
      <c r="AH77" s="21">
        <f t="shared" si="13"/>
        <v>0</v>
      </c>
      <c r="AI77" s="20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104" t="s">
        <v>137</v>
      </c>
      <c r="B78" s="77">
        <f>IF(B61&lt;0,B61*-1,0)</f>
        <v>0</v>
      </c>
      <c r="C78" s="77">
        <f>IF(C61&lt;0,C61*-1,0)</f>
        <v>0</v>
      </c>
      <c r="D78" s="77">
        <f t="shared" ref="D78:AF78" si="16">IF(D61&lt;0,D61*-1,0)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  <c r="Q78" s="77">
        <f t="shared" si="16"/>
        <v>0</v>
      </c>
      <c r="R78" s="77">
        <f t="shared" si="16"/>
        <v>0</v>
      </c>
      <c r="S78" s="77">
        <f t="shared" si="16"/>
        <v>0</v>
      </c>
      <c r="T78" s="77">
        <f t="shared" si="16"/>
        <v>0</v>
      </c>
      <c r="U78" s="77">
        <f t="shared" si="16"/>
        <v>0</v>
      </c>
      <c r="V78" s="77">
        <f t="shared" si="16"/>
        <v>0</v>
      </c>
      <c r="W78" s="77">
        <f t="shared" si="16"/>
        <v>0</v>
      </c>
      <c r="X78" s="77">
        <f t="shared" si="16"/>
        <v>0</v>
      </c>
      <c r="Y78" s="77">
        <f t="shared" si="16"/>
        <v>0</v>
      </c>
      <c r="Z78" s="77">
        <f t="shared" si="16"/>
        <v>0</v>
      </c>
      <c r="AA78" s="77">
        <f t="shared" si="16"/>
        <v>0</v>
      </c>
      <c r="AB78" s="77">
        <f t="shared" si="16"/>
        <v>0</v>
      </c>
      <c r="AC78" s="77">
        <f t="shared" si="16"/>
        <v>0</v>
      </c>
      <c r="AD78" s="77">
        <f t="shared" si="16"/>
        <v>0</v>
      </c>
      <c r="AE78" s="77">
        <f t="shared" si="16"/>
        <v>0</v>
      </c>
      <c r="AF78" s="77">
        <f t="shared" si="16"/>
        <v>0</v>
      </c>
      <c r="AG78" s="105"/>
      <c r="AH78" s="21">
        <f t="shared" si="13"/>
        <v>0</v>
      </c>
      <c r="AI78" s="20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104" t="s">
        <v>136</v>
      </c>
      <c r="B79" s="77">
        <f>IF(B59&lt;0,B59*-1,0)</f>
        <v>0</v>
      </c>
      <c r="C79" s="77">
        <f>IF(C59&lt;0,C59*-1,0)</f>
        <v>0</v>
      </c>
      <c r="D79" s="77">
        <f t="shared" ref="D79:AF79" si="17">IF(D59&lt;0,D59*-1,0)</f>
        <v>0</v>
      </c>
      <c r="E79" s="77">
        <f t="shared" si="17"/>
        <v>0</v>
      </c>
      <c r="F79" s="77">
        <f t="shared" si="17"/>
        <v>0</v>
      </c>
      <c r="G79" s="77">
        <f t="shared" si="17"/>
        <v>0</v>
      </c>
      <c r="H79" s="77">
        <f t="shared" si="17"/>
        <v>0</v>
      </c>
      <c r="I79" s="77">
        <f t="shared" si="17"/>
        <v>0</v>
      </c>
      <c r="J79" s="77">
        <f t="shared" si="17"/>
        <v>0</v>
      </c>
      <c r="K79" s="77">
        <f t="shared" si="17"/>
        <v>0</v>
      </c>
      <c r="L79" s="77">
        <f t="shared" si="17"/>
        <v>0</v>
      </c>
      <c r="M79" s="77">
        <f t="shared" si="17"/>
        <v>0</v>
      </c>
      <c r="N79" s="77">
        <f t="shared" si="17"/>
        <v>0</v>
      </c>
      <c r="O79" s="77">
        <f t="shared" si="17"/>
        <v>0</v>
      </c>
      <c r="P79" s="77">
        <f t="shared" si="17"/>
        <v>0</v>
      </c>
      <c r="Q79" s="77">
        <f t="shared" si="17"/>
        <v>0</v>
      </c>
      <c r="R79" s="77">
        <f t="shared" si="17"/>
        <v>0</v>
      </c>
      <c r="S79" s="77">
        <f t="shared" si="17"/>
        <v>0</v>
      </c>
      <c r="T79" s="77">
        <f t="shared" si="17"/>
        <v>0</v>
      </c>
      <c r="U79" s="77">
        <f t="shared" si="17"/>
        <v>0</v>
      </c>
      <c r="V79" s="77">
        <f t="shared" si="17"/>
        <v>0</v>
      </c>
      <c r="W79" s="77">
        <f t="shared" si="17"/>
        <v>0</v>
      </c>
      <c r="X79" s="77">
        <f t="shared" si="17"/>
        <v>0</v>
      </c>
      <c r="Y79" s="77">
        <f t="shared" si="17"/>
        <v>0</v>
      </c>
      <c r="Z79" s="77">
        <f t="shared" si="17"/>
        <v>0</v>
      </c>
      <c r="AA79" s="77">
        <f t="shared" si="17"/>
        <v>0</v>
      </c>
      <c r="AB79" s="77">
        <f t="shared" si="17"/>
        <v>0</v>
      </c>
      <c r="AC79" s="77">
        <f t="shared" si="17"/>
        <v>0</v>
      </c>
      <c r="AD79" s="77">
        <f t="shared" si="17"/>
        <v>0</v>
      </c>
      <c r="AE79" s="77">
        <f t="shared" si="17"/>
        <v>0</v>
      </c>
      <c r="AF79" s="77">
        <f t="shared" si="17"/>
        <v>0</v>
      </c>
      <c r="AG79" s="105"/>
      <c r="AH79" s="21">
        <f t="shared" si="13"/>
        <v>0</v>
      </c>
      <c r="AI79" s="20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104" t="s">
        <v>135</v>
      </c>
      <c r="B80" s="77">
        <f>IF(B57&lt;0,B57*-1,0)</f>
        <v>0</v>
      </c>
      <c r="C80" s="77">
        <f>IF(C57&lt;0,C57*-1,0)</f>
        <v>0</v>
      </c>
      <c r="D80" s="77">
        <f t="shared" ref="D80:AF80" si="18">IF(D57&lt;0,D57*-1,0)</f>
        <v>0</v>
      </c>
      <c r="E80" s="77">
        <f t="shared" si="18"/>
        <v>0</v>
      </c>
      <c r="F80" s="77">
        <f t="shared" si="18"/>
        <v>0</v>
      </c>
      <c r="G80" s="77">
        <f t="shared" si="18"/>
        <v>0</v>
      </c>
      <c r="H80" s="77">
        <f t="shared" si="18"/>
        <v>0</v>
      </c>
      <c r="I80" s="77">
        <f t="shared" si="18"/>
        <v>0</v>
      </c>
      <c r="J80" s="77">
        <f t="shared" si="18"/>
        <v>0</v>
      </c>
      <c r="K80" s="77">
        <f t="shared" si="18"/>
        <v>0</v>
      </c>
      <c r="L80" s="77">
        <f t="shared" si="18"/>
        <v>0</v>
      </c>
      <c r="M80" s="77">
        <f t="shared" si="18"/>
        <v>0</v>
      </c>
      <c r="N80" s="77">
        <f t="shared" si="18"/>
        <v>0</v>
      </c>
      <c r="O80" s="77">
        <f t="shared" si="18"/>
        <v>0</v>
      </c>
      <c r="P80" s="77">
        <f t="shared" si="18"/>
        <v>0</v>
      </c>
      <c r="Q80" s="77">
        <f t="shared" si="18"/>
        <v>0</v>
      </c>
      <c r="R80" s="77">
        <f t="shared" si="18"/>
        <v>0</v>
      </c>
      <c r="S80" s="77">
        <f t="shared" si="18"/>
        <v>0</v>
      </c>
      <c r="T80" s="77">
        <f t="shared" si="18"/>
        <v>0</v>
      </c>
      <c r="U80" s="77">
        <f t="shared" si="18"/>
        <v>0</v>
      </c>
      <c r="V80" s="77">
        <f t="shared" si="18"/>
        <v>0</v>
      </c>
      <c r="W80" s="77">
        <f t="shared" si="18"/>
        <v>0</v>
      </c>
      <c r="X80" s="77">
        <f t="shared" si="18"/>
        <v>0</v>
      </c>
      <c r="Y80" s="77">
        <f t="shared" si="18"/>
        <v>0</v>
      </c>
      <c r="Z80" s="77">
        <f t="shared" si="18"/>
        <v>0</v>
      </c>
      <c r="AA80" s="77">
        <f t="shared" si="18"/>
        <v>0</v>
      </c>
      <c r="AB80" s="77">
        <f t="shared" si="18"/>
        <v>0</v>
      </c>
      <c r="AC80" s="77">
        <f t="shared" si="18"/>
        <v>0</v>
      </c>
      <c r="AD80" s="77">
        <f t="shared" si="18"/>
        <v>0</v>
      </c>
      <c r="AE80" s="77">
        <f t="shared" si="18"/>
        <v>0</v>
      </c>
      <c r="AF80" s="77">
        <f t="shared" si="18"/>
        <v>0</v>
      </c>
      <c r="AG80" s="105"/>
      <c r="AH80" s="21">
        <f t="shared" si="13"/>
        <v>0</v>
      </c>
      <c r="AI80" s="20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104" t="s">
        <v>134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103"/>
      <c r="T81" s="103"/>
      <c r="U81" s="103"/>
      <c r="V81" s="103"/>
      <c r="W81" s="103"/>
      <c r="X81" s="103"/>
      <c r="Y81" s="103"/>
      <c r="Z81" s="103"/>
      <c r="AA81" s="103"/>
      <c r="AB81" s="70"/>
      <c r="AC81" s="70"/>
      <c r="AD81" s="70"/>
      <c r="AE81" s="70"/>
      <c r="AF81" s="70"/>
      <c r="AG81" s="102"/>
      <c r="AH81" s="21">
        <f t="shared" si="13"/>
        <v>0</v>
      </c>
      <c r="AI81" s="20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101" t="s">
        <v>133</v>
      </c>
      <c r="B82" s="99">
        <f>SUM(B76:B81)</f>
        <v>0</v>
      </c>
      <c r="C82" s="99">
        <f t="shared" ref="C82:AG82" si="19">SUM(C76:C81)</f>
        <v>0</v>
      </c>
      <c r="D82" s="99">
        <f t="shared" si="19"/>
        <v>0</v>
      </c>
      <c r="E82" s="99">
        <f t="shared" si="19"/>
        <v>0</v>
      </c>
      <c r="F82" s="99">
        <f t="shared" si="19"/>
        <v>0</v>
      </c>
      <c r="G82" s="99">
        <f t="shared" si="19"/>
        <v>0</v>
      </c>
      <c r="H82" s="99">
        <f t="shared" si="19"/>
        <v>0</v>
      </c>
      <c r="I82" s="99">
        <f t="shared" si="19"/>
        <v>0</v>
      </c>
      <c r="J82" s="99">
        <f t="shared" si="19"/>
        <v>0</v>
      </c>
      <c r="K82" s="99">
        <f t="shared" si="19"/>
        <v>0</v>
      </c>
      <c r="L82" s="99">
        <f t="shared" si="19"/>
        <v>0</v>
      </c>
      <c r="M82" s="99">
        <f t="shared" si="19"/>
        <v>0</v>
      </c>
      <c r="N82" s="99">
        <f t="shared" si="19"/>
        <v>0</v>
      </c>
      <c r="O82" s="99">
        <f t="shared" si="19"/>
        <v>0</v>
      </c>
      <c r="P82" s="99">
        <f t="shared" si="19"/>
        <v>0</v>
      </c>
      <c r="Q82" s="99">
        <f t="shared" si="19"/>
        <v>0</v>
      </c>
      <c r="R82" s="99">
        <f t="shared" si="19"/>
        <v>0</v>
      </c>
      <c r="S82" s="99">
        <f t="shared" si="19"/>
        <v>0</v>
      </c>
      <c r="T82" s="99">
        <f t="shared" si="19"/>
        <v>0</v>
      </c>
      <c r="U82" s="99">
        <f t="shared" si="19"/>
        <v>0</v>
      </c>
      <c r="V82" s="99">
        <f t="shared" si="19"/>
        <v>0</v>
      </c>
      <c r="W82" s="99">
        <f t="shared" si="19"/>
        <v>0</v>
      </c>
      <c r="X82" s="99">
        <f t="shared" si="19"/>
        <v>0</v>
      </c>
      <c r="Y82" s="99">
        <f t="shared" si="19"/>
        <v>0</v>
      </c>
      <c r="Z82" s="99">
        <f t="shared" si="19"/>
        <v>0</v>
      </c>
      <c r="AA82" s="99">
        <f t="shared" si="19"/>
        <v>0</v>
      </c>
      <c r="AB82" s="99">
        <f t="shared" si="19"/>
        <v>0</v>
      </c>
      <c r="AC82" s="99">
        <f t="shared" si="19"/>
        <v>0</v>
      </c>
      <c r="AD82" s="99">
        <f t="shared" si="19"/>
        <v>0</v>
      </c>
      <c r="AE82" s="99">
        <f t="shared" si="19"/>
        <v>0</v>
      </c>
      <c r="AF82" s="99">
        <f t="shared" si="19"/>
        <v>0</v>
      </c>
      <c r="AG82" s="98">
        <f t="shared" si="19"/>
        <v>0</v>
      </c>
      <c r="AH82" s="21">
        <f t="shared" si="13"/>
        <v>0</v>
      </c>
      <c r="AI82" s="20">
        <f t="shared" si="14"/>
        <v>0</v>
      </c>
      <c r="AK82" s="42"/>
    </row>
    <row r="83" spans="1:88" s="1" customFormat="1" ht="15.75" thickBot="1" x14ac:dyDescent="0.3">
      <c r="A83" s="100" t="s">
        <v>132</v>
      </c>
      <c r="B83" s="99">
        <f>SUM(B70:B82)</f>
        <v>7.08</v>
      </c>
      <c r="C83" s="99">
        <f t="shared" ref="C83:AG83" si="20">SUM(C70:C82)</f>
        <v>7.08</v>
      </c>
      <c r="D83" s="99">
        <f t="shared" si="20"/>
        <v>7.08</v>
      </c>
      <c r="E83" s="99">
        <f t="shared" si="20"/>
        <v>7.08</v>
      </c>
      <c r="F83" s="99">
        <f t="shared" si="20"/>
        <v>7.08</v>
      </c>
      <c r="G83" s="99">
        <f t="shared" si="20"/>
        <v>7.08</v>
      </c>
      <c r="H83" s="99">
        <f t="shared" si="20"/>
        <v>7.08</v>
      </c>
      <c r="I83" s="99">
        <f t="shared" si="20"/>
        <v>7.08</v>
      </c>
      <c r="J83" s="99">
        <f t="shared" si="20"/>
        <v>7.08</v>
      </c>
      <c r="K83" s="99">
        <f t="shared" si="20"/>
        <v>7.08</v>
      </c>
      <c r="L83" s="99">
        <f t="shared" si="20"/>
        <v>7.08</v>
      </c>
      <c r="M83" s="99">
        <f t="shared" si="20"/>
        <v>7.08</v>
      </c>
      <c r="N83" s="99">
        <f t="shared" si="20"/>
        <v>7.08</v>
      </c>
      <c r="O83" s="99">
        <f t="shared" si="20"/>
        <v>7.08</v>
      </c>
      <c r="P83" s="99">
        <f t="shared" si="20"/>
        <v>7.08</v>
      </c>
      <c r="Q83" s="99">
        <f t="shared" si="20"/>
        <v>7.08</v>
      </c>
      <c r="R83" s="99">
        <f t="shared" si="20"/>
        <v>7.08</v>
      </c>
      <c r="S83" s="99">
        <f t="shared" si="20"/>
        <v>7.08</v>
      </c>
      <c r="T83" s="99">
        <f t="shared" si="20"/>
        <v>7.08</v>
      </c>
      <c r="U83" s="99">
        <f t="shared" si="20"/>
        <v>7.08</v>
      </c>
      <c r="V83" s="99">
        <f t="shared" si="20"/>
        <v>7.08</v>
      </c>
      <c r="W83" s="99">
        <f t="shared" si="20"/>
        <v>7.08</v>
      </c>
      <c r="X83" s="99">
        <f t="shared" si="20"/>
        <v>7.08</v>
      </c>
      <c r="Y83" s="99">
        <f t="shared" si="20"/>
        <v>7.08</v>
      </c>
      <c r="Z83" s="99">
        <f t="shared" si="20"/>
        <v>7.08</v>
      </c>
      <c r="AA83" s="99">
        <f t="shared" si="20"/>
        <v>7.08</v>
      </c>
      <c r="AB83" s="99">
        <f t="shared" si="20"/>
        <v>7.08</v>
      </c>
      <c r="AC83" s="99">
        <f t="shared" si="20"/>
        <v>7.08</v>
      </c>
      <c r="AD83" s="99">
        <f t="shared" si="20"/>
        <v>7.08</v>
      </c>
      <c r="AE83" s="99">
        <f t="shared" si="20"/>
        <v>7.08</v>
      </c>
      <c r="AF83" s="99">
        <f t="shared" si="20"/>
        <v>7.08</v>
      </c>
      <c r="AG83" s="98">
        <f t="shared" si="20"/>
        <v>4360.08</v>
      </c>
      <c r="AH83" s="21">
        <f t="shared" si="13"/>
        <v>7.08</v>
      </c>
      <c r="AI83" s="20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34" t="s">
        <v>131</v>
      </c>
      <c r="B84" s="97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5"/>
      <c r="AH84" s="21">
        <f t="shared" si="13"/>
        <v>0</v>
      </c>
      <c r="AI84" s="20">
        <f t="shared" si="1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28" t="s">
        <v>130</v>
      </c>
      <c r="B85" s="90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94"/>
      <c r="V85" s="94"/>
      <c r="W85" s="94"/>
      <c r="X85" s="94"/>
      <c r="Y85" s="94"/>
      <c r="Z85" s="94"/>
      <c r="AA85" s="94"/>
      <c r="AB85" s="73"/>
      <c r="AC85" s="73"/>
      <c r="AD85" s="73"/>
      <c r="AE85" s="73"/>
      <c r="AF85" s="73"/>
      <c r="AG85" s="89"/>
      <c r="AH85" s="21">
        <f t="shared" si="13"/>
        <v>0</v>
      </c>
      <c r="AI85" s="20">
        <f t="shared" si="1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28" t="s">
        <v>129</v>
      </c>
      <c r="B86" s="90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94"/>
      <c r="V86" s="94"/>
      <c r="W86" s="94"/>
      <c r="X86" s="94"/>
      <c r="Y86" s="94"/>
      <c r="Z86" s="94"/>
      <c r="AA86" s="94"/>
      <c r="AB86" s="73"/>
      <c r="AC86" s="73"/>
      <c r="AD86" s="73"/>
      <c r="AE86" s="73"/>
      <c r="AF86" s="73"/>
      <c r="AG86" s="89"/>
      <c r="AH86" s="21">
        <f t="shared" si="13"/>
        <v>0</v>
      </c>
      <c r="AI86" s="20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28" t="s">
        <v>128</v>
      </c>
      <c r="B87" s="90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94"/>
      <c r="Y87" s="94"/>
      <c r="Z87" s="94"/>
      <c r="AA87" s="94"/>
      <c r="AB87" s="73"/>
      <c r="AC87" s="73"/>
      <c r="AD87" s="73"/>
      <c r="AE87" s="73"/>
      <c r="AF87" s="73"/>
      <c r="AG87" s="89"/>
      <c r="AH87" s="21">
        <f t="shared" si="13"/>
        <v>0</v>
      </c>
      <c r="AI87" s="20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3" t="s">
        <v>127</v>
      </c>
      <c r="B88" s="90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94"/>
      <c r="Y88" s="94"/>
      <c r="Z88" s="94"/>
      <c r="AA88" s="94"/>
      <c r="AB88" s="73"/>
      <c r="AC88" s="73"/>
      <c r="AD88" s="73"/>
      <c r="AE88" s="73"/>
      <c r="AF88" s="73"/>
      <c r="AG88" s="89"/>
      <c r="AH88" s="21">
        <f t="shared" si="13"/>
        <v>0</v>
      </c>
      <c r="AI88" s="20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3" t="s">
        <v>126</v>
      </c>
      <c r="B89" s="92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94"/>
      <c r="Y89" s="94"/>
      <c r="Z89" s="94"/>
      <c r="AA89" s="94"/>
      <c r="AB89" s="66"/>
      <c r="AC89" s="66"/>
      <c r="AD89" s="66"/>
      <c r="AE89" s="66"/>
      <c r="AF89" s="66"/>
      <c r="AG89" s="91"/>
      <c r="AH89" s="21">
        <f t="shared" si="13"/>
        <v>0</v>
      </c>
      <c r="AI89" s="20">
        <f t="shared" si="14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28" t="s">
        <v>125</v>
      </c>
      <c r="B90" s="90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94"/>
      <c r="Y90" s="94"/>
      <c r="Z90" s="94"/>
      <c r="AA90" s="94"/>
      <c r="AB90" s="73"/>
      <c r="AC90" s="73"/>
      <c r="AD90" s="73"/>
      <c r="AE90" s="73"/>
      <c r="AF90" s="73"/>
      <c r="AG90" s="89"/>
      <c r="AH90" s="21">
        <f t="shared" si="13"/>
        <v>0</v>
      </c>
      <c r="AI90" s="20">
        <f t="shared" si="14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28" t="s">
        <v>124</v>
      </c>
      <c r="B91" s="88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6"/>
      <c r="AH91" s="21">
        <f t="shared" si="13"/>
        <v>0</v>
      </c>
      <c r="AI91" s="20">
        <f t="shared" si="14"/>
        <v>0</v>
      </c>
    </row>
    <row r="92" spans="1:88" ht="15.75" thickBot="1" x14ac:dyDescent="0.3">
      <c r="A92" s="85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35"/>
      <c r="AH92" s="21"/>
      <c r="AI92" s="20"/>
    </row>
    <row r="93" spans="1:88" ht="15.75" thickBot="1" x14ac:dyDescent="0.3">
      <c r="A93" s="83" t="s">
        <v>123</v>
      </c>
      <c r="B93" s="80">
        <f t="shared" ref="B93:AF93" si="21">SUM(B15,B18,B21:B22,B42,B44:B45,B47,B49,B94:B97,B103,B109,B115,B124,B126,B138,B145,B148:B149,B156,B158,B160,B164:B166,B168:B170,B175,B181:B182,B184:B186,B194,B199)</f>
        <v>34.840000000000003</v>
      </c>
      <c r="C93" s="82">
        <f t="shared" si="21"/>
        <v>34.840000000000003</v>
      </c>
      <c r="D93" s="82">
        <f t="shared" si="21"/>
        <v>34.840000000000003</v>
      </c>
      <c r="E93" s="82">
        <f t="shared" si="21"/>
        <v>34.840000000000003</v>
      </c>
      <c r="F93" s="82">
        <f t="shared" si="21"/>
        <v>34.840000000000003</v>
      </c>
      <c r="G93" s="80">
        <f t="shared" si="21"/>
        <v>34.840000000000003</v>
      </c>
      <c r="H93" s="80">
        <f t="shared" si="21"/>
        <v>34.840000000000003</v>
      </c>
      <c r="I93" s="80">
        <f t="shared" si="21"/>
        <v>34.840000000000003</v>
      </c>
      <c r="J93" s="80">
        <f t="shared" si="21"/>
        <v>34.840000000000003</v>
      </c>
      <c r="K93" s="80">
        <f t="shared" si="21"/>
        <v>34.840000000000003</v>
      </c>
      <c r="L93" s="80">
        <f t="shared" si="21"/>
        <v>34.840000000000003</v>
      </c>
      <c r="M93" s="80">
        <f t="shared" si="21"/>
        <v>34.840000000000003</v>
      </c>
      <c r="N93" s="80">
        <f t="shared" si="21"/>
        <v>34.840000000000003</v>
      </c>
      <c r="O93" s="80">
        <f t="shared" si="21"/>
        <v>34.840000000000003</v>
      </c>
      <c r="P93" s="80">
        <f t="shared" si="21"/>
        <v>34.840000000000003</v>
      </c>
      <c r="Q93" s="80">
        <f t="shared" si="21"/>
        <v>34.840000000000003</v>
      </c>
      <c r="R93" s="80">
        <f t="shared" si="21"/>
        <v>34.840000000000003</v>
      </c>
      <c r="S93" s="80">
        <f t="shared" si="21"/>
        <v>34.840000000000003</v>
      </c>
      <c r="T93" s="80">
        <f t="shared" si="21"/>
        <v>34.840000000000003</v>
      </c>
      <c r="U93" s="80">
        <f t="shared" si="21"/>
        <v>34.840000000000003</v>
      </c>
      <c r="V93" s="80">
        <f t="shared" si="21"/>
        <v>34.840000000000003</v>
      </c>
      <c r="W93" s="80">
        <f t="shared" si="21"/>
        <v>34.840000000000003</v>
      </c>
      <c r="X93" s="80">
        <f t="shared" si="21"/>
        <v>34.840000000000003</v>
      </c>
      <c r="Y93" s="80">
        <f t="shared" si="21"/>
        <v>34.840000000000003</v>
      </c>
      <c r="Z93" s="80">
        <f t="shared" si="21"/>
        <v>34.840000000000003</v>
      </c>
      <c r="AA93" s="80">
        <f t="shared" si="21"/>
        <v>34.840000000000003</v>
      </c>
      <c r="AB93" s="80">
        <f t="shared" si="21"/>
        <v>34.840000000000003</v>
      </c>
      <c r="AC93" s="80">
        <f t="shared" si="21"/>
        <v>34.840000000000003</v>
      </c>
      <c r="AD93" s="80">
        <f t="shared" si="21"/>
        <v>34.840000000000003</v>
      </c>
      <c r="AE93" s="80">
        <f t="shared" si="21"/>
        <v>34.840000000000003</v>
      </c>
      <c r="AF93" s="80">
        <f t="shared" si="21"/>
        <v>34.840000000000003</v>
      </c>
      <c r="AG93" s="79"/>
      <c r="AH93" s="21">
        <f>MAX(C93:AF93)</f>
        <v>34.840000000000003</v>
      </c>
      <c r="AI93" s="20">
        <f>MIN(C93:AF93)</f>
        <v>34.840000000000003</v>
      </c>
    </row>
    <row r="94" spans="1:88" x14ac:dyDescent="0.25">
      <c r="A94" s="48" t="s">
        <v>122</v>
      </c>
      <c r="B94" s="78"/>
      <c r="C94" s="77"/>
      <c r="D94" s="77"/>
      <c r="E94" s="77"/>
      <c r="F94" s="77"/>
      <c r="G94" s="76"/>
      <c r="H94" s="76"/>
      <c r="I94" s="76"/>
      <c r="J94" s="76"/>
      <c r="K94" s="76"/>
      <c r="L94" s="76"/>
      <c r="M94" s="75"/>
      <c r="N94" s="76"/>
      <c r="O94" s="76"/>
      <c r="P94" s="76"/>
      <c r="Q94" s="76"/>
      <c r="R94" s="76"/>
      <c r="S94" s="76"/>
      <c r="T94" s="76"/>
      <c r="U94" s="75"/>
      <c r="V94" s="75"/>
      <c r="W94" s="75"/>
      <c r="X94" s="76"/>
      <c r="Y94" s="76"/>
      <c r="Z94" s="76"/>
      <c r="AA94" s="76"/>
      <c r="AB94" s="75"/>
      <c r="AC94" s="75"/>
      <c r="AD94" s="75"/>
      <c r="AE94" s="75"/>
      <c r="AF94" s="75"/>
      <c r="AG94" s="3">
        <v>75</v>
      </c>
      <c r="AH94" s="21">
        <f>IF(ABS(MAX(C94:AF94))&gt;ABS(MIN(C94:AF94)),MAX(C94:AF94),MIN(C94:AF94))</f>
        <v>0</v>
      </c>
      <c r="AI94" s="64" t="e">
        <f>INDEX($C$9:$AF$9,1,MATCH(AH94,C94:AF94,0))</f>
        <v>#N/A</v>
      </c>
    </row>
    <row r="95" spans="1:88" x14ac:dyDescent="0.25">
      <c r="A95" s="45" t="s">
        <v>121</v>
      </c>
      <c r="B95" s="74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73"/>
      <c r="AC95" s="73"/>
      <c r="AD95" s="73"/>
      <c r="AE95" s="73"/>
      <c r="AF95" s="73"/>
      <c r="AG95" s="3">
        <v>240</v>
      </c>
      <c r="AH95" s="21">
        <f>IF(ABS(MAX(C95:AF95))&gt;ABS(MIN(C95:AF95)),MAX(C95:AF95),MIN(C95:AF95))</f>
        <v>0</v>
      </c>
      <c r="AI95" s="64" t="e">
        <f>INDEX($C$9:$AF$9,1,MATCH(AH95,C95:AF95,0))</f>
        <v>#N/A</v>
      </c>
    </row>
    <row r="96" spans="1:88" x14ac:dyDescent="0.25">
      <c r="A96" s="45" t="s">
        <v>120</v>
      </c>
      <c r="B96" s="74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73"/>
      <c r="AC96" s="73"/>
      <c r="AD96" s="73"/>
      <c r="AE96" s="73"/>
      <c r="AF96" s="73"/>
      <c r="AG96" s="3">
        <v>60</v>
      </c>
      <c r="AH96" s="21">
        <f>IF(ABS(MAX(C96:AF96))&gt;ABS(MIN(C96:AF96)),MAX(C96:AF96),MIN(C96:AF96))</f>
        <v>0</v>
      </c>
      <c r="AI96" s="64" t="e">
        <f>INDEX($C$9:$AF$9,1,MATCH(AH96,C96:AF96,0))</f>
        <v>#N/A</v>
      </c>
    </row>
    <row r="97" spans="1:37" x14ac:dyDescent="0.25">
      <c r="A97" s="41" t="s">
        <v>119</v>
      </c>
      <c r="B97" s="71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69"/>
      <c r="AC97" s="69"/>
      <c r="AD97" s="69"/>
      <c r="AE97" s="69"/>
      <c r="AF97" s="69"/>
      <c r="AG97" s="72">
        <v>120</v>
      </c>
      <c r="AH97" s="21">
        <f>IF(ABS(MAX(C97:AF97))&gt;ABS(MIN(C97:AF97)),MAX(C97:AF97),MIN(C97:AF97))</f>
        <v>0</v>
      </c>
      <c r="AI97" s="64" t="e">
        <f>INDEX($C$9:$AF$9,1,MATCH(AH97,C97:AF97,0))</f>
        <v>#N/A</v>
      </c>
    </row>
    <row r="98" spans="1:37" x14ac:dyDescent="0.25">
      <c r="A98" s="41" t="s">
        <v>118</v>
      </c>
      <c r="B98" s="71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69"/>
      <c r="AC98" s="69"/>
      <c r="AD98" s="69"/>
      <c r="AE98" s="69"/>
      <c r="AF98" s="69"/>
      <c r="AG98" s="72"/>
      <c r="AH98" s="21">
        <f>IF(ABS(MAX(C98:AF98))&gt;ABS(MIN(C98:AF98)),MAX(C98:AF98),MIN(C98:AF98))</f>
        <v>0</v>
      </c>
      <c r="AI98" s="64" t="e">
        <f>INDEX($C$9:$AF$9,1,MATCH(AH98,C98:AF98,0))</f>
        <v>#N/A</v>
      </c>
    </row>
    <row r="99" spans="1:37" x14ac:dyDescent="0.25">
      <c r="A99" s="41" t="s">
        <v>117</v>
      </c>
      <c r="B99" s="71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69"/>
      <c r="AC99" s="69"/>
      <c r="AD99" s="69"/>
      <c r="AE99" s="69"/>
      <c r="AF99" s="69"/>
      <c r="AG99" s="65"/>
      <c r="AH99" s="21"/>
      <c r="AI99" s="64"/>
    </row>
    <row r="100" spans="1:37" ht="15.75" thickBot="1" x14ac:dyDescent="0.3">
      <c r="A100" s="68" t="s">
        <v>116</v>
      </c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6"/>
      <c r="AC100" s="66"/>
      <c r="AD100" s="66"/>
      <c r="AE100" s="66"/>
      <c r="AF100" s="66"/>
      <c r="AG100" s="65"/>
      <c r="AH100" s="21"/>
      <c r="AI100" s="64"/>
    </row>
    <row r="101" spans="1:37" ht="15.75" thickBot="1" x14ac:dyDescent="0.3">
      <c r="A101" s="63" t="s">
        <v>115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1"/>
      <c r="AH101" s="60"/>
      <c r="AI101" s="20"/>
      <c r="AK101" s="42"/>
    </row>
    <row r="102" spans="1:37" x14ac:dyDescent="0.25">
      <c r="A102" s="59" t="s">
        <v>114</v>
      </c>
      <c r="B102" s="58">
        <f t="shared" ref="B102:B107" si="22">AF102</f>
        <v>9.9</v>
      </c>
      <c r="C102" s="54">
        <v>9.9</v>
      </c>
      <c r="D102" s="58">
        <f t="shared" ref="D102:S107" si="23">C102</f>
        <v>9.9</v>
      </c>
      <c r="E102" s="58">
        <f t="shared" si="23"/>
        <v>9.9</v>
      </c>
      <c r="F102" s="58">
        <f t="shared" si="23"/>
        <v>9.9</v>
      </c>
      <c r="G102" s="58">
        <f t="shared" si="23"/>
        <v>9.9</v>
      </c>
      <c r="H102" s="58">
        <f t="shared" si="23"/>
        <v>9.9</v>
      </c>
      <c r="I102" s="58">
        <f t="shared" si="23"/>
        <v>9.9</v>
      </c>
      <c r="J102" s="58">
        <f t="shared" si="23"/>
        <v>9.9</v>
      </c>
      <c r="K102" s="58">
        <f t="shared" si="23"/>
        <v>9.9</v>
      </c>
      <c r="L102" s="58">
        <f t="shared" si="23"/>
        <v>9.9</v>
      </c>
      <c r="M102" s="58">
        <f t="shared" si="23"/>
        <v>9.9</v>
      </c>
      <c r="N102" s="58">
        <f t="shared" si="23"/>
        <v>9.9</v>
      </c>
      <c r="O102" s="58">
        <f t="shared" si="23"/>
        <v>9.9</v>
      </c>
      <c r="P102" s="58">
        <f t="shared" si="23"/>
        <v>9.9</v>
      </c>
      <c r="Q102" s="58">
        <f t="shared" si="23"/>
        <v>9.9</v>
      </c>
      <c r="R102" s="58">
        <f t="shared" si="23"/>
        <v>9.9</v>
      </c>
      <c r="S102" s="58">
        <f t="shared" si="23"/>
        <v>9.9</v>
      </c>
      <c r="T102" s="58">
        <f t="shared" ref="T102:AF107" si="24">S102</f>
        <v>9.9</v>
      </c>
      <c r="U102" s="58">
        <f t="shared" si="24"/>
        <v>9.9</v>
      </c>
      <c r="V102" s="58">
        <f t="shared" si="24"/>
        <v>9.9</v>
      </c>
      <c r="W102" s="58">
        <f t="shared" si="24"/>
        <v>9.9</v>
      </c>
      <c r="X102" s="58">
        <f t="shared" si="24"/>
        <v>9.9</v>
      </c>
      <c r="Y102" s="58">
        <f t="shared" si="24"/>
        <v>9.9</v>
      </c>
      <c r="Z102" s="58">
        <f t="shared" si="24"/>
        <v>9.9</v>
      </c>
      <c r="AA102" s="58">
        <f t="shared" si="24"/>
        <v>9.9</v>
      </c>
      <c r="AB102" s="58">
        <f t="shared" si="24"/>
        <v>9.9</v>
      </c>
      <c r="AC102" s="58">
        <f t="shared" si="24"/>
        <v>9.9</v>
      </c>
      <c r="AD102" s="58">
        <f t="shared" si="24"/>
        <v>9.9</v>
      </c>
      <c r="AE102" s="58">
        <f t="shared" si="24"/>
        <v>9.9</v>
      </c>
      <c r="AF102" s="58">
        <f t="shared" si="24"/>
        <v>9.9</v>
      </c>
      <c r="AG102" s="57">
        <v>9.94</v>
      </c>
      <c r="AH102" s="21"/>
      <c r="AI102" s="20"/>
      <c r="AK102" s="42"/>
    </row>
    <row r="103" spans="1:37" x14ac:dyDescent="0.25">
      <c r="A103" s="45" t="s">
        <v>113</v>
      </c>
      <c r="B103" s="44">
        <f t="shared" si="22"/>
        <v>9.6</v>
      </c>
      <c r="C103" s="55">
        <v>9.6</v>
      </c>
      <c r="D103" s="44">
        <f t="shared" si="23"/>
        <v>9.6</v>
      </c>
      <c r="E103" s="44">
        <f t="shared" si="23"/>
        <v>9.6</v>
      </c>
      <c r="F103" s="44">
        <f t="shared" si="23"/>
        <v>9.6</v>
      </c>
      <c r="G103" s="44">
        <f t="shared" si="23"/>
        <v>9.6</v>
      </c>
      <c r="H103" s="44">
        <f t="shared" si="23"/>
        <v>9.6</v>
      </c>
      <c r="I103" s="44">
        <f t="shared" si="23"/>
        <v>9.6</v>
      </c>
      <c r="J103" s="44">
        <f t="shared" si="23"/>
        <v>9.6</v>
      </c>
      <c r="K103" s="44">
        <f t="shared" si="23"/>
        <v>9.6</v>
      </c>
      <c r="L103" s="44">
        <f t="shared" si="23"/>
        <v>9.6</v>
      </c>
      <c r="M103" s="44">
        <f t="shared" si="23"/>
        <v>9.6</v>
      </c>
      <c r="N103" s="44">
        <f t="shared" si="23"/>
        <v>9.6</v>
      </c>
      <c r="O103" s="44">
        <f t="shared" si="23"/>
        <v>9.6</v>
      </c>
      <c r="P103" s="44">
        <f t="shared" si="23"/>
        <v>9.6</v>
      </c>
      <c r="Q103" s="44">
        <f t="shared" si="23"/>
        <v>9.6</v>
      </c>
      <c r="R103" s="44">
        <f t="shared" si="23"/>
        <v>9.6</v>
      </c>
      <c r="S103" s="44">
        <f t="shared" si="23"/>
        <v>9.6</v>
      </c>
      <c r="T103" s="44">
        <f t="shared" si="24"/>
        <v>9.6</v>
      </c>
      <c r="U103" s="44">
        <f t="shared" si="24"/>
        <v>9.6</v>
      </c>
      <c r="V103" s="44">
        <f t="shared" si="24"/>
        <v>9.6</v>
      </c>
      <c r="W103" s="44">
        <f t="shared" si="24"/>
        <v>9.6</v>
      </c>
      <c r="X103" s="44">
        <f t="shared" si="24"/>
        <v>9.6</v>
      </c>
      <c r="Y103" s="44">
        <f t="shared" si="24"/>
        <v>9.6</v>
      </c>
      <c r="Z103" s="44">
        <f t="shared" si="24"/>
        <v>9.6</v>
      </c>
      <c r="AA103" s="44">
        <f t="shared" si="24"/>
        <v>9.6</v>
      </c>
      <c r="AB103" s="44">
        <f t="shared" si="24"/>
        <v>9.6</v>
      </c>
      <c r="AC103" s="44">
        <f t="shared" si="24"/>
        <v>9.6</v>
      </c>
      <c r="AD103" s="44">
        <f t="shared" si="24"/>
        <v>9.6</v>
      </c>
      <c r="AE103" s="44">
        <f t="shared" si="24"/>
        <v>9.6</v>
      </c>
      <c r="AF103" s="44">
        <f t="shared" si="24"/>
        <v>9.6</v>
      </c>
      <c r="AG103" s="56">
        <v>9.9</v>
      </c>
      <c r="AH103" s="21"/>
      <c r="AI103" s="20"/>
      <c r="AK103" s="42"/>
    </row>
    <row r="104" spans="1:37" x14ac:dyDescent="0.25">
      <c r="A104" s="41" t="s">
        <v>112</v>
      </c>
      <c r="B104" s="44">
        <f t="shared" si="22"/>
        <v>9.98</v>
      </c>
      <c r="C104" s="55">
        <v>9.98</v>
      </c>
      <c r="D104" s="44">
        <f t="shared" si="23"/>
        <v>9.98</v>
      </c>
      <c r="E104" s="44">
        <f t="shared" si="23"/>
        <v>9.98</v>
      </c>
      <c r="F104" s="44">
        <f t="shared" si="23"/>
        <v>9.98</v>
      </c>
      <c r="G104" s="44">
        <f t="shared" si="23"/>
        <v>9.98</v>
      </c>
      <c r="H104" s="44">
        <f t="shared" si="23"/>
        <v>9.98</v>
      </c>
      <c r="I104" s="44">
        <f t="shared" si="23"/>
        <v>9.98</v>
      </c>
      <c r="J104" s="44">
        <f t="shared" si="23"/>
        <v>9.98</v>
      </c>
      <c r="K104" s="44">
        <f t="shared" si="23"/>
        <v>9.98</v>
      </c>
      <c r="L104" s="44">
        <f t="shared" si="23"/>
        <v>9.98</v>
      </c>
      <c r="M104" s="44">
        <f t="shared" si="23"/>
        <v>9.98</v>
      </c>
      <c r="N104" s="44">
        <f t="shared" si="23"/>
        <v>9.98</v>
      </c>
      <c r="O104" s="44">
        <f t="shared" si="23"/>
        <v>9.98</v>
      </c>
      <c r="P104" s="44">
        <f t="shared" si="23"/>
        <v>9.98</v>
      </c>
      <c r="Q104" s="44">
        <f t="shared" si="23"/>
        <v>9.98</v>
      </c>
      <c r="R104" s="44">
        <f t="shared" si="23"/>
        <v>9.98</v>
      </c>
      <c r="S104" s="44">
        <f t="shared" si="23"/>
        <v>9.98</v>
      </c>
      <c r="T104" s="44">
        <f t="shared" si="24"/>
        <v>9.98</v>
      </c>
      <c r="U104" s="44">
        <f t="shared" si="24"/>
        <v>9.98</v>
      </c>
      <c r="V104" s="44">
        <f t="shared" si="24"/>
        <v>9.98</v>
      </c>
      <c r="W104" s="44">
        <f t="shared" si="24"/>
        <v>9.98</v>
      </c>
      <c r="X104" s="44">
        <f t="shared" si="24"/>
        <v>9.98</v>
      </c>
      <c r="Y104" s="44">
        <f t="shared" si="24"/>
        <v>9.98</v>
      </c>
      <c r="Z104" s="44">
        <f t="shared" si="24"/>
        <v>9.98</v>
      </c>
      <c r="AA104" s="44">
        <f t="shared" si="24"/>
        <v>9.98</v>
      </c>
      <c r="AB104" s="44">
        <f t="shared" si="24"/>
        <v>9.98</v>
      </c>
      <c r="AC104" s="44">
        <f t="shared" si="24"/>
        <v>9.98</v>
      </c>
      <c r="AD104" s="44">
        <f t="shared" si="24"/>
        <v>9.98</v>
      </c>
      <c r="AE104" s="44">
        <f t="shared" si="24"/>
        <v>9.98</v>
      </c>
      <c r="AF104" s="44">
        <f t="shared" si="24"/>
        <v>9.98</v>
      </c>
      <c r="AG104" s="53">
        <v>9.6579999999999995</v>
      </c>
      <c r="AH104" s="21"/>
      <c r="AI104" s="20"/>
      <c r="AK104" s="42"/>
    </row>
    <row r="105" spans="1:37" x14ac:dyDescent="0.25">
      <c r="A105" s="41" t="s">
        <v>111</v>
      </c>
      <c r="B105" s="44">
        <f t="shared" si="22"/>
        <v>9.1</v>
      </c>
      <c r="C105" s="55">
        <v>9.1</v>
      </c>
      <c r="D105" s="44">
        <f t="shared" si="23"/>
        <v>9.1</v>
      </c>
      <c r="E105" s="44">
        <f t="shared" si="23"/>
        <v>9.1</v>
      </c>
      <c r="F105" s="44">
        <f t="shared" si="23"/>
        <v>9.1</v>
      </c>
      <c r="G105" s="44">
        <f t="shared" si="23"/>
        <v>9.1</v>
      </c>
      <c r="H105" s="44">
        <f t="shared" si="23"/>
        <v>9.1</v>
      </c>
      <c r="I105" s="44">
        <f t="shared" si="23"/>
        <v>9.1</v>
      </c>
      <c r="J105" s="44">
        <f t="shared" si="23"/>
        <v>9.1</v>
      </c>
      <c r="K105" s="44">
        <f t="shared" si="23"/>
        <v>9.1</v>
      </c>
      <c r="L105" s="44">
        <f t="shared" si="23"/>
        <v>9.1</v>
      </c>
      <c r="M105" s="44">
        <f t="shared" si="23"/>
        <v>9.1</v>
      </c>
      <c r="N105" s="44">
        <f t="shared" si="23"/>
        <v>9.1</v>
      </c>
      <c r="O105" s="44">
        <f t="shared" si="23"/>
        <v>9.1</v>
      </c>
      <c r="P105" s="44">
        <f t="shared" si="23"/>
        <v>9.1</v>
      </c>
      <c r="Q105" s="44">
        <f t="shared" si="23"/>
        <v>9.1</v>
      </c>
      <c r="R105" s="44">
        <f t="shared" si="23"/>
        <v>9.1</v>
      </c>
      <c r="S105" s="44">
        <f t="shared" si="23"/>
        <v>9.1</v>
      </c>
      <c r="T105" s="44">
        <f t="shared" si="24"/>
        <v>9.1</v>
      </c>
      <c r="U105" s="44">
        <f t="shared" si="24"/>
        <v>9.1</v>
      </c>
      <c r="V105" s="44">
        <f t="shared" si="24"/>
        <v>9.1</v>
      </c>
      <c r="W105" s="44">
        <f t="shared" si="24"/>
        <v>9.1</v>
      </c>
      <c r="X105" s="44">
        <f t="shared" si="24"/>
        <v>9.1</v>
      </c>
      <c r="Y105" s="44">
        <f t="shared" si="24"/>
        <v>9.1</v>
      </c>
      <c r="Z105" s="44">
        <f t="shared" si="24"/>
        <v>9.1</v>
      </c>
      <c r="AA105" s="44">
        <f t="shared" si="24"/>
        <v>9.1</v>
      </c>
      <c r="AB105" s="44">
        <f t="shared" si="24"/>
        <v>9.1</v>
      </c>
      <c r="AC105" s="44">
        <f t="shared" si="24"/>
        <v>9.1</v>
      </c>
      <c r="AD105" s="44">
        <f t="shared" si="24"/>
        <v>9.1</v>
      </c>
      <c r="AE105" s="44">
        <f t="shared" si="24"/>
        <v>9.1</v>
      </c>
      <c r="AF105" s="44">
        <f t="shared" si="24"/>
        <v>9.1</v>
      </c>
      <c r="AG105" s="53">
        <v>9.6</v>
      </c>
      <c r="AH105" s="21"/>
      <c r="AI105" s="20"/>
      <c r="AK105" s="42"/>
    </row>
    <row r="106" spans="1:37" x14ac:dyDescent="0.25">
      <c r="A106" s="41" t="s">
        <v>110</v>
      </c>
      <c r="B106" s="44">
        <f t="shared" si="22"/>
        <v>9.18</v>
      </c>
      <c r="C106" s="55">
        <v>9.18</v>
      </c>
      <c r="D106" s="44">
        <f t="shared" si="23"/>
        <v>9.18</v>
      </c>
      <c r="E106" s="44">
        <f t="shared" si="23"/>
        <v>9.18</v>
      </c>
      <c r="F106" s="44">
        <f t="shared" si="23"/>
        <v>9.18</v>
      </c>
      <c r="G106" s="44">
        <f t="shared" si="23"/>
        <v>9.18</v>
      </c>
      <c r="H106" s="44">
        <f t="shared" si="23"/>
        <v>9.18</v>
      </c>
      <c r="I106" s="44">
        <f t="shared" si="23"/>
        <v>9.18</v>
      </c>
      <c r="J106" s="44">
        <f t="shared" si="23"/>
        <v>9.18</v>
      </c>
      <c r="K106" s="44">
        <f t="shared" si="23"/>
        <v>9.18</v>
      </c>
      <c r="L106" s="44">
        <f t="shared" si="23"/>
        <v>9.18</v>
      </c>
      <c r="M106" s="44">
        <f t="shared" si="23"/>
        <v>9.18</v>
      </c>
      <c r="N106" s="44">
        <f t="shared" si="23"/>
        <v>9.18</v>
      </c>
      <c r="O106" s="44">
        <f t="shared" si="23"/>
        <v>9.18</v>
      </c>
      <c r="P106" s="44">
        <f t="shared" si="23"/>
        <v>9.18</v>
      </c>
      <c r="Q106" s="44">
        <f t="shared" si="23"/>
        <v>9.18</v>
      </c>
      <c r="R106" s="44">
        <f t="shared" si="23"/>
        <v>9.18</v>
      </c>
      <c r="S106" s="44">
        <f t="shared" si="23"/>
        <v>9.18</v>
      </c>
      <c r="T106" s="44">
        <f t="shared" si="24"/>
        <v>9.18</v>
      </c>
      <c r="U106" s="44">
        <f t="shared" si="24"/>
        <v>9.18</v>
      </c>
      <c r="V106" s="44">
        <f t="shared" si="24"/>
        <v>9.18</v>
      </c>
      <c r="W106" s="44">
        <f t="shared" si="24"/>
        <v>9.18</v>
      </c>
      <c r="X106" s="44">
        <f t="shared" si="24"/>
        <v>9.18</v>
      </c>
      <c r="Y106" s="44">
        <f t="shared" si="24"/>
        <v>9.18</v>
      </c>
      <c r="Z106" s="44">
        <f t="shared" si="24"/>
        <v>9.18</v>
      </c>
      <c r="AA106" s="44">
        <f t="shared" si="24"/>
        <v>9.18</v>
      </c>
      <c r="AB106" s="44">
        <f t="shared" si="24"/>
        <v>9.18</v>
      </c>
      <c r="AC106" s="44">
        <f t="shared" si="24"/>
        <v>9.18</v>
      </c>
      <c r="AD106" s="44">
        <f t="shared" si="24"/>
        <v>9.18</v>
      </c>
      <c r="AE106" s="44">
        <f t="shared" si="24"/>
        <v>9.18</v>
      </c>
      <c r="AF106" s="44">
        <f t="shared" si="24"/>
        <v>9.18</v>
      </c>
      <c r="AG106" s="53">
        <v>9.51</v>
      </c>
      <c r="AH106" s="21"/>
      <c r="AI106" s="20"/>
      <c r="AK106" s="42"/>
    </row>
    <row r="107" spans="1:37" x14ac:dyDescent="0.25">
      <c r="A107" s="41" t="s">
        <v>109</v>
      </c>
      <c r="B107" s="44">
        <f t="shared" si="22"/>
        <v>7</v>
      </c>
      <c r="C107" s="55">
        <v>7</v>
      </c>
      <c r="D107" s="44">
        <f t="shared" si="23"/>
        <v>7</v>
      </c>
      <c r="E107" s="44">
        <f t="shared" si="23"/>
        <v>7</v>
      </c>
      <c r="F107" s="44">
        <f t="shared" si="23"/>
        <v>7</v>
      </c>
      <c r="G107" s="44">
        <f t="shared" si="23"/>
        <v>7</v>
      </c>
      <c r="H107" s="44">
        <f t="shared" si="23"/>
        <v>7</v>
      </c>
      <c r="I107" s="44">
        <f t="shared" si="23"/>
        <v>7</v>
      </c>
      <c r="J107" s="44">
        <f t="shared" si="23"/>
        <v>7</v>
      </c>
      <c r="K107" s="44">
        <f t="shared" si="23"/>
        <v>7</v>
      </c>
      <c r="L107" s="44">
        <f t="shared" si="23"/>
        <v>7</v>
      </c>
      <c r="M107" s="44">
        <f t="shared" si="23"/>
        <v>7</v>
      </c>
      <c r="N107" s="44">
        <f t="shared" si="23"/>
        <v>7</v>
      </c>
      <c r="O107" s="44">
        <f t="shared" si="23"/>
        <v>7</v>
      </c>
      <c r="P107" s="44">
        <f t="shared" si="23"/>
        <v>7</v>
      </c>
      <c r="Q107" s="44">
        <f t="shared" si="23"/>
        <v>7</v>
      </c>
      <c r="R107" s="44">
        <f t="shared" si="23"/>
        <v>7</v>
      </c>
      <c r="S107" s="44">
        <f t="shared" si="23"/>
        <v>7</v>
      </c>
      <c r="T107" s="44">
        <f t="shared" si="24"/>
        <v>7</v>
      </c>
      <c r="U107" s="44">
        <f t="shared" si="24"/>
        <v>7</v>
      </c>
      <c r="V107" s="44">
        <f t="shared" si="24"/>
        <v>7</v>
      </c>
      <c r="W107" s="44">
        <f t="shared" si="24"/>
        <v>7</v>
      </c>
      <c r="X107" s="44">
        <f t="shared" si="24"/>
        <v>7</v>
      </c>
      <c r="Y107" s="44">
        <f t="shared" si="24"/>
        <v>7</v>
      </c>
      <c r="Z107" s="44">
        <f t="shared" si="24"/>
        <v>7</v>
      </c>
      <c r="AA107" s="44">
        <f t="shared" si="24"/>
        <v>7</v>
      </c>
      <c r="AB107" s="44">
        <f t="shared" si="24"/>
        <v>7</v>
      </c>
      <c r="AC107" s="44">
        <f t="shared" si="24"/>
        <v>7</v>
      </c>
      <c r="AD107" s="44">
        <f t="shared" si="24"/>
        <v>7</v>
      </c>
      <c r="AE107" s="44">
        <f t="shared" si="24"/>
        <v>7</v>
      </c>
      <c r="AF107" s="44">
        <f t="shared" si="24"/>
        <v>7</v>
      </c>
      <c r="AG107" s="53">
        <v>9.4</v>
      </c>
      <c r="AH107" s="21"/>
      <c r="AI107" s="20"/>
      <c r="AK107" s="42"/>
    </row>
    <row r="108" spans="1:37" x14ac:dyDescent="0.25">
      <c r="A108" s="41" t="s">
        <v>108</v>
      </c>
      <c r="B108" s="44"/>
      <c r="C108" s="55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53">
        <v>8.8000000000000007</v>
      </c>
      <c r="AH108" s="21"/>
      <c r="AI108" s="20"/>
      <c r="AK108" s="42"/>
    </row>
    <row r="109" spans="1:37" x14ac:dyDescent="0.25">
      <c r="A109" s="41" t="s">
        <v>107</v>
      </c>
      <c r="B109" s="44">
        <f>AF109</f>
        <v>2.25</v>
      </c>
      <c r="C109" s="55">
        <v>2.25</v>
      </c>
      <c r="D109" s="44">
        <f t="shared" ref="D109:S110" si="25">C109</f>
        <v>2.25</v>
      </c>
      <c r="E109" s="44">
        <f t="shared" si="25"/>
        <v>2.25</v>
      </c>
      <c r="F109" s="44">
        <f t="shared" si="25"/>
        <v>2.25</v>
      </c>
      <c r="G109" s="44">
        <f t="shared" si="25"/>
        <v>2.25</v>
      </c>
      <c r="H109" s="44">
        <f t="shared" si="25"/>
        <v>2.25</v>
      </c>
      <c r="I109" s="44">
        <f t="shared" si="25"/>
        <v>2.25</v>
      </c>
      <c r="J109" s="44">
        <f t="shared" si="25"/>
        <v>2.25</v>
      </c>
      <c r="K109" s="44">
        <f t="shared" si="25"/>
        <v>2.25</v>
      </c>
      <c r="L109" s="44">
        <f t="shared" si="25"/>
        <v>2.25</v>
      </c>
      <c r="M109" s="44">
        <f t="shared" si="25"/>
        <v>2.25</v>
      </c>
      <c r="N109" s="44">
        <f t="shared" si="25"/>
        <v>2.25</v>
      </c>
      <c r="O109" s="44">
        <f t="shared" si="25"/>
        <v>2.25</v>
      </c>
      <c r="P109" s="44">
        <f t="shared" si="25"/>
        <v>2.25</v>
      </c>
      <c r="Q109" s="44">
        <f t="shared" si="25"/>
        <v>2.25</v>
      </c>
      <c r="R109" s="44">
        <f t="shared" si="25"/>
        <v>2.25</v>
      </c>
      <c r="S109" s="44">
        <f t="shared" si="25"/>
        <v>2.25</v>
      </c>
      <c r="T109" s="44">
        <f t="shared" ref="T109:AF110" si="26">S109</f>
        <v>2.25</v>
      </c>
      <c r="U109" s="44">
        <f t="shared" si="26"/>
        <v>2.25</v>
      </c>
      <c r="V109" s="44">
        <f t="shared" si="26"/>
        <v>2.25</v>
      </c>
      <c r="W109" s="44">
        <f t="shared" si="26"/>
        <v>2.25</v>
      </c>
      <c r="X109" s="44">
        <f t="shared" si="26"/>
        <v>2.25</v>
      </c>
      <c r="Y109" s="44">
        <f t="shared" si="26"/>
        <v>2.25</v>
      </c>
      <c r="Z109" s="44">
        <f t="shared" si="26"/>
        <v>2.25</v>
      </c>
      <c r="AA109" s="44">
        <f t="shared" si="26"/>
        <v>2.25</v>
      </c>
      <c r="AB109" s="44">
        <f t="shared" si="26"/>
        <v>2.25</v>
      </c>
      <c r="AC109" s="44">
        <f t="shared" si="26"/>
        <v>2.25</v>
      </c>
      <c r="AD109" s="44">
        <f t="shared" si="26"/>
        <v>2.25</v>
      </c>
      <c r="AE109" s="44">
        <f t="shared" si="26"/>
        <v>2.25</v>
      </c>
      <c r="AF109" s="44">
        <f t="shared" si="26"/>
        <v>2.25</v>
      </c>
      <c r="AG109" s="53">
        <v>8.5</v>
      </c>
      <c r="AH109" s="21"/>
      <c r="AI109" s="20"/>
      <c r="AK109" s="42"/>
    </row>
    <row r="110" spans="1:37" x14ac:dyDescent="0.25">
      <c r="A110" s="41" t="s">
        <v>106</v>
      </c>
      <c r="B110" s="44">
        <f>AF110</f>
        <v>1.64</v>
      </c>
      <c r="C110" s="55">
        <v>1.64</v>
      </c>
      <c r="D110" s="44">
        <f t="shared" si="25"/>
        <v>1.64</v>
      </c>
      <c r="E110" s="44">
        <f t="shared" si="25"/>
        <v>1.64</v>
      </c>
      <c r="F110" s="44">
        <f t="shared" si="25"/>
        <v>1.64</v>
      </c>
      <c r="G110" s="44">
        <f t="shared" si="25"/>
        <v>1.64</v>
      </c>
      <c r="H110" s="44">
        <f t="shared" si="25"/>
        <v>1.64</v>
      </c>
      <c r="I110" s="44">
        <f t="shared" si="25"/>
        <v>1.64</v>
      </c>
      <c r="J110" s="44">
        <f t="shared" si="25"/>
        <v>1.64</v>
      </c>
      <c r="K110" s="44">
        <f t="shared" si="25"/>
        <v>1.64</v>
      </c>
      <c r="L110" s="44">
        <f t="shared" si="25"/>
        <v>1.64</v>
      </c>
      <c r="M110" s="44">
        <f t="shared" si="25"/>
        <v>1.64</v>
      </c>
      <c r="N110" s="44">
        <f t="shared" si="25"/>
        <v>1.64</v>
      </c>
      <c r="O110" s="44">
        <f t="shared" si="25"/>
        <v>1.64</v>
      </c>
      <c r="P110" s="44">
        <f t="shared" si="25"/>
        <v>1.64</v>
      </c>
      <c r="Q110" s="44">
        <f t="shared" si="25"/>
        <v>1.64</v>
      </c>
      <c r="R110" s="44">
        <f t="shared" si="25"/>
        <v>1.64</v>
      </c>
      <c r="S110" s="44">
        <f t="shared" si="25"/>
        <v>1.64</v>
      </c>
      <c r="T110" s="44">
        <f t="shared" si="26"/>
        <v>1.64</v>
      </c>
      <c r="U110" s="44">
        <f t="shared" si="26"/>
        <v>1.64</v>
      </c>
      <c r="V110" s="44">
        <f t="shared" si="26"/>
        <v>1.64</v>
      </c>
      <c r="W110" s="44">
        <f t="shared" si="26"/>
        <v>1.64</v>
      </c>
      <c r="X110" s="44">
        <f t="shared" si="26"/>
        <v>1.64</v>
      </c>
      <c r="Y110" s="44">
        <f t="shared" si="26"/>
        <v>1.64</v>
      </c>
      <c r="Z110" s="44">
        <f t="shared" si="26"/>
        <v>1.64</v>
      </c>
      <c r="AA110" s="44">
        <f t="shared" si="26"/>
        <v>1.64</v>
      </c>
      <c r="AB110" s="44">
        <f t="shared" si="26"/>
        <v>1.64</v>
      </c>
      <c r="AC110" s="44">
        <f t="shared" si="26"/>
        <v>1.64</v>
      </c>
      <c r="AD110" s="44">
        <f t="shared" si="26"/>
        <v>1.64</v>
      </c>
      <c r="AE110" s="44">
        <f t="shared" si="26"/>
        <v>1.64</v>
      </c>
      <c r="AF110" s="44">
        <f t="shared" si="26"/>
        <v>1.64</v>
      </c>
      <c r="AG110" s="53">
        <v>8.5</v>
      </c>
      <c r="AH110" s="21"/>
      <c r="AI110" s="20"/>
      <c r="AK110" s="42"/>
    </row>
    <row r="111" spans="1:37" x14ac:dyDescent="0.25">
      <c r="A111" s="41" t="s">
        <v>105</v>
      </c>
      <c r="B111" s="44"/>
      <c r="C111" s="55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53">
        <v>8.4</v>
      </c>
      <c r="AH111" s="21"/>
      <c r="AI111" s="20"/>
      <c r="AK111" s="42"/>
    </row>
    <row r="112" spans="1:37" x14ac:dyDescent="0.25">
      <c r="A112" s="41" t="s">
        <v>104</v>
      </c>
      <c r="B112" s="44">
        <f t="shared" ref="B112:B129" si="27">AF112</f>
        <v>1.62</v>
      </c>
      <c r="C112" s="55">
        <v>1.62</v>
      </c>
      <c r="D112" s="44">
        <f t="shared" ref="D112:S119" si="28">C112</f>
        <v>1.62</v>
      </c>
      <c r="E112" s="44">
        <f t="shared" si="28"/>
        <v>1.62</v>
      </c>
      <c r="F112" s="44">
        <f t="shared" si="28"/>
        <v>1.62</v>
      </c>
      <c r="G112" s="44">
        <f t="shared" si="28"/>
        <v>1.62</v>
      </c>
      <c r="H112" s="44">
        <f t="shared" si="28"/>
        <v>1.62</v>
      </c>
      <c r="I112" s="44">
        <f t="shared" si="28"/>
        <v>1.62</v>
      </c>
      <c r="J112" s="44">
        <f t="shared" si="28"/>
        <v>1.62</v>
      </c>
      <c r="K112" s="44">
        <f t="shared" si="28"/>
        <v>1.62</v>
      </c>
      <c r="L112" s="44">
        <f t="shared" si="28"/>
        <v>1.62</v>
      </c>
      <c r="M112" s="44">
        <f t="shared" si="28"/>
        <v>1.62</v>
      </c>
      <c r="N112" s="44">
        <f t="shared" si="28"/>
        <v>1.62</v>
      </c>
      <c r="O112" s="44">
        <f t="shared" si="28"/>
        <v>1.62</v>
      </c>
      <c r="P112" s="44">
        <f t="shared" si="28"/>
        <v>1.62</v>
      </c>
      <c r="Q112" s="44">
        <f t="shared" si="28"/>
        <v>1.62</v>
      </c>
      <c r="R112" s="44">
        <f t="shared" si="28"/>
        <v>1.62</v>
      </c>
      <c r="S112" s="44">
        <f t="shared" si="28"/>
        <v>1.62</v>
      </c>
      <c r="T112" s="44">
        <f t="shared" ref="T112:AF127" si="29">S112</f>
        <v>1.62</v>
      </c>
      <c r="U112" s="44">
        <f t="shared" si="29"/>
        <v>1.62</v>
      </c>
      <c r="V112" s="44">
        <f t="shared" si="29"/>
        <v>1.62</v>
      </c>
      <c r="W112" s="44">
        <f t="shared" si="29"/>
        <v>1.62</v>
      </c>
      <c r="X112" s="44">
        <f t="shared" si="29"/>
        <v>1.62</v>
      </c>
      <c r="Y112" s="44">
        <f t="shared" si="29"/>
        <v>1.62</v>
      </c>
      <c r="Z112" s="44">
        <f t="shared" si="29"/>
        <v>1.62</v>
      </c>
      <c r="AA112" s="44">
        <f t="shared" si="29"/>
        <v>1.62</v>
      </c>
      <c r="AB112" s="44">
        <f t="shared" si="29"/>
        <v>1.62</v>
      </c>
      <c r="AC112" s="44">
        <f t="shared" si="29"/>
        <v>1.62</v>
      </c>
      <c r="AD112" s="44">
        <f t="shared" si="29"/>
        <v>1.62</v>
      </c>
      <c r="AE112" s="44">
        <f t="shared" si="29"/>
        <v>1.62</v>
      </c>
      <c r="AF112" s="44">
        <f t="shared" si="29"/>
        <v>1.62</v>
      </c>
      <c r="AG112" s="53">
        <v>8</v>
      </c>
      <c r="AH112" s="21"/>
      <c r="AI112" s="20"/>
      <c r="AK112" s="42"/>
    </row>
    <row r="113" spans="1:37" x14ac:dyDescent="0.25">
      <c r="A113" s="41" t="s">
        <v>103</v>
      </c>
      <c r="B113" s="44">
        <f t="shared" si="27"/>
        <v>8.36</v>
      </c>
      <c r="C113" s="55">
        <v>8.36</v>
      </c>
      <c r="D113" s="44">
        <f t="shared" si="28"/>
        <v>8.36</v>
      </c>
      <c r="E113" s="44">
        <f t="shared" si="28"/>
        <v>8.36</v>
      </c>
      <c r="F113" s="44">
        <f t="shared" si="28"/>
        <v>8.36</v>
      </c>
      <c r="G113" s="44">
        <f t="shared" si="28"/>
        <v>8.36</v>
      </c>
      <c r="H113" s="44">
        <f t="shared" si="28"/>
        <v>8.36</v>
      </c>
      <c r="I113" s="44">
        <f t="shared" si="28"/>
        <v>8.36</v>
      </c>
      <c r="J113" s="44">
        <f t="shared" si="28"/>
        <v>8.36</v>
      </c>
      <c r="K113" s="44">
        <f t="shared" si="28"/>
        <v>8.36</v>
      </c>
      <c r="L113" s="44">
        <f t="shared" si="28"/>
        <v>8.36</v>
      </c>
      <c r="M113" s="44">
        <f t="shared" si="28"/>
        <v>8.36</v>
      </c>
      <c r="N113" s="44">
        <f t="shared" si="28"/>
        <v>8.36</v>
      </c>
      <c r="O113" s="44">
        <f t="shared" si="28"/>
        <v>8.36</v>
      </c>
      <c r="P113" s="44">
        <f t="shared" si="28"/>
        <v>8.36</v>
      </c>
      <c r="Q113" s="44">
        <f t="shared" si="28"/>
        <v>8.36</v>
      </c>
      <c r="R113" s="44">
        <f t="shared" si="28"/>
        <v>8.36</v>
      </c>
      <c r="S113" s="44">
        <f t="shared" si="28"/>
        <v>8.36</v>
      </c>
      <c r="T113" s="44">
        <f t="shared" si="29"/>
        <v>8.36</v>
      </c>
      <c r="U113" s="44">
        <f t="shared" si="29"/>
        <v>8.36</v>
      </c>
      <c r="V113" s="44">
        <f t="shared" si="29"/>
        <v>8.36</v>
      </c>
      <c r="W113" s="44">
        <f t="shared" si="29"/>
        <v>8.36</v>
      </c>
      <c r="X113" s="44">
        <f t="shared" si="29"/>
        <v>8.36</v>
      </c>
      <c r="Y113" s="44">
        <f t="shared" si="29"/>
        <v>8.36</v>
      </c>
      <c r="Z113" s="44">
        <f t="shared" si="29"/>
        <v>8.36</v>
      </c>
      <c r="AA113" s="44">
        <f t="shared" si="29"/>
        <v>8.36</v>
      </c>
      <c r="AB113" s="44">
        <f t="shared" si="29"/>
        <v>8.36</v>
      </c>
      <c r="AC113" s="44">
        <f t="shared" si="29"/>
        <v>8.36</v>
      </c>
      <c r="AD113" s="44">
        <f t="shared" si="29"/>
        <v>8.36</v>
      </c>
      <c r="AE113" s="44">
        <f t="shared" si="29"/>
        <v>8.36</v>
      </c>
      <c r="AF113" s="44">
        <f t="shared" si="29"/>
        <v>8.36</v>
      </c>
      <c r="AG113" s="53">
        <v>8</v>
      </c>
      <c r="AH113" s="21"/>
      <c r="AI113" s="20"/>
      <c r="AK113" s="42"/>
    </row>
    <row r="114" spans="1:37" x14ac:dyDescent="0.25">
      <c r="A114" s="41" t="s">
        <v>102</v>
      </c>
      <c r="B114" s="44">
        <f t="shared" si="27"/>
        <v>5.4</v>
      </c>
      <c r="C114" s="55">
        <v>8</v>
      </c>
      <c r="D114" s="44">
        <f t="shared" si="28"/>
        <v>8</v>
      </c>
      <c r="E114" s="44">
        <f t="shared" si="28"/>
        <v>8</v>
      </c>
      <c r="F114" s="44">
        <f t="shared" si="28"/>
        <v>8</v>
      </c>
      <c r="G114" s="44">
        <f t="shared" si="28"/>
        <v>8</v>
      </c>
      <c r="H114" s="44">
        <f t="shared" si="28"/>
        <v>8</v>
      </c>
      <c r="I114" s="44">
        <f t="shared" si="28"/>
        <v>8</v>
      </c>
      <c r="J114" s="44">
        <v>5.4</v>
      </c>
      <c r="K114" s="44">
        <f t="shared" si="28"/>
        <v>5.4</v>
      </c>
      <c r="L114" s="44">
        <f t="shared" si="28"/>
        <v>5.4</v>
      </c>
      <c r="M114" s="44">
        <f t="shared" si="28"/>
        <v>5.4</v>
      </c>
      <c r="N114" s="44">
        <f t="shared" si="28"/>
        <v>5.4</v>
      </c>
      <c r="O114" s="44">
        <f t="shared" si="28"/>
        <v>5.4</v>
      </c>
      <c r="P114" s="44">
        <f t="shared" si="28"/>
        <v>5.4</v>
      </c>
      <c r="Q114" s="44">
        <f t="shared" si="28"/>
        <v>5.4</v>
      </c>
      <c r="R114" s="44">
        <f t="shared" si="28"/>
        <v>5.4</v>
      </c>
      <c r="S114" s="44">
        <f t="shared" si="28"/>
        <v>5.4</v>
      </c>
      <c r="T114" s="44">
        <f t="shared" si="29"/>
        <v>5.4</v>
      </c>
      <c r="U114" s="44">
        <f t="shared" si="29"/>
        <v>5.4</v>
      </c>
      <c r="V114" s="44">
        <f t="shared" si="29"/>
        <v>5.4</v>
      </c>
      <c r="W114" s="44">
        <f t="shared" si="29"/>
        <v>5.4</v>
      </c>
      <c r="X114" s="44">
        <f t="shared" si="29"/>
        <v>5.4</v>
      </c>
      <c r="Y114" s="44">
        <f t="shared" si="29"/>
        <v>5.4</v>
      </c>
      <c r="Z114" s="44">
        <f t="shared" si="29"/>
        <v>5.4</v>
      </c>
      <c r="AA114" s="44">
        <f t="shared" si="29"/>
        <v>5.4</v>
      </c>
      <c r="AB114" s="44">
        <f t="shared" si="29"/>
        <v>5.4</v>
      </c>
      <c r="AC114" s="44">
        <f t="shared" si="29"/>
        <v>5.4</v>
      </c>
      <c r="AD114" s="44">
        <f t="shared" si="29"/>
        <v>5.4</v>
      </c>
      <c r="AE114" s="44">
        <f t="shared" si="29"/>
        <v>5.4</v>
      </c>
      <c r="AF114" s="44">
        <f t="shared" si="29"/>
        <v>5.4</v>
      </c>
      <c r="AG114" s="53">
        <v>8</v>
      </c>
      <c r="AH114" s="21"/>
      <c r="AI114" s="20"/>
      <c r="AK114" s="42"/>
    </row>
    <row r="115" spans="1:37" x14ac:dyDescent="0.25">
      <c r="A115" s="41" t="s">
        <v>101</v>
      </c>
      <c r="B115" s="44">
        <f t="shared" si="27"/>
        <v>6.57</v>
      </c>
      <c r="C115" s="55">
        <v>6.57</v>
      </c>
      <c r="D115" s="44">
        <f t="shared" si="28"/>
        <v>6.57</v>
      </c>
      <c r="E115" s="44">
        <f t="shared" si="28"/>
        <v>6.57</v>
      </c>
      <c r="F115" s="44">
        <f t="shared" si="28"/>
        <v>6.57</v>
      </c>
      <c r="G115" s="44">
        <f t="shared" si="28"/>
        <v>6.57</v>
      </c>
      <c r="H115" s="44">
        <f t="shared" si="28"/>
        <v>6.57</v>
      </c>
      <c r="I115" s="44">
        <f t="shared" si="28"/>
        <v>6.57</v>
      </c>
      <c r="J115" s="44">
        <f t="shared" si="28"/>
        <v>6.57</v>
      </c>
      <c r="K115" s="44">
        <f t="shared" si="28"/>
        <v>6.57</v>
      </c>
      <c r="L115" s="44">
        <f t="shared" si="28"/>
        <v>6.57</v>
      </c>
      <c r="M115" s="44">
        <f t="shared" si="28"/>
        <v>6.57</v>
      </c>
      <c r="N115" s="44">
        <f t="shared" si="28"/>
        <v>6.57</v>
      </c>
      <c r="O115" s="44">
        <f t="shared" si="28"/>
        <v>6.57</v>
      </c>
      <c r="P115" s="44">
        <f t="shared" si="28"/>
        <v>6.57</v>
      </c>
      <c r="Q115" s="44">
        <f t="shared" si="28"/>
        <v>6.57</v>
      </c>
      <c r="R115" s="44">
        <f t="shared" si="28"/>
        <v>6.57</v>
      </c>
      <c r="S115" s="44">
        <f t="shared" si="28"/>
        <v>6.57</v>
      </c>
      <c r="T115" s="44">
        <f t="shared" si="29"/>
        <v>6.57</v>
      </c>
      <c r="U115" s="44">
        <f t="shared" si="29"/>
        <v>6.57</v>
      </c>
      <c r="V115" s="44">
        <f t="shared" si="29"/>
        <v>6.57</v>
      </c>
      <c r="W115" s="44">
        <f t="shared" si="29"/>
        <v>6.57</v>
      </c>
      <c r="X115" s="44">
        <f t="shared" si="29"/>
        <v>6.57</v>
      </c>
      <c r="Y115" s="44">
        <f t="shared" si="29"/>
        <v>6.57</v>
      </c>
      <c r="Z115" s="44">
        <f t="shared" si="29"/>
        <v>6.57</v>
      </c>
      <c r="AA115" s="44">
        <f t="shared" si="29"/>
        <v>6.57</v>
      </c>
      <c r="AB115" s="44">
        <f t="shared" si="29"/>
        <v>6.57</v>
      </c>
      <c r="AC115" s="44">
        <f t="shared" si="29"/>
        <v>6.57</v>
      </c>
      <c r="AD115" s="44">
        <f t="shared" si="29"/>
        <v>6.57</v>
      </c>
      <c r="AE115" s="44">
        <f t="shared" si="29"/>
        <v>6.57</v>
      </c>
      <c r="AF115" s="44">
        <f t="shared" si="29"/>
        <v>6.57</v>
      </c>
      <c r="AG115" s="53">
        <v>7.8</v>
      </c>
      <c r="AH115" s="21"/>
      <c r="AI115" s="20"/>
      <c r="AK115" s="42"/>
    </row>
    <row r="116" spans="1:37" x14ac:dyDescent="0.25">
      <c r="A116" s="41" t="s">
        <v>100</v>
      </c>
      <c r="B116" s="44">
        <f t="shared" si="27"/>
        <v>3.43</v>
      </c>
      <c r="C116" s="55">
        <v>3.43</v>
      </c>
      <c r="D116" s="44">
        <f t="shared" si="28"/>
        <v>3.43</v>
      </c>
      <c r="E116" s="44">
        <f t="shared" si="28"/>
        <v>3.43</v>
      </c>
      <c r="F116" s="44">
        <f t="shared" si="28"/>
        <v>3.43</v>
      </c>
      <c r="G116" s="44">
        <f t="shared" si="28"/>
        <v>3.43</v>
      </c>
      <c r="H116" s="44">
        <f t="shared" si="28"/>
        <v>3.43</v>
      </c>
      <c r="I116" s="44">
        <f t="shared" si="28"/>
        <v>3.43</v>
      </c>
      <c r="J116" s="44">
        <f t="shared" si="28"/>
        <v>3.43</v>
      </c>
      <c r="K116" s="44">
        <f t="shared" si="28"/>
        <v>3.43</v>
      </c>
      <c r="L116" s="44">
        <f t="shared" si="28"/>
        <v>3.43</v>
      </c>
      <c r="M116" s="44">
        <f t="shared" si="28"/>
        <v>3.43</v>
      </c>
      <c r="N116" s="44">
        <f t="shared" si="28"/>
        <v>3.43</v>
      </c>
      <c r="O116" s="44">
        <f t="shared" si="28"/>
        <v>3.43</v>
      </c>
      <c r="P116" s="44">
        <f t="shared" si="28"/>
        <v>3.43</v>
      </c>
      <c r="Q116" s="44">
        <f t="shared" si="28"/>
        <v>3.43</v>
      </c>
      <c r="R116" s="44">
        <f t="shared" si="28"/>
        <v>3.43</v>
      </c>
      <c r="S116" s="44">
        <f t="shared" si="28"/>
        <v>3.43</v>
      </c>
      <c r="T116" s="44">
        <f t="shared" si="29"/>
        <v>3.43</v>
      </c>
      <c r="U116" s="44">
        <f t="shared" si="29"/>
        <v>3.43</v>
      </c>
      <c r="V116" s="44">
        <f t="shared" si="29"/>
        <v>3.43</v>
      </c>
      <c r="W116" s="44">
        <f t="shared" si="29"/>
        <v>3.43</v>
      </c>
      <c r="X116" s="44">
        <f t="shared" si="29"/>
        <v>3.43</v>
      </c>
      <c r="Y116" s="44">
        <f t="shared" si="29"/>
        <v>3.43</v>
      </c>
      <c r="Z116" s="44">
        <f t="shared" si="29"/>
        <v>3.43</v>
      </c>
      <c r="AA116" s="44">
        <f t="shared" si="29"/>
        <v>3.43</v>
      </c>
      <c r="AB116" s="44">
        <f t="shared" si="29"/>
        <v>3.43</v>
      </c>
      <c r="AC116" s="44">
        <f t="shared" si="29"/>
        <v>3.43</v>
      </c>
      <c r="AD116" s="44">
        <f t="shared" si="29"/>
        <v>3.43</v>
      </c>
      <c r="AE116" s="44">
        <f t="shared" si="29"/>
        <v>3.43</v>
      </c>
      <c r="AF116" s="44">
        <f t="shared" si="29"/>
        <v>3.43</v>
      </c>
      <c r="AG116" s="53">
        <v>7.6</v>
      </c>
      <c r="AH116" s="21"/>
      <c r="AI116" s="20"/>
      <c r="AK116" s="42"/>
    </row>
    <row r="117" spans="1:37" x14ac:dyDescent="0.25">
      <c r="A117" s="41" t="s">
        <v>99</v>
      </c>
      <c r="B117" s="44">
        <f t="shared" si="27"/>
        <v>2.96</v>
      </c>
      <c r="C117" s="55">
        <v>2.96</v>
      </c>
      <c r="D117" s="44">
        <f t="shared" si="28"/>
        <v>2.96</v>
      </c>
      <c r="E117" s="44">
        <f t="shared" si="28"/>
        <v>2.96</v>
      </c>
      <c r="F117" s="44">
        <f t="shared" si="28"/>
        <v>2.96</v>
      </c>
      <c r="G117" s="44">
        <f t="shared" si="28"/>
        <v>2.96</v>
      </c>
      <c r="H117" s="44">
        <f t="shared" si="28"/>
        <v>2.96</v>
      </c>
      <c r="I117" s="44">
        <f t="shared" si="28"/>
        <v>2.96</v>
      </c>
      <c r="J117" s="44">
        <f t="shared" si="28"/>
        <v>2.96</v>
      </c>
      <c r="K117" s="44">
        <f t="shared" si="28"/>
        <v>2.96</v>
      </c>
      <c r="L117" s="44">
        <f t="shared" si="28"/>
        <v>2.96</v>
      </c>
      <c r="M117" s="44">
        <f t="shared" si="28"/>
        <v>2.96</v>
      </c>
      <c r="N117" s="44">
        <f t="shared" si="28"/>
        <v>2.96</v>
      </c>
      <c r="O117" s="44">
        <f t="shared" si="28"/>
        <v>2.96</v>
      </c>
      <c r="P117" s="44">
        <f t="shared" si="28"/>
        <v>2.96</v>
      </c>
      <c r="Q117" s="44">
        <f t="shared" si="28"/>
        <v>2.96</v>
      </c>
      <c r="R117" s="44">
        <f t="shared" si="28"/>
        <v>2.96</v>
      </c>
      <c r="S117" s="44">
        <f t="shared" si="28"/>
        <v>2.96</v>
      </c>
      <c r="T117" s="44">
        <f t="shared" si="29"/>
        <v>2.96</v>
      </c>
      <c r="U117" s="44">
        <f t="shared" si="29"/>
        <v>2.96</v>
      </c>
      <c r="V117" s="44">
        <f t="shared" si="29"/>
        <v>2.96</v>
      </c>
      <c r="W117" s="44">
        <f t="shared" si="29"/>
        <v>2.96</v>
      </c>
      <c r="X117" s="44">
        <f t="shared" si="29"/>
        <v>2.96</v>
      </c>
      <c r="Y117" s="44">
        <f t="shared" si="29"/>
        <v>2.96</v>
      </c>
      <c r="Z117" s="44">
        <f t="shared" si="29"/>
        <v>2.96</v>
      </c>
      <c r="AA117" s="44">
        <f t="shared" si="29"/>
        <v>2.96</v>
      </c>
      <c r="AB117" s="44">
        <f t="shared" si="29"/>
        <v>2.96</v>
      </c>
      <c r="AC117" s="44">
        <f t="shared" si="29"/>
        <v>2.96</v>
      </c>
      <c r="AD117" s="44">
        <f t="shared" si="29"/>
        <v>2.96</v>
      </c>
      <c r="AE117" s="44">
        <f t="shared" si="29"/>
        <v>2.96</v>
      </c>
      <c r="AF117" s="44">
        <f t="shared" si="29"/>
        <v>2.96</v>
      </c>
      <c r="AG117" s="53">
        <v>7.5</v>
      </c>
      <c r="AH117" s="21"/>
      <c r="AI117" s="20"/>
      <c r="AK117" s="42"/>
    </row>
    <row r="118" spans="1:37" x14ac:dyDescent="0.25">
      <c r="A118" s="41" t="s">
        <v>98</v>
      </c>
      <c r="B118" s="44">
        <f t="shared" si="27"/>
        <v>8</v>
      </c>
      <c r="C118" s="55">
        <v>8</v>
      </c>
      <c r="D118" s="44">
        <f t="shared" si="28"/>
        <v>8</v>
      </c>
      <c r="E118" s="44">
        <f t="shared" si="28"/>
        <v>8</v>
      </c>
      <c r="F118" s="44">
        <f t="shared" si="28"/>
        <v>8</v>
      </c>
      <c r="G118" s="44">
        <f t="shared" si="28"/>
        <v>8</v>
      </c>
      <c r="H118" s="44">
        <f t="shared" si="28"/>
        <v>8</v>
      </c>
      <c r="I118" s="44">
        <f t="shared" si="28"/>
        <v>8</v>
      </c>
      <c r="J118" s="44">
        <f t="shared" si="28"/>
        <v>8</v>
      </c>
      <c r="K118" s="44">
        <f t="shared" si="28"/>
        <v>8</v>
      </c>
      <c r="L118" s="44">
        <f t="shared" si="28"/>
        <v>8</v>
      </c>
      <c r="M118" s="44">
        <f t="shared" si="28"/>
        <v>8</v>
      </c>
      <c r="N118" s="44">
        <f t="shared" si="28"/>
        <v>8</v>
      </c>
      <c r="O118" s="44">
        <f t="shared" si="28"/>
        <v>8</v>
      </c>
      <c r="P118" s="44">
        <f t="shared" si="28"/>
        <v>8</v>
      </c>
      <c r="Q118" s="44">
        <f t="shared" si="28"/>
        <v>8</v>
      </c>
      <c r="R118" s="44">
        <f t="shared" si="28"/>
        <v>8</v>
      </c>
      <c r="S118" s="44">
        <f t="shared" si="28"/>
        <v>8</v>
      </c>
      <c r="T118" s="44">
        <f t="shared" si="29"/>
        <v>8</v>
      </c>
      <c r="U118" s="44">
        <f t="shared" si="29"/>
        <v>8</v>
      </c>
      <c r="V118" s="44">
        <f t="shared" si="29"/>
        <v>8</v>
      </c>
      <c r="W118" s="44">
        <f t="shared" si="29"/>
        <v>8</v>
      </c>
      <c r="X118" s="44">
        <f t="shared" si="29"/>
        <v>8</v>
      </c>
      <c r="Y118" s="44">
        <f t="shared" si="29"/>
        <v>8</v>
      </c>
      <c r="Z118" s="44">
        <f t="shared" si="29"/>
        <v>8</v>
      </c>
      <c r="AA118" s="44">
        <f t="shared" si="29"/>
        <v>8</v>
      </c>
      <c r="AB118" s="44">
        <f t="shared" si="29"/>
        <v>8</v>
      </c>
      <c r="AC118" s="44">
        <f t="shared" si="29"/>
        <v>8</v>
      </c>
      <c r="AD118" s="44">
        <f t="shared" si="29"/>
        <v>8</v>
      </c>
      <c r="AE118" s="44">
        <f t="shared" si="29"/>
        <v>8</v>
      </c>
      <c r="AF118" s="44">
        <f t="shared" si="29"/>
        <v>8</v>
      </c>
      <c r="AG118" s="53">
        <v>7.5</v>
      </c>
      <c r="AH118" s="21"/>
      <c r="AI118" s="20"/>
      <c r="AK118" s="42"/>
    </row>
    <row r="119" spans="1:37" x14ac:dyDescent="0.25">
      <c r="A119" s="41" t="s">
        <v>97</v>
      </c>
      <c r="B119" s="44">
        <f t="shared" si="27"/>
        <v>7</v>
      </c>
      <c r="C119" s="55">
        <v>7</v>
      </c>
      <c r="D119" s="44">
        <f>C119</f>
        <v>7</v>
      </c>
      <c r="E119" s="44">
        <f t="shared" si="28"/>
        <v>7</v>
      </c>
      <c r="F119" s="44">
        <f t="shared" si="28"/>
        <v>7</v>
      </c>
      <c r="G119" s="44">
        <f t="shared" si="28"/>
        <v>7</v>
      </c>
      <c r="H119" s="44">
        <f t="shared" si="28"/>
        <v>7</v>
      </c>
      <c r="I119" s="44">
        <f t="shared" si="28"/>
        <v>7</v>
      </c>
      <c r="J119" s="44">
        <f t="shared" si="28"/>
        <v>7</v>
      </c>
      <c r="K119" s="44">
        <f t="shared" si="28"/>
        <v>7</v>
      </c>
      <c r="L119" s="44">
        <f t="shared" si="28"/>
        <v>7</v>
      </c>
      <c r="M119" s="44">
        <f t="shared" si="28"/>
        <v>7</v>
      </c>
      <c r="N119" s="44">
        <f t="shared" si="28"/>
        <v>7</v>
      </c>
      <c r="O119" s="44">
        <f t="shared" si="28"/>
        <v>7</v>
      </c>
      <c r="P119" s="44">
        <f t="shared" si="28"/>
        <v>7</v>
      </c>
      <c r="Q119" s="44">
        <f t="shared" si="28"/>
        <v>7</v>
      </c>
      <c r="R119" s="44">
        <f t="shared" si="28"/>
        <v>7</v>
      </c>
      <c r="S119" s="44">
        <f t="shared" si="28"/>
        <v>7</v>
      </c>
      <c r="T119" s="44">
        <f t="shared" si="29"/>
        <v>7</v>
      </c>
      <c r="U119" s="44">
        <f t="shared" si="29"/>
        <v>7</v>
      </c>
      <c r="V119" s="44">
        <f t="shared" si="29"/>
        <v>7</v>
      </c>
      <c r="W119" s="44">
        <f t="shared" si="29"/>
        <v>7</v>
      </c>
      <c r="X119" s="44">
        <f t="shared" si="29"/>
        <v>7</v>
      </c>
      <c r="Y119" s="44">
        <f t="shared" si="29"/>
        <v>7</v>
      </c>
      <c r="Z119" s="44">
        <f t="shared" si="29"/>
        <v>7</v>
      </c>
      <c r="AA119" s="44">
        <f t="shared" si="29"/>
        <v>7</v>
      </c>
      <c r="AB119" s="44">
        <f t="shared" si="29"/>
        <v>7</v>
      </c>
      <c r="AC119" s="44">
        <f t="shared" si="29"/>
        <v>7</v>
      </c>
      <c r="AD119" s="44">
        <f t="shared" si="29"/>
        <v>7</v>
      </c>
      <c r="AE119" s="44">
        <f t="shared" si="29"/>
        <v>7</v>
      </c>
      <c r="AF119" s="44">
        <f t="shared" si="29"/>
        <v>7</v>
      </c>
      <c r="AG119" s="53">
        <v>7</v>
      </c>
      <c r="AH119" s="21"/>
      <c r="AI119" s="20"/>
      <c r="AK119" s="42"/>
    </row>
    <row r="120" spans="1:37" x14ac:dyDescent="0.25">
      <c r="A120" s="41" t="s">
        <v>96</v>
      </c>
      <c r="B120" s="44">
        <f t="shared" si="27"/>
        <v>3.47</v>
      </c>
      <c r="C120" s="55">
        <v>3.47</v>
      </c>
      <c r="D120" s="44">
        <f t="shared" ref="D120:S129" si="30">C120</f>
        <v>3.47</v>
      </c>
      <c r="E120" s="44">
        <f t="shared" si="30"/>
        <v>3.47</v>
      </c>
      <c r="F120" s="44">
        <f t="shared" si="30"/>
        <v>3.47</v>
      </c>
      <c r="G120" s="44">
        <f t="shared" si="30"/>
        <v>3.47</v>
      </c>
      <c r="H120" s="44">
        <f t="shared" si="30"/>
        <v>3.47</v>
      </c>
      <c r="I120" s="44">
        <f t="shared" si="30"/>
        <v>3.47</v>
      </c>
      <c r="J120" s="44">
        <f t="shared" si="30"/>
        <v>3.47</v>
      </c>
      <c r="K120" s="44">
        <f t="shared" si="30"/>
        <v>3.47</v>
      </c>
      <c r="L120" s="44">
        <f t="shared" si="30"/>
        <v>3.47</v>
      </c>
      <c r="M120" s="44">
        <f t="shared" si="30"/>
        <v>3.47</v>
      </c>
      <c r="N120" s="44">
        <f t="shared" si="30"/>
        <v>3.47</v>
      </c>
      <c r="O120" s="44">
        <f t="shared" si="30"/>
        <v>3.47</v>
      </c>
      <c r="P120" s="44">
        <f t="shared" si="30"/>
        <v>3.47</v>
      </c>
      <c r="Q120" s="44">
        <f t="shared" si="30"/>
        <v>3.47</v>
      </c>
      <c r="R120" s="44">
        <f t="shared" si="30"/>
        <v>3.47</v>
      </c>
      <c r="S120" s="44">
        <f t="shared" si="30"/>
        <v>3.47</v>
      </c>
      <c r="T120" s="44">
        <f t="shared" si="29"/>
        <v>3.47</v>
      </c>
      <c r="U120" s="44">
        <f t="shared" si="29"/>
        <v>3.47</v>
      </c>
      <c r="V120" s="44">
        <f t="shared" si="29"/>
        <v>3.47</v>
      </c>
      <c r="W120" s="44">
        <f t="shared" si="29"/>
        <v>3.47</v>
      </c>
      <c r="X120" s="44">
        <f t="shared" si="29"/>
        <v>3.47</v>
      </c>
      <c r="Y120" s="44">
        <f t="shared" si="29"/>
        <v>3.47</v>
      </c>
      <c r="Z120" s="44">
        <f t="shared" si="29"/>
        <v>3.47</v>
      </c>
      <c r="AA120" s="44">
        <f t="shared" si="29"/>
        <v>3.47</v>
      </c>
      <c r="AB120" s="44">
        <f t="shared" si="29"/>
        <v>3.47</v>
      </c>
      <c r="AC120" s="44">
        <f t="shared" si="29"/>
        <v>3.47</v>
      </c>
      <c r="AD120" s="44">
        <f t="shared" si="29"/>
        <v>3.47</v>
      </c>
      <c r="AE120" s="44">
        <f t="shared" si="29"/>
        <v>3.47</v>
      </c>
      <c r="AF120" s="44">
        <f t="shared" si="29"/>
        <v>3.47</v>
      </c>
      <c r="AG120" s="53">
        <v>7</v>
      </c>
      <c r="AH120" s="21"/>
      <c r="AI120" s="20"/>
      <c r="AK120" s="42"/>
    </row>
    <row r="121" spans="1:37" x14ac:dyDescent="0.25">
      <c r="A121" s="41" t="s">
        <v>95</v>
      </c>
      <c r="B121" s="44">
        <f t="shared" si="27"/>
        <v>2.1</v>
      </c>
      <c r="C121" s="55">
        <v>2.1</v>
      </c>
      <c r="D121" s="44">
        <f t="shared" si="30"/>
        <v>2.1</v>
      </c>
      <c r="E121" s="44">
        <f t="shared" si="30"/>
        <v>2.1</v>
      </c>
      <c r="F121" s="44">
        <f t="shared" si="30"/>
        <v>2.1</v>
      </c>
      <c r="G121" s="44">
        <f t="shared" si="30"/>
        <v>2.1</v>
      </c>
      <c r="H121" s="44">
        <f t="shared" si="30"/>
        <v>2.1</v>
      </c>
      <c r="I121" s="44">
        <f t="shared" si="30"/>
        <v>2.1</v>
      </c>
      <c r="J121" s="44">
        <f t="shared" si="30"/>
        <v>2.1</v>
      </c>
      <c r="K121" s="44">
        <f t="shared" si="30"/>
        <v>2.1</v>
      </c>
      <c r="L121" s="44">
        <f t="shared" si="30"/>
        <v>2.1</v>
      </c>
      <c r="M121" s="44">
        <f t="shared" si="30"/>
        <v>2.1</v>
      </c>
      <c r="N121" s="44">
        <f t="shared" si="30"/>
        <v>2.1</v>
      </c>
      <c r="O121" s="44">
        <f t="shared" si="30"/>
        <v>2.1</v>
      </c>
      <c r="P121" s="44">
        <f t="shared" si="30"/>
        <v>2.1</v>
      </c>
      <c r="Q121" s="44">
        <f t="shared" si="30"/>
        <v>2.1</v>
      </c>
      <c r="R121" s="44">
        <f t="shared" si="30"/>
        <v>2.1</v>
      </c>
      <c r="S121" s="44">
        <f t="shared" si="30"/>
        <v>2.1</v>
      </c>
      <c r="T121" s="44">
        <f t="shared" si="29"/>
        <v>2.1</v>
      </c>
      <c r="U121" s="44">
        <f t="shared" si="29"/>
        <v>2.1</v>
      </c>
      <c r="V121" s="44">
        <f t="shared" si="29"/>
        <v>2.1</v>
      </c>
      <c r="W121" s="44">
        <f t="shared" si="29"/>
        <v>2.1</v>
      </c>
      <c r="X121" s="44">
        <f t="shared" si="29"/>
        <v>2.1</v>
      </c>
      <c r="Y121" s="44">
        <f t="shared" si="29"/>
        <v>2.1</v>
      </c>
      <c r="Z121" s="44">
        <f t="shared" si="29"/>
        <v>2.1</v>
      </c>
      <c r="AA121" s="44">
        <f t="shared" si="29"/>
        <v>2.1</v>
      </c>
      <c r="AB121" s="44">
        <f t="shared" si="29"/>
        <v>2.1</v>
      </c>
      <c r="AC121" s="44">
        <f t="shared" si="29"/>
        <v>2.1</v>
      </c>
      <c r="AD121" s="44">
        <f t="shared" si="29"/>
        <v>2.1</v>
      </c>
      <c r="AE121" s="44">
        <f t="shared" si="29"/>
        <v>2.1</v>
      </c>
      <c r="AF121" s="44">
        <f t="shared" si="29"/>
        <v>2.1</v>
      </c>
      <c r="AG121" s="53">
        <v>7</v>
      </c>
      <c r="AH121" s="21"/>
      <c r="AI121" s="20"/>
      <c r="AK121" s="42"/>
    </row>
    <row r="122" spans="1:37" x14ac:dyDescent="0.25">
      <c r="A122" s="41" t="s">
        <v>94</v>
      </c>
      <c r="B122" s="44">
        <f t="shared" si="27"/>
        <v>9.3000000000000007</v>
      </c>
      <c r="C122" s="55">
        <v>9.3000000000000007</v>
      </c>
      <c r="D122" s="44">
        <f t="shared" si="30"/>
        <v>9.3000000000000007</v>
      </c>
      <c r="E122" s="44">
        <f t="shared" si="30"/>
        <v>9.3000000000000007</v>
      </c>
      <c r="F122" s="44">
        <f t="shared" si="30"/>
        <v>9.3000000000000007</v>
      </c>
      <c r="G122" s="44">
        <f t="shared" si="30"/>
        <v>9.3000000000000007</v>
      </c>
      <c r="H122" s="44">
        <f t="shared" si="30"/>
        <v>9.3000000000000007</v>
      </c>
      <c r="I122" s="44">
        <f t="shared" si="30"/>
        <v>9.3000000000000007</v>
      </c>
      <c r="J122" s="44">
        <f t="shared" si="30"/>
        <v>9.3000000000000007</v>
      </c>
      <c r="K122" s="44">
        <f t="shared" si="30"/>
        <v>9.3000000000000007</v>
      </c>
      <c r="L122" s="44">
        <f t="shared" si="30"/>
        <v>9.3000000000000007</v>
      </c>
      <c r="M122" s="44">
        <f t="shared" si="30"/>
        <v>9.3000000000000007</v>
      </c>
      <c r="N122" s="44">
        <f t="shared" si="30"/>
        <v>9.3000000000000007</v>
      </c>
      <c r="O122" s="44">
        <f t="shared" si="30"/>
        <v>9.3000000000000007</v>
      </c>
      <c r="P122" s="44">
        <f t="shared" si="30"/>
        <v>9.3000000000000007</v>
      </c>
      <c r="Q122" s="44">
        <f t="shared" si="30"/>
        <v>9.3000000000000007</v>
      </c>
      <c r="R122" s="44">
        <f t="shared" si="30"/>
        <v>9.3000000000000007</v>
      </c>
      <c r="S122" s="44">
        <f t="shared" si="30"/>
        <v>9.3000000000000007</v>
      </c>
      <c r="T122" s="44">
        <f t="shared" si="29"/>
        <v>9.3000000000000007</v>
      </c>
      <c r="U122" s="44">
        <f t="shared" si="29"/>
        <v>9.3000000000000007</v>
      </c>
      <c r="V122" s="44">
        <f t="shared" si="29"/>
        <v>9.3000000000000007</v>
      </c>
      <c r="W122" s="44">
        <f t="shared" si="29"/>
        <v>9.3000000000000007</v>
      </c>
      <c r="X122" s="44">
        <f t="shared" si="29"/>
        <v>9.3000000000000007</v>
      </c>
      <c r="Y122" s="44">
        <f t="shared" si="29"/>
        <v>9.3000000000000007</v>
      </c>
      <c r="Z122" s="44">
        <f t="shared" si="29"/>
        <v>9.3000000000000007</v>
      </c>
      <c r="AA122" s="44">
        <f t="shared" si="29"/>
        <v>9.3000000000000007</v>
      </c>
      <c r="AB122" s="44">
        <f t="shared" si="29"/>
        <v>9.3000000000000007</v>
      </c>
      <c r="AC122" s="44">
        <f t="shared" si="29"/>
        <v>9.3000000000000007</v>
      </c>
      <c r="AD122" s="44">
        <f t="shared" si="29"/>
        <v>9.3000000000000007</v>
      </c>
      <c r="AE122" s="44">
        <f t="shared" si="29"/>
        <v>9.3000000000000007</v>
      </c>
      <c r="AF122" s="44">
        <f t="shared" si="29"/>
        <v>9.3000000000000007</v>
      </c>
      <c r="AG122" s="53">
        <v>7</v>
      </c>
      <c r="AH122" s="21"/>
      <c r="AI122" s="20"/>
      <c r="AK122" s="42"/>
    </row>
    <row r="123" spans="1:37" x14ac:dyDescent="0.25">
      <c r="A123" s="41" t="s">
        <v>93</v>
      </c>
      <c r="B123" s="44">
        <f t="shared" si="27"/>
        <v>0</v>
      </c>
      <c r="C123" s="55"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0"/>
        <v>0</v>
      </c>
      <c r="O123" s="44">
        <f t="shared" si="30"/>
        <v>0</v>
      </c>
      <c r="P123" s="44">
        <f t="shared" si="30"/>
        <v>0</v>
      </c>
      <c r="Q123" s="44">
        <f t="shared" si="30"/>
        <v>0</v>
      </c>
      <c r="R123" s="44">
        <f t="shared" si="30"/>
        <v>0</v>
      </c>
      <c r="S123" s="44">
        <f t="shared" si="30"/>
        <v>0</v>
      </c>
      <c r="T123" s="44">
        <f t="shared" si="29"/>
        <v>0</v>
      </c>
      <c r="U123" s="44">
        <f t="shared" si="29"/>
        <v>0</v>
      </c>
      <c r="V123" s="44">
        <f t="shared" si="29"/>
        <v>0</v>
      </c>
      <c r="W123" s="44">
        <f t="shared" si="29"/>
        <v>0</v>
      </c>
      <c r="X123" s="44">
        <f t="shared" si="29"/>
        <v>0</v>
      </c>
      <c r="Y123" s="44">
        <f t="shared" si="29"/>
        <v>0</v>
      </c>
      <c r="Z123" s="44">
        <f t="shared" si="29"/>
        <v>0</v>
      </c>
      <c r="AA123" s="44">
        <f t="shared" si="29"/>
        <v>0</v>
      </c>
      <c r="AB123" s="44">
        <f t="shared" si="29"/>
        <v>0</v>
      </c>
      <c r="AC123" s="44">
        <f t="shared" si="29"/>
        <v>0</v>
      </c>
      <c r="AD123" s="44">
        <f t="shared" si="29"/>
        <v>0</v>
      </c>
      <c r="AE123" s="44">
        <f t="shared" si="29"/>
        <v>0</v>
      </c>
      <c r="AF123" s="44">
        <f t="shared" si="29"/>
        <v>0</v>
      </c>
      <c r="AG123" s="53">
        <v>6.6</v>
      </c>
      <c r="AH123" s="21"/>
      <c r="AI123" s="20"/>
      <c r="AK123" s="42"/>
    </row>
    <row r="124" spans="1:37" x14ac:dyDescent="0.25">
      <c r="A124" s="41" t="s">
        <v>92</v>
      </c>
      <c r="B124" s="44">
        <f t="shared" si="27"/>
        <v>0</v>
      </c>
      <c r="C124" s="55"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0"/>
        <v>0</v>
      </c>
      <c r="O124" s="44">
        <f t="shared" si="30"/>
        <v>0</v>
      </c>
      <c r="P124" s="44">
        <f t="shared" si="30"/>
        <v>0</v>
      </c>
      <c r="Q124" s="44">
        <f t="shared" si="30"/>
        <v>0</v>
      </c>
      <c r="R124" s="44">
        <f t="shared" si="30"/>
        <v>0</v>
      </c>
      <c r="S124" s="44">
        <f t="shared" si="30"/>
        <v>0</v>
      </c>
      <c r="T124" s="44">
        <f t="shared" si="29"/>
        <v>0</v>
      </c>
      <c r="U124" s="44">
        <f t="shared" si="29"/>
        <v>0</v>
      </c>
      <c r="V124" s="44">
        <f t="shared" si="29"/>
        <v>0</v>
      </c>
      <c r="W124" s="44">
        <f t="shared" si="29"/>
        <v>0</v>
      </c>
      <c r="X124" s="44">
        <f t="shared" si="29"/>
        <v>0</v>
      </c>
      <c r="Y124" s="44">
        <f t="shared" si="29"/>
        <v>0</v>
      </c>
      <c r="Z124" s="44">
        <f t="shared" si="29"/>
        <v>0</v>
      </c>
      <c r="AA124" s="44">
        <f t="shared" si="29"/>
        <v>0</v>
      </c>
      <c r="AB124" s="44">
        <f t="shared" si="29"/>
        <v>0</v>
      </c>
      <c r="AC124" s="44">
        <f t="shared" si="29"/>
        <v>0</v>
      </c>
      <c r="AD124" s="44">
        <f t="shared" si="29"/>
        <v>0</v>
      </c>
      <c r="AE124" s="44">
        <f t="shared" si="29"/>
        <v>0</v>
      </c>
      <c r="AF124" s="44">
        <f t="shared" si="29"/>
        <v>0</v>
      </c>
      <c r="AG124" s="53">
        <v>6.6</v>
      </c>
      <c r="AH124" s="21"/>
      <c r="AI124" s="20"/>
      <c r="AK124" s="42"/>
    </row>
    <row r="125" spans="1:37" x14ac:dyDescent="0.25">
      <c r="A125" s="41" t="s">
        <v>91</v>
      </c>
      <c r="B125" s="44">
        <f t="shared" si="27"/>
        <v>5</v>
      </c>
      <c r="C125" s="55">
        <v>5</v>
      </c>
      <c r="D125" s="44">
        <f t="shared" si="30"/>
        <v>5</v>
      </c>
      <c r="E125" s="44">
        <f t="shared" si="30"/>
        <v>5</v>
      </c>
      <c r="F125" s="44">
        <f t="shared" si="30"/>
        <v>5</v>
      </c>
      <c r="G125" s="44">
        <f t="shared" si="30"/>
        <v>5</v>
      </c>
      <c r="H125" s="44">
        <f t="shared" si="30"/>
        <v>5</v>
      </c>
      <c r="I125" s="44">
        <f t="shared" si="30"/>
        <v>5</v>
      </c>
      <c r="J125" s="44">
        <f t="shared" si="30"/>
        <v>5</v>
      </c>
      <c r="K125" s="44">
        <f t="shared" si="30"/>
        <v>5</v>
      </c>
      <c r="L125" s="44">
        <f t="shared" si="30"/>
        <v>5</v>
      </c>
      <c r="M125" s="44">
        <f t="shared" si="30"/>
        <v>5</v>
      </c>
      <c r="N125" s="44">
        <f t="shared" si="30"/>
        <v>5</v>
      </c>
      <c r="O125" s="44">
        <f t="shared" si="30"/>
        <v>5</v>
      </c>
      <c r="P125" s="44">
        <f t="shared" si="30"/>
        <v>5</v>
      </c>
      <c r="Q125" s="44">
        <f t="shared" si="30"/>
        <v>5</v>
      </c>
      <c r="R125" s="44">
        <f t="shared" si="30"/>
        <v>5</v>
      </c>
      <c r="S125" s="44">
        <f t="shared" si="30"/>
        <v>5</v>
      </c>
      <c r="T125" s="44">
        <f t="shared" si="29"/>
        <v>5</v>
      </c>
      <c r="U125" s="44">
        <f t="shared" si="29"/>
        <v>5</v>
      </c>
      <c r="V125" s="44">
        <f t="shared" si="29"/>
        <v>5</v>
      </c>
      <c r="W125" s="44">
        <f t="shared" si="29"/>
        <v>5</v>
      </c>
      <c r="X125" s="44">
        <f t="shared" si="29"/>
        <v>5</v>
      </c>
      <c r="Y125" s="44">
        <f t="shared" si="29"/>
        <v>5</v>
      </c>
      <c r="Z125" s="44">
        <f t="shared" si="29"/>
        <v>5</v>
      </c>
      <c r="AA125" s="44">
        <f t="shared" si="29"/>
        <v>5</v>
      </c>
      <c r="AB125" s="44">
        <f t="shared" si="29"/>
        <v>5</v>
      </c>
      <c r="AC125" s="44">
        <f t="shared" si="29"/>
        <v>5</v>
      </c>
      <c r="AD125" s="44">
        <f t="shared" si="29"/>
        <v>5</v>
      </c>
      <c r="AE125" s="44">
        <f t="shared" si="29"/>
        <v>5</v>
      </c>
      <c r="AF125" s="44">
        <f t="shared" si="29"/>
        <v>5</v>
      </c>
      <c r="AG125" s="53">
        <v>6.4</v>
      </c>
      <c r="AH125" s="21"/>
      <c r="AI125" s="20"/>
      <c r="AK125" s="42"/>
    </row>
    <row r="126" spans="1:37" x14ac:dyDescent="0.25">
      <c r="A126" s="41" t="s">
        <v>90</v>
      </c>
      <c r="B126" s="44">
        <f t="shared" si="27"/>
        <v>1</v>
      </c>
      <c r="C126" s="55">
        <v>1</v>
      </c>
      <c r="D126" s="44">
        <f t="shared" si="30"/>
        <v>1</v>
      </c>
      <c r="E126" s="44">
        <f t="shared" si="30"/>
        <v>1</v>
      </c>
      <c r="F126" s="44">
        <f t="shared" si="30"/>
        <v>1</v>
      </c>
      <c r="G126" s="44">
        <f t="shared" si="30"/>
        <v>1</v>
      </c>
      <c r="H126" s="44">
        <f t="shared" si="30"/>
        <v>1</v>
      </c>
      <c r="I126" s="44">
        <f t="shared" si="30"/>
        <v>1</v>
      </c>
      <c r="J126" s="44">
        <f t="shared" si="30"/>
        <v>1</v>
      </c>
      <c r="K126" s="44">
        <f t="shared" si="30"/>
        <v>1</v>
      </c>
      <c r="L126" s="44">
        <f t="shared" si="30"/>
        <v>1</v>
      </c>
      <c r="M126" s="44">
        <f t="shared" si="30"/>
        <v>1</v>
      </c>
      <c r="N126" s="44">
        <f t="shared" si="30"/>
        <v>1</v>
      </c>
      <c r="O126" s="44">
        <f t="shared" si="30"/>
        <v>1</v>
      </c>
      <c r="P126" s="44">
        <f t="shared" si="30"/>
        <v>1</v>
      </c>
      <c r="Q126" s="44">
        <f t="shared" si="30"/>
        <v>1</v>
      </c>
      <c r="R126" s="44">
        <f t="shared" si="30"/>
        <v>1</v>
      </c>
      <c r="S126" s="44">
        <f t="shared" si="30"/>
        <v>1</v>
      </c>
      <c r="T126" s="44">
        <f t="shared" si="29"/>
        <v>1</v>
      </c>
      <c r="U126" s="44">
        <f t="shared" si="29"/>
        <v>1</v>
      </c>
      <c r="V126" s="44">
        <f t="shared" si="29"/>
        <v>1</v>
      </c>
      <c r="W126" s="44">
        <f t="shared" si="29"/>
        <v>1</v>
      </c>
      <c r="X126" s="44">
        <f t="shared" si="29"/>
        <v>1</v>
      </c>
      <c r="Y126" s="44">
        <f t="shared" si="29"/>
        <v>1</v>
      </c>
      <c r="Z126" s="44">
        <f t="shared" si="29"/>
        <v>1</v>
      </c>
      <c r="AA126" s="44">
        <f t="shared" si="29"/>
        <v>1</v>
      </c>
      <c r="AB126" s="44">
        <f t="shared" si="29"/>
        <v>1</v>
      </c>
      <c r="AC126" s="44">
        <f t="shared" si="29"/>
        <v>1</v>
      </c>
      <c r="AD126" s="44">
        <f t="shared" si="29"/>
        <v>1</v>
      </c>
      <c r="AE126" s="44">
        <f t="shared" si="29"/>
        <v>1</v>
      </c>
      <c r="AF126" s="44">
        <f t="shared" si="29"/>
        <v>1</v>
      </c>
      <c r="AG126" s="53">
        <v>6</v>
      </c>
      <c r="AH126" s="21"/>
      <c r="AI126" s="20"/>
      <c r="AK126" s="42"/>
    </row>
    <row r="127" spans="1:37" x14ac:dyDescent="0.25">
      <c r="A127" s="41" t="s">
        <v>89</v>
      </c>
      <c r="B127" s="44">
        <f t="shared" si="27"/>
        <v>1.58</v>
      </c>
      <c r="C127" s="55">
        <v>1.58</v>
      </c>
      <c r="D127" s="44">
        <f t="shared" si="30"/>
        <v>1.58</v>
      </c>
      <c r="E127" s="44">
        <f t="shared" si="30"/>
        <v>1.58</v>
      </c>
      <c r="F127" s="44">
        <f t="shared" si="30"/>
        <v>1.58</v>
      </c>
      <c r="G127" s="44">
        <f t="shared" si="30"/>
        <v>1.58</v>
      </c>
      <c r="H127" s="44">
        <f t="shared" si="30"/>
        <v>1.58</v>
      </c>
      <c r="I127" s="44">
        <f t="shared" si="30"/>
        <v>1.58</v>
      </c>
      <c r="J127" s="44">
        <f t="shared" si="30"/>
        <v>1.58</v>
      </c>
      <c r="K127" s="44">
        <f t="shared" si="30"/>
        <v>1.58</v>
      </c>
      <c r="L127" s="44">
        <f t="shared" si="30"/>
        <v>1.58</v>
      </c>
      <c r="M127" s="44">
        <f t="shared" si="30"/>
        <v>1.58</v>
      </c>
      <c r="N127" s="44">
        <f t="shared" si="30"/>
        <v>1.58</v>
      </c>
      <c r="O127" s="44">
        <f t="shared" si="30"/>
        <v>1.58</v>
      </c>
      <c r="P127" s="44">
        <f t="shared" si="30"/>
        <v>1.58</v>
      </c>
      <c r="Q127" s="44">
        <f t="shared" si="30"/>
        <v>1.58</v>
      </c>
      <c r="R127" s="44">
        <f t="shared" si="30"/>
        <v>1.58</v>
      </c>
      <c r="S127" s="44">
        <f t="shared" si="30"/>
        <v>1.58</v>
      </c>
      <c r="T127" s="44">
        <f t="shared" si="29"/>
        <v>1.58</v>
      </c>
      <c r="U127" s="44">
        <f t="shared" si="29"/>
        <v>1.58</v>
      </c>
      <c r="V127" s="44">
        <f t="shared" si="29"/>
        <v>1.58</v>
      </c>
      <c r="W127" s="44">
        <f t="shared" si="29"/>
        <v>1.58</v>
      </c>
      <c r="X127" s="44">
        <f t="shared" si="29"/>
        <v>1.58</v>
      </c>
      <c r="Y127" s="44">
        <f t="shared" si="29"/>
        <v>1.58</v>
      </c>
      <c r="Z127" s="44">
        <f t="shared" si="29"/>
        <v>1.58</v>
      </c>
      <c r="AA127" s="44">
        <f t="shared" si="29"/>
        <v>1.58</v>
      </c>
      <c r="AB127" s="44">
        <f t="shared" si="29"/>
        <v>1.58</v>
      </c>
      <c r="AC127" s="44">
        <f t="shared" si="29"/>
        <v>1.58</v>
      </c>
      <c r="AD127" s="44">
        <f t="shared" si="29"/>
        <v>1.58</v>
      </c>
      <c r="AE127" s="44">
        <f t="shared" si="29"/>
        <v>1.58</v>
      </c>
      <c r="AF127" s="44">
        <f t="shared" si="29"/>
        <v>1.58</v>
      </c>
      <c r="AG127" s="53">
        <v>5.0999999999999996</v>
      </c>
      <c r="AH127" s="21"/>
      <c r="AI127" s="20"/>
      <c r="AK127" s="42"/>
    </row>
    <row r="128" spans="1:37" x14ac:dyDescent="0.25">
      <c r="A128" s="41" t="s">
        <v>88</v>
      </c>
      <c r="B128" s="44">
        <f t="shared" si="27"/>
        <v>1.46</v>
      </c>
      <c r="C128" s="55">
        <v>1.46</v>
      </c>
      <c r="D128" s="44">
        <f t="shared" si="30"/>
        <v>1.46</v>
      </c>
      <c r="E128" s="44">
        <f t="shared" si="30"/>
        <v>1.46</v>
      </c>
      <c r="F128" s="44">
        <f t="shared" si="30"/>
        <v>1.46</v>
      </c>
      <c r="G128" s="44">
        <f t="shared" si="30"/>
        <v>1.46</v>
      </c>
      <c r="H128" s="44">
        <f t="shared" si="30"/>
        <v>1.46</v>
      </c>
      <c r="I128" s="44">
        <f t="shared" si="30"/>
        <v>1.46</v>
      </c>
      <c r="J128" s="44">
        <f t="shared" si="30"/>
        <v>1.46</v>
      </c>
      <c r="K128" s="44">
        <f t="shared" si="30"/>
        <v>1.46</v>
      </c>
      <c r="L128" s="44">
        <f t="shared" si="30"/>
        <v>1.46</v>
      </c>
      <c r="M128" s="44">
        <f t="shared" si="30"/>
        <v>1.46</v>
      </c>
      <c r="N128" s="44">
        <f t="shared" si="30"/>
        <v>1.46</v>
      </c>
      <c r="O128" s="44">
        <f t="shared" si="30"/>
        <v>1.46</v>
      </c>
      <c r="P128" s="44">
        <f t="shared" si="30"/>
        <v>1.46</v>
      </c>
      <c r="Q128" s="44">
        <f t="shared" si="30"/>
        <v>1.46</v>
      </c>
      <c r="R128" s="44">
        <f t="shared" si="30"/>
        <v>1.46</v>
      </c>
      <c r="S128" s="44">
        <f t="shared" si="30"/>
        <v>1.46</v>
      </c>
      <c r="T128" s="44">
        <f t="shared" ref="T128:AF129" si="31">S128</f>
        <v>1.46</v>
      </c>
      <c r="U128" s="44">
        <f t="shared" si="31"/>
        <v>1.46</v>
      </c>
      <c r="V128" s="44">
        <f t="shared" si="31"/>
        <v>1.46</v>
      </c>
      <c r="W128" s="44">
        <f t="shared" si="31"/>
        <v>1.46</v>
      </c>
      <c r="X128" s="44">
        <f t="shared" si="31"/>
        <v>1.46</v>
      </c>
      <c r="Y128" s="44">
        <f t="shared" si="31"/>
        <v>1.46</v>
      </c>
      <c r="Z128" s="44">
        <f t="shared" si="31"/>
        <v>1.46</v>
      </c>
      <c r="AA128" s="44">
        <f t="shared" si="31"/>
        <v>1.46</v>
      </c>
      <c r="AB128" s="44">
        <f t="shared" si="31"/>
        <v>1.46</v>
      </c>
      <c r="AC128" s="44">
        <f t="shared" si="31"/>
        <v>1.46</v>
      </c>
      <c r="AD128" s="44">
        <f t="shared" si="31"/>
        <v>1.46</v>
      </c>
      <c r="AE128" s="44">
        <f t="shared" si="31"/>
        <v>1.46</v>
      </c>
      <c r="AF128" s="44">
        <f t="shared" si="31"/>
        <v>1.46</v>
      </c>
      <c r="AG128" s="53">
        <v>5</v>
      </c>
      <c r="AH128" s="21"/>
      <c r="AI128" s="20"/>
      <c r="AK128" s="42"/>
    </row>
    <row r="129" spans="1:37" x14ac:dyDescent="0.25">
      <c r="A129" s="45" t="s">
        <v>87</v>
      </c>
      <c r="B129" s="44">
        <f t="shared" si="27"/>
        <v>1.48</v>
      </c>
      <c r="C129" s="55">
        <v>1.48</v>
      </c>
      <c r="D129" s="44">
        <f t="shared" si="30"/>
        <v>1.48</v>
      </c>
      <c r="E129" s="44">
        <f t="shared" si="30"/>
        <v>1.48</v>
      </c>
      <c r="F129" s="44">
        <f t="shared" si="30"/>
        <v>1.48</v>
      </c>
      <c r="G129" s="44">
        <f t="shared" si="30"/>
        <v>1.48</v>
      </c>
      <c r="H129" s="44">
        <f t="shared" si="30"/>
        <v>1.48</v>
      </c>
      <c r="I129" s="44">
        <f t="shared" si="30"/>
        <v>1.48</v>
      </c>
      <c r="J129" s="44">
        <f t="shared" si="30"/>
        <v>1.48</v>
      </c>
      <c r="K129" s="44">
        <f t="shared" si="30"/>
        <v>1.48</v>
      </c>
      <c r="L129" s="44">
        <f t="shared" si="30"/>
        <v>1.48</v>
      </c>
      <c r="M129" s="44">
        <f t="shared" si="30"/>
        <v>1.48</v>
      </c>
      <c r="N129" s="44">
        <f t="shared" si="30"/>
        <v>1.48</v>
      </c>
      <c r="O129" s="44">
        <f t="shared" si="30"/>
        <v>1.48</v>
      </c>
      <c r="P129" s="44">
        <f t="shared" si="30"/>
        <v>1.48</v>
      </c>
      <c r="Q129" s="44">
        <f t="shared" si="30"/>
        <v>1.48</v>
      </c>
      <c r="R129" s="44">
        <f t="shared" si="30"/>
        <v>1.48</v>
      </c>
      <c r="S129" s="44">
        <f t="shared" si="30"/>
        <v>1.48</v>
      </c>
      <c r="T129" s="44">
        <f t="shared" si="31"/>
        <v>1.48</v>
      </c>
      <c r="U129" s="44">
        <f t="shared" si="31"/>
        <v>1.48</v>
      </c>
      <c r="V129" s="44">
        <f t="shared" si="31"/>
        <v>1.48</v>
      </c>
      <c r="W129" s="44">
        <f t="shared" si="31"/>
        <v>1.48</v>
      </c>
      <c r="X129" s="44">
        <f t="shared" si="31"/>
        <v>1.48</v>
      </c>
      <c r="Y129" s="44">
        <f t="shared" si="31"/>
        <v>1.48</v>
      </c>
      <c r="Z129" s="44">
        <f t="shared" si="31"/>
        <v>1.48</v>
      </c>
      <c r="AA129" s="44">
        <f t="shared" si="31"/>
        <v>1.48</v>
      </c>
      <c r="AB129" s="44">
        <f t="shared" si="31"/>
        <v>1.48</v>
      </c>
      <c r="AC129" s="44">
        <f t="shared" si="31"/>
        <v>1.48</v>
      </c>
      <c r="AD129" s="44">
        <f t="shared" si="31"/>
        <v>1.48</v>
      </c>
      <c r="AE129" s="44">
        <f t="shared" si="31"/>
        <v>1.48</v>
      </c>
      <c r="AF129" s="44">
        <f t="shared" si="31"/>
        <v>1.48</v>
      </c>
      <c r="AG129" s="56">
        <v>5</v>
      </c>
      <c r="AH129" s="21"/>
      <c r="AI129" s="20"/>
      <c r="AK129" s="42"/>
    </row>
    <row r="130" spans="1:37" x14ac:dyDescent="0.25">
      <c r="A130" s="41" t="s">
        <v>86</v>
      </c>
      <c r="B130" s="44"/>
      <c r="C130" s="55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53">
        <v>5</v>
      </c>
      <c r="AH130" s="21"/>
      <c r="AI130" s="20"/>
      <c r="AK130" s="42"/>
    </row>
    <row r="131" spans="1:37" x14ac:dyDescent="0.25">
      <c r="A131" s="41" t="s">
        <v>85</v>
      </c>
      <c r="B131" s="44">
        <f t="shared" ref="B131:B138" si="32">AF131</f>
        <v>2.2000000000000002</v>
      </c>
      <c r="C131" s="55">
        <v>2.2000000000000002</v>
      </c>
      <c r="D131" s="44">
        <f t="shared" ref="D131:S138" si="33">C131</f>
        <v>2.2000000000000002</v>
      </c>
      <c r="E131" s="44">
        <f t="shared" si="33"/>
        <v>2.2000000000000002</v>
      </c>
      <c r="F131" s="44">
        <f t="shared" si="33"/>
        <v>2.2000000000000002</v>
      </c>
      <c r="G131" s="44">
        <f t="shared" si="33"/>
        <v>2.2000000000000002</v>
      </c>
      <c r="H131" s="44">
        <f t="shared" si="33"/>
        <v>2.2000000000000002</v>
      </c>
      <c r="I131" s="44">
        <f t="shared" si="33"/>
        <v>2.2000000000000002</v>
      </c>
      <c r="J131" s="44">
        <f t="shared" si="33"/>
        <v>2.2000000000000002</v>
      </c>
      <c r="K131" s="44">
        <f t="shared" si="33"/>
        <v>2.2000000000000002</v>
      </c>
      <c r="L131" s="44">
        <f t="shared" si="33"/>
        <v>2.2000000000000002</v>
      </c>
      <c r="M131" s="44">
        <f t="shared" si="33"/>
        <v>2.2000000000000002</v>
      </c>
      <c r="N131" s="44">
        <f t="shared" si="33"/>
        <v>2.2000000000000002</v>
      </c>
      <c r="O131" s="44">
        <f t="shared" si="33"/>
        <v>2.2000000000000002</v>
      </c>
      <c r="P131" s="44">
        <f t="shared" si="33"/>
        <v>2.2000000000000002</v>
      </c>
      <c r="Q131" s="44">
        <f t="shared" si="33"/>
        <v>2.2000000000000002</v>
      </c>
      <c r="R131" s="44">
        <f t="shared" si="33"/>
        <v>2.2000000000000002</v>
      </c>
      <c r="S131" s="44">
        <f t="shared" si="33"/>
        <v>2.2000000000000002</v>
      </c>
      <c r="T131" s="44">
        <f t="shared" ref="T131:AF138" si="34">S131</f>
        <v>2.2000000000000002</v>
      </c>
      <c r="U131" s="44">
        <f t="shared" si="34"/>
        <v>2.2000000000000002</v>
      </c>
      <c r="V131" s="44">
        <f t="shared" si="34"/>
        <v>2.2000000000000002</v>
      </c>
      <c r="W131" s="44">
        <f t="shared" si="34"/>
        <v>2.2000000000000002</v>
      </c>
      <c r="X131" s="44">
        <f t="shared" si="34"/>
        <v>2.2000000000000002</v>
      </c>
      <c r="Y131" s="44">
        <f t="shared" si="34"/>
        <v>2.2000000000000002</v>
      </c>
      <c r="Z131" s="44">
        <f t="shared" si="34"/>
        <v>2.2000000000000002</v>
      </c>
      <c r="AA131" s="44">
        <f t="shared" si="34"/>
        <v>2.2000000000000002</v>
      </c>
      <c r="AB131" s="44">
        <f t="shared" si="34"/>
        <v>2.2000000000000002</v>
      </c>
      <c r="AC131" s="44">
        <f t="shared" si="34"/>
        <v>2.2000000000000002</v>
      </c>
      <c r="AD131" s="44">
        <f t="shared" si="34"/>
        <v>2.2000000000000002</v>
      </c>
      <c r="AE131" s="44">
        <f t="shared" si="34"/>
        <v>2.2000000000000002</v>
      </c>
      <c r="AF131" s="44">
        <f t="shared" si="34"/>
        <v>2.2000000000000002</v>
      </c>
      <c r="AG131" s="53">
        <v>5</v>
      </c>
      <c r="AH131" s="21"/>
      <c r="AI131" s="20"/>
      <c r="AK131" s="42"/>
    </row>
    <row r="132" spans="1:37" x14ac:dyDescent="0.25">
      <c r="A132" s="41" t="s">
        <v>84</v>
      </c>
      <c r="B132" s="44">
        <f t="shared" si="32"/>
        <v>2</v>
      </c>
      <c r="C132" s="55">
        <v>2</v>
      </c>
      <c r="D132" s="44">
        <f t="shared" si="33"/>
        <v>2</v>
      </c>
      <c r="E132" s="44">
        <f t="shared" si="33"/>
        <v>2</v>
      </c>
      <c r="F132" s="44">
        <f t="shared" si="33"/>
        <v>2</v>
      </c>
      <c r="G132" s="44">
        <f t="shared" si="33"/>
        <v>2</v>
      </c>
      <c r="H132" s="44">
        <f t="shared" si="33"/>
        <v>2</v>
      </c>
      <c r="I132" s="44">
        <f t="shared" si="33"/>
        <v>2</v>
      </c>
      <c r="J132" s="44">
        <f t="shared" si="33"/>
        <v>2</v>
      </c>
      <c r="K132" s="44">
        <f t="shared" si="33"/>
        <v>2</v>
      </c>
      <c r="L132" s="44">
        <f t="shared" si="33"/>
        <v>2</v>
      </c>
      <c r="M132" s="44">
        <f t="shared" si="33"/>
        <v>2</v>
      </c>
      <c r="N132" s="44">
        <f t="shared" si="33"/>
        <v>2</v>
      </c>
      <c r="O132" s="44">
        <f t="shared" si="33"/>
        <v>2</v>
      </c>
      <c r="P132" s="44">
        <f t="shared" si="33"/>
        <v>2</v>
      </c>
      <c r="Q132" s="44">
        <f t="shared" si="33"/>
        <v>2</v>
      </c>
      <c r="R132" s="44">
        <f t="shared" si="33"/>
        <v>2</v>
      </c>
      <c r="S132" s="44">
        <f t="shared" si="33"/>
        <v>2</v>
      </c>
      <c r="T132" s="44">
        <f t="shared" si="34"/>
        <v>2</v>
      </c>
      <c r="U132" s="44">
        <f t="shared" si="34"/>
        <v>2</v>
      </c>
      <c r="V132" s="44">
        <f t="shared" si="34"/>
        <v>2</v>
      </c>
      <c r="W132" s="44">
        <f t="shared" si="34"/>
        <v>2</v>
      </c>
      <c r="X132" s="44">
        <f t="shared" si="34"/>
        <v>2</v>
      </c>
      <c r="Y132" s="44">
        <f t="shared" si="34"/>
        <v>2</v>
      </c>
      <c r="Z132" s="44">
        <f t="shared" si="34"/>
        <v>2</v>
      </c>
      <c r="AA132" s="44">
        <f t="shared" si="34"/>
        <v>2</v>
      </c>
      <c r="AB132" s="44">
        <f t="shared" si="34"/>
        <v>2</v>
      </c>
      <c r="AC132" s="44">
        <f t="shared" si="34"/>
        <v>2</v>
      </c>
      <c r="AD132" s="44">
        <f t="shared" si="34"/>
        <v>2</v>
      </c>
      <c r="AE132" s="44">
        <f t="shared" si="34"/>
        <v>2</v>
      </c>
      <c r="AF132" s="44">
        <f t="shared" si="34"/>
        <v>2</v>
      </c>
      <c r="AG132" s="53">
        <v>5</v>
      </c>
      <c r="AH132" s="21"/>
      <c r="AI132" s="20"/>
      <c r="AK132" s="42"/>
    </row>
    <row r="133" spans="1:37" x14ac:dyDescent="0.25">
      <c r="A133" s="41" t="s">
        <v>83</v>
      </c>
      <c r="B133" s="44">
        <f t="shared" si="32"/>
        <v>1.25</v>
      </c>
      <c r="C133" s="55">
        <v>1.25</v>
      </c>
      <c r="D133" s="44">
        <f t="shared" si="33"/>
        <v>1.25</v>
      </c>
      <c r="E133" s="44">
        <f t="shared" si="33"/>
        <v>1.25</v>
      </c>
      <c r="F133" s="44">
        <f t="shared" si="33"/>
        <v>1.25</v>
      </c>
      <c r="G133" s="44">
        <f t="shared" si="33"/>
        <v>1.25</v>
      </c>
      <c r="H133" s="44">
        <f t="shared" si="33"/>
        <v>1.25</v>
      </c>
      <c r="I133" s="44">
        <f t="shared" si="33"/>
        <v>1.25</v>
      </c>
      <c r="J133" s="44">
        <f t="shared" si="33"/>
        <v>1.25</v>
      </c>
      <c r="K133" s="44">
        <f t="shared" si="33"/>
        <v>1.25</v>
      </c>
      <c r="L133" s="44">
        <f t="shared" si="33"/>
        <v>1.25</v>
      </c>
      <c r="M133" s="44">
        <f t="shared" si="33"/>
        <v>1.25</v>
      </c>
      <c r="N133" s="44">
        <f t="shared" si="33"/>
        <v>1.25</v>
      </c>
      <c r="O133" s="44">
        <f t="shared" si="33"/>
        <v>1.25</v>
      </c>
      <c r="P133" s="44">
        <f t="shared" si="33"/>
        <v>1.25</v>
      </c>
      <c r="Q133" s="44">
        <f t="shared" si="33"/>
        <v>1.25</v>
      </c>
      <c r="R133" s="44">
        <f t="shared" si="33"/>
        <v>1.25</v>
      </c>
      <c r="S133" s="44">
        <f t="shared" si="33"/>
        <v>1.25</v>
      </c>
      <c r="T133" s="44">
        <f t="shared" si="34"/>
        <v>1.25</v>
      </c>
      <c r="U133" s="44">
        <f t="shared" si="34"/>
        <v>1.25</v>
      </c>
      <c r="V133" s="44">
        <f t="shared" si="34"/>
        <v>1.25</v>
      </c>
      <c r="W133" s="44">
        <f t="shared" si="34"/>
        <v>1.25</v>
      </c>
      <c r="X133" s="44">
        <f t="shared" si="34"/>
        <v>1.25</v>
      </c>
      <c r="Y133" s="44">
        <f t="shared" si="34"/>
        <v>1.25</v>
      </c>
      <c r="Z133" s="44">
        <f t="shared" si="34"/>
        <v>1.25</v>
      </c>
      <c r="AA133" s="44">
        <f t="shared" si="34"/>
        <v>1.25</v>
      </c>
      <c r="AB133" s="44">
        <f t="shared" si="34"/>
        <v>1.25</v>
      </c>
      <c r="AC133" s="44">
        <f t="shared" si="34"/>
        <v>1.25</v>
      </c>
      <c r="AD133" s="44">
        <f t="shared" si="34"/>
        <v>1.25</v>
      </c>
      <c r="AE133" s="44">
        <f t="shared" si="34"/>
        <v>1.25</v>
      </c>
      <c r="AF133" s="44">
        <f t="shared" si="34"/>
        <v>1.25</v>
      </c>
      <c r="AG133" s="53">
        <v>5</v>
      </c>
      <c r="AH133" s="21"/>
      <c r="AI133" s="20"/>
      <c r="AK133" s="42"/>
    </row>
    <row r="134" spans="1:37" x14ac:dyDescent="0.25">
      <c r="A134" s="41" t="s">
        <v>82</v>
      </c>
      <c r="B134" s="44">
        <f t="shared" si="32"/>
        <v>1.1499999999999999</v>
      </c>
      <c r="C134" s="55">
        <v>1.1499999999999999</v>
      </c>
      <c r="D134" s="44">
        <f t="shared" si="33"/>
        <v>1.1499999999999999</v>
      </c>
      <c r="E134" s="44">
        <f t="shared" si="33"/>
        <v>1.1499999999999999</v>
      </c>
      <c r="F134" s="44">
        <f t="shared" si="33"/>
        <v>1.1499999999999999</v>
      </c>
      <c r="G134" s="44">
        <f t="shared" si="33"/>
        <v>1.1499999999999999</v>
      </c>
      <c r="H134" s="44">
        <f t="shared" si="33"/>
        <v>1.1499999999999999</v>
      </c>
      <c r="I134" s="44">
        <f t="shared" si="33"/>
        <v>1.1499999999999999</v>
      </c>
      <c r="J134" s="44">
        <f t="shared" si="33"/>
        <v>1.1499999999999999</v>
      </c>
      <c r="K134" s="44">
        <f t="shared" si="33"/>
        <v>1.1499999999999999</v>
      </c>
      <c r="L134" s="44">
        <f t="shared" si="33"/>
        <v>1.1499999999999999</v>
      </c>
      <c r="M134" s="44">
        <f t="shared" si="33"/>
        <v>1.1499999999999999</v>
      </c>
      <c r="N134" s="44">
        <f t="shared" si="33"/>
        <v>1.1499999999999999</v>
      </c>
      <c r="O134" s="44">
        <f t="shared" si="33"/>
        <v>1.1499999999999999</v>
      </c>
      <c r="P134" s="44">
        <f t="shared" si="33"/>
        <v>1.1499999999999999</v>
      </c>
      <c r="Q134" s="44">
        <f t="shared" si="33"/>
        <v>1.1499999999999999</v>
      </c>
      <c r="R134" s="44">
        <f t="shared" si="33"/>
        <v>1.1499999999999999</v>
      </c>
      <c r="S134" s="44">
        <f t="shared" si="33"/>
        <v>1.1499999999999999</v>
      </c>
      <c r="T134" s="44">
        <f t="shared" si="34"/>
        <v>1.1499999999999999</v>
      </c>
      <c r="U134" s="44">
        <f t="shared" si="34"/>
        <v>1.1499999999999999</v>
      </c>
      <c r="V134" s="44">
        <f t="shared" si="34"/>
        <v>1.1499999999999999</v>
      </c>
      <c r="W134" s="44">
        <f t="shared" si="34"/>
        <v>1.1499999999999999</v>
      </c>
      <c r="X134" s="44">
        <f t="shared" si="34"/>
        <v>1.1499999999999999</v>
      </c>
      <c r="Y134" s="44">
        <f t="shared" si="34"/>
        <v>1.1499999999999999</v>
      </c>
      <c r="Z134" s="44">
        <f t="shared" si="34"/>
        <v>1.1499999999999999</v>
      </c>
      <c r="AA134" s="44">
        <f t="shared" si="34"/>
        <v>1.1499999999999999</v>
      </c>
      <c r="AB134" s="44">
        <f t="shared" si="34"/>
        <v>1.1499999999999999</v>
      </c>
      <c r="AC134" s="44">
        <f t="shared" si="34"/>
        <v>1.1499999999999999</v>
      </c>
      <c r="AD134" s="44">
        <f t="shared" si="34"/>
        <v>1.1499999999999999</v>
      </c>
      <c r="AE134" s="44">
        <f t="shared" si="34"/>
        <v>1.1499999999999999</v>
      </c>
      <c r="AF134" s="44">
        <f t="shared" si="34"/>
        <v>1.1499999999999999</v>
      </c>
      <c r="AG134" s="53">
        <v>5</v>
      </c>
      <c r="AH134" s="21"/>
      <c r="AI134" s="20"/>
      <c r="AK134" s="42"/>
    </row>
    <row r="135" spans="1:37" x14ac:dyDescent="0.25">
      <c r="A135" s="41" t="s">
        <v>81</v>
      </c>
      <c r="B135" s="44">
        <f t="shared" si="32"/>
        <v>2.133</v>
      </c>
      <c r="C135" s="55">
        <v>2.133</v>
      </c>
      <c r="D135" s="44">
        <f t="shared" si="33"/>
        <v>2.133</v>
      </c>
      <c r="E135" s="44">
        <f t="shared" si="33"/>
        <v>2.133</v>
      </c>
      <c r="F135" s="44">
        <f t="shared" si="33"/>
        <v>2.133</v>
      </c>
      <c r="G135" s="44">
        <f t="shared" si="33"/>
        <v>2.133</v>
      </c>
      <c r="H135" s="44">
        <f t="shared" si="33"/>
        <v>2.133</v>
      </c>
      <c r="I135" s="44">
        <f t="shared" si="33"/>
        <v>2.133</v>
      </c>
      <c r="J135" s="44">
        <f t="shared" si="33"/>
        <v>2.133</v>
      </c>
      <c r="K135" s="44">
        <f t="shared" si="33"/>
        <v>2.133</v>
      </c>
      <c r="L135" s="44">
        <f t="shared" si="33"/>
        <v>2.133</v>
      </c>
      <c r="M135" s="44">
        <f t="shared" si="33"/>
        <v>2.133</v>
      </c>
      <c r="N135" s="44">
        <f t="shared" si="33"/>
        <v>2.133</v>
      </c>
      <c r="O135" s="44">
        <f t="shared" si="33"/>
        <v>2.133</v>
      </c>
      <c r="P135" s="44">
        <f t="shared" si="33"/>
        <v>2.133</v>
      </c>
      <c r="Q135" s="44">
        <f t="shared" si="33"/>
        <v>2.133</v>
      </c>
      <c r="R135" s="44">
        <f t="shared" si="33"/>
        <v>2.133</v>
      </c>
      <c r="S135" s="44">
        <f t="shared" si="33"/>
        <v>2.133</v>
      </c>
      <c r="T135" s="44">
        <f t="shared" si="34"/>
        <v>2.133</v>
      </c>
      <c r="U135" s="44">
        <f t="shared" si="34"/>
        <v>2.133</v>
      </c>
      <c r="V135" s="44">
        <f t="shared" si="34"/>
        <v>2.133</v>
      </c>
      <c r="W135" s="44">
        <f t="shared" si="34"/>
        <v>2.133</v>
      </c>
      <c r="X135" s="44">
        <f t="shared" si="34"/>
        <v>2.133</v>
      </c>
      <c r="Y135" s="44">
        <f t="shared" si="34"/>
        <v>2.133</v>
      </c>
      <c r="Z135" s="44">
        <f t="shared" si="34"/>
        <v>2.133</v>
      </c>
      <c r="AA135" s="44">
        <f t="shared" si="34"/>
        <v>2.133</v>
      </c>
      <c r="AB135" s="44">
        <f t="shared" si="34"/>
        <v>2.133</v>
      </c>
      <c r="AC135" s="44">
        <f t="shared" si="34"/>
        <v>2.133</v>
      </c>
      <c r="AD135" s="44">
        <f t="shared" si="34"/>
        <v>2.133</v>
      </c>
      <c r="AE135" s="44">
        <f t="shared" si="34"/>
        <v>2.133</v>
      </c>
      <c r="AF135" s="44">
        <f t="shared" si="34"/>
        <v>2.133</v>
      </c>
      <c r="AG135" s="53">
        <v>4.9930000000000003</v>
      </c>
      <c r="AH135" s="21"/>
      <c r="AI135" s="20"/>
      <c r="AK135" s="42"/>
    </row>
    <row r="136" spans="1:37" x14ac:dyDescent="0.25">
      <c r="A136" s="41" t="s">
        <v>80</v>
      </c>
      <c r="B136" s="44">
        <f t="shared" si="32"/>
        <v>2.09</v>
      </c>
      <c r="C136" s="55">
        <v>2.09</v>
      </c>
      <c r="D136" s="44">
        <f t="shared" si="33"/>
        <v>2.09</v>
      </c>
      <c r="E136" s="44">
        <f t="shared" si="33"/>
        <v>2.09</v>
      </c>
      <c r="F136" s="44">
        <f t="shared" si="33"/>
        <v>2.09</v>
      </c>
      <c r="G136" s="44">
        <f t="shared" si="33"/>
        <v>2.09</v>
      </c>
      <c r="H136" s="44">
        <f t="shared" si="33"/>
        <v>2.09</v>
      </c>
      <c r="I136" s="44">
        <f t="shared" si="33"/>
        <v>2.09</v>
      </c>
      <c r="J136" s="44">
        <f t="shared" si="33"/>
        <v>2.09</v>
      </c>
      <c r="K136" s="44">
        <f t="shared" si="33"/>
        <v>2.09</v>
      </c>
      <c r="L136" s="44">
        <f t="shared" si="33"/>
        <v>2.09</v>
      </c>
      <c r="M136" s="44">
        <f t="shared" si="33"/>
        <v>2.09</v>
      </c>
      <c r="N136" s="44">
        <f t="shared" si="33"/>
        <v>2.09</v>
      </c>
      <c r="O136" s="44">
        <f t="shared" si="33"/>
        <v>2.09</v>
      </c>
      <c r="P136" s="44">
        <f t="shared" si="33"/>
        <v>2.09</v>
      </c>
      <c r="Q136" s="44">
        <f t="shared" si="33"/>
        <v>2.09</v>
      </c>
      <c r="R136" s="44">
        <f t="shared" si="33"/>
        <v>2.09</v>
      </c>
      <c r="S136" s="44">
        <f t="shared" si="33"/>
        <v>2.09</v>
      </c>
      <c r="T136" s="44">
        <f t="shared" si="34"/>
        <v>2.09</v>
      </c>
      <c r="U136" s="44">
        <f t="shared" si="34"/>
        <v>2.09</v>
      </c>
      <c r="V136" s="44">
        <f t="shared" si="34"/>
        <v>2.09</v>
      </c>
      <c r="W136" s="44">
        <f t="shared" si="34"/>
        <v>2.09</v>
      </c>
      <c r="X136" s="44">
        <f t="shared" si="34"/>
        <v>2.09</v>
      </c>
      <c r="Y136" s="44">
        <f t="shared" si="34"/>
        <v>2.09</v>
      </c>
      <c r="Z136" s="44">
        <f t="shared" si="34"/>
        <v>2.09</v>
      </c>
      <c r="AA136" s="44">
        <f t="shared" si="34"/>
        <v>2.09</v>
      </c>
      <c r="AB136" s="44">
        <f t="shared" si="34"/>
        <v>2.09</v>
      </c>
      <c r="AC136" s="44">
        <f t="shared" si="34"/>
        <v>2.09</v>
      </c>
      <c r="AD136" s="44">
        <f t="shared" si="34"/>
        <v>2.09</v>
      </c>
      <c r="AE136" s="44">
        <f t="shared" si="34"/>
        <v>2.09</v>
      </c>
      <c r="AF136" s="44">
        <f t="shared" si="34"/>
        <v>2.09</v>
      </c>
      <c r="AG136" s="53">
        <v>4.9800000000000004</v>
      </c>
      <c r="AH136" s="21"/>
      <c r="AI136" s="20"/>
      <c r="AK136" s="42"/>
    </row>
    <row r="137" spans="1:37" x14ac:dyDescent="0.25">
      <c r="A137" s="41" t="s">
        <v>79</v>
      </c>
      <c r="B137" s="44">
        <f t="shared" si="32"/>
        <v>1.1399999999999999</v>
      </c>
      <c r="C137" s="55">
        <v>1.1399999999999999</v>
      </c>
      <c r="D137" s="44">
        <f t="shared" si="33"/>
        <v>1.1399999999999999</v>
      </c>
      <c r="E137" s="44">
        <f t="shared" si="33"/>
        <v>1.1399999999999999</v>
      </c>
      <c r="F137" s="44">
        <f t="shared" si="33"/>
        <v>1.1399999999999999</v>
      </c>
      <c r="G137" s="44">
        <f t="shared" si="33"/>
        <v>1.1399999999999999</v>
      </c>
      <c r="H137" s="44">
        <f t="shared" si="33"/>
        <v>1.1399999999999999</v>
      </c>
      <c r="I137" s="44">
        <f t="shared" si="33"/>
        <v>1.1399999999999999</v>
      </c>
      <c r="J137" s="44">
        <f t="shared" si="33"/>
        <v>1.1399999999999999</v>
      </c>
      <c r="K137" s="44">
        <f t="shared" si="33"/>
        <v>1.1399999999999999</v>
      </c>
      <c r="L137" s="44">
        <f t="shared" si="33"/>
        <v>1.1399999999999999</v>
      </c>
      <c r="M137" s="44">
        <f t="shared" si="33"/>
        <v>1.1399999999999999</v>
      </c>
      <c r="N137" s="44">
        <f t="shared" si="33"/>
        <v>1.1399999999999999</v>
      </c>
      <c r="O137" s="44">
        <f t="shared" si="33"/>
        <v>1.1399999999999999</v>
      </c>
      <c r="P137" s="44">
        <f t="shared" si="33"/>
        <v>1.1399999999999999</v>
      </c>
      <c r="Q137" s="44">
        <f t="shared" si="33"/>
        <v>1.1399999999999999</v>
      </c>
      <c r="R137" s="44">
        <f t="shared" si="33"/>
        <v>1.1399999999999999</v>
      </c>
      <c r="S137" s="44">
        <f t="shared" si="33"/>
        <v>1.1399999999999999</v>
      </c>
      <c r="T137" s="44">
        <f t="shared" si="34"/>
        <v>1.1399999999999999</v>
      </c>
      <c r="U137" s="44">
        <f t="shared" si="34"/>
        <v>1.1399999999999999</v>
      </c>
      <c r="V137" s="44">
        <f t="shared" si="34"/>
        <v>1.1399999999999999</v>
      </c>
      <c r="W137" s="44">
        <f t="shared" si="34"/>
        <v>1.1399999999999999</v>
      </c>
      <c r="X137" s="44">
        <f t="shared" si="34"/>
        <v>1.1399999999999999</v>
      </c>
      <c r="Y137" s="44">
        <f t="shared" si="34"/>
        <v>1.1399999999999999</v>
      </c>
      <c r="Z137" s="44">
        <f t="shared" si="34"/>
        <v>1.1399999999999999</v>
      </c>
      <c r="AA137" s="44">
        <f t="shared" si="34"/>
        <v>1.1399999999999999</v>
      </c>
      <c r="AB137" s="44">
        <f t="shared" si="34"/>
        <v>1.1399999999999999</v>
      </c>
      <c r="AC137" s="44">
        <f t="shared" si="34"/>
        <v>1.1399999999999999</v>
      </c>
      <c r="AD137" s="44">
        <f t="shared" si="34"/>
        <v>1.1399999999999999</v>
      </c>
      <c r="AE137" s="44">
        <f t="shared" si="34"/>
        <v>1.1399999999999999</v>
      </c>
      <c r="AF137" s="44">
        <f t="shared" si="34"/>
        <v>1.1399999999999999</v>
      </c>
      <c r="AG137" s="53">
        <v>4.95</v>
      </c>
      <c r="AH137" s="21"/>
      <c r="AI137" s="20"/>
      <c r="AK137" s="42"/>
    </row>
    <row r="138" spans="1:37" x14ac:dyDescent="0.25">
      <c r="A138" s="41" t="s">
        <v>78</v>
      </c>
      <c r="B138" s="44">
        <f t="shared" si="32"/>
        <v>0.82</v>
      </c>
      <c r="C138" s="55">
        <v>0.82</v>
      </c>
      <c r="D138" s="44">
        <f t="shared" si="33"/>
        <v>0.82</v>
      </c>
      <c r="E138" s="44">
        <f t="shared" si="33"/>
        <v>0.82</v>
      </c>
      <c r="F138" s="44">
        <f t="shared" si="33"/>
        <v>0.82</v>
      </c>
      <c r="G138" s="44">
        <f t="shared" si="33"/>
        <v>0.82</v>
      </c>
      <c r="H138" s="44">
        <f t="shared" si="33"/>
        <v>0.82</v>
      </c>
      <c r="I138" s="44">
        <f t="shared" si="33"/>
        <v>0.82</v>
      </c>
      <c r="J138" s="44">
        <f t="shared" si="33"/>
        <v>0.82</v>
      </c>
      <c r="K138" s="44">
        <f t="shared" si="33"/>
        <v>0.82</v>
      </c>
      <c r="L138" s="44">
        <f t="shared" si="33"/>
        <v>0.82</v>
      </c>
      <c r="M138" s="44">
        <f t="shared" si="33"/>
        <v>0.82</v>
      </c>
      <c r="N138" s="44">
        <f t="shared" si="33"/>
        <v>0.82</v>
      </c>
      <c r="O138" s="44">
        <f t="shared" si="33"/>
        <v>0.82</v>
      </c>
      <c r="P138" s="44">
        <f t="shared" si="33"/>
        <v>0.82</v>
      </c>
      <c r="Q138" s="44">
        <f t="shared" si="33"/>
        <v>0.82</v>
      </c>
      <c r="R138" s="44">
        <f t="shared" si="33"/>
        <v>0.82</v>
      </c>
      <c r="S138" s="44">
        <f t="shared" si="33"/>
        <v>0.82</v>
      </c>
      <c r="T138" s="44">
        <f t="shared" si="34"/>
        <v>0.82</v>
      </c>
      <c r="U138" s="44">
        <f t="shared" si="34"/>
        <v>0.82</v>
      </c>
      <c r="V138" s="44">
        <f t="shared" si="34"/>
        <v>0.82</v>
      </c>
      <c r="W138" s="44">
        <f t="shared" si="34"/>
        <v>0.82</v>
      </c>
      <c r="X138" s="44">
        <f t="shared" si="34"/>
        <v>0.82</v>
      </c>
      <c r="Y138" s="44">
        <f t="shared" si="34"/>
        <v>0.82</v>
      </c>
      <c r="Z138" s="44">
        <f t="shared" si="34"/>
        <v>0.82</v>
      </c>
      <c r="AA138" s="44">
        <f t="shared" si="34"/>
        <v>0.82</v>
      </c>
      <c r="AB138" s="44">
        <f t="shared" si="34"/>
        <v>0.82</v>
      </c>
      <c r="AC138" s="44">
        <f t="shared" si="34"/>
        <v>0.82</v>
      </c>
      <c r="AD138" s="44">
        <f t="shared" si="34"/>
        <v>0.82</v>
      </c>
      <c r="AE138" s="44">
        <f t="shared" si="34"/>
        <v>0.82</v>
      </c>
      <c r="AF138" s="44">
        <f t="shared" si="34"/>
        <v>0.82</v>
      </c>
      <c r="AG138" s="53">
        <v>4.95</v>
      </c>
      <c r="AH138" s="21"/>
      <c r="AI138" s="20"/>
      <c r="AK138" s="42"/>
    </row>
    <row r="139" spans="1:37" x14ac:dyDescent="0.25">
      <c r="A139" s="41" t="s">
        <v>77</v>
      </c>
      <c r="B139" s="44"/>
      <c r="C139" s="55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53">
        <v>4.8</v>
      </c>
      <c r="AH139" s="21"/>
      <c r="AI139" s="20"/>
      <c r="AK139" s="42"/>
    </row>
    <row r="140" spans="1:37" x14ac:dyDescent="0.25">
      <c r="A140" s="41" t="s">
        <v>76</v>
      </c>
      <c r="B140" s="44">
        <f t="shared" ref="B140:B146" si="35">AF140</f>
        <v>2</v>
      </c>
      <c r="C140" s="55">
        <v>2</v>
      </c>
      <c r="D140" s="44">
        <f t="shared" ref="D140:S146" si="36">C140</f>
        <v>2</v>
      </c>
      <c r="E140" s="44">
        <f t="shared" si="36"/>
        <v>2</v>
      </c>
      <c r="F140" s="44">
        <f t="shared" si="36"/>
        <v>2</v>
      </c>
      <c r="G140" s="44">
        <f t="shared" si="36"/>
        <v>2</v>
      </c>
      <c r="H140" s="44">
        <f t="shared" si="36"/>
        <v>2</v>
      </c>
      <c r="I140" s="44">
        <f t="shared" si="36"/>
        <v>2</v>
      </c>
      <c r="J140" s="44">
        <f t="shared" si="36"/>
        <v>2</v>
      </c>
      <c r="K140" s="44">
        <f t="shared" si="36"/>
        <v>2</v>
      </c>
      <c r="L140" s="44">
        <f t="shared" si="36"/>
        <v>2</v>
      </c>
      <c r="M140" s="44">
        <f t="shared" si="36"/>
        <v>2</v>
      </c>
      <c r="N140" s="44">
        <f t="shared" si="36"/>
        <v>2</v>
      </c>
      <c r="O140" s="44">
        <f t="shared" si="36"/>
        <v>2</v>
      </c>
      <c r="P140" s="44">
        <f t="shared" si="36"/>
        <v>2</v>
      </c>
      <c r="Q140" s="44">
        <f t="shared" si="36"/>
        <v>2</v>
      </c>
      <c r="R140" s="44">
        <f t="shared" si="36"/>
        <v>2</v>
      </c>
      <c r="S140" s="44">
        <f t="shared" si="36"/>
        <v>2</v>
      </c>
      <c r="T140" s="44">
        <f t="shared" ref="T140:AF146" si="37">S140</f>
        <v>2</v>
      </c>
      <c r="U140" s="44">
        <f t="shared" si="37"/>
        <v>2</v>
      </c>
      <c r="V140" s="44">
        <f t="shared" si="37"/>
        <v>2</v>
      </c>
      <c r="W140" s="44">
        <f t="shared" si="37"/>
        <v>2</v>
      </c>
      <c r="X140" s="44">
        <f t="shared" si="37"/>
        <v>2</v>
      </c>
      <c r="Y140" s="44">
        <f t="shared" si="37"/>
        <v>2</v>
      </c>
      <c r="Z140" s="44">
        <f t="shared" si="37"/>
        <v>2</v>
      </c>
      <c r="AA140" s="44">
        <f t="shared" si="37"/>
        <v>2</v>
      </c>
      <c r="AB140" s="44">
        <f t="shared" si="37"/>
        <v>2</v>
      </c>
      <c r="AC140" s="44">
        <f t="shared" si="37"/>
        <v>2</v>
      </c>
      <c r="AD140" s="44">
        <f t="shared" si="37"/>
        <v>2</v>
      </c>
      <c r="AE140" s="44">
        <f t="shared" si="37"/>
        <v>2</v>
      </c>
      <c r="AF140" s="44">
        <f t="shared" si="37"/>
        <v>2</v>
      </c>
      <c r="AG140" s="53">
        <v>4.8</v>
      </c>
      <c r="AH140" s="21"/>
      <c r="AI140" s="20"/>
      <c r="AK140" s="42"/>
    </row>
    <row r="141" spans="1:37" x14ac:dyDescent="0.25">
      <c r="A141" s="41" t="s">
        <v>75</v>
      </c>
      <c r="B141" s="44">
        <f t="shared" si="35"/>
        <v>5.61</v>
      </c>
      <c r="C141" s="55">
        <v>5.61</v>
      </c>
      <c r="D141" s="44">
        <f t="shared" si="36"/>
        <v>5.61</v>
      </c>
      <c r="E141" s="44">
        <f t="shared" si="36"/>
        <v>5.61</v>
      </c>
      <c r="F141" s="44">
        <f t="shared" si="36"/>
        <v>5.61</v>
      </c>
      <c r="G141" s="44">
        <f t="shared" si="36"/>
        <v>5.61</v>
      </c>
      <c r="H141" s="44">
        <f t="shared" si="36"/>
        <v>5.61</v>
      </c>
      <c r="I141" s="44">
        <f t="shared" si="36"/>
        <v>5.61</v>
      </c>
      <c r="J141" s="44">
        <f t="shared" si="36"/>
        <v>5.61</v>
      </c>
      <c r="K141" s="44">
        <f t="shared" si="36"/>
        <v>5.61</v>
      </c>
      <c r="L141" s="44">
        <f t="shared" si="36"/>
        <v>5.61</v>
      </c>
      <c r="M141" s="44">
        <f t="shared" si="36"/>
        <v>5.61</v>
      </c>
      <c r="N141" s="44">
        <f t="shared" si="36"/>
        <v>5.61</v>
      </c>
      <c r="O141" s="44">
        <f t="shared" si="36"/>
        <v>5.61</v>
      </c>
      <c r="P141" s="44">
        <f t="shared" si="36"/>
        <v>5.61</v>
      </c>
      <c r="Q141" s="44">
        <f t="shared" si="36"/>
        <v>5.61</v>
      </c>
      <c r="R141" s="44">
        <f t="shared" si="36"/>
        <v>5.61</v>
      </c>
      <c r="S141" s="44">
        <f t="shared" si="36"/>
        <v>5.61</v>
      </c>
      <c r="T141" s="44">
        <f t="shared" si="37"/>
        <v>5.61</v>
      </c>
      <c r="U141" s="44">
        <f t="shared" si="37"/>
        <v>5.61</v>
      </c>
      <c r="V141" s="44">
        <f t="shared" si="37"/>
        <v>5.61</v>
      </c>
      <c r="W141" s="44">
        <f t="shared" si="37"/>
        <v>5.61</v>
      </c>
      <c r="X141" s="44">
        <f t="shared" si="37"/>
        <v>5.61</v>
      </c>
      <c r="Y141" s="44">
        <f t="shared" si="37"/>
        <v>5.61</v>
      </c>
      <c r="Z141" s="44">
        <f t="shared" si="37"/>
        <v>5.61</v>
      </c>
      <c r="AA141" s="44">
        <f t="shared" si="37"/>
        <v>5.61</v>
      </c>
      <c r="AB141" s="44">
        <f t="shared" si="37"/>
        <v>5.61</v>
      </c>
      <c r="AC141" s="44">
        <f t="shared" si="37"/>
        <v>5.61</v>
      </c>
      <c r="AD141" s="44">
        <f t="shared" si="37"/>
        <v>5.61</v>
      </c>
      <c r="AE141" s="44">
        <f t="shared" si="37"/>
        <v>5.61</v>
      </c>
      <c r="AF141" s="44">
        <f t="shared" si="37"/>
        <v>5.61</v>
      </c>
      <c r="AG141" s="53">
        <v>4.8</v>
      </c>
      <c r="AH141" s="21"/>
      <c r="AI141" s="20"/>
      <c r="AK141" s="42"/>
    </row>
    <row r="142" spans="1:37" x14ac:dyDescent="0.25">
      <c r="A142" s="41" t="s">
        <v>74</v>
      </c>
      <c r="B142" s="44">
        <f t="shared" si="35"/>
        <v>1.25</v>
      </c>
      <c r="C142" s="55">
        <v>1.25</v>
      </c>
      <c r="D142" s="44">
        <f t="shared" si="36"/>
        <v>1.25</v>
      </c>
      <c r="E142" s="44">
        <f t="shared" si="36"/>
        <v>1.25</v>
      </c>
      <c r="F142" s="44">
        <f t="shared" si="36"/>
        <v>1.25</v>
      </c>
      <c r="G142" s="44">
        <f t="shared" si="36"/>
        <v>1.25</v>
      </c>
      <c r="H142" s="44">
        <f t="shared" si="36"/>
        <v>1.25</v>
      </c>
      <c r="I142" s="44">
        <f t="shared" si="36"/>
        <v>1.25</v>
      </c>
      <c r="J142" s="44">
        <f t="shared" si="36"/>
        <v>1.25</v>
      </c>
      <c r="K142" s="44">
        <f t="shared" si="36"/>
        <v>1.25</v>
      </c>
      <c r="L142" s="44">
        <f t="shared" si="36"/>
        <v>1.25</v>
      </c>
      <c r="M142" s="44">
        <f t="shared" si="36"/>
        <v>1.25</v>
      </c>
      <c r="N142" s="44">
        <f t="shared" si="36"/>
        <v>1.25</v>
      </c>
      <c r="O142" s="44">
        <f t="shared" si="36"/>
        <v>1.25</v>
      </c>
      <c r="P142" s="44">
        <f t="shared" si="36"/>
        <v>1.25</v>
      </c>
      <c r="Q142" s="44">
        <f t="shared" si="36"/>
        <v>1.25</v>
      </c>
      <c r="R142" s="44">
        <f t="shared" si="36"/>
        <v>1.25</v>
      </c>
      <c r="S142" s="44">
        <f t="shared" si="36"/>
        <v>1.25</v>
      </c>
      <c r="T142" s="44">
        <f t="shared" si="37"/>
        <v>1.25</v>
      </c>
      <c r="U142" s="44">
        <f t="shared" si="37"/>
        <v>1.25</v>
      </c>
      <c r="V142" s="44">
        <f t="shared" si="37"/>
        <v>1.25</v>
      </c>
      <c r="W142" s="44">
        <f t="shared" si="37"/>
        <v>1.25</v>
      </c>
      <c r="X142" s="44">
        <f t="shared" si="37"/>
        <v>1.25</v>
      </c>
      <c r="Y142" s="44">
        <f t="shared" si="37"/>
        <v>1.25</v>
      </c>
      <c r="Z142" s="44">
        <f t="shared" si="37"/>
        <v>1.25</v>
      </c>
      <c r="AA142" s="44">
        <f t="shared" si="37"/>
        <v>1.25</v>
      </c>
      <c r="AB142" s="44">
        <f t="shared" si="37"/>
        <v>1.25</v>
      </c>
      <c r="AC142" s="44">
        <f t="shared" si="37"/>
        <v>1.25</v>
      </c>
      <c r="AD142" s="44">
        <f t="shared" si="37"/>
        <v>1.25</v>
      </c>
      <c r="AE142" s="44">
        <f t="shared" si="37"/>
        <v>1.25</v>
      </c>
      <c r="AF142" s="44">
        <f t="shared" si="37"/>
        <v>1.25</v>
      </c>
      <c r="AG142" s="53">
        <v>4.5</v>
      </c>
      <c r="AH142" s="21"/>
      <c r="AI142" s="20"/>
      <c r="AK142" s="42"/>
    </row>
    <row r="143" spans="1:37" x14ac:dyDescent="0.25">
      <c r="A143" s="41" t="s">
        <v>73</v>
      </c>
      <c r="B143" s="44">
        <f t="shared" si="35"/>
        <v>1.25</v>
      </c>
      <c r="C143" s="55">
        <v>1.25</v>
      </c>
      <c r="D143" s="44">
        <f t="shared" si="36"/>
        <v>1.25</v>
      </c>
      <c r="E143" s="44">
        <f t="shared" si="36"/>
        <v>1.25</v>
      </c>
      <c r="F143" s="44">
        <f t="shared" si="36"/>
        <v>1.25</v>
      </c>
      <c r="G143" s="44">
        <f t="shared" si="36"/>
        <v>1.25</v>
      </c>
      <c r="H143" s="44">
        <f t="shared" si="36"/>
        <v>1.25</v>
      </c>
      <c r="I143" s="44">
        <f t="shared" si="36"/>
        <v>1.25</v>
      </c>
      <c r="J143" s="44">
        <f t="shared" si="36"/>
        <v>1.25</v>
      </c>
      <c r="K143" s="44">
        <f t="shared" si="36"/>
        <v>1.25</v>
      </c>
      <c r="L143" s="44">
        <f t="shared" si="36"/>
        <v>1.25</v>
      </c>
      <c r="M143" s="44">
        <f t="shared" si="36"/>
        <v>1.25</v>
      </c>
      <c r="N143" s="44">
        <f t="shared" si="36"/>
        <v>1.25</v>
      </c>
      <c r="O143" s="44">
        <f t="shared" si="36"/>
        <v>1.25</v>
      </c>
      <c r="P143" s="44">
        <f t="shared" si="36"/>
        <v>1.25</v>
      </c>
      <c r="Q143" s="44">
        <f t="shared" si="36"/>
        <v>1.25</v>
      </c>
      <c r="R143" s="44">
        <f t="shared" si="36"/>
        <v>1.25</v>
      </c>
      <c r="S143" s="44">
        <f t="shared" si="36"/>
        <v>1.25</v>
      </c>
      <c r="T143" s="44">
        <f t="shared" si="37"/>
        <v>1.25</v>
      </c>
      <c r="U143" s="44">
        <f t="shared" si="37"/>
        <v>1.25</v>
      </c>
      <c r="V143" s="44">
        <f t="shared" si="37"/>
        <v>1.25</v>
      </c>
      <c r="W143" s="44">
        <f t="shared" si="37"/>
        <v>1.25</v>
      </c>
      <c r="X143" s="44">
        <f t="shared" si="37"/>
        <v>1.25</v>
      </c>
      <c r="Y143" s="44">
        <f t="shared" si="37"/>
        <v>1.25</v>
      </c>
      <c r="Z143" s="44">
        <f t="shared" si="37"/>
        <v>1.25</v>
      </c>
      <c r="AA143" s="44">
        <f t="shared" si="37"/>
        <v>1.25</v>
      </c>
      <c r="AB143" s="44">
        <f t="shared" si="37"/>
        <v>1.25</v>
      </c>
      <c r="AC143" s="44">
        <f t="shared" si="37"/>
        <v>1.25</v>
      </c>
      <c r="AD143" s="44">
        <f t="shared" si="37"/>
        <v>1.25</v>
      </c>
      <c r="AE143" s="44">
        <f t="shared" si="37"/>
        <v>1.25</v>
      </c>
      <c r="AF143" s="44">
        <f t="shared" si="37"/>
        <v>1.25</v>
      </c>
      <c r="AG143" s="53">
        <v>4.5</v>
      </c>
      <c r="AH143" s="21"/>
      <c r="AI143" s="20"/>
      <c r="AK143" s="42"/>
    </row>
    <row r="144" spans="1:37" x14ac:dyDescent="0.25">
      <c r="A144" s="41" t="s">
        <v>72</v>
      </c>
      <c r="B144" s="44">
        <f t="shared" si="35"/>
        <v>1.46</v>
      </c>
      <c r="C144" s="55">
        <v>1.46</v>
      </c>
      <c r="D144" s="44">
        <f t="shared" si="36"/>
        <v>1.46</v>
      </c>
      <c r="E144" s="44">
        <f t="shared" si="36"/>
        <v>1.46</v>
      </c>
      <c r="F144" s="44">
        <f t="shared" si="36"/>
        <v>1.46</v>
      </c>
      <c r="G144" s="44">
        <f t="shared" si="36"/>
        <v>1.46</v>
      </c>
      <c r="H144" s="44">
        <f t="shared" si="36"/>
        <v>1.46</v>
      </c>
      <c r="I144" s="44">
        <f t="shared" si="36"/>
        <v>1.46</v>
      </c>
      <c r="J144" s="44">
        <f t="shared" si="36"/>
        <v>1.46</v>
      </c>
      <c r="K144" s="44">
        <f t="shared" si="36"/>
        <v>1.46</v>
      </c>
      <c r="L144" s="44">
        <f t="shared" si="36"/>
        <v>1.46</v>
      </c>
      <c r="M144" s="44">
        <f t="shared" si="36"/>
        <v>1.46</v>
      </c>
      <c r="N144" s="44">
        <f t="shared" si="36"/>
        <v>1.46</v>
      </c>
      <c r="O144" s="44">
        <f t="shared" si="36"/>
        <v>1.46</v>
      </c>
      <c r="P144" s="44">
        <f t="shared" si="36"/>
        <v>1.46</v>
      </c>
      <c r="Q144" s="44">
        <f t="shared" si="36"/>
        <v>1.46</v>
      </c>
      <c r="R144" s="44">
        <f t="shared" si="36"/>
        <v>1.46</v>
      </c>
      <c r="S144" s="44">
        <f t="shared" si="36"/>
        <v>1.46</v>
      </c>
      <c r="T144" s="44">
        <f t="shared" si="37"/>
        <v>1.46</v>
      </c>
      <c r="U144" s="44">
        <f t="shared" si="37"/>
        <v>1.46</v>
      </c>
      <c r="V144" s="44">
        <f t="shared" si="37"/>
        <v>1.46</v>
      </c>
      <c r="W144" s="44">
        <f t="shared" si="37"/>
        <v>1.46</v>
      </c>
      <c r="X144" s="44">
        <f t="shared" si="37"/>
        <v>1.46</v>
      </c>
      <c r="Y144" s="44">
        <f t="shared" si="37"/>
        <v>1.46</v>
      </c>
      <c r="Z144" s="44">
        <f t="shared" si="37"/>
        <v>1.46</v>
      </c>
      <c r="AA144" s="44">
        <f t="shared" si="37"/>
        <v>1.46</v>
      </c>
      <c r="AB144" s="44">
        <f t="shared" si="37"/>
        <v>1.46</v>
      </c>
      <c r="AC144" s="44">
        <f t="shared" si="37"/>
        <v>1.46</v>
      </c>
      <c r="AD144" s="44">
        <f t="shared" si="37"/>
        <v>1.46</v>
      </c>
      <c r="AE144" s="44">
        <f t="shared" si="37"/>
        <v>1.46</v>
      </c>
      <c r="AF144" s="44">
        <f t="shared" si="37"/>
        <v>1.46</v>
      </c>
      <c r="AG144" s="53">
        <v>4.4550000000000001</v>
      </c>
      <c r="AH144" s="21"/>
      <c r="AI144" s="20"/>
      <c r="AK144" s="42"/>
    </row>
    <row r="145" spans="1:37" x14ac:dyDescent="0.25">
      <c r="A145" s="41" t="s">
        <v>71</v>
      </c>
      <c r="B145" s="44">
        <f t="shared" si="35"/>
        <v>3</v>
      </c>
      <c r="C145" s="55">
        <v>3</v>
      </c>
      <c r="D145" s="44">
        <f t="shared" si="36"/>
        <v>3</v>
      </c>
      <c r="E145" s="44">
        <f t="shared" si="36"/>
        <v>3</v>
      </c>
      <c r="F145" s="44">
        <f t="shared" si="36"/>
        <v>3</v>
      </c>
      <c r="G145" s="44">
        <f t="shared" si="36"/>
        <v>3</v>
      </c>
      <c r="H145" s="44">
        <f t="shared" si="36"/>
        <v>3</v>
      </c>
      <c r="I145" s="44">
        <f t="shared" si="36"/>
        <v>3</v>
      </c>
      <c r="J145" s="44">
        <f t="shared" si="36"/>
        <v>3</v>
      </c>
      <c r="K145" s="44">
        <f t="shared" si="36"/>
        <v>3</v>
      </c>
      <c r="L145" s="44">
        <f t="shared" si="36"/>
        <v>3</v>
      </c>
      <c r="M145" s="44">
        <f t="shared" si="36"/>
        <v>3</v>
      </c>
      <c r="N145" s="44">
        <f t="shared" si="36"/>
        <v>3</v>
      </c>
      <c r="O145" s="44">
        <f t="shared" si="36"/>
        <v>3</v>
      </c>
      <c r="P145" s="44">
        <f t="shared" si="36"/>
        <v>3</v>
      </c>
      <c r="Q145" s="44">
        <f t="shared" si="36"/>
        <v>3</v>
      </c>
      <c r="R145" s="44">
        <f t="shared" si="36"/>
        <v>3</v>
      </c>
      <c r="S145" s="44">
        <f t="shared" si="36"/>
        <v>3</v>
      </c>
      <c r="T145" s="44">
        <f t="shared" si="37"/>
        <v>3</v>
      </c>
      <c r="U145" s="44">
        <f t="shared" si="37"/>
        <v>3</v>
      </c>
      <c r="V145" s="44">
        <f t="shared" si="37"/>
        <v>3</v>
      </c>
      <c r="W145" s="44">
        <f t="shared" si="37"/>
        <v>3</v>
      </c>
      <c r="X145" s="44">
        <f t="shared" si="37"/>
        <v>3</v>
      </c>
      <c r="Y145" s="44">
        <f t="shared" si="37"/>
        <v>3</v>
      </c>
      <c r="Z145" s="44">
        <f t="shared" si="37"/>
        <v>3</v>
      </c>
      <c r="AA145" s="44">
        <f t="shared" si="37"/>
        <v>3</v>
      </c>
      <c r="AB145" s="44">
        <f t="shared" si="37"/>
        <v>3</v>
      </c>
      <c r="AC145" s="44">
        <f t="shared" si="37"/>
        <v>3</v>
      </c>
      <c r="AD145" s="44">
        <f t="shared" si="37"/>
        <v>3</v>
      </c>
      <c r="AE145" s="44">
        <f t="shared" si="37"/>
        <v>3</v>
      </c>
      <c r="AF145" s="44">
        <f t="shared" si="37"/>
        <v>3</v>
      </c>
      <c r="AG145" s="53">
        <v>4.41</v>
      </c>
      <c r="AH145" s="21"/>
      <c r="AI145" s="20"/>
      <c r="AK145" s="42"/>
    </row>
    <row r="146" spans="1:37" x14ac:dyDescent="0.25">
      <c r="A146" s="41" t="s">
        <v>70</v>
      </c>
      <c r="B146" s="44">
        <f t="shared" si="35"/>
        <v>3.3</v>
      </c>
      <c r="C146" s="55">
        <v>3.3</v>
      </c>
      <c r="D146" s="44">
        <f t="shared" si="36"/>
        <v>3.3</v>
      </c>
      <c r="E146" s="44">
        <f t="shared" si="36"/>
        <v>3.3</v>
      </c>
      <c r="F146" s="44">
        <f t="shared" si="36"/>
        <v>3.3</v>
      </c>
      <c r="G146" s="44">
        <f t="shared" si="36"/>
        <v>3.3</v>
      </c>
      <c r="H146" s="44">
        <f t="shared" si="36"/>
        <v>3.3</v>
      </c>
      <c r="I146" s="44">
        <f t="shared" si="36"/>
        <v>3.3</v>
      </c>
      <c r="J146" s="44">
        <f t="shared" si="36"/>
        <v>3.3</v>
      </c>
      <c r="K146" s="44">
        <f t="shared" si="36"/>
        <v>3.3</v>
      </c>
      <c r="L146" s="44">
        <f t="shared" si="36"/>
        <v>3.3</v>
      </c>
      <c r="M146" s="44">
        <f t="shared" si="36"/>
        <v>3.3</v>
      </c>
      <c r="N146" s="44">
        <f t="shared" si="36"/>
        <v>3.3</v>
      </c>
      <c r="O146" s="44">
        <f t="shared" si="36"/>
        <v>3.3</v>
      </c>
      <c r="P146" s="44">
        <f t="shared" si="36"/>
        <v>3.3</v>
      </c>
      <c r="Q146" s="44">
        <f t="shared" si="36"/>
        <v>3.3</v>
      </c>
      <c r="R146" s="44">
        <f t="shared" si="36"/>
        <v>3.3</v>
      </c>
      <c r="S146" s="44">
        <f t="shared" si="36"/>
        <v>3.3</v>
      </c>
      <c r="T146" s="44">
        <f t="shared" si="37"/>
        <v>3.3</v>
      </c>
      <c r="U146" s="44">
        <f t="shared" si="37"/>
        <v>3.3</v>
      </c>
      <c r="V146" s="44">
        <f t="shared" si="37"/>
        <v>3.3</v>
      </c>
      <c r="W146" s="44">
        <f t="shared" si="37"/>
        <v>3.3</v>
      </c>
      <c r="X146" s="44">
        <f t="shared" si="37"/>
        <v>3.3</v>
      </c>
      <c r="Y146" s="44">
        <f t="shared" si="37"/>
        <v>3.3</v>
      </c>
      <c r="Z146" s="44">
        <f t="shared" si="37"/>
        <v>3.3</v>
      </c>
      <c r="AA146" s="44">
        <f t="shared" si="37"/>
        <v>3.3</v>
      </c>
      <c r="AB146" s="44">
        <f t="shared" si="37"/>
        <v>3.3</v>
      </c>
      <c r="AC146" s="44">
        <f t="shared" si="37"/>
        <v>3.3</v>
      </c>
      <c r="AD146" s="44">
        <f t="shared" si="37"/>
        <v>3.3</v>
      </c>
      <c r="AE146" s="44">
        <f t="shared" si="37"/>
        <v>3.3</v>
      </c>
      <c r="AF146" s="44">
        <f t="shared" si="37"/>
        <v>3.3</v>
      </c>
      <c r="AG146" s="53">
        <v>4.4000000000000004</v>
      </c>
      <c r="AH146" s="21"/>
      <c r="AI146" s="20"/>
      <c r="AK146" s="42"/>
    </row>
    <row r="147" spans="1:37" x14ac:dyDescent="0.25">
      <c r="A147" s="41" t="s">
        <v>69</v>
      </c>
      <c r="B147" s="44"/>
      <c r="C147" s="55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53">
        <v>4.3600000000000003</v>
      </c>
      <c r="AH147" s="21"/>
      <c r="AI147" s="20"/>
      <c r="AK147" s="42"/>
    </row>
    <row r="148" spans="1:37" x14ac:dyDescent="0.25">
      <c r="A148" s="41" t="s">
        <v>68</v>
      </c>
      <c r="B148" s="44">
        <f>AF148</f>
        <v>1.76</v>
      </c>
      <c r="C148" s="55">
        <v>1.76</v>
      </c>
      <c r="D148" s="44">
        <f t="shared" ref="D148:S149" si="38">C148</f>
        <v>1.76</v>
      </c>
      <c r="E148" s="44">
        <f t="shared" si="38"/>
        <v>1.76</v>
      </c>
      <c r="F148" s="44">
        <f t="shared" si="38"/>
        <v>1.76</v>
      </c>
      <c r="G148" s="44">
        <f t="shared" si="38"/>
        <v>1.76</v>
      </c>
      <c r="H148" s="44">
        <f t="shared" si="38"/>
        <v>1.76</v>
      </c>
      <c r="I148" s="44">
        <f t="shared" si="38"/>
        <v>1.76</v>
      </c>
      <c r="J148" s="44">
        <f t="shared" si="38"/>
        <v>1.76</v>
      </c>
      <c r="K148" s="44">
        <f t="shared" si="38"/>
        <v>1.76</v>
      </c>
      <c r="L148" s="44">
        <f t="shared" si="38"/>
        <v>1.76</v>
      </c>
      <c r="M148" s="44">
        <f t="shared" si="38"/>
        <v>1.76</v>
      </c>
      <c r="N148" s="44">
        <f t="shared" si="38"/>
        <v>1.76</v>
      </c>
      <c r="O148" s="44">
        <f t="shared" si="38"/>
        <v>1.76</v>
      </c>
      <c r="P148" s="44">
        <f t="shared" si="38"/>
        <v>1.76</v>
      </c>
      <c r="Q148" s="44">
        <f t="shared" si="38"/>
        <v>1.76</v>
      </c>
      <c r="R148" s="44">
        <f t="shared" si="38"/>
        <v>1.76</v>
      </c>
      <c r="S148" s="44">
        <f t="shared" si="38"/>
        <v>1.76</v>
      </c>
      <c r="T148" s="44">
        <f t="shared" ref="T148:AF149" si="39">S148</f>
        <v>1.76</v>
      </c>
      <c r="U148" s="44">
        <f t="shared" si="39"/>
        <v>1.76</v>
      </c>
      <c r="V148" s="44">
        <f t="shared" si="39"/>
        <v>1.76</v>
      </c>
      <c r="W148" s="44">
        <f t="shared" si="39"/>
        <v>1.76</v>
      </c>
      <c r="X148" s="44">
        <f t="shared" si="39"/>
        <v>1.76</v>
      </c>
      <c r="Y148" s="44">
        <f t="shared" si="39"/>
        <v>1.76</v>
      </c>
      <c r="Z148" s="44">
        <f t="shared" si="39"/>
        <v>1.76</v>
      </c>
      <c r="AA148" s="44">
        <f t="shared" si="39"/>
        <v>1.76</v>
      </c>
      <c r="AB148" s="44">
        <f t="shared" si="39"/>
        <v>1.76</v>
      </c>
      <c r="AC148" s="44">
        <f t="shared" si="39"/>
        <v>1.76</v>
      </c>
      <c r="AD148" s="44">
        <f t="shared" si="39"/>
        <v>1.76</v>
      </c>
      <c r="AE148" s="44">
        <f t="shared" si="39"/>
        <v>1.76</v>
      </c>
      <c r="AF148" s="44">
        <f t="shared" si="39"/>
        <v>1.76</v>
      </c>
      <c r="AG148" s="53">
        <v>4.2</v>
      </c>
      <c r="AH148" s="21"/>
      <c r="AI148" s="20"/>
      <c r="AK148" s="42"/>
    </row>
    <row r="149" spans="1:37" x14ac:dyDescent="0.25">
      <c r="A149" s="41" t="s">
        <v>67</v>
      </c>
      <c r="B149" s="44">
        <f>AF149</f>
        <v>0</v>
      </c>
      <c r="C149" s="55">
        <v>0</v>
      </c>
      <c r="D149" s="44">
        <f t="shared" si="38"/>
        <v>0</v>
      </c>
      <c r="E149" s="44">
        <f t="shared" si="38"/>
        <v>0</v>
      </c>
      <c r="F149" s="44">
        <f t="shared" si="38"/>
        <v>0</v>
      </c>
      <c r="G149" s="44">
        <f t="shared" si="38"/>
        <v>0</v>
      </c>
      <c r="H149" s="44">
        <f t="shared" si="38"/>
        <v>0</v>
      </c>
      <c r="I149" s="44">
        <f t="shared" si="38"/>
        <v>0</v>
      </c>
      <c r="J149" s="44">
        <f t="shared" si="38"/>
        <v>0</v>
      </c>
      <c r="K149" s="44">
        <f t="shared" si="38"/>
        <v>0</v>
      </c>
      <c r="L149" s="44">
        <f t="shared" si="38"/>
        <v>0</v>
      </c>
      <c r="M149" s="44">
        <f t="shared" si="38"/>
        <v>0</v>
      </c>
      <c r="N149" s="44">
        <f t="shared" si="38"/>
        <v>0</v>
      </c>
      <c r="O149" s="44">
        <f t="shared" si="38"/>
        <v>0</v>
      </c>
      <c r="P149" s="44">
        <f t="shared" si="38"/>
        <v>0</v>
      </c>
      <c r="Q149" s="44">
        <f t="shared" si="38"/>
        <v>0</v>
      </c>
      <c r="R149" s="44">
        <f t="shared" si="38"/>
        <v>0</v>
      </c>
      <c r="S149" s="44">
        <f t="shared" si="38"/>
        <v>0</v>
      </c>
      <c r="T149" s="44">
        <f t="shared" si="39"/>
        <v>0</v>
      </c>
      <c r="U149" s="44">
        <f t="shared" si="39"/>
        <v>0</v>
      </c>
      <c r="V149" s="44">
        <f t="shared" si="39"/>
        <v>0</v>
      </c>
      <c r="W149" s="44">
        <f t="shared" si="39"/>
        <v>0</v>
      </c>
      <c r="X149" s="44">
        <f t="shared" si="39"/>
        <v>0</v>
      </c>
      <c r="Y149" s="44">
        <f t="shared" si="39"/>
        <v>0</v>
      </c>
      <c r="Z149" s="44">
        <f t="shared" si="39"/>
        <v>0</v>
      </c>
      <c r="AA149" s="44">
        <f t="shared" si="39"/>
        <v>0</v>
      </c>
      <c r="AB149" s="44">
        <f t="shared" si="39"/>
        <v>0</v>
      </c>
      <c r="AC149" s="44">
        <f t="shared" si="39"/>
        <v>0</v>
      </c>
      <c r="AD149" s="44">
        <f t="shared" si="39"/>
        <v>0</v>
      </c>
      <c r="AE149" s="44">
        <f t="shared" si="39"/>
        <v>0</v>
      </c>
      <c r="AF149" s="44">
        <f t="shared" si="39"/>
        <v>0</v>
      </c>
      <c r="AG149" s="53">
        <v>4</v>
      </c>
      <c r="AH149" s="21"/>
      <c r="AI149" s="20"/>
      <c r="AK149" s="42"/>
    </row>
    <row r="150" spans="1:37" x14ac:dyDescent="0.25">
      <c r="A150" s="41" t="s">
        <v>66</v>
      </c>
      <c r="B150" s="44"/>
      <c r="C150" s="55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53">
        <v>4</v>
      </c>
      <c r="AH150" s="21"/>
      <c r="AI150" s="20"/>
      <c r="AK150" s="42"/>
    </row>
    <row r="151" spans="1:37" x14ac:dyDescent="0.25">
      <c r="A151" s="41" t="s">
        <v>65</v>
      </c>
      <c r="B151" s="44">
        <f>AF151</f>
        <v>0.1</v>
      </c>
      <c r="C151" s="55">
        <v>0.1</v>
      </c>
      <c r="D151" s="44">
        <f t="shared" ref="D151:S154" si="40">C151</f>
        <v>0.1</v>
      </c>
      <c r="E151" s="44">
        <f t="shared" si="40"/>
        <v>0.1</v>
      </c>
      <c r="F151" s="44">
        <f t="shared" si="40"/>
        <v>0.1</v>
      </c>
      <c r="G151" s="44">
        <f t="shared" si="40"/>
        <v>0.1</v>
      </c>
      <c r="H151" s="44">
        <f t="shared" si="40"/>
        <v>0.1</v>
      </c>
      <c r="I151" s="44">
        <f t="shared" si="40"/>
        <v>0.1</v>
      </c>
      <c r="J151" s="44">
        <f t="shared" si="40"/>
        <v>0.1</v>
      </c>
      <c r="K151" s="44">
        <f t="shared" si="40"/>
        <v>0.1</v>
      </c>
      <c r="L151" s="44">
        <f t="shared" si="40"/>
        <v>0.1</v>
      </c>
      <c r="M151" s="44">
        <f t="shared" si="40"/>
        <v>0.1</v>
      </c>
      <c r="N151" s="44">
        <f t="shared" si="40"/>
        <v>0.1</v>
      </c>
      <c r="O151" s="44">
        <f t="shared" si="40"/>
        <v>0.1</v>
      </c>
      <c r="P151" s="44">
        <f t="shared" si="40"/>
        <v>0.1</v>
      </c>
      <c r="Q151" s="44">
        <f t="shared" si="40"/>
        <v>0.1</v>
      </c>
      <c r="R151" s="44">
        <f t="shared" si="40"/>
        <v>0.1</v>
      </c>
      <c r="S151" s="44">
        <f t="shared" si="40"/>
        <v>0.1</v>
      </c>
      <c r="T151" s="44">
        <f t="shared" ref="T151:AF154" si="41">S151</f>
        <v>0.1</v>
      </c>
      <c r="U151" s="44">
        <f t="shared" si="41"/>
        <v>0.1</v>
      </c>
      <c r="V151" s="44">
        <f t="shared" si="41"/>
        <v>0.1</v>
      </c>
      <c r="W151" s="44">
        <f t="shared" si="41"/>
        <v>0.1</v>
      </c>
      <c r="X151" s="44">
        <f t="shared" si="41"/>
        <v>0.1</v>
      </c>
      <c r="Y151" s="44">
        <f t="shared" si="41"/>
        <v>0.1</v>
      </c>
      <c r="Z151" s="44">
        <f t="shared" si="41"/>
        <v>0.1</v>
      </c>
      <c r="AA151" s="44">
        <f t="shared" si="41"/>
        <v>0.1</v>
      </c>
      <c r="AB151" s="44">
        <f t="shared" si="41"/>
        <v>0.1</v>
      </c>
      <c r="AC151" s="44">
        <f t="shared" si="41"/>
        <v>0.1</v>
      </c>
      <c r="AD151" s="44">
        <f t="shared" si="41"/>
        <v>0.1</v>
      </c>
      <c r="AE151" s="44">
        <f t="shared" si="41"/>
        <v>0.1</v>
      </c>
      <c r="AF151" s="44">
        <f t="shared" si="41"/>
        <v>0.1</v>
      </c>
      <c r="AG151" s="53">
        <v>4</v>
      </c>
      <c r="AH151" s="21"/>
      <c r="AI151" s="20"/>
      <c r="AK151" s="42"/>
    </row>
    <row r="152" spans="1:37" x14ac:dyDescent="0.25">
      <c r="A152" s="41" t="s">
        <v>64</v>
      </c>
      <c r="B152" s="44">
        <f>AF152</f>
        <v>2.0499999999999998</v>
      </c>
      <c r="C152" s="55">
        <v>2.0499999999999998</v>
      </c>
      <c r="D152" s="44">
        <f t="shared" si="40"/>
        <v>2.0499999999999998</v>
      </c>
      <c r="E152" s="44">
        <f t="shared" si="40"/>
        <v>2.0499999999999998</v>
      </c>
      <c r="F152" s="44">
        <f t="shared" si="40"/>
        <v>2.0499999999999998</v>
      </c>
      <c r="G152" s="44">
        <f t="shared" si="40"/>
        <v>2.0499999999999998</v>
      </c>
      <c r="H152" s="44">
        <f t="shared" si="40"/>
        <v>2.0499999999999998</v>
      </c>
      <c r="I152" s="44">
        <f t="shared" si="40"/>
        <v>2.0499999999999998</v>
      </c>
      <c r="J152" s="44">
        <f t="shared" si="40"/>
        <v>2.0499999999999998</v>
      </c>
      <c r="K152" s="44">
        <f t="shared" si="40"/>
        <v>2.0499999999999998</v>
      </c>
      <c r="L152" s="44">
        <f t="shared" si="40"/>
        <v>2.0499999999999998</v>
      </c>
      <c r="M152" s="44">
        <f t="shared" si="40"/>
        <v>2.0499999999999998</v>
      </c>
      <c r="N152" s="44">
        <f t="shared" si="40"/>
        <v>2.0499999999999998</v>
      </c>
      <c r="O152" s="44">
        <f t="shared" si="40"/>
        <v>2.0499999999999998</v>
      </c>
      <c r="P152" s="44">
        <f t="shared" si="40"/>
        <v>2.0499999999999998</v>
      </c>
      <c r="Q152" s="44">
        <f t="shared" si="40"/>
        <v>2.0499999999999998</v>
      </c>
      <c r="R152" s="44">
        <f t="shared" si="40"/>
        <v>2.0499999999999998</v>
      </c>
      <c r="S152" s="44">
        <f t="shared" si="40"/>
        <v>2.0499999999999998</v>
      </c>
      <c r="T152" s="44">
        <f t="shared" si="41"/>
        <v>2.0499999999999998</v>
      </c>
      <c r="U152" s="44">
        <f t="shared" si="41"/>
        <v>2.0499999999999998</v>
      </c>
      <c r="V152" s="44">
        <f t="shared" si="41"/>
        <v>2.0499999999999998</v>
      </c>
      <c r="W152" s="44">
        <f t="shared" si="41"/>
        <v>2.0499999999999998</v>
      </c>
      <c r="X152" s="44">
        <f t="shared" si="41"/>
        <v>2.0499999999999998</v>
      </c>
      <c r="Y152" s="44">
        <f t="shared" si="41"/>
        <v>2.0499999999999998</v>
      </c>
      <c r="Z152" s="44">
        <f t="shared" si="41"/>
        <v>2.0499999999999998</v>
      </c>
      <c r="AA152" s="44">
        <f t="shared" si="41"/>
        <v>2.0499999999999998</v>
      </c>
      <c r="AB152" s="44">
        <f t="shared" si="41"/>
        <v>2.0499999999999998</v>
      </c>
      <c r="AC152" s="44">
        <f t="shared" si="41"/>
        <v>2.0499999999999998</v>
      </c>
      <c r="AD152" s="44">
        <f t="shared" si="41"/>
        <v>2.0499999999999998</v>
      </c>
      <c r="AE152" s="44">
        <f t="shared" si="41"/>
        <v>2.0499999999999998</v>
      </c>
      <c r="AF152" s="44">
        <f t="shared" si="41"/>
        <v>2.0499999999999998</v>
      </c>
      <c r="AG152" s="53">
        <v>4</v>
      </c>
      <c r="AH152" s="21"/>
      <c r="AI152" s="20"/>
      <c r="AK152" s="42"/>
    </row>
    <row r="153" spans="1:37" x14ac:dyDescent="0.25">
      <c r="A153" s="41" t="s">
        <v>63</v>
      </c>
      <c r="B153" s="44">
        <f>AF153</f>
        <v>2.7</v>
      </c>
      <c r="C153" s="55">
        <v>2.7</v>
      </c>
      <c r="D153" s="44">
        <f t="shared" si="40"/>
        <v>2.7</v>
      </c>
      <c r="E153" s="44">
        <f t="shared" si="40"/>
        <v>2.7</v>
      </c>
      <c r="F153" s="44">
        <f t="shared" si="40"/>
        <v>2.7</v>
      </c>
      <c r="G153" s="44">
        <f t="shared" si="40"/>
        <v>2.7</v>
      </c>
      <c r="H153" s="44">
        <f t="shared" si="40"/>
        <v>2.7</v>
      </c>
      <c r="I153" s="44">
        <f t="shared" si="40"/>
        <v>2.7</v>
      </c>
      <c r="J153" s="44">
        <f t="shared" si="40"/>
        <v>2.7</v>
      </c>
      <c r="K153" s="44">
        <f t="shared" si="40"/>
        <v>2.7</v>
      </c>
      <c r="L153" s="44">
        <f t="shared" si="40"/>
        <v>2.7</v>
      </c>
      <c r="M153" s="44">
        <f t="shared" si="40"/>
        <v>2.7</v>
      </c>
      <c r="N153" s="44">
        <f t="shared" si="40"/>
        <v>2.7</v>
      </c>
      <c r="O153" s="44">
        <f t="shared" si="40"/>
        <v>2.7</v>
      </c>
      <c r="P153" s="44">
        <f t="shared" si="40"/>
        <v>2.7</v>
      </c>
      <c r="Q153" s="44">
        <f t="shared" si="40"/>
        <v>2.7</v>
      </c>
      <c r="R153" s="44">
        <f t="shared" si="40"/>
        <v>2.7</v>
      </c>
      <c r="S153" s="44">
        <f t="shared" si="40"/>
        <v>2.7</v>
      </c>
      <c r="T153" s="44">
        <f t="shared" si="41"/>
        <v>2.7</v>
      </c>
      <c r="U153" s="44">
        <f t="shared" si="41"/>
        <v>2.7</v>
      </c>
      <c r="V153" s="44">
        <f t="shared" si="41"/>
        <v>2.7</v>
      </c>
      <c r="W153" s="44">
        <f t="shared" si="41"/>
        <v>2.7</v>
      </c>
      <c r="X153" s="44">
        <f t="shared" si="41"/>
        <v>2.7</v>
      </c>
      <c r="Y153" s="44">
        <f t="shared" si="41"/>
        <v>2.7</v>
      </c>
      <c r="Z153" s="44">
        <f t="shared" si="41"/>
        <v>2.7</v>
      </c>
      <c r="AA153" s="44">
        <f t="shared" si="41"/>
        <v>2.7</v>
      </c>
      <c r="AB153" s="44">
        <f t="shared" si="41"/>
        <v>2.7</v>
      </c>
      <c r="AC153" s="44">
        <f t="shared" si="41"/>
        <v>2.7</v>
      </c>
      <c r="AD153" s="44">
        <f t="shared" si="41"/>
        <v>2.7</v>
      </c>
      <c r="AE153" s="44">
        <f t="shared" si="41"/>
        <v>2.7</v>
      </c>
      <c r="AF153" s="44">
        <f t="shared" si="41"/>
        <v>2.7</v>
      </c>
      <c r="AG153" s="53">
        <v>4</v>
      </c>
      <c r="AH153" s="21"/>
      <c r="AI153" s="20"/>
      <c r="AK153" s="42"/>
    </row>
    <row r="154" spans="1:37" x14ac:dyDescent="0.25">
      <c r="A154" s="41" t="s">
        <v>62</v>
      </c>
      <c r="B154" s="44">
        <f>AF154</f>
        <v>2.15</v>
      </c>
      <c r="C154" s="55">
        <v>2.15</v>
      </c>
      <c r="D154" s="44">
        <f t="shared" si="40"/>
        <v>2.15</v>
      </c>
      <c r="E154" s="44">
        <f t="shared" si="40"/>
        <v>2.15</v>
      </c>
      <c r="F154" s="44">
        <f t="shared" si="40"/>
        <v>2.15</v>
      </c>
      <c r="G154" s="44">
        <f t="shared" si="40"/>
        <v>2.15</v>
      </c>
      <c r="H154" s="44">
        <f t="shared" si="40"/>
        <v>2.15</v>
      </c>
      <c r="I154" s="44">
        <f t="shared" si="40"/>
        <v>2.15</v>
      </c>
      <c r="J154" s="44">
        <f t="shared" si="40"/>
        <v>2.15</v>
      </c>
      <c r="K154" s="44">
        <f t="shared" si="40"/>
        <v>2.15</v>
      </c>
      <c r="L154" s="44">
        <f t="shared" si="40"/>
        <v>2.15</v>
      </c>
      <c r="M154" s="44">
        <f t="shared" si="40"/>
        <v>2.15</v>
      </c>
      <c r="N154" s="44">
        <f t="shared" si="40"/>
        <v>2.15</v>
      </c>
      <c r="O154" s="44">
        <f t="shared" si="40"/>
        <v>2.15</v>
      </c>
      <c r="P154" s="44">
        <f t="shared" si="40"/>
        <v>2.15</v>
      </c>
      <c r="Q154" s="44">
        <f t="shared" si="40"/>
        <v>2.15</v>
      </c>
      <c r="R154" s="44">
        <f t="shared" si="40"/>
        <v>2.15</v>
      </c>
      <c r="S154" s="44">
        <f t="shared" si="40"/>
        <v>2.15</v>
      </c>
      <c r="T154" s="44">
        <f t="shared" si="41"/>
        <v>2.15</v>
      </c>
      <c r="U154" s="44">
        <f t="shared" si="41"/>
        <v>2.15</v>
      </c>
      <c r="V154" s="44">
        <f t="shared" si="41"/>
        <v>2.15</v>
      </c>
      <c r="W154" s="44">
        <f t="shared" si="41"/>
        <v>2.15</v>
      </c>
      <c r="X154" s="44">
        <f t="shared" si="41"/>
        <v>2.15</v>
      </c>
      <c r="Y154" s="44">
        <f t="shared" si="41"/>
        <v>2.15</v>
      </c>
      <c r="Z154" s="44">
        <f t="shared" si="41"/>
        <v>2.15</v>
      </c>
      <c r="AA154" s="44">
        <f t="shared" si="41"/>
        <v>2.15</v>
      </c>
      <c r="AB154" s="44">
        <f t="shared" si="41"/>
        <v>2.15</v>
      </c>
      <c r="AC154" s="44">
        <f t="shared" si="41"/>
        <v>2.15</v>
      </c>
      <c r="AD154" s="44">
        <f t="shared" si="41"/>
        <v>2.15</v>
      </c>
      <c r="AE154" s="44">
        <f t="shared" si="41"/>
        <v>2.15</v>
      </c>
      <c r="AF154" s="44">
        <f t="shared" si="41"/>
        <v>2.15</v>
      </c>
      <c r="AG154" s="53">
        <v>4</v>
      </c>
      <c r="AH154" s="21"/>
      <c r="AI154" s="20"/>
      <c r="AK154" s="42"/>
    </row>
    <row r="155" spans="1:37" x14ac:dyDescent="0.25">
      <c r="A155" s="41" t="s">
        <v>61</v>
      </c>
      <c r="B155" s="44"/>
      <c r="C155" s="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53">
        <v>4</v>
      </c>
      <c r="AH155" s="21"/>
      <c r="AI155" s="20"/>
      <c r="AK155" s="42"/>
    </row>
    <row r="156" spans="1:37" x14ac:dyDescent="0.25">
      <c r="A156" s="41" t="s">
        <v>60</v>
      </c>
      <c r="B156" s="44">
        <f t="shared" ref="B156:B168" si="42">AF156</f>
        <v>0.9</v>
      </c>
      <c r="C156" s="55">
        <v>0.9</v>
      </c>
      <c r="D156" s="44">
        <f t="shared" ref="D156:S168" si="43">C156</f>
        <v>0.9</v>
      </c>
      <c r="E156" s="44">
        <f t="shared" si="43"/>
        <v>0.9</v>
      </c>
      <c r="F156" s="44">
        <f t="shared" si="43"/>
        <v>0.9</v>
      </c>
      <c r="G156" s="44">
        <f t="shared" si="43"/>
        <v>0.9</v>
      </c>
      <c r="H156" s="44">
        <f t="shared" si="43"/>
        <v>0.9</v>
      </c>
      <c r="I156" s="44">
        <f t="shared" si="43"/>
        <v>0.9</v>
      </c>
      <c r="J156" s="44">
        <f t="shared" si="43"/>
        <v>0.9</v>
      </c>
      <c r="K156" s="44">
        <f t="shared" si="43"/>
        <v>0.9</v>
      </c>
      <c r="L156" s="44">
        <f t="shared" si="43"/>
        <v>0.9</v>
      </c>
      <c r="M156" s="44">
        <f t="shared" si="43"/>
        <v>0.9</v>
      </c>
      <c r="N156" s="44">
        <f t="shared" si="43"/>
        <v>0.9</v>
      </c>
      <c r="O156" s="44">
        <f t="shared" si="43"/>
        <v>0.9</v>
      </c>
      <c r="P156" s="44">
        <f t="shared" si="43"/>
        <v>0.9</v>
      </c>
      <c r="Q156" s="44">
        <f t="shared" si="43"/>
        <v>0.9</v>
      </c>
      <c r="R156" s="44">
        <f t="shared" si="43"/>
        <v>0.9</v>
      </c>
      <c r="S156" s="44">
        <f t="shared" si="43"/>
        <v>0.9</v>
      </c>
      <c r="T156" s="44">
        <f t="shared" ref="S156:AF168" si="44">S156</f>
        <v>0.9</v>
      </c>
      <c r="U156" s="44">
        <f t="shared" si="44"/>
        <v>0.9</v>
      </c>
      <c r="V156" s="44">
        <f t="shared" si="44"/>
        <v>0.9</v>
      </c>
      <c r="W156" s="44">
        <f t="shared" si="44"/>
        <v>0.9</v>
      </c>
      <c r="X156" s="44">
        <f t="shared" si="44"/>
        <v>0.9</v>
      </c>
      <c r="Y156" s="44">
        <f t="shared" si="44"/>
        <v>0.9</v>
      </c>
      <c r="Z156" s="44">
        <f t="shared" si="44"/>
        <v>0.9</v>
      </c>
      <c r="AA156" s="44">
        <f t="shared" si="44"/>
        <v>0.9</v>
      </c>
      <c r="AB156" s="44">
        <f t="shared" si="44"/>
        <v>0.9</v>
      </c>
      <c r="AC156" s="44">
        <f t="shared" si="44"/>
        <v>0.9</v>
      </c>
      <c r="AD156" s="44">
        <f t="shared" si="44"/>
        <v>0.9</v>
      </c>
      <c r="AE156" s="44">
        <f t="shared" si="44"/>
        <v>0.9</v>
      </c>
      <c r="AF156" s="44">
        <f t="shared" si="44"/>
        <v>0.9</v>
      </c>
      <c r="AG156" s="53">
        <v>4</v>
      </c>
      <c r="AH156" s="21"/>
      <c r="AI156" s="20"/>
      <c r="AK156" s="42"/>
    </row>
    <row r="157" spans="1:37" x14ac:dyDescent="0.25">
      <c r="A157" s="41" t="s">
        <v>59</v>
      </c>
      <c r="B157" s="44">
        <f t="shared" si="42"/>
        <v>1.08</v>
      </c>
      <c r="C157" s="55">
        <v>1.08</v>
      </c>
      <c r="D157" s="44">
        <f t="shared" si="43"/>
        <v>1.08</v>
      </c>
      <c r="E157" s="44">
        <f t="shared" si="43"/>
        <v>1.08</v>
      </c>
      <c r="F157" s="44">
        <f t="shared" si="43"/>
        <v>1.08</v>
      </c>
      <c r="G157" s="44">
        <f t="shared" si="43"/>
        <v>1.08</v>
      </c>
      <c r="H157" s="44">
        <f t="shared" si="43"/>
        <v>1.08</v>
      </c>
      <c r="I157" s="44">
        <f t="shared" si="43"/>
        <v>1.08</v>
      </c>
      <c r="J157" s="44">
        <f t="shared" si="43"/>
        <v>1.08</v>
      </c>
      <c r="K157" s="44">
        <f t="shared" si="43"/>
        <v>1.08</v>
      </c>
      <c r="L157" s="44">
        <f t="shared" si="43"/>
        <v>1.08</v>
      </c>
      <c r="M157" s="44">
        <f t="shared" si="43"/>
        <v>1.08</v>
      </c>
      <c r="N157" s="44">
        <f t="shared" si="43"/>
        <v>1.08</v>
      </c>
      <c r="O157" s="44">
        <f t="shared" si="43"/>
        <v>1.08</v>
      </c>
      <c r="P157" s="44">
        <f t="shared" si="43"/>
        <v>1.08</v>
      </c>
      <c r="Q157" s="44">
        <f t="shared" si="43"/>
        <v>1.08</v>
      </c>
      <c r="R157" s="44">
        <f t="shared" si="43"/>
        <v>1.08</v>
      </c>
      <c r="S157" s="44">
        <f t="shared" si="43"/>
        <v>1.08</v>
      </c>
      <c r="T157" s="44">
        <f t="shared" si="44"/>
        <v>1.08</v>
      </c>
      <c r="U157" s="44">
        <f t="shared" si="44"/>
        <v>1.08</v>
      </c>
      <c r="V157" s="44">
        <f t="shared" si="44"/>
        <v>1.08</v>
      </c>
      <c r="W157" s="44">
        <f t="shared" si="44"/>
        <v>1.08</v>
      </c>
      <c r="X157" s="44">
        <f t="shared" si="44"/>
        <v>1.08</v>
      </c>
      <c r="Y157" s="44">
        <f t="shared" si="44"/>
        <v>1.08</v>
      </c>
      <c r="Z157" s="44">
        <f t="shared" si="44"/>
        <v>1.08</v>
      </c>
      <c r="AA157" s="44">
        <f t="shared" si="44"/>
        <v>1.08</v>
      </c>
      <c r="AB157" s="44">
        <f t="shared" si="44"/>
        <v>1.08</v>
      </c>
      <c r="AC157" s="44">
        <f t="shared" si="44"/>
        <v>1.08</v>
      </c>
      <c r="AD157" s="44">
        <f t="shared" si="44"/>
        <v>1.08</v>
      </c>
      <c r="AE157" s="44">
        <f t="shared" si="44"/>
        <v>1.08</v>
      </c>
      <c r="AF157" s="44">
        <f t="shared" si="44"/>
        <v>1.08</v>
      </c>
      <c r="AG157" s="53">
        <v>3.75</v>
      </c>
      <c r="AH157" s="21"/>
      <c r="AI157" s="20"/>
      <c r="AK157" s="42"/>
    </row>
    <row r="158" spans="1:37" x14ac:dyDescent="0.25">
      <c r="A158" s="41" t="s">
        <v>58</v>
      </c>
      <c r="B158" s="44">
        <f t="shared" si="42"/>
        <v>2.37</v>
      </c>
      <c r="C158" s="55">
        <v>2.37</v>
      </c>
      <c r="D158" s="44">
        <f t="shared" si="43"/>
        <v>2.37</v>
      </c>
      <c r="E158" s="44">
        <f t="shared" si="43"/>
        <v>2.37</v>
      </c>
      <c r="F158" s="44">
        <f t="shared" si="43"/>
        <v>2.37</v>
      </c>
      <c r="G158" s="44">
        <f t="shared" si="43"/>
        <v>2.37</v>
      </c>
      <c r="H158" s="44">
        <f t="shared" si="43"/>
        <v>2.37</v>
      </c>
      <c r="I158" s="44">
        <f t="shared" si="43"/>
        <v>2.37</v>
      </c>
      <c r="J158" s="44">
        <f t="shared" si="43"/>
        <v>2.37</v>
      </c>
      <c r="K158" s="44">
        <f t="shared" si="43"/>
        <v>2.37</v>
      </c>
      <c r="L158" s="44">
        <f t="shared" si="43"/>
        <v>2.37</v>
      </c>
      <c r="M158" s="44">
        <f t="shared" si="43"/>
        <v>2.37</v>
      </c>
      <c r="N158" s="44">
        <f t="shared" si="43"/>
        <v>2.37</v>
      </c>
      <c r="O158" s="44">
        <f t="shared" si="43"/>
        <v>2.37</v>
      </c>
      <c r="P158" s="44">
        <f t="shared" si="43"/>
        <v>2.37</v>
      </c>
      <c r="Q158" s="44">
        <f t="shared" si="43"/>
        <v>2.37</v>
      </c>
      <c r="R158" s="44">
        <f t="shared" si="43"/>
        <v>2.37</v>
      </c>
      <c r="S158" s="44">
        <f t="shared" si="43"/>
        <v>2.37</v>
      </c>
      <c r="T158" s="44">
        <f t="shared" si="44"/>
        <v>2.37</v>
      </c>
      <c r="U158" s="44">
        <f t="shared" si="44"/>
        <v>2.37</v>
      </c>
      <c r="V158" s="44">
        <f t="shared" si="44"/>
        <v>2.37</v>
      </c>
      <c r="W158" s="44">
        <f t="shared" si="44"/>
        <v>2.37</v>
      </c>
      <c r="X158" s="44">
        <f t="shared" si="44"/>
        <v>2.37</v>
      </c>
      <c r="Y158" s="44">
        <f t="shared" si="44"/>
        <v>2.37</v>
      </c>
      <c r="Z158" s="44">
        <f t="shared" si="44"/>
        <v>2.37</v>
      </c>
      <c r="AA158" s="44">
        <f t="shared" si="44"/>
        <v>2.37</v>
      </c>
      <c r="AB158" s="44">
        <f t="shared" si="44"/>
        <v>2.37</v>
      </c>
      <c r="AC158" s="44">
        <f t="shared" si="44"/>
        <v>2.37</v>
      </c>
      <c r="AD158" s="44">
        <f t="shared" si="44"/>
        <v>2.37</v>
      </c>
      <c r="AE158" s="44">
        <f t="shared" si="44"/>
        <v>2.37</v>
      </c>
      <c r="AF158" s="44">
        <f t="shared" si="44"/>
        <v>2.37</v>
      </c>
      <c r="AG158" s="53">
        <v>3.52</v>
      </c>
      <c r="AH158" s="21"/>
      <c r="AI158" s="20"/>
      <c r="AK158" s="42"/>
    </row>
    <row r="159" spans="1:37" x14ac:dyDescent="0.25">
      <c r="A159" s="41" t="s">
        <v>57</v>
      </c>
      <c r="B159" s="44">
        <f t="shared" si="42"/>
        <v>1.81</v>
      </c>
      <c r="C159" s="55">
        <v>1.81</v>
      </c>
      <c r="D159" s="44">
        <f t="shared" si="43"/>
        <v>1.81</v>
      </c>
      <c r="E159" s="44">
        <f t="shared" si="43"/>
        <v>1.81</v>
      </c>
      <c r="F159" s="44">
        <f t="shared" si="43"/>
        <v>1.81</v>
      </c>
      <c r="G159" s="44">
        <f t="shared" si="43"/>
        <v>1.81</v>
      </c>
      <c r="H159" s="44">
        <f t="shared" si="43"/>
        <v>1.81</v>
      </c>
      <c r="I159" s="44">
        <f t="shared" si="43"/>
        <v>1.81</v>
      </c>
      <c r="J159" s="44">
        <f t="shared" si="43"/>
        <v>1.81</v>
      </c>
      <c r="K159" s="44">
        <f t="shared" si="43"/>
        <v>1.81</v>
      </c>
      <c r="L159" s="44">
        <f t="shared" si="43"/>
        <v>1.81</v>
      </c>
      <c r="M159" s="44">
        <f t="shared" si="43"/>
        <v>1.81</v>
      </c>
      <c r="N159" s="44">
        <f t="shared" si="43"/>
        <v>1.81</v>
      </c>
      <c r="O159" s="44">
        <f t="shared" si="43"/>
        <v>1.81</v>
      </c>
      <c r="P159" s="44">
        <f t="shared" si="43"/>
        <v>1.81</v>
      </c>
      <c r="Q159" s="44">
        <f t="shared" si="43"/>
        <v>1.81</v>
      </c>
      <c r="R159" s="44">
        <f t="shared" si="43"/>
        <v>1.81</v>
      </c>
      <c r="S159" s="44">
        <f t="shared" si="43"/>
        <v>1.81</v>
      </c>
      <c r="T159" s="44">
        <f t="shared" si="44"/>
        <v>1.81</v>
      </c>
      <c r="U159" s="44">
        <f t="shared" si="44"/>
        <v>1.81</v>
      </c>
      <c r="V159" s="44">
        <f t="shared" si="44"/>
        <v>1.81</v>
      </c>
      <c r="W159" s="44">
        <f t="shared" si="44"/>
        <v>1.81</v>
      </c>
      <c r="X159" s="44">
        <f t="shared" si="44"/>
        <v>1.81</v>
      </c>
      <c r="Y159" s="44">
        <f t="shared" si="44"/>
        <v>1.81</v>
      </c>
      <c r="Z159" s="44">
        <f t="shared" si="44"/>
        <v>1.81</v>
      </c>
      <c r="AA159" s="44">
        <f t="shared" si="44"/>
        <v>1.81</v>
      </c>
      <c r="AB159" s="44">
        <f t="shared" si="44"/>
        <v>1.81</v>
      </c>
      <c r="AC159" s="44">
        <f t="shared" si="44"/>
        <v>1.81</v>
      </c>
      <c r="AD159" s="44">
        <f t="shared" si="44"/>
        <v>1.81</v>
      </c>
      <c r="AE159" s="44">
        <f t="shared" si="44"/>
        <v>1.81</v>
      </c>
      <c r="AF159" s="44">
        <f t="shared" si="44"/>
        <v>1.81</v>
      </c>
      <c r="AG159" s="53">
        <v>3.33</v>
      </c>
      <c r="AH159" s="21"/>
      <c r="AI159" s="20"/>
      <c r="AK159" s="42"/>
    </row>
    <row r="160" spans="1:37" x14ac:dyDescent="0.25">
      <c r="A160" s="41" t="s">
        <v>56</v>
      </c>
      <c r="B160" s="44">
        <f t="shared" si="42"/>
        <v>1.0900000000000001</v>
      </c>
      <c r="C160" s="55">
        <v>1.0900000000000001</v>
      </c>
      <c r="D160" s="44">
        <f t="shared" si="43"/>
        <v>1.0900000000000001</v>
      </c>
      <c r="E160" s="44">
        <f t="shared" si="43"/>
        <v>1.0900000000000001</v>
      </c>
      <c r="F160" s="44">
        <f t="shared" si="43"/>
        <v>1.0900000000000001</v>
      </c>
      <c r="G160" s="44">
        <f t="shared" si="43"/>
        <v>1.0900000000000001</v>
      </c>
      <c r="H160" s="44">
        <f t="shared" si="43"/>
        <v>1.0900000000000001</v>
      </c>
      <c r="I160" s="44">
        <f t="shared" si="43"/>
        <v>1.0900000000000001</v>
      </c>
      <c r="J160" s="44">
        <f t="shared" si="43"/>
        <v>1.0900000000000001</v>
      </c>
      <c r="K160" s="44">
        <f t="shared" si="43"/>
        <v>1.0900000000000001</v>
      </c>
      <c r="L160" s="44">
        <f t="shared" si="43"/>
        <v>1.0900000000000001</v>
      </c>
      <c r="M160" s="44">
        <f t="shared" si="43"/>
        <v>1.0900000000000001</v>
      </c>
      <c r="N160" s="44">
        <f t="shared" si="43"/>
        <v>1.0900000000000001</v>
      </c>
      <c r="O160" s="44">
        <f t="shared" si="43"/>
        <v>1.0900000000000001</v>
      </c>
      <c r="P160" s="44">
        <f t="shared" si="43"/>
        <v>1.0900000000000001</v>
      </c>
      <c r="Q160" s="44">
        <f t="shared" si="43"/>
        <v>1.0900000000000001</v>
      </c>
      <c r="R160" s="44">
        <f t="shared" si="43"/>
        <v>1.0900000000000001</v>
      </c>
      <c r="S160" s="44">
        <f t="shared" si="43"/>
        <v>1.0900000000000001</v>
      </c>
      <c r="T160" s="44">
        <f t="shared" si="44"/>
        <v>1.0900000000000001</v>
      </c>
      <c r="U160" s="44">
        <f t="shared" si="44"/>
        <v>1.0900000000000001</v>
      </c>
      <c r="V160" s="44">
        <f t="shared" si="44"/>
        <v>1.0900000000000001</v>
      </c>
      <c r="W160" s="44">
        <f t="shared" si="44"/>
        <v>1.0900000000000001</v>
      </c>
      <c r="X160" s="44">
        <f t="shared" si="44"/>
        <v>1.0900000000000001</v>
      </c>
      <c r="Y160" s="44">
        <f t="shared" si="44"/>
        <v>1.0900000000000001</v>
      </c>
      <c r="Z160" s="44">
        <f t="shared" si="44"/>
        <v>1.0900000000000001</v>
      </c>
      <c r="AA160" s="44">
        <f t="shared" si="44"/>
        <v>1.0900000000000001</v>
      </c>
      <c r="AB160" s="44">
        <f t="shared" si="44"/>
        <v>1.0900000000000001</v>
      </c>
      <c r="AC160" s="44">
        <f t="shared" si="44"/>
        <v>1.0900000000000001</v>
      </c>
      <c r="AD160" s="44">
        <f t="shared" si="44"/>
        <v>1.0900000000000001</v>
      </c>
      <c r="AE160" s="44">
        <f t="shared" si="44"/>
        <v>1.0900000000000001</v>
      </c>
      <c r="AF160" s="44">
        <f t="shared" si="44"/>
        <v>1.0900000000000001</v>
      </c>
      <c r="AG160" s="53">
        <v>3.2</v>
      </c>
      <c r="AH160" s="21"/>
      <c r="AI160" s="20"/>
      <c r="AK160" s="42"/>
    </row>
    <row r="161" spans="1:37" x14ac:dyDescent="0.25">
      <c r="A161" s="41" t="s">
        <v>55</v>
      </c>
      <c r="B161" s="44">
        <f t="shared" si="42"/>
        <v>1.58</v>
      </c>
      <c r="C161" s="55">
        <v>1.58</v>
      </c>
      <c r="D161" s="44">
        <f t="shared" si="43"/>
        <v>1.58</v>
      </c>
      <c r="E161" s="44">
        <f t="shared" si="43"/>
        <v>1.58</v>
      </c>
      <c r="F161" s="44">
        <f t="shared" si="43"/>
        <v>1.58</v>
      </c>
      <c r="G161" s="44">
        <f t="shared" si="43"/>
        <v>1.58</v>
      </c>
      <c r="H161" s="44">
        <f t="shared" si="43"/>
        <v>1.58</v>
      </c>
      <c r="I161" s="44">
        <f t="shared" si="43"/>
        <v>1.58</v>
      </c>
      <c r="J161" s="44">
        <f t="shared" si="43"/>
        <v>1.58</v>
      </c>
      <c r="K161" s="44">
        <f t="shared" si="43"/>
        <v>1.58</v>
      </c>
      <c r="L161" s="44">
        <f t="shared" si="43"/>
        <v>1.58</v>
      </c>
      <c r="M161" s="44">
        <f t="shared" si="43"/>
        <v>1.58</v>
      </c>
      <c r="N161" s="44">
        <f t="shared" si="43"/>
        <v>1.58</v>
      </c>
      <c r="O161" s="44">
        <f t="shared" si="43"/>
        <v>1.58</v>
      </c>
      <c r="P161" s="44">
        <f t="shared" si="43"/>
        <v>1.58</v>
      </c>
      <c r="Q161" s="44">
        <f t="shared" si="43"/>
        <v>1.58</v>
      </c>
      <c r="R161" s="44">
        <f t="shared" si="43"/>
        <v>1.58</v>
      </c>
      <c r="S161" s="44">
        <f t="shared" si="43"/>
        <v>1.58</v>
      </c>
      <c r="T161" s="44">
        <f t="shared" si="44"/>
        <v>1.58</v>
      </c>
      <c r="U161" s="44">
        <f t="shared" si="44"/>
        <v>1.58</v>
      </c>
      <c r="V161" s="44">
        <f t="shared" si="44"/>
        <v>1.58</v>
      </c>
      <c r="W161" s="44">
        <f t="shared" si="44"/>
        <v>1.58</v>
      </c>
      <c r="X161" s="44">
        <f t="shared" si="44"/>
        <v>1.58</v>
      </c>
      <c r="Y161" s="44">
        <f t="shared" si="44"/>
        <v>1.58</v>
      </c>
      <c r="Z161" s="44">
        <f t="shared" si="44"/>
        <v>1.58</v>
      </c>
      <c r="AA161" s="44">
        <f t="shared" si="44"/>
        <v>1.58</v>
      </c>
      <c r="AB161" s="44">
        <f t="shared" si="44"/>
        <v>1.58</v>
      </c>
      <c r="AC161" s="44">
        <f t="shared" si="44"/>
        <v>1.58</v>
      </c>
      <c r="AD161" s="44">
        <f t="shared" si="44"/>
        <v>1.58</v>
      </c>
      <c r="AE161" s="44">
        <f t="shared" si="44"/>
        <v>1.58</v>
      </c>
      <c r="AF161" s="44">
        <f t="shared" si="44"/>
        <v>1.58</v>
      </c>
      <c r="AG161" s="53">
        <v>3</v>
      </c>
      <c r="AH161" s="21"/>
      <c r="AI161" s="20"/>
      <c r="AK161" s="42"/>
    </row>
    <row r="162" spans="1:37" x14ac:dyDescent="0.25">
      <c r="A162" s="41" t="s">
        <v>54</v>
      </c>
      <c r="B162" s="44">
        <f t="shared" si="42"/>
        <v>2</v>
      </c>
      <c r="C162" s="55">
        <v>2</v>
      </c>
      <c r="D162" s="44">
        <f t="shared" si="43"/>
        <v>2</v>
      </c>
      <c r="E162" s="44">
        <f t="shared" si="43"/>
        <v>2</v>
      </c>
      <c r="F162" s="44">
        <f t="shared" si="43"/>
        <v>2</v>
      </c>
      <c r="G162" s="44">
        <f t="shared" si="43"/>
        <v>2</v>
      </c>
      <c r="H162" s="44">
        <f t="shared" si="43"/>
        <v>2</v>
      </c>
      <c r="I162" s="44">
        <f t="shared" si="43"/>
        <v>2</v>
      </c>
      <c r="J162" s="44">
        <f t="shared" si="43"/>
        <v>2</v>
      </c>
      <c r="K162" s="44">
        <f t="shared" si="43"/>
        <v>2</v>
      </c>
      <c r="L162" s="44">
        <f t="shared" si="43"/>
        <v>2</v>
      </c>
      <c r="M162" s="44">
        <f t="shared" si="43"/>
        <v>2</v>
      </c>
      <c r="N162" s="44">
        <f t="shared" si="43"/>
        <v>2</v>
      </c>
      <c r="O162" s="44">
        <f t="shared" si="43"/>
        <v>2</v>
      </c>
      <c r="P162" s="44">
        <f t="shared" si="43"/>
        <v>2</v>
      </c>
      <c r="Q162" s="44">
        <f t="shared" si="43"/>
        <v>2</v>
      </c>
      <c r="R162" s="44">
        <f t="shared" si="43"/>
        <v>2</v>
      </c>
      <c r="S162" s="44">
        <f t="shared" si="43"/>
        <v>2</v>
      </c>
      <c r="T162" s="44">
        <f t="shared" si="44"/>
        <v>2</v>
      </c>
      <c r="U162" s="44">
        <f t="shared" si="44"/>
        <v>2</v>
      </c>
      <c r="V162" s="44">
        <f t="shared" si="44"/>
        <v>2</v>
      </c>
      <c r="W162" s="44">
        <f t="shared" si="44"/>
        <v>2</v>
      </c>
      <c r="X162" s="44">
        <f t="shared" si="44"/>
        <v>2</v>
      </c>
      <c r="Y162" s="44">
        <f t="shared" si="44"/>
        <v>2</v>
      </c>
      <c r="Z162" s="44">
        <f t="shared" si="44"/>
        <v>2</v>
      </c>
      <c r="AA162" s="44">
        <f t="shared" si="44"/>
        <v>2</v>
      </c>
      <c r="AB162" s="44">
        <f t="shared" si="44"/>
        <v>2</v>
      </c>
      <c r="AC162" s="44">
        <f t="shared" si="44"/>
        <v>2</v>
      </c>
      <c r="AD162" s="44">
        <f t="shared" si="44"/>
        <v>2</v>
      </c>
      <c r="AE162" s="44">
        <f t="shared" si="44"/>
        <v>2</v>
      </c>
      <c r="AF162" s="44">
        <f t="shared" si="44"/>
        <v>2</v>
      </c>
      <c r="AG162" s="53">
        <v>3</v>
      </c>
      <c r="AH162" s="21"/>
      <c r="AI162" s="20"/>
      <c r="AK162" s="42"/>
    </row>
    <row r="163" spans="1:37" x14ac:dyDescent="0.25">
      <c r="A163" s="41" t="s">
        <v>53</v>
      </c>
      <c r="B163" s="44">
        <f t="shared" si="42"/>
        <v>0.47</v>
      </c>
      <c r="C163" s="55">
        <v>0.47</v>
      </c>
      <c r="D163" s="44">
        <f t="shared" si="43"/>
        <v>0.47</v>
      </c>
      <c r="E163" s="44">
        <f t="shared" si="43"/>
        <v>0.47</v>
      </c>
      <c r="F163" s="44">
        <f t="shared" si="43"/>
        <v>0.47</v>
      </c>
      <c r="G163" s="44">
        <f t="shared" si="43"/>
        <v>0.47</v>
      </c>
      <c r="H163" s="44">
        <f t="shared" si="43"/>
        <v>0.47</v>
      </c>
      <c r="I163" s="44">
        <f t="shared" si="43"/>
        <v>0.47</v>
      </c>
      <c r="J163" s="44">
        <f t="shared" si="43"/>
        <v>0.47</v>
      </c>
      <c r="K163" s="44">
        <f t="shared" si="43"/>
        <v>0.47</v>
      </c>
      <c r="L163" s="44">
        <f t="shared" si="43"/>
        <v>0.47</v>
      </c>
      <c r="M163" s="44">
        <f t="shared" si="43"/>
        <v>0.47</v>
      </c>
      <c r="N163" s="44">
        <f t="shared" si="43"/>
        <v>0.47</v>
      </c>
      <c r="O163" s="44">
        <f t="shared" si="43"/>
        <v>0.47</v>
      </c>
      <c r="P163" s="44">
        <f t="shared" si="43"/>
        <v>0.47</v>
      </c>
      <c r="Q163" s="44">
        <f t="shared" si="43"/>
        <v>0.47</v>
      </c>
      <c r="R163" s="44">
        <f t="shared" si="43"/>
        <v>0.47</v>
      </c>
      <c r="S163" s="44">
        <f t="shared" si="43"/>
        <v>0.47</v>
      </c>
      <c r="T163" s="44">
        <f t="shared" si="44"/>
        <v>0.47</v>
      </c>
      <c r="U163" s="44">
        <f t="shared" si="44"/>
        <v>0.47</v>
      </c>
      <c r="V163" s="44">
        <f t="shared" si="44"/>
        <v>0.47</v>
      </c>
      <c r="W163" s="44">
        <f t="shared" si="44"/>
        <v>0.47</v>
      </c>
      <c r="X163" s="44">
        <f t="shared" si="44"/>
        <v>0.47</v>
      </c>
      <c r="Y163" s="44">
        <f t="shared" si="44"/>
        <v>0.47</v>
      </c>
      <c r="Z163" s="44">
        <f t="shared" si="44"/>
        <v>0.47</v>
      </c>
      <c r="AA163" s="44">
        <f t="shared" si="44"/>
        <v>0.47</v>
      </c>
      <c r="AB163" s="44">
        <f t="shared" si="44"/>
        <v>0.47</v>
      </c>
      <c r="AC163" s="44">
        <f t="shared" si="44"/>
        <v>0.47</v>
      </c>
      <c r="AD163" s="44">
        <f t="shared" si="44"/>
        <v>0.47</v>
      </c>
      <c r="AE163" s="44">
        <f t="shared" si="44"/>
        <v>0.47</v>
      </c>
      <c r="AF163" s="44">
        <f t="shared" si="44"/>
        <v>0.47</v>
      </c>
      <c r="AG163" s="53">
        <v>3</v>
      </c>
      <c r="AH163" s="21"/>
      <c r="AI163" s="20"/>
      <c r="AK163" s="42"/>
    </row>
    <row r="164" spans="1:37" x14ac:dyDescent="0.25">
      <c r="A164" s="41" t="s">
        <v>52</v>
      </c>
      <c r="B164" s="44">
        <f t="shared" si="42"/>
        <v>0</v>
      </c>
      <c r="C164" s="55">
        <v>0</v>
      </c>
      <c r="D164" s="44">
        <f t="shared" si="43"/>
        <v>0</v>
      </c>
      <c r="E164" s="44">
        <f t="shared" si="43"/>
        <v>0</v>
      </c>
      <c r="F164" s="44">
        <f t="shared" si="43"/>
        <v>0</v>
      </c>
      <c r="G164" s="44">
        <f t="shared" si="43"/>
        <v>0</v>
      </c>
      <c r="H164" s="44">
        <f t="shared" si="43"/>
        <v>0</v>
      </c>
      <c r="I164" s="44">
        <f t="shared" si="43"/>
        <v>0</v>
      </c>
      <c r="J164" s="44">
        <f t="shared" si="43"/>
        <v>0</v>
      </c>
      <c r="K164" s="44">
        <f t="shared" si="43"/>
        <v>0</v>
      </c>
      <c r="L164" s="44">
        <f t="shared" si="43"/>
        <v>0</v>
      </c>
      <c r="M164" s="44">
        <f t="shared" si="43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4"/>
        <v>0</v>
      </c>
      <c r="U164" s="44">
        <f t="shared" si="44"/>
        <v>0</v>
      </c>
      <c r="V164" s="44">
        <f t="shared" si="44"/>
        <v>0</v>
      </c>
      <c r="W164" s="44">
        <f t="shared" si="44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  <c r="AF164" s="44">
        <f t="shared" si="44"/>
        <v>0</v>
      </c>
      <c r="AG164" s="53">
        <v>3</v>
      </c>
      <c r="AH164" s="21"/>
      <c r="AI164" s="20"/>
      <c r="AK164" s="42"/>
    </row>
    <row r="165" spans="1:37" x14ac:dyDescent="0.25">
      <c r="A165" s="41" t="s">
        <v>51</v>
      </c>
      <c r="B165" s="44">
        <f t="shared" si="42"/>
        <v>0</v>
      </c>
      <c r="C165" s="55">
        <v>0</v>
      </c>
      <c r="D165" s="44">
        <f t="shared" si="43"/>
        <v>0</v>
      </c>
      <c r="E165" s="44">
        <f t="shared" si="43"/>
        <v>0</v>
      </c>
      <c r="F165" s="44">
        <f t="shared" si="43"/>
        <v>0</v>
      </c>
      <c r="G165" s="44">
        <f t="shared" si="43"/>
        <v>0</v>
      </c>
      <c r="H165" s="44">
        <f t="shared" si="43"/>
        <v>0</v>
      </c>
      <c r="I165" s="44">
        <f t="shared" si="43"/>
        <v>0</v>
      </c>
      <c r="J165" s="44">
        <f t="shared" si="43"/>
        <v>0</v>
      </c>
      <c r="K165" s="44">
        <f t="shared" si="43"/>
        <v>0</v>
      </c>
      <c r="L165" s="44">
        <f t="shared" si="43"/>
        <v>0</v>
      </c>
      <c r="M165" s="44">
        <f t="shared" si="43"/>
        <v>0</v>
      </c>
      <c r="N165" s="44">
        <f t="shared" si="43"/>
        <v>0</v>
      </c>
      <c r="O165" s="44">
        <f t="shared" si="43"/>
        <v>0</v>
      </c>
      <c r="P165" s="44">
        <f t="shared" si="43"/>
        <v>0</v>
      </c>
      <c r="Q165" s="44">
        <f t="shared" si="43"/>
        <v>0</v>
      </c>
      <c r="R165" s="44">
        <f t="shared" si="43"/>
        <v>0</v>
      </c>
      <c r="S165" s="44">
        <f t="shared" si="44"/>
        <v>0</v>
      </c>
      <c r="T165" s="44">
        <f t="shared" si="44"/>
        <v>0</v>
      </c>
      <c r="U165" s="44">
        <f t="shared" si="44"/>
        <v>0</v>
      </c>
      <c r="V165" s="44">
        <f t="shared" si="44"/>
        <v>0</v>
      </c>
      <c r="W165" s="44">
        <f t="shared" si="44"/>
        <v>0</v>
      </c>
      <c r="X165" s="44">
        <f t="shared" si="44"/>
        <v>0</v>
      </c>
      <c r="Y165" s="44">
        <f t="shared" si="44"/>
        <v>0</v>
      </c>
      <c r="Z165" s="44">
        <f t="shared" si="44"/>
        <v>0</v>
      </c>
      <c r="AA165" s="44">
        <f t="shared" si="44"/>
        <v>0</v>
      </c>
      <c r="AB165" s="44">
        <f t="shared" si="44"/>
        <v>0</v>
      </c>
      <c r="AC165" s="44">
        <f t="shared" si="44"/>
        <v>0</v>
      </c>
      <c r="AD165" s="44">
        <f t="shared" si="44"/>
        <v>0</v>
      </c>
      <c r="AE165" s="44">
        <f t="shared" si="44"/>
        <v>0</v>
      </c>
      <c r="AF165" s="44">
        <f t="shared" si="44"/>
        <v>0</v>
      </c>
      <c r="AG165" s="53">
        <v>3</v>
      </c>
      <c r="AH165" s="21"/>
      <c r="AI165" s="20"/>
      <c r="AK165" s="42"/>
    </row>
    <row r="166" spans="1:37" x14ac:dyDescent="0.25">
      <c r="A166" s="41" t="s">
        <v>50</v>
      </c>
      <c r="B166" s="44">
        <f t="shared" si="42"/>
        <v>0.8</v>
      </c>
      <c r="C166" s="55">
        <v>0.8</v>
      </c>
      <c r="D166" s="44">
        <f t="shared" si="43"/>
        <v>0.8</v>
      </c>
      <c r="E166" s="44">
        <f t="shared" si="43"/>
        <v>0.8</v>
      </c>
      <c r="F166" s="44">
        <f t="shared" si="43"/>
        <v>0.8</v>
      </c>
      <c r="G166" s="44">
        <f t="shared" si="43"/>
        <v>0.8</v>
      </c>
      <c r="H166" s="44">
        <f t="shared" si="43"/>
        <v>0.8</v>
      </c>
      <c r="I166" s="44">
        <f t="shared" si="43"/>
        <v>0.8</v>
      </c>
      <c r="J166" s="44">
        <f t="shared" si="43"/>
        <v>0.8</v>
      </c>
      <c r="K166" s="44">
        <f t="shared" si="43"/>
        <v>0.8</v>
      </c>
      <c r="L166" s="44">
        <f t="shared" si="43"/>
        <v>0.8</v>
      </c>
      <c r="M166" s="44">
        <f t="shared" si="43"/>
        <v>0.8</v>
      </c>
      <c r="N166" s="44">
        <f t="shared" si="43"/>
        <v>0.8</v>
      </c>
      <c r="O166" s="44">
        <f t="shared" si="43"/>
        <v>0.8</v>
      </c>
      <c r="P166" s="44">
        <f t="shared" si="43"/>
        <v>0.8</v>
      </c>
      <c r="Q166" s="44">
        <f t="shared" si="43"/>
        <v>0.8</v>
      </c>
      <c r="R166" s="44">
        <f t="shared" si="43"/>
        <v>0.8</v>
      </c>
      <c r="S166" s="44">
        <f t="shared" si="44"/>
        <v>0.8</v>
      </c>
      <c r="T166" s="44">
        <f t="shared" si="44"/>
        <v>0.8</v>
      </c>
      <c r="U166" s="44">
        <f t="shared" si="44"/>
        <v>0.8</v>
      </c>
      <c r="V166" s="44">
        <f t="shared" si="44"/>
        <v>0.8</v>
      </c>
      <c r="W166" s="44">
        <f t="shared" si="44"/>
        <v>0.8</v>
      </c>
      <c r="X166" s="44">
        <f t="shared" si="44"/>
        <v>0.8</v>
      </c>
      <c r="Y166" s="44">
        <f t="shared" si="44"/>
        <v>0.8</v>
      </c>
      <c r="Z166" s="44">
        <f t="shared" si="44"/>
        <v>0.8</v>
      </c>
      <c r="AA166" s="44">
        <f t="shared" si="44"/>
        <v>0.8</v>
      </c>
      <c r="AB166" s="44">
        <f t="shared" si="44"/>
        <v>0.8</v>
      </c>
      <c r="AC166" s="44">
        <f t="shared" si="44"/>
        <v>0.8</v>
      </c>
      <c r="AD166" s="44">
        <f t="shared" si="44"/>
        <v>0.8</v>
      </c>
      <c r="AE166" s="44">
        <f t="shared" si="44"/>
        <v>0.8</v>
      </c>
      <c r="AF166" s="44">
        <f t="shared" si="44"/>
        <v>0.8</v>
      </c>
      <c r="AG166" s="53">
        <v>3</v>
      </c>
      <c r="AH166" s="21"/>
      <c r="AI166" s="20"/>
      <c r="AK166" s="42"/>
    </row>
    <row r="167" spans="1:37" x14ac:dyDescent="0.25">
      <c r="A167" s="41" t="s">
        <v>49</v>
      </c>
      <c r="B167" s="44">
        <f t="shared" si="42"/>
        <v>1.5</v>
      </c>
      <c r="C167" s="55">
        <v>1.5</v>
      </c>
      <c r="D167" s="44">
        <f t="shared" si="43"/>
        <v>1.5</v>
      </c>
      <c r="E167" s="44">
        <f t="shared" si="43"/>
        <v>1.5</v>
      </c>
      <c r="F167" s="44">
        <f t="shared" si="43"/>
        <v>1.5</v>
      </c>
      <c r="G167" s="44">
        <f t="shared" si="43"/>
        <v>1.5</v>
      </c>
      <c r="H167" s="44">
        <f t="shared" si="43"/>
        <v>1.5</v>
      </c>
      <c r="I167" s="44">
        <f t="shared" si="43"/>
        <v>1.5</v>
      </c>
      <c r="J167" s="44">
        <f t="shared" si="43"/>
        <v>1.5</v>
      </c>
      <c r="K167" s="44">
        <f t="shared" si="43"/>
        <v>1.5</v>
      </c>
      <c r="L167" s="44">
        <f t="shared" si="43"/>
        <v>1.5</v>
      </c>
      <c r="M167" s="44">
        <f t="shared" si="43"/>
        <v>1.5</v>
      </c>
      <c r="N167" s="44">
        <f t="shared" si="43"/>
        <v>1.5</v>
      </c>
      <c r="O167" s="44">
        <f t="shared" si="43"/>
        <v>1.5</v>
      </c>
      <c r="P167" s="44">
        <f t="shared" si="43"/>
        <v>1.5</v>
      </c>
      <c r="Q167" s="44">
        <f t="shared" si="43"/>
        <v>1.5</v>
      </c>
      <c r="R167" s="44">
        <f t="shared" si="43"/>
        <v>1.5</v>
      </c>
      <c r="S167" s="44">
        <f t="shared" si="44"/>
        <v>1.5</v>
      </c>
      <c r="T167" s="44">
        <f t="shared" si="44"/>
        <v>1.5</v>
      </c>
      <c r="U167" s="44">
        <f t="shared" si="44"/>
        <v>1.5</v>
      </c>
      <c r="V167" s="44">
        <f t="shared" si="44"/>
        <v>1.5</v>
      </c>
      <c r="W167" s="44">
        <f t="shared" si="44"/>
        <v>1.5</v>
      </c>
      <c r="X167" s="44">
        <f t="shared" si="44"/>
        <v>1.5</v>
      </c>
      <c r="Y167" s="44">
        <f t="shared" si="44"/>
        <v>1.5</v>
      </c>
      <c r="Z167" s="44">
        <f t="shared" si="44"/>
        <v>1.5</v>
      </c>
      <c r="AA167" s="44">
        <f t="shared" si="44"/>
        <v>1.5</v>
      </c>
      <c r="AB167" s="44">
        <f t="shared" si="44"/>
        <v>1.5</v>
      </c>
      <c r="AC167" s="44">
        <f t="shared" si="44"/>
        <v>1.5</v>
      </c>
      <c r="AD167" s="44">
        <f t="shared" si="44"/>
        <v>1.5</v>
      </c>
      <c r="AE167" s="44">
        <f t="shared" si="44"/>
        <v>1.5</v>
      </c>
      <c r="AF167" s="44">
        <f t="shared" si="44"/>
        <v>1.5</v>
      </c>
      <c r="AG167" s="53">
        <v>3</v>
      </c>
      <c r="AH167" s="21"/>
      <c r="AI167" s="20"/>
      <c r="AK167" s="42"/>
    </row>
    <row r="168" spans="1:37" x14ac:dyDescent="0.25">
      <c r="A168" s="41" t="s">
        <v>48</v>
      </c>
      <c r="B168" s="44">
        <f t="shared" si="42"/>
        <v>1</v>
      </c>
      <c r="C168" s="55">
        <v>1</v>
      </c>
      <c r="D168" s="44">
        <f t="shared" si="43"/>
        <v>1</v>
      </c>
      <c r="E168" s="44">
        <f t="shared" si="43"/>
        <v>1</v>
      </c>
      <c r="F168" s="44">
        <f t="shared" si="43"/>
        <v>1</v>
      </c>
      <c r="G168" s="44">
        <f t="shared" si="43"/>
        <v>1</v>
      </c>
      <c r="H168" s="44">
        <f t="shared" si="43"/>
        <v>1</v>
      </c>
      <c r="I168" s="44">
        <f t="shared" si="43"/>
        <v>1</v>
      </c>
      <c r="J168" s="44">
        <f t="shared" si="43"/>
        <v>1</v>
      </c>
      <c r="K168" s="44">
        <f t="shared" si="43"/>
        <v>1</v>
      </c>
      <c r="L168" s="44">
        <f t="shared" si="43"/>
        <v>1</v>
      </c>
      <c r="M168" s="44">
        <f t="shared" si="43"/>
        <v>1</v>
      </c>
      <c r="N168" s="44">
        <f t="shared" si="43"/>
        <v>1</v>
      </c>
      <c r="O168" s="44">
        <f t="shared" si="43"/>
        <v>1</v>
      </c>
      <c r="P168" s="44">
        <f t="shared" si="43"/>
        <v>1</v>
      </c>
      <c r="Q168" s="44">
        <f t="shared" si="43"/>
        <v>1</v>
      </c>
      <c r="R168" s="44">
        <f t="shared" si="43"/>
        <v>1</v>
      </c>
      <c r="S168" s="44">
        <f t="shared" si="44"/>
        <v>1</v>
      </c>
      <c r="T168" s="44">
        <f t="shared" si="44"/>
        <v>1</v>
      </c>
      <c r="U168" s="44">
        <f t="shared" si="44"/>
        <v>1</v>
      </c>
      <c r="V168" s="44">
        <f t="shared" si="44"/>
        <v>1</v>
      </c>
      <c r="W168" s="44">
        <f t="shared" si="44"/>
        <v>1</v>
      </c>
      <c r="X168" s="44">
        <f t="shared" si="44"/>
        <v>1</v>
      </c>
      <c r="Y168" s="44">
        <f t="shared" si="44"/>
        <v>1</v>
      </c>
      <c r="Z168" s="44">
        <f t="shared" si="44"/>
        <v>1</v>
      </c>
      <c r="AA168" s="44">
        <f t="shared" si="44"/>
        <v>1</v>
      </c>
      <c r="AB168" s="44">
        <f t="shared" si="44"/>
        <v>1</v>
      </c>
      <c r="AC168" s="44">
        <f t="shared" si="44"/>
        <v>1</v>
      </c>
      <c r="AD168" s="44">
        <f t="shared" si="44"/>
        <v>1</v>
      </c>
      <c r="AE168" s="44">
        <f t="shared" si="44"/>
        <v>1</v>
      </c>
      <c r="AF168" s="44">
        <f t="shared" si="44"/>
        <v>1</v>
      </c>
      <c r="AG168" s="53">
        <v>3</v>
      </c>
      <c r="AH168" s="21"/>
      <c r="AI168" s="20"/>
      <c r="AK168" s="42"/>
    </row>
    <row r="169" spans="1:37" x14ac:dyDescent="0.25">
      <c r="A169" s="41" t="s">
        <v>47</v>
      </c>
      <c r="B169" s="44"/>
      <c r="C169" s="55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53">
        <v>2.83</v>
      </c>
      <c r="AH169" s="21"/>
      <c r="AI169" s="20"/>
      <c r="AK169" s="42"/>
    </row>
    <row r="170" spans="1:37" x14ac:dyDescent="0.25">
      <c r="A170" s="41" t="s">
        <v>46</v>
      </c>
      <c r="B170" s="44">
        <f t="shared" ref="B170:B177" si="45">AF170</f>
        <v>1</v>
      </c>
      <c r="C170" s="55">
        <v>1</v>
      </c>
      <c r="D170" s="44">
        <f t="shared" ref="D170:S177" si="46">C170</f>
        <v>1</v>
      </c>
      <c r="E170" s="44">
        <f t="shared" si="46"/>
        <v>1</v>
      </c>
      <c r="F170" s="44">
        <f t="shared" si="46"/>
        <v>1</v>
      </c>
      <c r="G170" s="44">
        <f t="shared" si="46"/>
        <v>1</v>
      </c>
      <c r="H170" s="44">
        <f t="shared" si="46"/>
        <v>1</v>
      </c>
      <c r="I170" s="44">
        <f t="shared" si="46"/>
        <v>1</v>
      </c>
      <c r="J170" s="44">
        <f t="shared" si="46"/>
        <v>1</v>
      </c>
      <c r="K170" s="44">
        <f t="shared" si="46"/>
        <v>1</v>
      </c>
      <c r="L170" s="44">
        <f t="shared" si="46"/>
        <v>1</v>
      </c>
      <c r="M170" s="44">
        <f t="shared" si="46"/>
        <v>1</v>
      </c>
      <c r="N170" s="44">
        <f t="shared" si="46"/>
        <v>1</v>
      </c>
      <c r="O170" s="44">
        <f t="shared" si="46"/>
        <v>1</v>
      </c>
      <c r="P170" s="44">
        <f t="shared" si="46"/>
        <v>1</v>
      </c>
      <c r="Q170" s="44">
        <f t="shared" si="46"/>
        <v>1</v>
      </c>
      <c r="R170" s="44">
        <f t="shared" si="46"/>
        <v>1</v>
      </c>
      <c r="S170" s="44">
        <f t="shared" si="46"/>
        <v>1</v>
      </c>
      <c r="T170" s="44">
        <f t="shared" ref="S170:AF177" si="47">S170</f>
        <v>1</v>
      </c>
      <c r="U170" s="44">
        <f t="shared" si="47"/>
        <v>1</v>
      </c>
      <c r="V170" s="44">
        <f t="shared" si="47"/>
        <v>1</v>
      </c>
      <c r="W170" s="44">
        <f t="shared" si="47"/>
        <v>1</v>
      </c>
      <c r="X170" s="44">
        <f t="shared" si="47"/>
        <v>1</v>
      </c>
      <c r="Y170" s="44">
        <f t="shared" si="47"/>
        <v>1</v>
      </c>
      <c r="Z170" s="44">
        <f t="shared" si="47"/>
        <v>1</v>
      </c>
      <c r="AA170" s="44">
        <f t="shared" si="47"/>
        <v>1</v>
      </c>
      <c r="AB170" s="44">
        <f t="shared" si="47"/>
        <v>1</v>
      </c>
      <c r="AC170" s="44">
        <f t="shared" si="47"/>
        <v>1</v>
      </c>
      <c r="AD170" s="44">
        <f t="shared" si="47"/>
        <v>1</v>
      </c>
      <c r="AE170" s="44">
        <f t="shared" si="47"/>
        <v>1</v>
      </c>
      <c r="AF170" s="44">
        <f t="shared" si="47"/>
        <v>1</v>
      </c>
      <c r="AG170" s="53">
        <v>2.5</v>
      </c>
      <c r="AH170" s="21"/>
      <c r="AI170" s="20"/>
      <c r="AK170" s="42"/>
    </row>
    <row r="171" spans="1:37" x14ac:dyDescent="0.25">
      <c r="A171" s="41" t="s">
        <v>45</v>
      </c>
      <c r="B171" s="44">
        <f t="shared" si="45"/>
        <v>0.42</v>
      </c>
      <c r="C171" s="55">
        <v>0.42</v>
      </c>
      <c r="D171" s="44">
        <f t="shared" si="46"/>
        <v>0.42</v>
      </c>
      <c r="E171" s="44">
        <f t="shared" si="46"/>
        <v>0.42</v>
      </c>
      <c r="F171" s="44">
        <f t="shared" si="46"/>
        <v>0.42</v>
      </c>
      <c r="G171" s="44">
        <f t="shared" si="46"/>
        <v>0.42</v>
      </c>
      <c r="H171" s="44">
        <f t="shared" si="46"/>
        <v>0.42</v>
      </c>
      <c r="I171" s="44">
        <f t="shared" si="46"/>
        <v>0.42</v>
      </c>
      <c r="J171" s="44">
        <f t="shared" si="46"/>
        <v>0.42</v>
      </c>
      <c r="K171" s="44">
        <f t="shared" si="46"/>
        <v>0.42</v>
      </c>
      <c r="L171" s="44">
        <f t="shared" si="46"/>
        <v>0.42</v>
      </c>
      <c r="M171" s="44">
        <f t="shared" si="46"/>
        <v>0.42</v>
      </c>
      <c r="N171" s="44">
        <f t="shared" si="46"/>
        <v>0.42</v>
      </c>
      <c r="O171" s="44">
        <f t="shared" si="46"/>
        <v>0.42</v>
      </c>
      <c r="P171" s="44">
        <f t="shared" si="46"/>
        <v>0.42</v>
      </c>
      <c r="Q171" s="44">
        <f t="shared" si="46"/>
        <v>0.42</v>
      </c>
      <c r="R171" s="44">
        <f t="shared" si="46"/>
        <v>0.42</v>
      </c>
      <c r="S171" s="44">
        <f t="shared" si="47"/>
        <v>0.42</v>
      </c>
      <c r="T171" s="44">
        <f t="shared" si="47"/>
        <v>0.42</v>
      </c>
      <c r="U171" s="44">
        <f t="shared" si="47"/>
        <v>0.42</v>
      </c>
      <c r="V171" s="44">
        <f t="shared" si="47"/>
        <v>0.42</v>
      </c>
      <c r="W171" s="44">
        <f t="shared" si="47"/>
        <v>0.42</v>
      </c>
      <c r="X171" s="44">
        <f t="shared" si="47"/>
        <v>0.42</v>
      </c>
      <c r="Y171" s="44">
        <f t="shared" si="47"/>
        <v>0.42</v>
      </c>
      <c r="Z171" s="44">
        <f t="shared" si="47"/>
        <v>0.42</v>
      </c>
      <c r="AA171" s="44">
        <f t="shared" si="47"/>
        <v>0.42</v>
      </c>
      <c r="AB171" s="44">
        <f t="shared" si="47"/>
        <v>0.42</v>
      </c>
      <c r="AC171" s="44">
        <f t="shared" si="47"/>
        <v>0.42</v>
      </c>
      <c r="AD171" s="44">
        <f t="shared" si="47"/>
        <v>0.42</v>
      </c>
      <c r="AE171" s="44">
        <f t="shared" si="47"/>
        <v>0.42</v>
      </c>
      <c r="AF171" s="44">
        <f t="shared" si="47"/>
        <v>0.42</v>
      </c>
      <c r="AG171" s="53">
        <v>2.5</v>
      </c>
      <c r="AH171" s="21"/>
      <c r="AI171" s="20"/>
      <c r="AK171" s="42"/>
    </row>
    <row r="172" spans="1:37" x14ac:dyDescent="0.25">
      <c r="A172" s="41" t="s">
        <v>44</v>
      </c>
      <c r="B172" s="44">
        <f t="shared" si="45"/>
        <v>0.46</v>
      </c>
      <c r="C172" s="55">
        <v>0.46</v>
      </c>
      <c r="D172" s="44">
        <f t="shared" si="46"/>
        <v>0.46</v>
      </c>
      <c r="E172" s="44">
        <f t="shared" si="46"/>
        <v>0.46</v>
      </c>
      <c r="F172" s="44">
        <f t="shared" si="46"/>
        <v>0.46</v>
      </c>
      <c r="G172" s="44">
        <f t="shared" si="46"/>
        <v>0.46</v>
      </c>
      <c r="H172" s="44">
        <f t="shared" si="46"/>
        <v>0.46</v>
      </c>
      <c r="I172" s="44">
        <f t="shared" si="46"/>
        <v>0.46</v>
      </c>
      <c r="J172" s="44">
        <f t="shared" si="46"/>
        <v>0.46</v>
      </c>
      <c r="K172" s="44">
        <f t="shared" si="46"/>
        <v>0.46</v>
      </c>
      <c r="L172" s="44">
        <f t="shared" si="46"/>
        <v>0.46</v>
      </c>
      <c r="M172" s="44">
        <f t="shared" si="46"/>
        <v>0.46</v>
      </c>
      <c r="N172" s="44">
        <f t="shared" si="46"/>
        <v>0.46</v>
      </c>
      <c r="O172" s="44">
        <f t="shared" si="46"/>
        <v>0.46</v>
      </c>
      <c r="P172" s="44">
        <f t="shared" si="46"/>
        <v>0.46</v>
      </c>
      <c r="Q172" s="44">
        <f t="shared" si="46"/>
        <v>0.46</v>
      </c>
      <c r="R172" s="44">
        <f t="shared" si="46"/>
        <v>0.46</v>
      </c>
      <c r="S172" s="44">
        <f t="shared" si="47"/>
        <v>0.46</v>
      </c>
      <c r="T172" s="44">
        <f t="shared" si="47"/>
        <v>0.46</v>
      </c>
      <c r="U172" s="44">
        <f t="shared" si="47"/>
        <v>0.46</v>
      </c>
      <c r="V172" s="44">
        <f t="shared" si="47"/>
        <v>0.46</v>
      </c>
      <c r="W172" s="44">
        <f t="shared" si="47"/>
        <v>0.46</v>
      </c>
      <c r="X172" s="44">
        <f t="shared" si="47"/>
        <v>0.46</v>
      </c>
      <c r="Y172" s="44">
        <f t="shared" si="47"/>
        <v>0.46</v>
      </c>
      <c r="Z172" s="44">
        <f t="shared" si="47"/>
        <v>0.46</v>
      </c>
      <c r="AA172" s="44">
        <f t="shared" si="47"/>
        <v>0.46</v>
      </c>
      <c r="AB172" s="44">
        <f t="shared" si="47"/>
        <v>0.46</v>
      </c>
      <c r="AC172" s="44">
        <f t="shared" si="47"/>
        <v>0.46</v>
      </c>
      <c r="AD172" s="44">
        <f t="shared" si="47"/>
        <v>0.46</v>
      </c>
      <c r="AE172" s="44">
        <f t="shared" si="47"/>
        <v>0.46</v>
      </c>
      <c r="AF172" s="44">
        <f t="shared" si="47"/>
        <v>0.46</v>
      </c>
      <c r="AG172" s="53">
        <v>2.4</v>
      </c>
      <c r="AH172" s="21"/>
      <c r="AI172" s="20"/>
      <c r="AK172" s="42"/>
    </row>
    <row r="173" spans="1:37" x14ac:dyDescent="0.25">
      <c r="A173" s="41" t="s">
        <v>43</v>
      </c>
      <c r="B173" s="44">
        <f t="shared" si="45"/>
        <v>0.85</v>
      </c>
      <c r="C173" s="55">
        <v>0.85</v>
      </c>
      <c r="D173" s="44">
        <f t="shared" si="46"/>
        <v>0.85</v>
      </c>
      <c r="E173" s="44">
        <f t="shared" si="46"/>
        <v>0.85</v>
      </c>
      <c r="F173" s="44">
        <f t="shared" si="46"/>
        <v>0.85</v>
      </c>
      <c r="G173" s="44">
        <f t="shared" si="46"/>
        <v>0.85</v>
      </c>
      <c r="H173" s="44">
        <f t="shared" si="46"/>
        <v>0.85</v>
      </c>
      <c r="I173" s="44">
        <f t="shared" si="46"/>
        <v>0.85</v>
      </c>
      <c r="J173" s="44">
        <f t="shared" si="46"/>
        <v>0.85</v>
      </c>
      <c r="K173" s="44">
        <f t="shared" si="46"/>
        <v>0.85</v>
      </c>
      <c r="L173" s="44">
        <f t="shared" si="46"/>
        <v>0.85</v>
      </c>
      <c r="M173" s="44">
        <f t="shared" si="46"/>
        <v>0.85</v>
      </c>
      <c r="N173" s="44">
        <f t="shared" si="46"/>
        <v>0.85</v>
      </c>
      <c r="O173" s="44">
        <f t="shared" si="46"/>
        <v>0.85</v>
      </c>
      <c r="P173" s="44">
        <f t="shared" si="46"/>
        <v>0.85</v>
      </c>
      <c r="Q173" s="44">
        <f t="shared" si="46"/>
        <v>0.85</v>
      </c>
      <c r="R173" s="44">
        <f t="shared" si="46"/>
        <v>0.85</v>
      </c>
      <c r="S173" s="44">
        <f t="shared" si="47"/>
        <v>0.85</v>
      </c>
      <c r="T173" s="44">
        <f t="shared" si="47"/>
        <v>0.85</v>
      </c>
      <c r="U173" s="44">
        <f t="shared" si="47"/>
        <v>0.85</v>
      </c>
      <c r="V173" s="44">
        <f t="shared" si="47"/>
        <v>0.85</v>
      </c>
      <c r="W173" s="44">
        <f t="shared" si="47"/>
        <v>0.85</v>
      </c>
      <c r="X173" s="44">
        <f t="shared" si="47"/>
        <v>0.85</v>
      </c>
      <c r="Y173" s="44">
        <f t="shared" si="47"/>
        <v>0.85</v>
      </c>
      <c r="Z173" s="44">
        <f t="shared" si="47"/>
        <v>0.85</v>
      </c>
      <c r="AA173" s="44">
        <f t="shared" si="47"/>
        <v>0.85</v>
      </c>
      <c r="AB173" s="44">
        <f t="shared" si="47"/>
        <v>0.85</v>
      </c>
      <c r="AC173" s="44">
        <f t="shared" si="47"/>
        <v>0.85</v>
      </c>
      <c r="AD173" s="44">
        <f t="shared" si="47"/>
        <v>0.85</v>
      </c>
      <c r="AE173" s="44">
        <f t="shared" si="47"/>
        <v>0.85</v>
      </c>
      <c r="AF173" s="44">
        <f t="shared" si="47"/>
        <v>0.85</v>
      </c>
      <c r="AG173" s="53">
        <v>2.4</v>
      </c>
      <c r="AH173" s="21"/>
      <c r="AI173" s="20"/>
      <c r="AK173" s="42"/>
    </row>
    <row r="174" spans="1:37" x14ac:dyDescent="0.25">
      <c r="A174" s="41" t="s">
        <v>42</v>
      </c>
      <c r="B174" s="44">
        <f t="shared" si="45"/>
        <v>0.9</v>
      </c>
      <c r="C174" s="55">
        <v>0.9</v>
      </c>
      <c r="D174" s="44">
        <f t="shared" si="46"/>
        <v>0.9</v>
      </c>
      <c r="E174" s="44">
        <f t="shared" si="46"/>
        <v>0.9</v>
      </c>
      <c r="F174" s="44">
        <f t="shared" si="46"/>
        <v>0.9</v>
      </c>
      <c r="G174" s="44">
        <f t="shared" si="46"/>
        <v>0.9</v>
      </c>
      <c r="H174" s="44">
        <f t="shared" si="46"/>
        <v>0.9</v>
      </c>
      <c r="I174" s="44">
        <f t="shared" si="46"/>
        <v>0.9</v>
      </c>
      <c r="J174" s="44">
        <f t="shared" si="46"/>
        <v>0.9</v>
      </c>
      <c r="K174" s="44">
        <f t="shared" si="46"/>
        <v>0.9</v>
      </c>
      <c r="L174" s="44">
        <f t="shared" si="46"/>
        <v>0.9</v>
      </c>
      <c r="M174" s="44">
        <f t="shared" si="46"/>
        <v>0.9</v>
      </c>
      <c r="N174" s="44">
        <f t="shared" si="46"/>
        <v>0.9</v>
      </c>
      <c r="O174" s="44">
        <f t="shared" si="46"/>
        <v>0.9</v>
      </c>
      <c r="P174" s="44">
        <f t="shared" si="46"/>
        <v>0.9</v>
      </c>
      <c r="Q174" s="44">
        <f t="shared" si="46"/>
        <v>0.9</v>
      </c>
      <c r="R174" s="44">
        <f t="shared" si="46"/>
        <v>0.9</v>
      </c>
      <c r="S174" s="44">
        <f t="shared" si="47"/>
        <v>0.9</v>
      </c>
      <c r="T174" s="44">
        <f t="shared" si="47"/>
        <v>0.9</v>
      </c>
      <c r="U174" s="44">
        <f t="shared" si="47"/>
        <v>0.9</v>
      </c>
      <c r="V174" s="44">
        <f t="shared" si="47"/>
        <v>0.9</v>
      </c>
      <c r="W174" s="44">
        <f t="shared" si="47"/>
        <v>0.9</v>
      </c>
      <c r="X174" s="44">
        <f t="shared" si="47"/>
        <v>0.9</v>
      </c>
      <c r="Y174" s="44">
        <f t="shared" si="47"/>
        <v>0.9</v>
      </c>
      <c r="Z174" s="44">
        <f t="shared" si="47"/>
        <v>0.9</v>
      </c>
      <c r="AA174" s="44">
        <f t="shared" si="47"/>
        <v>0.9</v>
      </c>
      <c r="AB174" s="44">
        <f t="shared" si="47"/>
        <v>0.9</v>
      </c>
      <c r="AC174" s="44">
        <f t="shared" si="47"/>
        <v>0.9</v>
      </c>
      <c r="AD174" s="44">
        <f t="shared" si="47"/>
        <v>0.9</v>
      </c>
      <c r="AE174" s="44">
        <f t="shared" si="47"/>
        <v>0.9</v>
      </c>
      <c r="AF174" s="44">
        <f t="shared" si="47"/>
        <v>0.9</v>
      </c>
      <c r="AG174" s="53">
        <v>2.2000000000000002</v>
      </c>
      <c r="AH174" s="21"/>
      <c r="AI174" s="20"/>
      <c r="AK174" s="42"/>
    </row>
    <row r="175" spans="1:37" x14ac:dyDescent="0.25">
      <c r="A175" s="41" t="s">
        <v>41</v>
      </c>
      <c r="B175" s="44">
        <f t="shared" si="45"/>
        <v>0.44</v>
      </c>
      <c r="C175" s="55">
        <v>0.44</v>
      </c>
      <c r="D175" s="44">
        <f t="shared" si="46"/>
        <v>0.44</v>
      </c>
      <c r="E175" s="44">
        <f t="shared" si="46"/>
        <v>0.44</v>
      </c>
      <c r="F175" s="44">
        <f t="shared" si="46"/>
        <v>0.44</v>
      </c>
      <c r="G175" s="44">
        <f t="shared" si="46"/>
        <v>0.44</v>
      </c>
      <c r="H175" s="44">
        <f t="shared" si="46"/>
        <v>0.44</v>
      </c>
      <c r="I175" s="44">
        <f t="shared" si="46"/>
        <v>0.44</v>
      </c>
      <c r="J175" s="44">
        <f t="shared" si="46"/>
        <v>0.44</v>
      </c>
      <c r="K175" s="44">
        <f t="shared" si="46"/>
        <v>0.44</v>
      </c>
      <c r="L175" s="44">
        <f t="shared" si="46"/>
        <v>0.44</v>
      </c>
      <c r="M175" s="44">
        <f t="shared" si="46"/>
        <v>0.44</v>
      </c>
      <c r="N175" s="44">
        <f t="shared" si="46"/>
        <v>0.44</v>
      </c>
      <c r="O175" s="44">
        <f t="shared" si="46"/>
        <v>0.44</v>
      </c>
      <c r="P175" s="44">
        <f t="shared" si="46"/>
        <v>0.44</v>
      </c>
      <c r="Q175" s="44">
        <f t="shared" si="46"/>
        <v>0.44</v>
      </c>
      <c r="R175" s="44">
        <f t="shared" si="46"/>
        <v>0.44</v>
      </c>
      <c r="S175" s="44">
        <f t="shared" si="47"/>
        <v>0.44</v>
      </c>
      <c r="T175" s="44">
        <f t="shared" si="47"/>
        <v>0.44</v>
      </c>
      <c r="U175" s="44">
        <f t="shared" si="47"/>
        <v>0.44</v>
      </c>
      <c r="V175" s="44">
        <f t="shared" si="47"/>
        <v>0.44</v>
      </c>
      <c r="W175" s="44">
        <f t="shared" si="47"/>
        <v>0.44</v>
      </c>
      <c r="X175" s="44">
        <f t="shared" si="47"/>
        <v>0.44</v>
      </c>
      <c r="Y175" s="44">
        <f t="shared" si="47"/>
        <v>0.44</v>
      </c>
      <c r="Z175" s="44">
        <f t="shared" si="47"/>
        <v>0.44</v>
      </c>
      <c r="AA175" s="44">
        <f t="shared" si="47"/>
        <v>0.44</v>
      </c>
      <c r="AB175" s="44">
        <f t="shared" si="47"/>
        <v>0.44</v>
      </c>
      <c r="AC175" s="44">
        <f t="shared" si="47"/>
        <v>0.44</v>
      </c>
      <c r="AD175" s="44">
        <f t="shared" si="47"/>
        <v>0.44</v>
      </c>
      <c r="AE175" s="44">
        <f t="shared" si="47"/>
        <v>0.44</v>
      </c>
      <c r="AF175" s="44">
        <f t="shared" si="47"/>
        <v>0.44</v>
      </c>
      <c r="AG175" s="53">
        <v>2</v>
      </c>
      <c r="AH175" s="21"/>
      <c r="AI175" s="20"/>
      <c r="AK175" s="42"/>
    </row>
    <row r="176" spans="1:37" x14ac:dyDescent="0.25">
      <c r="A176" s="41" t="s">
        <v>40</v>
      </c>
      <c r="B176" s="44">
        <f t="shared" si="45"/>
        <v>2.1</v>
      </c>
      <c r="C176" s="55">
        <v>2.1</v>
      </c>
      <c r="D176" s="44">
        <f t="shared" si="46"/>
        <v>2.1</v>
      </c>
      <c r="E176" s="44">
        <f t="shared" si="46"/>
        <v>2.1</v>
      </c>
      <c r="F176" s="44">
        <f t="shared" si="46"/>
        <v>2.1</v>
      </c>
      <c r="G176" s="44">
        <f t="shared" si="46"/>
        <v>2.1</v>
      </c>
      <c r="H176" s="44">
        <f t="shared" si="46"/>
        <v>2.1</v>
      </c>
      <c r="I176" s="44">
        <f t="shared" si="46"/>
        <v>2.1</v>
      </c>
      <c r="J176" s="44">
        <f t="shared" si="46"/>
        <v>2.1</v>
      </c>
      <c r="K176" s="44">
        <f t="shared" si="46"/>
        <v>2.1</v>
      </c>
      <c r="L176" s="44">
        <f t="shared" si="46"/>
        <v>2.1</v>
      </c>
      <c r="M176" s="44">
        <f t="shared" si="46"/>
        <v>2.1</v>
      </c>
      <c r="N176" s="44">
        <f t="shared" si="46"/>
        <v>2.1</v>
      </c>
      <c r="O176" s="44">
        <f t="shared" si="46"/>
        <v>2.1</v>
      </c>
      <c r="P176" s="44">
        <f t="shared" si="46"/>
        <v>2.1</v>
      </c>
      <c r="Q176" s="44">
        <f t="shared" si="46"/>
        <v>2.1</v>
      </c>
      <c r="R176" s="44">
        <f t="shared" si="46"/>
        <v>2.1</v>
      </c>
      <c r="S176" s="44">
        <f t="shared" si="47"/>
        <v>2.1</v>
      </c>
      <c r="T176" s="44">
        <f t="shared" si="47"/>
        <v>2.1</v>
      </c>
      <c r="U176" s="44">
        <f t="shared" si="47"/>
        <v>2.1</v>
      </c>
      <c r="V176" s="44">
        <f t="shared" si="47"/>
        <v>2.1</v>
      </c>
      <c r="W176" s="44">
        <f t="shared" si="47"/>
        <v>2.1</v>
      </c>
      <c r="X176" s="44">
        <f t="shared" si="47"/>
        <v>2.1</v>
      </c>
      <c r="Y176" s="44">
        <f t="shared" si="47"/>
        <v>2.1</v>
      </c>
      <c r="Z176" s="44">
        <f t="shared" si="47"/>
        <v>2.1</v>
      </c>
      <c r="AA176" s="44">
        <f t="shared" si="47"/>
        <v>2.1</v>
      </c>
      <c r="AB176" s="44">
        <f t="shared" si="47"/>
        <v>2.1</v>
      </c>
      <c r="AC176" s="44">
        <f t="shared" si="47"/>
        <v>2.1</v>
      </c>
      <c r="AD176" s="44">
        <f t="shared" si="47"/>
        <v>2.1</v>
      </c>
      <c r="AE176" s="44">
        <f t="shared" si="47"/>
        <v>2.1</v>
      </c>
      <c r="AF176" s="44">
        <f t="shared" si="47"/>
        <v>2.1</v>
      </c>
      <c r="AG176" s="53">
        <v>2</v>
      </c>
      <c r="AH176" s="21"/>
      <c r="AI176" s="20"/>
      <c r="AK176" s="42"/>
    </row>
    <row r="177" spans="1:37" x14ac:dyDescent="0.25">
      <c r="A177" s="41" t="s">
        <v>39</v>
      </c>
      <c r="B177" s="44">
        <f t="shared" si="45"/>
        <v>0.9</v>
      </c>
      <c r="C177" s="55">
        <v>0.9</v>
      </c>
      <c r="D177" s="44">
        <f t="shared" si="46"/>
        <v>0.9</v>
      </c>
      <c r="E177" s="44">
        <f t="shared" si="46"/>
        <v>0.9</v>
      </c>
      <c r="F177" s="44">
        <f t="shared" si="46"/>
        <v>0.9</v>
      </c>
      <c r="G177" s="44">
        <f t="shared" si="46"/>
        <v>0.9</v>
      </c>
      <c r="H177" s="44">
        <f t="shared" si="46"/>
        <v>0.9</v>
      </c>
      <c r="I177" s="44">
        <f t="shared" si="46"/>
        <v>0.9</v>
      </c>
      <c r="J177" s="44">
        <f t="shared" si="46"/>
        <v>0.9</v>
      </c>
      <c r="K177" s="44">
        <f t="shared" si="46"/>
        <v>0.9</v>
      </c>
      <c r="L177" s="44">
        <f t="shared" si="46"/>
        <v>0.9</v>
      </c>
      <c r="M177" s="44">
        <f t="shared" si="46"/>
        <v>0.9</v>
      </c>
      <c r="N177" s="44">
        <f t="shared" si="46"/>
        <v>0.9</v>
      </c>
      <c r="O177" s="44">
        <f t="shared" si="46"/>
        <v>0.9</v>
      </c>
      <c r="P177" s="44">
        <f t="shared" si="46"/>
        <v>0.9</v>
      </c>
      <c r="Q177" s="44">
        <f t="shared" si="46"/>
        <v>0.9</v>
      </c>
      <c r="R177" s="44">
        <f t="shared" si="46"/>
        <v>0.9</v>
      </c>
      <c r="S177" s="44">
        <f t="shared" si="47"/>
        <v>0.9</v>
      </c>
      <c r="T177" s="44">
        <f t="shared" si="47"/>
        <v>0.9</v>
      </c>
      <c r="U177" s="44">
        <f t="shared" si="47"/>
        <v>0.9</v>
      </c>
      <c r="V177" s="44">
        <f t="shared" si="47"/>
        <v>0.9</v>
      </c>
      <c r="W177" s="44">
        <f t="shared" si="47"/>
        <v>0.9</v>
      </c>
      <c r="X177" s="44">
        <f t="shared" si="47"/>
        <v>0.9</v>
      </c>
      <c r="Y177" s="44">
        <f t="shared" si="47"/>
        <v>0.9</v>
      </c>
      <c r="Z177" s="44">
        <f t="shared" si="47"/>
        <v>0.9</v>
      </c>
      <c r="AA177" s="44">
        <f t="shared" si="47"/>
        <v>0.9</v>
      </c>
      <c r="AB177" s="44">
        <f t="shared" si="47"/>
        <v>0.9</v>
      </c>
      <c r="AC177" s="44">
        <f t="shared" si="47"/>
        <v>0.9</v>
      </c>
      <c r="AD177" s="44">
        <f t="shared" si="47"/>
        <v>0.9</v>
      </c>
      <c r="AE177" s="44">
        <f t="shared" si="47"/>
        <v>0.9</v>
      </c>
      <c r="AF177" s="44">
        <f t="shared" si="47"/>
        <v>0.9</v>
      </c>
      <c r="AG177" s="53">
        <v>2</v>
      </c>
      <c r="AH177" s="21"/>
      <c r="AI177" s="20"/>
      <c r="AK177" s="42"/>
    </row>
    <row r="178" spans="1:37" x14ac:dyDescent="0.25">
      <c r="A178" s="41" t="s">
        <v>38</v>
      </c>
      <c r="B178" s="44"/>
      <c r="C178" s="55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53">
        <v>1.8</v>
      </c>
      <c r="AH178" s="21"/>
      <c r="AI178" s="20"/>
      <c r="AK178" s="42"/>
    </row>
    <row r="179" spans="1:37" x14ac:dyDescent="0.25">
      <c r="A179" s="41" t="s">
        <v>37</v>
      </c>
      <c r="B179" s="44">
        <f t="shared" ref="B179:B191" si="48">AF179</f>
        <v>0.57999999999999996</v>
      </c>
      <c r="C179" s="55">
        <v>0.57999999999999996</v>
      </c>
      <c r="D179" s="44">
        <f t="shared" ref="D179:S191" si="49">C179</f>
        <v>0.57999999999999996</v>
      </c>
      <c r="E179" s="44">
        <f t="shared" si="49"/>
        <v>0.57999999999999996</v>
      </c>
      <c r="F179" s="44">
        <f t="shared" si="49"/>
        <v>0.57999999999999996</v>
      </c>
      <c r="G179" s="44">
        <f t="shared" si="49"/>
        <v>0.57999999999999996</v>
      </c>
      <c r="H179" s="44">
        <f t="shared" si="49"/>
        <v>0.57999999999999996</v>
      </c>
      <c r="I179" s="44">
        <f t="shared" si="49"/>
        <v>0.57999999999999996</v>
      </c>
      <c r="J179" s="44">
        <f t="shared" si="49"/>
        <v>0.57999999999999996</v>
      </c>
      <c r="K179" s="44">
        <f t="shared" si="49"/>
        <v>0.57999999999999996</v>
      </c>
      <c r="L179" s="44">
        <f t="shared" si="49"/>
        <v>0.57999999999999996</v>
      </c>
      <c r="M179" s="44">
        <f t="shared" si="49"/>
        <v>0.57999999999999996</v>
      </c>
      <c r="N179" s="44">
        <f t="shared" si="49"/>
        <v>0.57999999999999996</v>
      </c>
      <c r="O179" s="44">
        <f t="shared" si="49"/>
        <v>0.57999999999999996</v>
      </c>
      <c r="P179" s="44">
        <f t="shared" si="49"/>
        <v>0.57999999999999996</v>
      </c>
      <c r="Q179" s="44">
        <f t="shared" si="49"/>
        <v>0.57999999999999996</v>
      </c>
      <c r="R179" s="44">
        <f t="shared" si="49"/>
        <v>0.57999999999999996</v>
      </c>
      <c r="S179" s="44">
        <f t="shared" si="49"/>
        <v>0.57999999999999996</v>
      </c>
      <c r="T179" s="44">
        <f t="shared" ref="S179:AF191" si="50">S179</f>
        <v>0.57999999999999996</v>
      </c>
      <c r="U179" s="44">
        <f t="shared" si="50"/>
        <v>0.57999999999999996</v>
      </c>
      <c r="V179" s="44">
        <f t="shared" si="50"/>
        <v>0.57999999999999996</v>
      </c>
      <c r="W179" s="44">
        <f t="shared" si="50"/>
        <v>0.57999999999999996</v>
      </c>
      <c r="X179" s="44">
        <f t="shared" si="50"/>
        <v>0.57999999999999996</v>
      </c>
      <c r="Y179" s="44">
        <f t="shared" si="50"/>
        <v>0.57999999999999996</v>
      </c>
      <c r="Z179" s="44">
        <f t="shared" si="50"/>
        <v>0.57999999999999996</v>
      </c>
      <c r="AA179" s="44">
        <f t="shared" si="50"/>
        <v>0.57999999999999996</v>
      </c>
      <c r="AB179" s="44">
        <f t="shared" si="50"/>
        <v>0.57999999999999996</v>
      </c>
      <c r="AC179" s="44">
        <f t="shared" si="50"/>
        <v>0.57999999999999996</v>
      </c>
      <c r="AD179" s="44">
        <f t="shared" si="50"/>
        <v>0.57999999999999996</v>
      </c>
      <c r="AE179" s="44">
        <f t="shared" si="50"/>
        <v>0.57999999999999996</v>
      </c>
      <c r="AF179" s="44">
        <f t="shared" si="50"/>
        <v>0.57999999999999996</v>
      </c>
      <c r="AG179" s="53">
        <v>1.8</v>
      </c>
      <c r="AH179" s="21"/>
      <c r="AI179" s="20"/>
      <c r="AK179" s="42"/>
    </row>
    <row r="180" spans="1:37" x14ac:dyDescent="0.25">
      <c r="A180" s="41" t="s">
        <v>36</v>
      </c>
      <c r="B180" s="44">
        <f t="shared" si="48"/>
        <v>0.8</v>
      </c>
      <c r="C180" s="55">
        <v>0.8</v>
      </c>
      <c r="D180" s="44">
        <f t="shared" si="49"/>
        <v>0.8</v>
      </c>
      <c r="E180" s="44">
        <f t="shared" si="49"/>
        <v>0.8</v>
      </c>
      <c r="F180" s="44">
        <f t="shared" si="49"/>
        <v>0.8</v>
      </c>
      <c r="G180" s="44">
        <f t="shared" si="49"/>
        <v>0.8</v>
      </c>
      <c r="H180" s="44">
        <f t="shared" si="49"/>
        <v>0.8</v>
      </c>
      <c r="I180" s="44">
        <f t="shared" si="49"/>
        <v>0.8</v>
      </c>
      <c r="J180" s="44">
        <f t="shared" si="49"/>
        <v>0.8</v>
      </c>
      <c r="K180" s="44">
        <f t="shared" si="49"/>
        <v>0.8</v>
      </c>
      <c r="L180" s="44">
        <f t="shared" si="49"/>
        <v>0.8</v>
      </c>
      <c r="M180" s="44">
        <f t="shared" si="49"/>
        <v>0.8</v>
      </c>
      <c r="N180" s="44">
        <f t="shared" si="49"/>
        <v>0.8</v>
      </c>
      <c r="O180" s="44">
        <f t="shared" si="49"/>
        <v>0.8</v>
      </c>
      <c r="P180" s="44">
        <f t="shared" si="49"/>
        <v>0.8</v>
      </c>
      <c r="Q180" s="44">
        <f t="shared" si="49"/>
        <v>0.8</v>
      </c>
      <c r="R180" s="44">
        <f t="shared" si="49"/>
        <v>0.8</v>
      </c>
      <c r="S180" s="44">
        <f t="shared" si="49"/>
        <v>0.8</v>
      </c>
      <c r="T180" s="44">
        <f t="shared" si="50"/>
        <v>0.8</v>
      </c>
      <c r="U180" s="44">
        <f t="shared" si="50"/>
        <v>0.8</v>
      </c>
      <c r="V180" s="44">
        <f t="shared" si="50"/>
        <v>0.8</v>
      </c>
      <c r="W180" s="44">
        <f t="shared" si="50"/>
        <v>0.8</v>
      </c>
      <c r="X180" s="44">
        <f t="shared" si="50"/>
        <v>0.8</v>
      </c>
      <c r="Y180" s="44">
        <f t="shared" si="50"/>
        <v>0.8</v>
      </c>
      <c r="Z180" s="44">
        <f t="shared" si="50"/>
        <v>0.8</v>
      </c>
      <c r="AA180" s="44">
        <f t="shared" si="50"/>
        <v>0.8</v>
      </c>
      <c r="AB180" s="44">
        <f t="shared" si="50"/>
        <v>0.8</v>
      </c>
      <c r="AC180" s="44">
        <f t="shared" si="50"/>
        <v>0.8</v>
      </c>
      <c r="AD180" s="44">
        <f t="shared" si="50"/>
        <v>0.8</v>
      </c>
      <c r="AE180" s="44">
        <f t="shared" si="50"/>
        <v>0.8</v>
      </c>
      <c r="AF180" s="44">
        <f t="shared" si="50"/>
        <v>0.8</v>
      </c>
      <c r="AG180" s="53">
        <v>1.65</v>
      </c>
      <c r="AH180" s="21"/>
      <c r="AI180" s="20"/>
      <c r="AK180" s="42"/>
    </row>
    <row r="181" spans="1:37" x14ac:dyDescent="0.25">
      <c r="A181" s="41" t="s">
        <v>35</v>
      </c>
      <c r="B181" s="44">
        <f t="shared" si="48"/>
        <v>0</v>
      </c>
      <c r="C181" s="55">
        <v>0</v>
      </c>
      <c r="D181" s="44">
        <f t="shared" si="49"/>
        <v>0</v>
      </c>
      <c r="E181" s="44">
        <f t="shared" si="49"/>
        <v>0</v>
      </c>
      <c r="F181" s="44">
        <f t="shared" si="49"/>
        <v>0</v>
      </c>
      <c r="G181" s="44">
        <f t="shared" si="49"/>
        <v>0</v>
      </c>
      <c r="H181" s="44">
        <f t="shared" si="49"/>
        <v>0</v>
      </c>
      <c r="I181" s="44">
        <f t="shared" si="49"/>
        <v>0</v>
      </c>
      <c r="J181" s="44">
        <f t="shared" si="49"/>
        <v>0</v>
      </c>
      <c r="K181" s="44">
        <f t="shared" si="49"/>
        <v>0</v>
      </c>
      <c r="L181" s="44">
        <f t="shared" si="49"/>
        <v>0</v>
      </c>
      <c r="M181" s="44">
        <f t="shared" si="49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50"/>
        <v>0</v>
      </c>
      <c r="U181" s="44">
        <f t="shared" si="50"/>
        <v>0</v>
      </c>
      <c r="V181" s="44">
        <f t="shared" si="50"/>
        <v>0</v>
      </c>
      <c r="W181" s="44">
        <f t="shared" si="50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  <c r="AF181" s="44">
        <f t="shared" si="50"/>
        <v>0</v>
      </c>
      <c r="AG181" s="53">
        <v>1.5</v>
      </c>
      <c r="AH181" s="21"/>
      <c r="AI181" s="20"/>
      <c r="AK181" s="42"/>
    </row>
    <row r="182" spans="1:37" x14ac:dyDescent="0.25">
      <c r="A182" s="41" t="s">
        <v>34</v>
      </c>
      <c r="B182" s="44">
        <f t="shared" si="48"/>
        <v>0.6</v>
      </c>
      <c r="C182" s="55">
        <v>0.6</v>
      </c>
      <c r="D182" s="44">
        <f t="shared" si="49"/>
        <v>0.6</v>
      </c>
      <c r="E182" s="44">
        <f t="shared" si="49"/>
        <v>0.6</v>
      </c>
      <c r="F182" s="44">
        <f t="shared" si="49"/>
        <v>0.6</v>
      </c>
      <c r="G182" s="44">
        <f t="shared" si="49"/>
        <v>0.6</v>
      </c>
      <c r="H182" s="44">
        <f t="shared" si="49"/>
        <v>0.6</v>
      </c>
      <c r="I182" s="44">
        <f t="shared" si="49"/>
        <v>0.6</v>
      </c>
      <c r="J182" s="44">
        <f t="shared" si="49"/>
        <v>0.6</v>
      </c>
      <c r="K182" s="44">
        <f t="shared" si="49"/>
        <v>0.6</v>
      </c>
      <c r="L182" s="44">
        <f t="shared" si="49"/>
        <v>0.6</v>
      </c>
      <c r="M182" s="44">
        <f t="shared" si="49"/>
        <v>0.6</v>
      </c>
      <c r="N182" s="44">
        <f t="shared" si="49"/>
        <v>0.6</v>
      </c>
      <c r="O182" s="44">
        <f t="shared" si="49"/>
        <v>0.6</v>
      </c>
      <c r="P182" s="44">
        <f t="shared" si="49"/>
        <v>0.6</v>
      </c>
      <c r="Q182" s="44">
        <f t="shared" si="49"/>
        <v>0.6</v>
      </c>
      <c r="R182" s="44">
        <f t="shared" si="49"/>
        <v>0.6</v>
      </c>
      <c r="S182" s="44">
        <f t="shared" si="49"/>
        <v>0.6</v>
      </c>
      <c r="T182" s="44">
        <f t="shared" si="50"/>
        <v>0.6</v>
      </c>
      <c r="U182" s="44">
        <f t="shared" si="50"/>
        <v>0.6</v>
      </c>
      <c r="V182" s="44">
        <f t="shared" si="50"/>
        <v>0.6</v>
      </c>
      <c r="W182" s="44">
        <f t="shared" si="50"/>
        <v>0.6</v>
      </c>
      <c r="X182" s="44">
        <f t="shared" si="50"/>
        <v>0.6</v>
      </c>
      <c r="Y182" s="44">
        <f t="shared" si="50"/>
        <v>0.6</v>
      </c>
      <c r="Z182" s="44">
        <f t="shared" si="50"/>
        <v>0.6</v>
      </c>
      <c r="AA182" s="44">
        <f t="shared" si="50"/>
        <v>0.6</v>
      </c>
      <c r="AB182" s="44">
        <f t="shared" si="50"/>
        <v>0.6</v>
      </c>
      <c r="AC182" s="44">
        <f t="shared" si="50"/>
        <v>0.6</v>
      </c>
      <c r="AD182" s="44">
        <f t="shared" si="50"/>
        <v>0.6</v>
      </c>
      <c r="AE182" s="44">
        <f t="shared" si="50"/>
        <v>0.6</v>
      </c>
      <c r="AF182" s="44">
        <f t="shared" si="50"/>
        <v>0.6</v>
      </c>
      <c r="AG182" s="53">
        <v>0.998</v>
      </c>
      <c r="AH182" s="21"/>
      <c r="AI182" s="20"/>
      <c r="AK182" s="42"/>
    </row>
    <row r="183" spans="1:37" x14ac:dyDescent="0.25">
      <c r="A183" s="41" t="s">
        <v>33</v>
      </c>
      <c r="B183" s="44">
        <f t="shared" si="48"/>
        <v>0.6</v>
      </c>
      <c r="C183" s="55">
        <v>0.6</v>
      </c>
      <c r="D183" s="44">
        <f t="shared" si="49"/>
        <v>0.6</v>
      </c>
      <c r="E183" s="44">
        <f t="shared" si="49"/>
        <v>0.6</v>
      </c>
      <c r="F183" s="44">
        <f t="shared" si="49"/>
        <v>0.6</v>
      </c>
      <c r="G183" s="44">
        <f t="shared" si="49"/>
        <v>0.6</v>
      </c>
      <c r="H183" s="44">
        <f t="shared" si="49"/>
        <v>0.6</v>
      </c>
      <c r="I183" s="44">
        <f t="shared" si="49"/>
        <v>0.6</v>
      </c>
      <c r="J183" s="44">
        <f t="shared" si="49"/>
        <v>0.6</v>
      </c>
      <c r="K183" s="44">
        <f t="shared" si="49"/>
        <v>0.6</v>
      </c>
      <c r="L183" s="44">
        <f t="shared" si="49"/>
        <v>0.6</v>
      </c>
      <c r="M183" s="44">
        <f t="shared" si="49"/>
        <v>0.6</v>
      </c>
      <c r="N183" s="44">
        <f t="shared" si="49"/>
        <v>0.6</v>
      </c>
      <c r="O183" s="44">
        <f t="shared" si="49"/>
        <v>0.6</v>
      </c>
      <c r="P183" s="44">
        <f t="shared" si="49"/>
        <v>0.6</v>
      </c>
      <c r="Q183" s="44">
        <f t="shared" si="49"/>
        <v>0.6</v>
      </c>
      <c r="R183" s="44">
        <f t="shared" si="49"/>
        <v>0.6</v>
      </c>
      <c r="S183" s="44">
        <f t="shared" si="49"/>
        <v>0.6</v>
      </c>
      <c r="T183" s="44">
        <f t="shared" si="50"/>
        <v>0.6</v>
      </c>
      <c r="U183" s="44">
        <f t="shared" si="50"/>
        <v>0.6</v>
      </c>
      <c r="V183" s="44">
        <f t="shared" si="50"/>
        <v>0.6</v>
      </c>
      <c r="W183" s="44">
        <f t="shared" si="50"/>
        <v>0.6</v>
      </c>
      <c r="X183" s="44">
        <f t="shared" si="50"/>
        <v>0.6</v>
      </c>
      <c r="Y183" s="44">
        <f t="shared" si="50"/>
        <v>0.6</v>
      </c>
      <c r="Z183" s="44">
        <f t="shared" si="50"/>
        <v>0.6</v>
      </c>
      <c r="AA183" s="44">
        <f t="shared" si="50"/>
        <v>0.6</v>
      </c>
      <c r="AB183" s="44">
        <f t="shared" si="50"/>
        <v>0.6</v>
      </c>
      <c r="AC183" s="44">
        <f t="shared" si="50"/>
        <v>0.6</v>
      </c>
      <c r="AD183" s="44">
        <f t="shared" si="50"/>
        <v>0.6</v>
      </c>
      <c r="AE183" s="44">
        <f t="shared" si="50"/>
        <v>0.6</v>
      </c>
      <c r="AF183" s="44">
        <f t="shared" si="50"/>
        <v>0.6</v>
      </c>
      <c r="AG183" s="53">
        <v>0.997</v>
      </c>
      <c r="AH183" s="21"/>
      <c r="AI183" s="20"/>
      <c r="AK183" s="42"/>
    </row>
    <row r="184" spans="1:37" x14ac:dyDescent="0.25">
      <c r="A184" s="41" t="s">
        <v>32</v>
      </c>
      <c r="B184" s="44">
        <f t="shared" si="48"/>
        <v>0.35</v>
      </c>
      <c r="C184" s="55">
        <v>0.35</v>
      </c>
      <c r="D184" s="44">
        <f t="shared" si="49"/>
        <v>0.35</v>
      </c>
      <c r="E184" s="44">
        <f t="shared" si="49"/>
        <v>0.35</v>
      </c>
      <c r="F184" s="44">
        <f t="shared" si="49"/>
        <v>0.35</v>
      </c>
      <c r="G184" s="44">
        <f t="shared" si="49"/>
        <v>0.35</v>
      </c>
      <c r="H184" s="44">
        <f t="shared" si="49"/>
        <v>0.35</v>
      </c>
      <c r="I184" s="44">
        <f t="shared" si="49"/>
        <v>0.35</v>
      </c>
      <c r="J184" s="44">
        <f t="shared" si="49"/>
        <v>0.35</v>
      </c>
      <c r="K184" s="44">
        <f t="shared" si="49"/>
        <v>0.35</v>
      </c>
      <c r="L184" s="44">
        <f t="shared" si="49"/>
        <v>0.35</v>
      </c>
      <c r="M184" s="44">
        <f t="shared" si="49"/>
        <v>0.35</v>
      </c>
      <c r="N184" s="44">
        <f t="shared" si="49"/>
        <v>0.35</v>
      </c>
      <c r="O184" s="44">
        <f t="shared" si="49"/>
        <v>0.35</v>
      </c>
      <c r="P184" s="44">
        <f t="shared" si="49"/>
        <v>0.35</v>
      </c>
      <c r="Q184" s="44">
        <f t="shared" si="49"/>
        <v>0.35</v>
      </c>
      <c r="R184" s="44">
        <f t="shared" si="49"/>
        <v>0.35</v>
      </c>
      <c r="S184" s="44">
        <f t="shared" si="49"/>
        <v>0.35</v>
      </c>
      <c r="T184" s="44">
        <f t="shared" si="50"/>
        <v>0.35</v>
      </c>
      <c r="U184" s="44">
        <f t="shared" si="50"/>
        <v>0.35</v>
      </c>
      <c r="V184" s="44">
        <f t="shared" si="50"/>
        <v>0.35</v>
      </c>
      <c r="W184" s="44">
        <f t="shared" si="50"/>
        <v>0.35</v>
      </c>
      <c r="X184" s="44">
        <f t="shared" si="50"/>
        <v>0.35</v>
      </c>
      <c r="Y184" s="44">
        <f t="shared" si="50"/>
        <v>0.35</v>
      </c>
      <c r="Z184" s="44">
        <f t="shared" si="50"/>
        <v>0.35</v>
      </c>
      <c r="AA184" s="44">
        <f t="shared" si="50"/>
        <v>0.35</v>
      </c>
      <c r="AB184" s="44">
        <f t="shared" si="50"/>
        <v>0.35</v>
      </c>
      <c r="AC184" s="44">
        <f t="shared" si="50"/>
        <v>0.35</v>
      </c>
      <c r="AD184" s="44">
        <f t="shared" si="50"/>
        <v>0.35</v>
      </c>
      <c r="AE184" s="44">
        <f t="shared" si="50"/>
        <v>0.35</v>
      </c>
      <c r="AF184" s="44">
        <f t="shared" si="50"/>
        <v>0.35</v>
      </c>
      <c r="AG184" s="53">
        <v>0.997</v>
      </c>
      <c r="AH184" s="21"/>
      <c r="AI184" s="20"/>
      <c r="AK184" s="42"/>
    </row>
    <row r="185" spans="1:37" x14ac:dyDescent="0.25">
      <c r="A185" s="41" t="s">
        <v>31</v>
      </c>
      <c r="B185" s="44">
        <f t="shared" si="48"/>
        <v>0.28999999999999998</v>
      </c>
      <c r="C185" s="55">
        <v>0.28999999999999998</v>
      </c>
      <c r="D185" s="44">
        <f t="shared" si="49"/>
        <v>0.28999999999999998</v>
      </c>
      <c r="E185" s="44">
        <f t="shared" si="49"/>
        <v>0.28999999999999998</v>
      </c>
      <c r="F185" s="44">
        <f t="shared" si="49"/>
        <v>0.28999999999999998</v>
      </c>
      <c r="G185" s="44">
        <f t="shared" si="49"/>
        <v>0.28999999999999998</v>
      </c>
      <c r="H185" s="44">
        <f t="shared" si="49"/>
        <v>0.28999999999999998</v>
      </c>
      <c r="I185" s="44">
        <f t="shared" si="49"/>
        <v>0.28999999999999998</v>
      </c>
      <c r="J185" s="44">
        <f t="shared" si="49"/>
        <v>0.28999999999999998</v>
      </c>
      <c r="K185" s="44">
        <f t="shared" si="49"/>
        <v>0.28999999999999998</v>
      </c>
      <c r="L185" s="44">
        <f t="shared" si="49"/>
        <v>0.28999999999999998</v>
      </c>
      <c r="M185" s="44">
        <f t="shared" si="49"/>
        <v>0.28999999999999998</v>
      </c>
      <c r="N185" s="44">
        <f t="shared" si="49"/>
        <v>0.28999999999999998</v>
      </c>
      <c r="O185" s="44">
        <f t="shared" si="49"/>
        <v>0.28999999999999998</v>
      </c>
      <c r="P185" s="44">
        <f t="shared" si="49"/>
        <v>0.28999999999999998</v>
      </c>
      <c r="Q185" s="44">
        <f t="shared" si="49"/>
        <v>0.28999999999999998</v>
      </c>
      <c r="R185" s="44">
        <f t="shared" si="49"/>
        <v>0.28999999999999998</v>
      </c>
      <c r="S185" s="44">
        <f t="shared" si="49"/>
        <v>0.28999999999999998</v>
      </c>
      <c r="T185" s="44">
        <f t="shared" si="50"/>
        <v>0.28999999999999998</v>
      </c>
      <c r="U185" s="44">
        <f t="shared" si="50"/>
        <v>0.28999999999999998</v>
      </c>
      <c r="V185" s="44">
        <f t="shared" si="50"/>
        <v>0.28999999999999998</v>
      </c>
      <c r="W185" s="44">
        <f t="shared" si="50"/>
        <v>0.28999999999999998</v>
      </c>
      <c r="X185" s="44">
        <f t="shared" si="50"/>
        <v>0.28999999999999998</v>
      </c>
      <c r="Y185" s="44">
        <f t="shared" si="50"/>
        <v>0.28999999999999998</v>
      </c>
      <c r="Z185" s="44">
        <f t="shared" si="50"/>
        <v>0.28999999999999998</v>
      </c>
      <c r="AA185" s="44">
        <f t="shared" si="50"/>
        <v>0.28999999999999998</v>
      </c>
      <c r="AB185" s="44">
        <f t="shared" si="50"/>
        <v>0.28999999999999998</v>
      </c>
      <c r="AC185" s="44">
        <f t="shared" si="50"/>
        <v>0.28999999999999998</v>
      </c>
      <c r="AD185" s="44">
        <f t="shared" si="50"/>
        <v>0.28999999999999998</v>
      </c>
      <c r="AE185" s="44">
        <f t="shared" si="50"/>
        <v>0.28999999999999998</v>
      </c>
      <c r="AF185" s="44">
        <f t="shared" si="50"/>
        <v>0.28999999999999998</v>
      </c>
      <c r="AG185" s="53">
        <v>0.996</v>
      </c>
      <c r="AH185" s="21"/>
      <c r="AI185" s="20"/>
      <c r="AK185" s="42"/>
    </row>
    <row r="186" spans="1:37" x14ac:dyDescent="0.25">
      <c r="A186" s="41" t="s">
        <v>30</v>
      </c>
      <c r="B186" s="44">
        <f t="shared" si="48"/>
        <v>0.06</v>
      </c>
      <c r="C186" s="55">
        <v>0.06</v>
      </c>
      <c r="D186" s="44">
        <f t="shared" si="49"/>
        <v>0.06</v>
      </c>
      <c r="E186" s="44">
        <f t="shared" si="49"/>
        <v>0.06</v>
      </c>
      <c r="F186" s="44">
        <f t="shared" si="49"/>
        <v>0.06</v>
      </c>
      <c r="G186" s="44">
        <f t="shared" si="49"/>
        <v>0.06</v>
      </c>
      <c r="H186" s="44">
        <f t="shared" si="49"/>
        <v>0.06</v>
      </c>
      <c r="I186" s="44">
        <f t="shared" si="49"/>
        <v>0.06</v>
      </c>
      <c r="J186" s="44">
        <f t="shared" si="49"/>
        <v>0.06</v>
      </c>
      <c r="K186" s="44">
        <f t="shared" si="49"/>
        <v>0.06</v>
      </c>
      <c r="L186" s="44">
        <f t="shared" si="49"/>
        <v>0.06</v>
      </c>
      <c r="M186" s="44">
        <f t="shared" si="49"/>
        <v>0.06</v>
      </c>
      <c r="N186" s="44">
        <f t="shared" si="49"/>
        <v>0.06</v>
      </c>
      <c r="O186" s="44">
        <f t="shared" si="49"/>
        <v>0.06</v>
      </c>
      <c r="P186" s="44">
        <f t="shared" si="49"/>
        <v>0.06</v>
      </c>
      <c r="Q186" s="44">
        <f t="shared" si="49"/>
        <v>0.06</v>
      </c>
      <c r="R186" s="44">
        <f t="shared" si="49"/>
        <v>0.06</v>
      </c>
      <c r="S186" s="44">
        <f t="shared" si="49"/>
        <v>0.06</v>
      </c>
      <c r="T186" s="44">
        <f t="shared" si="50"/>
        <v>0.06</v>
      </c>
      <c r="U186" s="44">
        <f t="shared" si="50"/>
        <v>0.06</v>
      </c>
      <c r="V186" s="44">
        <f t="shared" si="50"/>
        <v>0.06</v>
      </c>
      <c r="W186" s="44">
        <f t="shared" si="50"/>
        <v>0.06</v>
      </c>
      <c r="X186" s="44">
        <f t="shared" si="50"/>
        <v>0.06</v>
      </c>
      <c r="Y186" s="44">
        <f t="shared" si="50"/>
        <v>0.06</v>
      </c>
      <c r="Z186" s="44">
        <f t="shared" si="50"/>
        <v>0.06</v>
      </c>
      <c r="AA186" s="44">
        <f t="shared" si="50"/>
        <v>0.06</v>
      </c>
      <c r="AB186" s="44">
        <f t="shared" si="50"/>
        <v>0.06</v>
      </c>
      <c r="AC186" s="44">
        <f t="shared" si="50"/>
        <v>0.06</v>
      </c>
      <c r="AD186" s="44">
        <f t="shared" si="50"/>
        <v>0.06</v>
      </c>
      <c r="AE186" s="44">
        <f t="shared" si="50"/>
        <v>0.06</v>
      </c>
      <c r="AF186" s="44">
        <f t="shared" si="50"/>
        <v>0.06</v>
      </c>
      <c r="AG186" s="53">
        <v>0.996</v>
      </c>
      <c r="AH186" s="21"/>
      <c r="AI186" s="20"/>
      <c r="AK186" s="42"/>
    </row>
    <row r="187" spans="1:37" x14ac:dyDescent="0.25">
      <c r="A187" s="41" t="s">
        <v>29</v>
      </c>
      <c r="B187" s="44">
        <f t="shared" si="48"/>
        <v>0.11</v>
      </c>
      <c r="C187" s="55">
        <v>0.11</v>
      </c>
      <c r="D187" s="44">
        <f t="shared" si="49"/>
        <v>0.11</v>
      </c>
      <c r="E187" s="44">
        <f t="shared" si="49"/>
        <v>0.11</v>
      </c>
      <c r="F187" s="44">
        <f t="shared" si="49"/>
        <v>0.11</v>
      </c>
      <c r="G187" s="44">
        <f t="shared" si="49"/>
        <v>0.11</v>
      </c>
      <c r="H187" s="44">
        <f t="shared" si="49"/>
        <v>0.11</v>
      </c>
      <c r="I187" s="44">
        <f t="shared" si="49"/>
        <v>0.11</v>
      </c>
      <c r="J187" s="44">
        <f t="shared" si="49"/>
        <v>0.11</v>
      </c>
      <c r="K187" s="44">
        <f t="shared" si="49"/>
        <v>0.11</v>
      </c>
      <c r="L187" s="44">
        <f t="shared" si="49"/>
        <v>0.11</v>
      </c>
      <c r="M187" s="44">
        <f t="shared" si="49"/>
        <v>0.11</v>
      </c>
      <c r="N187" s="44">
        <f t="shared" si="49"/>
        <v>0.11</v>
      </c>
      <c r="O187" s="44">
        <f t="shared" si="49"/>
        <v>0.11</v>
      </c>
      <c r="P187" s="44">
        <f t="shared" si="49"/>
        <v>0.11</v>
      </c>
      <c r="Q187" s="44">
        <f t="shared" si="49"/>
        <v>0.11</v>
      </c>
      <c r="R187" s="44">
        <f t="shared" si="49"/>
        <v>0.11</v>
      </c>
      <c r="S187" s="44">
        <f t="shared" si="49"/>
        <v>0.11</v>
      </c>
      <c r="T187" s="44">
        <f t="shared" si="50"/>
        <v>0.11</v>
      </c>
      <c r="U187" s="44">
        <f t="shared" si="50"/>
        <v>0.11</v>
      </c>
      <c r="V187" s="44">
        <f t="shared" si="50"/>
        <v>0.11</v>
      </c>
      <c r="W187" s="44">
        <f t="shared" si="50"/>
        <v>0.11</v>
      </c>
      <c r="X187" s="44">
        <f t="shared" si="50"/>
        <v>0.11</v>
      </c>
      <c r="Y187" s="44">
        <f t="shared" si="50"/>
        <v>0.11</v>
      </c>
      <c r="Z187" s="44">
        <f t="shared" si="50"/>
        <v>0.11</v>
      </c>
      <c r="AA187" s="44">
        <f t="shared" si="50"/>
        <v>0.11</v>
      </c>
      <c r="AB187" s="44">
        <f t="shared" si="50"/>
        <v>0.11</v>
      </c>
      <c r="AC187" s="44">
        <f t="shared" si="50"/>
        <v>0.11</v>
      </c>
      <c r="AD187" s="44">
        <f t="shared" si="50"/>
        <v>0.11</v>
      </c>
      <c r="AE187" s="44">
        <f t="shared" si="50"/>
        <v>0.11</v>
      </c>
      <c r="AF187" s="44">
        <f t="shared" si="50"/>
        <v>0.11</v>
      </c>
      <c r="AG187" s="53">
        <v>0.996</v>
      </c>
      <c r="AH187" s="21"/>
      <c r="AI187" s="20"/>
      <c r="AK187" s="42"/>
    </row>
    <row r="188" spans="1:37" x14ac:dyDescent="0.25">
      <c r="A188" s="41" t="s">
        <v>28</v>
      </c>
      <c r="B188" s="44">
        <f t="shared" si="48"/>
        <v>0.1</v>
      </c>
      <c r="C188" s="55">
        <v>0.1</v>
      </c>
      <c r="D188" s="44">
        <f t="shared" si="49"/>
        <v>0.1</v>
      </c>
      <c r="E188" s="44">
        <f t="shared" si="49"/>
        <v>0.1</v>
      </c>
      <c r="F188" s="44">
        <f t="shared" si="49"/>
        <v>0.1</v>
      </c>
      <c r="G188" s="44">
        <f t="shared" si="49"/>
        <v>0.1</v>
      </c>
      <c r="H188" s="44">
        <f t="shared" si="49"/>
        <v>0.1</v>
      </c>
      <c r="I188" s="44">
        <f t="shared" si="49"/>
        <v>0.1</v>
      </c>
      <c r="J188" s="44">
        <f t="shared" si="49"/>
        <v>0.1</v>
      </c>
      <c r="K188" s="44">
        <f t="shared" si="49"/>
        <v>0.1</v>
      </c>
      <c r="L188" s="44">
        <f t="shared" si="49"/>
        <v>0.1</v>
      </c>
      <c r="M188" s="44">
        <f t="shared" si="49"/>
        <v>0.1</v>
      </c>
      <c r="N188" s="44">
        <f t="shared" si="49"/>
        <v>0.1</v>
      </c>
      <c r="O188" s="44">
        <f t="shared" si="49"/>
        <v>0.1</v>
      </c>
      <c r="P188" s="44">
        <f t="shared" si="49"/>
        <v>0.1</v>
      </c>
      <c r="Q188" s="44">
        <f t="shared" si="49"/>
        <v>0.1</v>
      </c>
      <c r="R188" s="44">
        <f t="shared" si="49"/>
        <v>0.1</v>
      </c>
      <c r="S188" s="44">
        <f t="shared" si="50"/>
        <v>0.1</v>
      </c>
      <c r="T188" s="44">
        <f t="shared" si="50"/>
        <v>0.1</v>
      </c>
      <c r="U188" s="44">
        <f t="shared" si="50"/>
        <v>0.1</v>
      </c>
      <c r="V188" s="44">
        <f t="shared" si="50"/>
        <v>0.1</v>
      </c>
      <c r="W188" s="44">
        <f t="shared" si="50"/>
        <v>0.1</v>
      </c>
      <c r="X188" s="44">
        <f t="shared" si="50"/>
        <v>0.1</v>
      </c>
      <c r="Y188" s="44">
        <f t="shared" si="50"/>
        <v>0.1</v>
      </c>
      <c r="Z188" s="44">
        <f t="shared" si="50"/>
        <v>0.1</v>
      </c>
      <c r="AA188" s="44">
        <f t="shared" si="50"/>
        <v>0.1</v>
      </c>
      <c r="AB188" s="44">
        <f t="shared" si="50"/>
        <v>0.1</v>
      </c>
      <c r="AC188" s="44">
        <f t="shared" si="50"/>
        <v>0.1</v>
      </c>
      <c r="AD188" s="44">
        <f t="shared" si="50"/>
        <v>0.1</v>
      </c>
      <c r="AE188" s="44">
        <f t="shared" si="50"/>
        <v>0.1</v>
      </c>
      <c r="AF188" s="44">
        <f t="shared" si="50"/>
        <v>0.1</v>
      </c>
      <c r="AG188" s="53">
        <v>0.995</v>
      </c>
      <c r="AH188" s="21"/>
      <c r="AI188" s="20"/>
      <c r="AK188" s="42"/>
    </row>
    <row r="189" spans="1:37" x14ac:dyDescent="0.25">
      <c r="A189" s="41" t="s">
        <v>27</v>
      </c>
      <c r="B189" s="44">
        <f t="shared" si="48"/>
        <v>0.09</v>
      </c>
      <c r="C189" s="55">
        <v>0.09</v>
      </c>
      <c r="D189" s="44">
        <f t="shared" si="49"/>
        <v>0.09</v>
      </c>
      <c r="E189" s="44">
        <f t="shared" si="49"/>
        <v>0.09</v>
      </c>
      <c r="F189" s="44">
        <f t="shared" si="49"/>
        <v>0.09</v>
      </c>
      <c r="G189" s="44">
        <f t="shared" si="49"/>
        <v>0.09</v>
      </c>
      <c r="H189" s="44">
        <f t="shared" si="49"/>
        <v>0.09</v>
      </c>
      <c r="I189" s="44">
        <f t="shared" si="49"/>
        <v>0.09</v>
      </c>
      <c r="J189" s="44">
        <f t="shared" si="49"/>
        <v>0.09</v>
      </c>
      <c r="K189" s="44">
        <f t="shared" si="49"/>
        <v>0.09</v>
      </c>
      <c r="L189" s="44">
        <f t="shared" si="49"/>
        <v>0.09</v>
      </c>
      <c r="M189" s="44">
        <f t="shared" si="49"/>
        <v>0.09</v>
      </c>
      <c r="N189" s="44">
        <f t="shared" si="49"/>
        <v>0.09</v>
      </c>
      <c r="O189" s="44">
        <f t="shared" si="49"/>
        <v>0.09</v>
      </c>
      <c r="P189" s="44">
        <f t="shared" si="49"/>
        <v>0.09</v>
      </c>
      <c r="Q189" s="44">
        <f t="shared" si="49"/>
        <v>0.09</v>
      </c>
      <c r="R189" s="44">
        <f t="shared" si="49"/>
        <v>0.09</v>
      </c>
      <c r="S189" s="44">
        <f t="shared" si="50"/>
        <v>0.09</v>
      </c>
      <c r="T189" s="44">
        <f t="shared" si="50"/>
        <v>0.09</v>
      </c>
      <c r="U189" s="44">
        <f t="shared" si="50"/>
        <v>0.09</v>
      </c>
      <c r="V189" s="44">
        <f t="shared" si="50"/>
        <v>0.09</v>
      </c>
      <c r="W189" s="44">
        <f t="shared" si="50"/>
        <v>0.09</v>
      </c>
      <c r="X189" s="44">
        <f t="shared" si="50"/>
        <v>0.09</v>
      </c>
      <c r="Y189" s="44">
        <f t="shared" si="50"/>
        <v>0.09</v>
      </c>
      <c r="Z189" s="44">
        <f t="shared" si="50"/>
        <v>0.09</v>
      </c>
      <c r="AA189" s="44">
        <f t="shared" si="50"/>
        <v>0.09</v>
      </c>
      <c r="AB189" s="44">
        <f t="shared" si="50"/>
        <v>0.09</v>
      </c>
      <c r="AC189" s="44">
        <f t="shared" si="50"/>
        <v>0.09</v>
      </c>
      <c r="AD189" s="44">
        <f t="shared" si="50"/>
        <v>0.09</v>
      </c>
      <c r="AE189" s="44">
        <f t="shared" si="50"/>
        <v>0.09</v>
      </c>
      <c r="AF189" s="44">
        <f t="shared" si="50"/>
        <v>0.09</v>
      </c>
      <c r="AG189" s="53">
        <v>0.99299999999999999</v>
      </c>
      <c r="AH189" s="21"/>
      <c r="AI189" s="20"/>
      <c r="AK189" s="42"/>
    </row>
    <row r="190" spans="1:37" x14ac:dyDescent="0.25">
      <c r="A190" s="41" t="s">
        <v>26</v>
      </c>
      <c r="B190" s="44">
        <f t="shared" si="48"/>
        <v>0.04</v>
      </c>
      <c r="C190" s="54">
        <v>0.04</v>
      </c>
      <c r="D190" s="44">
        <f t="shared" si="49"/>
        <v>0.04</v>
      </c>
      <c r="E190" s="44">
        <f t="shared" si="49"/>
        <v>0.04</v>
      </c>
      <c r="F190" s="44">
        <f t="shared" si="49"/>
        <v>0.04</v>
      </c>
      <c r="G190" s="44">
        <f t="shared" si="49"/>
        <v>0.04</v>
      </c>
      <c r="H190" s="44">
        <f t="shared" si="49"/>
        <v>0.04</v>
      </c>
      <c r="I190" s="44">
        <f t="shared" si="49"/>
        <v>0.04</v>
      </c>
      <c r="J190" s="44">
        <f t="shared" si="49"/>
        <v>0.04</v>
      </c>
      <c r="K190" s="44">
        <f t="shared" si="49"/>
        <v>0.04</v>
      </c>
      <c r="L190" s="44">
        <f t="shared" si="49"/>
        <v>0.04</v>
      </c>
      <c r="M190" s="44">
        <f t="shared" si="49"/>
        <v>0.04</v>
      </c>
      <c r="N190" s="44">
        <f t="shared" si="49"/>
        <v>0.04</v>
      </c>
      <c r="O190" s="44">
        <f t="shared" si="49"/>
        <v>0.04</v>
      </c>
      <c r="P190" s="44">
        <f t="shared" si="49"/>
        <v>0.04</v>
      </c>
      <c r="Q190" s="44">
        <f t="shared" si="49"/>
        <v>0.04</v>
      </c>
      <c r="R190" s="44">
        <f t="shared" si="49"/>
        <v>0.04</v>
      </c>
      <c r="S190" s="44">
        <f t="shared" si="50"/>
        <v>0.04</v>
      </c>
      <c r="T190" s="44">
        <f t="shared" si="50"/>
        <v>0.04</v>
      </c>
      <c r="U190" s="44">
        <f t="shared" si="50"/>
        <v>0.04</v>
      </c>
      <c r="V190" s="44">
        <f t="shared" si="50"/>
        <v>0.04</v>
      </c>
      <c r="W190" s="44">
        <f t="shared" si="50"/>
        <v>0.04</v>
      </c>
      <c r="X190" s="44">
        <f t="shared" si="50"/>
        <v>0.04</v>
      </c>
      <c r="Y190" s="44">
        <f t="shared" si="50"/>
        <v>0.04</v>
      </c>
      <c r="Z190" s="44">
        <f t="shared" si="50"/>
        <v>0.04</v>
      </c>
      <c r="AA190" s="44">
        <f t="shared" si="50"/>
        <v>0.04</v>
      </c>
      <c r="AB190" s="44">
        <f t="shared" si="50"/>
        <v>0.04</v>
      </c>
      <c r="AC190" s="44">
        <f t="shared" si="50"/>
        <v>0.04</v>
      </c>
      <c r="AD190" s="44">
        <f t="shared" si="50"/>
        <v>0.04</v>
      </c>
      <c r="AE190" s="44">
        <f t="shared" si="50"/>
        <v>0.04</v>
      </c>
      <c r="AF190" s="44">
        <f t="shared" si="50"/>
        <v>0.04</v>
      </c>
      <c r="AG190" s="53">
        <v>0.99</v>
      </c>
      <c r="AH190" s="21"/>
      <c r="AI190" s="20"/>
      <c r="AK190" s="42"/>
    </row>
    <row r="191" spans="1:37" x14ac:dyDescent="0.25">
      <c r="A191" s="41" t="s">
        <v>25</v>
      </c>
      <c r="B191" s="44">
        <f t="shared" si="48"/>
        <v>2.3E-2</v>
      </c>
      <c r="C191" s="54">
        <v>2.3E-2</v>
      </c>
      <c r="D191" s="44">
        <f>C191</f>
        <v>2.3E-2</v>
      </c>
      <c r="E191" s="44">
        <f t="shared" si="49"/>
        <v>2.3E-2</v>
      </c>
      <c r="F191" s="44">
        <f t="shared" si="49"/>
        <v>2.3E-2</v>
      </c>
      <c r="G191" s="44">
        <f t="shared" si="49"/>
        <v>2.3E-2</v>
      </c>
      <c r="H191" s="44">
        <f t="shared" si="49"/>
        <v>2.3E-2</v>
      </c>
      <c r="I191" s="44">
        <f t="shared" si="49"/>
        <v>2.3E-2</v>
      </c>
      <c r="J191" s="44">
        <f t="shared" si="49"/>
        <v>2.3E-2</v>
      </c>
      <c r="K191" s="44">
        <f t="shared" si="49"/>
        <v>2.3E-2</v>
      </c>
      <c r="L191" s="44">
        <f t="shared" si="49"/>
        <v>2.3E-2</v>
      </c>
      <c r="M191" s="44">
        <f t="shared" si="49"/>
        <v>2.3E-2</v>
      </c>
      <c r="N191" s="44">
        <f t="shared" si="49"/>
        <v>2.3E-2</v>
      </c>
      <c r="O191" s="44">
        <f t="shared" si="49"/>
        <v>2.3E-2</v>
      </c>
      <c r="P191" s="44">
        <f t="shared" si="49"/>
        <v>2.3E-2</v>
      </c>
      <c r="Q191" s="44">
        <f t="shared" si="49"/>
        <v>2.3E-2</v>
      </c>
      <c r="R191" s="44">
        <f t="shared" si="49"/>
        <v>2.3E-2</v>
      </c>
      <c r="S191" s="44">
        <f t="shared" si="50"/>
        <v>2.3E-2</v>
      </c>
      <c r="T191" s="44">
        <f t="shared" si="50"/>
        <v>2.3E-2</v>
      </c>
      <c r="U191" s="44">
        <f t="shared" si="50"/>
        <v>2.3E-2</v>
      </c>
      <c r="V191" s="44">
        <f t="shared" si="50"/>
        <v>2.3E-2</v>
      </c>
      <c r="W191" s="44">
        <f t="shared" si="50"/>
        <v>2.3E-2</v>
      </c>
      <c r="X191" s="44">
        <f t="shared" si="50"/>
        <v>2.3E-2</v>
      </c>
      <c r="Y191" s="44">
        <f t="shared" si="50"/>
        <v>2.3E-2</v>
      </c>
      <c r="Z191" s="44">
        <f t="shared" si="50"/>
        <v>2.3E-2</v>
      </c>
      <c r="AA191" s="44">
        <f t="shared" si="50"/>
        <v>2.3E-2</v>
      </c>
      <c r="AB191" s="44">
        <f t="shared" si="50"/>
        <v>2.3E-2</v>
      </c>
      <c r="AC191" s="44">
        <f t="shared" si="50"/>
        <v>2.3E-2</v>
      </c>
      <c r="AD191" s="44">
        <f t="shared" si="50"/>
        <v>2.3E-2</v>
      </c>
      <c r="AE191" s="44">
        <f t="shared" si="50"/>
        <v>2.3E-2</v>
      </c>
      <c r="AF191" s="44">
        <f t="shared" si="50"/>
        <v>2.3E-2</v>
      </c>
      <c r="AG191" s="53">
        <v>0.97899999999999998</v>
      </c>
      <c r="AH191" s="21"/>
      <c r="AI191" s="20"/>
      <c r="AK191" s="42"/>
    </row>
    <row r="192" spans="1:37" ht="15.75" thickBot="1" x14ac:dyDescent="0.3">
      <c r="A192" s="52" t="s">
        <v>24</v>
      </c>
      <c r="B192" s="51">
        <f>SUM(B102:B191)</f>
        <v>192.10600000000005</v>
      </c>
      <c r="C192" s="51">
        <f t="shared" ref="C192:AG192" si="51">SUM(C102:C191)</f>
        <v>194.70600000000002</v>
      </c>
      <c r="D192" s="51">
        <f t="shared" si="51"/>
        <v>194.70600000000002</v>
      </c>
      <c r="E192" s="51">
        <f t="shared" si="51"/>
        <v>194.70600000000002</v>
      </c>
      <c r="F192" s="51">
        <f t="shared" si="51"/>
        <v>194.70600000000002</v>
      </c>
      <c r="G192" s="51">
        <f t="shared" si="51"/>
        <v>194.70600000000002</v>
      </c>
      <c r="H192" s="51">
        <f t="shared" si="51"/>
        <v>194.70600000000002</v>
      </c>
      <c r="I192" s="51">
        <f t="shared" si="51"/>
        <v>194.70600000000002</v>
      </c>
      <c r="J192" s="51">
        <f t="shared" si="51"/>
        <v>192.10600000000005</v>
      </c>
      <c r="K192" s="51">
        <f t="shared" si="51"/>
        <v>192.10600000000005</v>
      </c>
      <c r="L192" s="51">
        <f t="shared" si="51"/>
        <v>192.10600000000005</v>
      </c>
      <c r="M192" s="51">
        <f t="shared" si="51"/>
        <v>192.10600000000005</v>
      </c>
      <c r="N192" s="51">
        <f t="shared" si="51"/>
        <v>192.10600000000005</v>
      </c>
      <c r="O192" s="51">
        <f t="shared" si="51"/>
        <v>192.10600000000005</v>
      </c>
      <c r="P192" s="51">
        <f t="shared" si="51"/>
        <v>192.10600000000005</v>
      </c>
      <c r="Q192" s="51">
        <f t="shared" si="51"/>
        <v>192.10600000000005</v>
      </c>
      <c r="R192" s="51">
        <f t="shared" si="51"/>
        <v>192.10600000000005</v>
      </c>
      <c r="S192" s="51">
        <f t="shared" si="51"/>
        <v>192.10600000000005</v>
      </c>
      <c r="T192" s="51">
        <f t="shared" si="51"/>
        <v>192.10600000000005</v>
      </c>
      <c r="U192" s="51">
        <f t="shared" si="51"/>
        <v>192.10600000000005</v>
      </c>
      <c r="V192" s="51">
        <f t="shared" si="51"/>
        <v>192.10600000000005</v>
      </c>
      <c r="W192" s="51">
        <f t="shared" si="51"/>
        <v>192.10600000000005</v>
      </c>
      <c r="X192" s="51">
        <f t="shared" si="51"/>
        <v>192.10600000000005</v>
      </c>
      <c r="Y192" s="51">
        <f t="shared" si="51"/>
        <v>192.10600000000005</v>
      </c>
      <c r="Z192" s="51">
        <f t="shared" si="51"/>
        <v>192.10600000000005</v>
      </c>
      <c r="AA192" s="51">
        <f t="shared" si="51"/>
        <v>192.10600000000005</v>
      </c>
      <c r="AB192" s="51">
        <f t="shared" si="51"/>
        <v>192.10600000000005</v>
      </c>
      <c r="AC192" s="51">
        <f t="shared" si="51"/>
        <v>192.10600000000005</v>
      </c>
      <c r="AD192" s="51">
        <f t="shared" si="51"/>
        <v>192.10600000000005</v>
      </c>
      <c r="AE192" s="51">
        <f t="shared" si="51"/>
        <v>192.10600000000005</v>
      </c>
      <c r="AF192" s="51">
        <f t="shared" si="51"/>
        <v>192.10600000000005</v>
      </c>
      <c r="AG192" s="50">
        <f t="shared" si="51"/>
        <v>412.72299999999984</v>
      </c>
      <c r="AH192" s="21"/>
      <c r="AI192" s="20"/>
      <c r="AK192" s="42"/>
    </row>
    <row r="193" spans="1:37" ht="15.75" thickBot="1" x14ac:dyDescent="0.3">
      <c r="A193" s="49" t="s">
        <v>17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21"/>
      <c r="AI193" s="20"/>
      <c r="AK193" s="42"/>
    </row>
    <row r="194" spans="1:37" x14ac:dyDescent="0.25">
      <c r="A194" s="48" t="s">
        <v>23</v>
      </c>
      <c r="B194" s="47">
        <f t="shared" ref="B194:B199" si="52">AF194</f>
        <v>0.3</v>
      </c>
      <c r="C194" s="47">
        <v>0.3</v>
      </c>
      <c r="D194" s="47">
        <f t="shared" ref="D194:S199" si="53">C194</f>
        <v>0.3</v>
      </c>
      <c r="E194" s="47">
        <f t="shared" si="53"/>
        <v>0.3</v>
      </c>
      <c r="F194" s="47">
        <f t="shared" si="53"/>
        <v>0.3</v>
      </c>
      <c r="G194" s="47">
        <f t="shared" si="53"/>
        <v>0.3</v>
      </c>
      <c r="H194" s="47">
        <f t="shared" si="53"/>
        <v>0.3</v>
      </c>
      <c r="I194" s="47">
        <f t="shared" si="53"/>
        <v>0.3</v>
      </c>
      <c r="J194" s="47">
        <f t="shared" si="53"/>
        <v>0.3</v>
      </c>
      <c r="K194" s="47">
        <f t="shared" si="53"/>
        <v>0.3</v>
      </c>
      <c r="L194" s="47">
        <f t="shared" si="53"/>
        <v>0.3</v>
      </c>
      <c r="M194" s="47">
        <f t="shared" si="53"/>
        <v>0.3</v>
      </c>
      <c r="N194" s="47">
        <f t="shared" si="53"/>
        <v>0.3</v>
      </c>
      <c r="O194" s="47">
        <f t="shared" si="53"/>
        <v>0.3</v>
      </c>
      <c r="P194" s="47">
        <f t="shared" si="53"/>
        <v>0.3</v>
      </c>
      <c r="Q194" s="47">
        <f t="shared" si="53"/>
        <v>0.3</v>
      </c>
      <c r="R194" s="47">
        <f t="shared" si="53"/>
        <v>0.3</v>
      </c>
      <c r="S194" s="47">
        <f t="shared" si="53"/>
        <v>0.3</v>
      </c>
      <c r="T194" s="47">
        <f t="shared" ref="T194:AF199" si="54">S194</f>
        <v>0.3</v>
      </c>
      <c r="U194" s="47">
        <f t="shared" si="54"/>
        <v>0.3</v>
      </c>
      <c r="V194" s="47">
        <f t="shared" si="54"/>
        <v>0.3</v>
      </c>
      <c r="W194" s="47">
        <f t="shared" si="54"/>
        <v>0.3</v>
      </c>
      <c r="X194" s="47">
        <f t="shared" si="54"/>
        <v>0.3</v>
      </c>
      <c r="Y194" s="47">
        <f t="shared" si="54"/>
        <v>0.3</v>
      </c>
      <c r="Z194" s="47">
        <f t="shared" si="54"/>
        <v>0.3</v>
      </c>
      <c r="AA194" s="47">
        <f t="shared" si="54"/>
        <v>0.3</v>
      </c>
      <c r="AB194" s="47">
        <f t="shared" si="54"/>
        <v>0.3</v>
      </c>
      <c r="AC194" s="47">
        <f t="shared" si="54"/>
        <v>0.3</v>
      </c>
      <c r="AD194" s="47">
        <f t="shared" si="54"/>
        <v>0.3</v>
      </c>
      <c r="AE194" s="47">
        <f t="shared" si="54"/>
        <v>0.3</v>
      </c>
      <c r="AF194" s="47">
        <f t="shared" si="54"/>
        <v>0.3</v>
      </c>
      <c r="AG194" s="46">
        <v>2.4</v>
      </c>
      <c r="AH194" s="21"/>
      <c r="AI194" s="20"/>
      <c r="AK194" s="42"/>
    </row>
    <row r="195" spans="1:37" x14ac:dyDescent="0.25">
      <c r="A195" s="45" t="s">
        <v>22</v>
      </c>
      <c r="B195" s="44">
        <f t="shared" si="52"/>
        <v>0.4</v>
      </c>
      <c r="C195" s="44">
        <v>0.4</v>
      </c>
      <c r="D195" s="44">
        <f t="shared" si="53"/>
        <v>0.4</v>
      </c>
      <c r="E195" s="44">
        <f t="shared" si="53"/>
        <v>0.4</v>
      </c>
      <c r="F195" s="44">
        <f t="shared" si="53"/>
        <v>0.4</v>
      </c>
      <c r="G195" s="44">
        <f t="shared" si="53"/>
        <v>0.4</v>
      </c>
      <c r="H195" s="44">
        <f t="shared" si="53"/>
        <v>0.4</v>
      </c>
      <c r="I195" s="44">
        <f t="shared" si="53"/>
        <v>0.4</v>
      </c>
      <c r="J195" s="44">
        <f t="shared" si="53"/>
        <v>0.4</v>
      </c>
      <c r="K195" s="44">
        <f t="shared" si="53"/>
        <v>0.4</v>
      </c>
      <c r="L195" s="44">
        <f t="shared" si="53"/>
        <v>0.4</v>
      </c>
      <c r="M195" s="44">
        <f t="shared" si="53"/>
        <v>0.4</v>
      </c>
      <c r="N195" s="44">
        <f t="shared" si="53"/>
        <v>0.4</v>
      </c>
      <c r="O195" s="44">
        <f t="shared" si="53"/>
        <v>0.4</v>
      </c>
      <c r="P195" s="44">
        <f t="shared" si="53"/>
        <v>0.4</v>
      </c>
      <c r="Q195" s="44">
        <f t="shared" si="53"/>
        <v>0.4</v>
      </c>
      <c r="R195" s="44">
        <f t="shared" si="53"/>
        <v>0.4</v>
      </c>
      <c r="S195" s="44">
        <f t="shared" si="53"/>
        <v>0.4</v>
      </c>
      <c r="T195" s="44">
        <f t="shared" si="54"/>
        <v>0.4</v>
      </c>
      <c r="U195" s="44">
        <f t="shared" si="54"/>
        <v>0.4</v>
      </c>
      <c r="V195" s="44">
        <f t="shared" si="54"/>
        <v>0.4</v>
      </c>
      <c r="W195" s="44">
        <f>V195</f>
        <v>0.4</v>
      </c>
      <c r="X195" s="44">
        <f>W195</f>
        <v>0.4</v>
      </c>
      <c r="Y195" s="44">
        <f t="shared" si="54"/>
        <v>0.4</v>
      </c>
      <c r="Z195" s="44">
        <f t="shared" si="54"/>
        <v>0.4</v>
      </c>
      <c r="AA195" s="44">
        <f t="shared" si="54"/>
        <v>0.4</v>
      </c>
      <c r="AB195" s="44">
        <f t="shared" si="54"/>
        <v>0.4</v>
      </c>
      <c r="AC195" s="44">
        <f t="shared" si="54"/>
        <v>0.4</v>
      </c>
      <c r="AD195" s="44">
        <f t="shared" si="54"/>
        <v>0.4</v>
      </c>
      <c r="AE195" s="44">
        <f t="shared" si="54"/>
        <v>0.4</v>
      </c>
      <c r="AF195" s="44">
        <f t="shared" si="54"/>
        <v>0.4</v>
      </c>
      <c r="AG195" s="43">
        <v>2</v>
      </c>
      <c r="AH195" s="21"/>
      <c r="AI195" s="20"/>
      <c r="AK195" s="42"/>
    </row>
    <row r="196" spans="1:37" x14ac:dyDescent="0.25">
      <c r="A196" s="45" t="s">
        <v>21</v>
      </c>
      <c r="B196" s="44">
        <f t="shared" si="52"/>
        <v>1.5</v>
      </c>
      <c r="C196" s="44">
        <v>1.5</v>
      </c>
      <c r="D196" s="44">
        <f t="shared" si="53"/>
        <v>1.5</v>
      </c>
      <c r="E196" s="44">
        <f t="shared" si="53"/>
        <v>1.5</v>
      </c>
      <c r="F196" s="44">
        <f t="shared" si="53"/>
        <v>1.5</v>
      </c>
      <c r="G196" s="44">
        <f t="shared" si="53"/>
        <v>1.5</v>
      </c>
      <c r="H196" s="44">
        <f t="shared" si="53"/>
        <v>1.5</v>
      </c>
      <c r="I196" s="44">
        <f t="shared" si="53"/>
        <v>1.5</v>
      </c>
      <c r="J196" s="44">
        <f t="shared" si="53"/>
        <v>1.5</v>
      </c>
      <c r="K196" s="44">
        <f t="shared" si="53"/>
        <v>1.5</v>
      </c>
      <c r="L196" s="44">
        <f t="shared" si="53"/>
        <v>1.5</v>
      </c>
      <c r="M196" s="44">
        <f t="shared" si="53"/>
        <v>1.5</v>
      </c>
      <c r="N196" s="44">
        <f t="shared" si="53"/>
        <v>1.5</v>
      </c>
      <c r="O196" s="44">
        <f t="shared" si="53"/>
        <v>1.5</v>
      </c>
      <c r="P196" s="44">
        <f t="shared" si="53"/>
        <v>1.5</v>
      </c>
      <c r="Q196" s="44">
        <f t="shared" si="53"/>
        <v>1.5</v>
      </c>
      <c r="R196" s="44">
        <f t="shared" si="53"/>
        <v>1.5</v>
      </c>
      <c r="S196" s="44">
        <f t="shared" si="53"/>
        <v>1.5</v>
      </c>
      <c r="T196" s="44">
        <f t="shared" si="54"/>
        <v>1.5</v>
      </c>
      <c r="U196" s="44">
        <f t="shared" si="54"/>
        <v>1.5</v>
      </c>
      <c r="V196" s="44">
        <f t="shared" si="54"/>
        <v>1.5</v>
      </c>
      <c r="W196" s="44">
        <f t="shared" si="54"/>
        <v>1.5</v>
      </c>
      <c r="X196" s="44">
        <f t="shared" si="54"/>
        <v>1.5</v>
      </c>
      <c r="Y196" s="44">
        <f t="shared" si="54"/>
        <v>1.5</v>
      </c>
      <c r="Z196" s="44">
        <f t="shared" si="54"/>
        <v>1.5</v>
      </c>
      <c r="AA196" s="44">
        <f t="shared" si="54"/>
        <v>1.5</v>
      </c>
      <c r="AB196" s="44">
        <f t="shared" si="54"/>
        <v>1.5</v>
      </c>
      <c r="AC196" s="44">
        <f t="shared" si="54"/>
        <v>1.5</v>
      </c>
      <c r="AD196" s="44">
        <f t="shared" si="54"/>
        <v>1.5</v>
      </c>
      <c r="AE196" s="44">
        <f t="shared" si="54"/>
        <v>1.5</v>
      </c>
      <c r="AF196" s="44">
        <f t="shared" si="54"/>
        <v>1.5</v>
      </c>
      <c r="AG196" s="43">
        <v>1.5</v>
      </c>
      <c r="AH196" s="21"/>
      <c r="AI196" s="20"/>
      <c r="AK196" s="42"/>
    </row>
    <row r="197" spans="1:37" x14ac:dyDescent="0.25">
      <c r="A197" s="45" t="s">
        <v>20</v>
      </c>
      <c r="B197" s="44">
        <f t="shared" si="52"/>
        <v>0.3</v>
      </c>
      <c r="C197" s="44">
        <v>0.3</v>
      </c>
      <c r="D197" s="44">
        <f t="shared" si="53"/>
        <v>0.3</v>
      </c>
      <c r="E197" s="44">
        <f t="shared" si="53"/>
        <v>0.3</v>
      </c>
      <c r="F197" s="44">
        <f t="shared" si="53"/>
        <v>0.3</v>
      </c>
      <c r="G197" s="44">
        <f t="shared" si="53"/>
        <v>0.3</v>
      </c>
      <c r="H197" s="44">
        <f t="shared" si="53"/>
        <v>0.3</v>
      </c>
      <c r="I197" s="44">
        <f t="shared" si="53"/>
        <v>0.3</v>
      </c>
      <c r="J197" s="44">
        <f t="shared" si="53"/>
        <v>0.3</v>
      </c>
      <c r="K197" s="44">
        <f t="shared" si="53"/>
        <v>0.3</v>
      </c>
      <c r="L197" s="44">
        <f t="shared" si="53"/>
        <v>0.3</v>
      </c>
      <c r="M197" s="44">
        <f t="shared" si="53"/>
        <v>0.3</v>
      </c>
      <c r="N197" s="44">
        <f t="shared" si="53"/>
        <v>0.3</v>
      </c>
      <c r="O197" s="44">
        <f t="shared" si="53"/>
        <v>0.3</v>
      </c>
      <c r="P197" s="44">
        <f t="shared" si="53"/>
        <v>0.3</v>
      </c>
      <c r="Q197" s="44">
        <f t="shared" si="53"/>
        <v>0.3</v>
      </c>
      <c r="R197" s="44">
        <f t="shared" si="53"/>
        <v>0.3</v>
      </c>
      <c r="S197" s="44">
        <f t="shared" si="53"/>
        <v>0.3</v>
      </c>
      <c r="T197" s="44">
        <f t="shared" si="54"/>
        <v>0.3</v>
      </c>
      <c r="U197" s="44">
        <f t="shared" si="54"/>
        <v>0.3</v>
      </c>
      <c r="V197" s="44">
        <f t="shared" si="54"/>
        <v>0.3</v>
      </c>
      <c r="W197" s="44">
        <f t="shared" si="54"/>
        <v>0.3</v>
      </c>
      <c r="X197" s="44">
        <f t="shared" si="54"/>
        <v>0.3</v>
      </c>
      <c r="Y197" s="44">
        <f t="shared" si="54"/>
        <v>0.3</v>
      </c>
      <c r="Z197" s="44">
        <f t="shared" si="54"/>
        <v>0.3</v>
      </c>
      <c r="AA197" s="44">
        <f t="shared" si="54"/>
        <v>0.3</v>
      </c>
      <c r="AB197" s="44">
        <f t="shared" si="54"/>
        <v>0.3</v>
      </c>
      <c r="AC197" s="44">
        <f t="shared" si="54"/>
        <v>0.3</v>
      </c>
      <c r="AD197" s="44">
        <f t="shared" si="54"/>
        <v>0.3</v>
      </c>
      <c r="AE197" s="44">
        <f t="shared" si="54"/>
        <v>0.3</v>
      </c>
      <c r="AF197" s="44">
        <f t="shared" si="54"/>
        <v>0.3</v>
      </c>
      <c r="AG197" s="43">
        <v>1</v>
      </c>
      <c r="AH197" s="21"/>
      <c r="AI197" s="20"/>
      <c r="AK197" s="42"/>
    </row>
    <row r="198" spans="1:37" x14ac:dyDescent="0.25">
      <c r="A198" s="45" t="s">
        <v>19</v>
      </c>
      <c r="B198" s="44">
        <f t="shared" si="52"/>
        <v>0.4</v>
      </c>
      <c r="C198" s="44">
        <v>0.4</v>
      </c>
      <c r="D198" s="44">
        <f t="shared" si="53"/>
        <v>0.4</v>
      </c>
      <c r="E198" s="44">
        <f t="shared" si="53"/>
        <v>0.4</v>
      </c>
      <c r="F198" s="44">
        <f t="shared" si="53"/>
        <v>0.4</v>
      </c>
      <c r="G198" s="44">
        <f t="shared" si="53"/>
        <v>0.4</v>
      </c>
      <c r="H198" s="44">
        <f t="shared" si="53"/>
        <v>0.4</v>
      </c>
      <c r="I198" s="44">
        <f t="shared" si="53"/>
        <v>0.4</v>
      </c>
      <c r="J198" s="44">
        <f t="shared" si="53"/>
        <v>0.4</v>
      </c>
      <c r="K198" s="44">
        <f t="shared" si="53"/>
        <v>0.4</v>
      </c>
      <c r="L198" s="44">
        <f t="shared" si="53"/>
        <v>0.4</v>
      </c>
      <c r="M198" s="44">
        <f t="shared" si="53"/>
        <v>0.4</v>
      </c>
      <c r="N198" s="44">
        <f t="shared" si="53"/>
        <v>0.4</v>
      </c>
      <c r="O198" s="44">
        <f t="shared" si="53"/>
        <v>0.4</v>
      </c>
      <c r="P198" s="44">
        <f t="shared" si="53"/>
        <v>0.4</v>
      </c>
      <c r="Q198" s="44">
        <f t="shared" si="53"/>
        <v>0.4</v>
      </c>
      <c r="R198" s="44">
        <f t="shared" si="53"/>
        <v>0.4</v>
      </c>
      <c r="S198" s="44">
        <f t="shared" si="53"/>
        <v>0.4</v>
      </c>
      <c r="T198" s="44">
        <f t="shared" si="54"/>
        <v>0.4</v>
      </c>
      <c r="U198" s="44">
        <f t="shared" si="54"/>
        <v>0.4</v>
      </c>
      <c r="V198" s="44">
        <f t="shared" si="54"/>
        <v>0.4</v>
      </c>
      <c r="W198" s="44">
        <f t="shared" si="54"/>
        <v>0.4</v>
      </c>
      <c r="X198" s="44">
        <f t="shared" si="54"/>
        <v>0.4</v>
      </c>
      <c r="Y198" s="44">
        <f t="shared" si="54"/>
        <v>0.4</v>
      </c>
      <c r="Z198" s="44">
        <f t="shared" si="54"/>
        <v>0.4</v>
      </c>
      <c r="AA198" s="44">
        <f t="shared" si="54"/>
        <v>0.4</v>
      </c>
      <c r="AB198" s="44">
        <f t="shared" si="54"/>
        <v>0.4</v>
      </c>
      <c r="AC198" s="44">
        <f t="shared" si="54"/>
        <v>0.4</v>
      </c>
      <c r="AD198" s="44">
        <f t="shared" si="54"/>
        <v>0.4</v>
      </c>
      <c r="AE198" s="44">
        <f t="shared" si="54"/>
        <v>0.4</v>
      </c>
      <c r="AF198" s="44">
        <f t="shared" si="54"/>
        <v>0.4</v>
      </c>
      <c r="AG198" s="43">
        <v>1</v>
      </c>
      <c r="AH198" s="21"/>
      <c r="AI198" s="20"/>
      <c r="AK198" s="42"/>
    </row>
    <row r="199" spans="1:37" ht="15.75" thickBot="1" x14ac:dyDescent="0.3">
      <c r="A199" s="41" t="s">
        <v>18</v>
      </c>
      <c r="B199" s="40">
        <f t="shared" si="52"/>
        <v>0.64</v>
      </c>
      <c r="C199" s="40">
        <v>0.64</v>
      </c>
      <c r="D199" s="40">
        <f t="shared" si="53"/>
        <v>0.64</v>
      </c>
      <c r="E199" s="40">
        <f t="shared" si="53"/>
        <v>0.64</v>
      </c>
      <c r="F199" s="40">
        <f t="shared" si="53"/>
        <v>0.64</v>
      </c>
      <c r="G199" s="40">
        <f t="shared" si="53"/>
        <v>0.64</v>
      </c>
      <c r="H199" s="40">
        <f t="shared" si="53"/>
        <v>0.64</v>
      </c>
      <c r="I199" s="40">
        <f t="shared" si="53"/>
        <v>0.64</v>
      </c>
      <c r="J199" s="40">
        <f t="shared" si="53"/>
        <v>0.64</v>
      </c>
      <c r="K199" s="40">
        <f t="shared" si="53"/>
        <v>0.64</v>
      </c>
      <c r="L199" s="40">
        <f t="shared" si="53"/>
        <v>0.64</v>
      </c>
      <c r="M199" s="40">
        <f t="shared" si="53"/>
        <v>0.64</v>
      </c>
      <c r="N199" s="40">
        <f t="shared" si="53"/>
        <v>0.64</v>
      </c>
      <c r="O199" s="40">
        <f t="shared" si="53"/>
        <v>0.64</v>
      </c>
      <c r="P199" s="40">
        <f t="shared" si="53"/>
        <v>0.64</v>
      </c>
      <c r="Q199" s="40">
        <f t="shared" si="53"/>
        <v>0.64</v>
      </c>
      <c r="R199" s="40">
        <f t="shared" si="53"/>
        <v>0.64</v>
      </c>
      <c r="S199" s="40">
        <f t="shared" si="53"/>
        <v>0.64</v>
      </c>
      <c r="T199" s="40">
        <f t="shared" si="54"/>
        <v>0.64</v>
      </c>
      <c r="U199" s="40">
        <f t="shared" si="54"/>
        <v>0.64</v>
      </c>
      <c r="V199" s="40">
        <f t="shared" si="54"/>
        <v>0.64</v>
      </c>
      <c r="W199" s="40">
        <f t="shared" si="54"/>
        <v>0.64</v>
      </c>
      <c r="X199" s="40">
        <f t="shared" si="54"/>
        <v>0.64</v>
      </c>
      <c r="Y199" s="40">
        <f t="shared" si="54"/>
        <v>0.64</v>
      </c>
      <c r="Z199" s="40">
        <f t="shared" si="54"/>
        <v>0.64</v>
      </c>
      <c r="AA199" s="40">
        <f t="shared" si="54"/>
        <v>0.64</v>
      </c>
      <c r="AB199" s="40">
        <f t="shared" si="54"/>
        <v>0.64</v>
      </c>
      <c r="AC199" s="40">
        <f t="shared" si="54"/>
        <v>0.64</v>
      </c>
      <c r="AD199" s="40">
        <f t="shared" si="54"/>
        <v>0.64</v>
      </c>
      <c r="AE199" s="40">
        <f t="shared" si="54"/>
        <v>0.64</v>
      </c>
      <c r="AF199" s="40">
        <f t="shared" si="54"/>
        <v>0.64</v>
      </c>
      <c r="AG199" s="39">
        <v>0.66</v>
      </c>
      <c r="AH199" s="21"/>
      <c r="AI199" s="20"/>
    </row>
    <row r="200" spans="1:37" ht="15.75" thickBot="1" x14ac:dyDescent="0.3">
      <c r="A200" s="38" t="s">
        <v>17</v>
      </c>
      <c r="B200" s="37">
        <f>SUM(B194:B199)</f>
        <v>3.54</v>
      </c>
      <c r="C200" s="37">
        <f>SUM(C194:C199)</f>
        <v>3.54</v>
      </c>
      <c r="D200" s="37">
        <f t="shared" ref="D200:L200" si="55">SUM(D194:D199)</f>
        <v>3.54</v>
      </c>
      <c r="E200" s="37">
        <f t="shared" si="55"/>
        <v>3.54</v>
      </c>
      <c r="F200" s="37">
        <f t="shared" si="55"/>
        <v>3.54</v>
      </c>
      <c r="G200" s="37">
        <f t="shared" si="55"/>
        <v>3.54</v>
      </c>
      <c r="H200" s="37">
        <f t="shared" si="55"/>
        <v>3.54</v>
      </c>
      <c r="I200" s="37">
        <f t="shared" si="55"/>
        <v>3.54</v>
      </c>
      <c r="J200" s="37">
        <f t="shared" si="55"/>
        <v>3.54</v>
      </c>
      <c r="K200" s="37">
        <f t="shared" si="55"/>
        <v>3.54</v>
      </c>
      <c r="L200" s="37">
        <f t="shared" si="55"/>
        <v>3.54</v>
      </c>
      <c r="M200" s="37">
        <f>SUM(M194:M199)</f>
        <v>3.54</v>
      </c>
      <c r="N200" s="37">
        <f t="shared" ref="N200:S200" si="56">SUM(N194:N199)</f>
        <v>3.54</v>
      </c>
      <c r="O200" s="37">
        <f t="shared" si="56"/>
        <v>3.54</v>
      </c>
      <c r="P200" s="37">
        <f t="shared" si="56"/>
        <v>3.54</v>
      </c>
      <c r="Q200" s="37">
        <f t="shared" si="56"/>
        <v>3.54</v>
      </c>
      <c r="R200" s="37">
        <f t="shared" si="56"/>
        <v>3.54</v>
      </c>
      <c r="S200" s="37">
        <f t="shared" si="56"/>
        <v>3.54</v>
      </c>
      <c r="T200" s="37">
        <f>SUM(T194:T199)</f>
        <v>3.54</v>
      </c>
      <c r="U200" s="37">
        <f t="shared" ref="U200:AG200" si="57">SUM(U194:U199)</f>
        <v>3.54</v>
      </c>
      <c r="V200" s="37">
        <f t="shared" si="57"/>
        <v>3.54</v>
      </c>
      <c r="W200" s="37">
        <f t="shared" si="57"/>
        <v>3.54</v>
      </c>
      <c r="X200" s="37">
        <f t="shared" si="57"/>
        <v>3.54</v>
      </c>
      <c r="Y200" s="37">
        <f t="shared" si="57"/>
        <v>3.54</v>
      </c>
      <c r="Z200" s="37">
        <f t="shared" si="57"/>
        <v>3.54</v>
      </c>
      <c r="AA200" s="37">
        <f t="shared" si="57"/>
        <v>3.54</v>
      </c>
      <c r="AB200" s="37">
        <f t="shared" si="57"/>
        <v>3.54</v>
      </c>
      <c r="AC200" s="37">
        <f t="shared" si="57"/>
        <v>3.54</v>
      </c>
      <c r="AD200" s="37">
        <f t="shared" si="57"/>
        <v>3.54</v>
      </c>
      <c r="AE200" s="37">
        <f t="shared" si="57"/>
        <v>3.54</v>
      </c>
      <c r="AF200" s="37">
        <f t="shared" si="57"/>
        <v>3.54</v>
      </c>
      <c r="AG200" s="36">
        <f t="shared" si="57"/>
        <v>8.56</v>
      </c>
      <c r="AH200" s="21"/>
      <c r="AI200" s="20"/>
    </row>
    <row r="201" spans="1:37" ht="15.7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5"/>
      <c r="AH201" s="2"/>
    </row>
    <row r="202" spans="1:37" x14ac:dyDescent="0.25">
      <c r="A202" s="34" t="s">
        <v>0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2"/>
      <c r="AG202" s="2"/>
      <c r="AH202" s="21"/>
      <c r="AI202" s="20"/>
    </row>
    <row r="203" spans="1:37" x14ac:dyDescent="0.25">
      <c r="A203" s="31" t="s">
        <v>16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29"/>
      <c r="AG203" s="22"/>
      <c r="AH203" s="21"/>
      <c r="AI203" s="20"/>
    </row>
    <row r="204" spans="1:37" x14ac:dyDescent="0.25">
      <c r="A204" s="28" t="s">
        <v>15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6"/>
      <c r="AG204" s="22"/>
      <c r="AH204" s="21"/>
      <c r="AI204" s="20"/>
    </row>
    <row r="205" spans="1:37" x14ac:dyDescent="0.25">
      <c r="A205" s="28" t="s">
        <v>14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6"/>
      <c r="AG205" s="22"/>
      <c r="AH205" s="21"/>
      <c r="AI205" s="20"/>
    </row>
    <row r="206" spans="1:37" ht="15.75" thickBot="1" x14ac:dyDescent="0.3">
      <c r="A206" s="25" t="s">
        <v>13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3"/>
      <c r="AG206" s="22"/>
      <c r="AH206" s="21"/>
      <c r="AI206" s="20"/>
    </row>
    <row r="207" spans="1:37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50" x14ac:dyDescent="0.25">
      <c r="A209" s="19" t="s">
        <v>12</v>
      </c>
      <c r="B209" s="18">
        <f>MAX(G75:N75)</f>
        <v>3.54</v>
      </c>
      <c r="C209" s="17">
        <f>INDEX(G9:N9,1,MATCH(MAX(G75:N75),G75:N75,0))</f>
        <v>0.20833333333333301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50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6" t="str">
        <f ca="1">MID(CELL("filename",C7),FIND("]",CELL("filename",C7))+1,600)</f>
        <v>sample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50" x14ac:dyDescent="0.25">
      <c r="A211" s="209" t="s">
        <v>11</v>
      </c>
      <c r="B211" s="209"/>
      <c r="C211" s="2"/>
      <c r="D211" s="16" t="e">
        <f ca="1">"Pie Chart of Daily Peak Demand(Inclusive of Export) of Nepal ("&amp;A4&amp;" "&amp;B4&amp;")"</f>
        <v>#VALUE!</v>
      </c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6" t="e">
        <f ca="1">"Daily Load Curve(Excluding of Export) of Nepal ("&amp;A4&amp;" "&amp;B4&amp;")"</f>
        <v>#VALUE!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50" ht="12.75" customHeight="1" thickBot="1" x14ac:dyDescent="0.3">
      <c r="A212" s="7" t="s">
        <v>10</v>
      </c>
      <c r="B212" s="6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50" ht="15.75" thickTop="1" x14ac:dyDescent="0.25">
      <c r="A213" s="7" t="s">
        <v>9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4" t="s">
        <v>8</v>
      </c>
      <c r="T213" s="13">
        <v>0</v>
      </c>
      <c r="U213" s="12">
        <v>4.1666666666666664E-2</v>
      </c>
      <c r="V213" s="10">
        <v>8.3333333333333301E-2</v>
      </c>
      <c r="W213" s="10">
        <v>0.125</v>
      </c>
      <c r="X213" s="10">
        <v>0.16666666666666699</v>
      </c>
      <c r="Y213" s="10">
        <v>0.20833333333333301</v>
      </c>
      <c r="Z213" s="10">
        <v>0.22916666666666666</v>
      </c>
      <c r="AA213" s="10">
        <v>0.25</v>
      </c>
      <c r="AB213" s="10">
        <v>0.27083333333333331</v>
      </c>
      <c r="AC213" s="10">
        <v>0.29166666666666669</v>
      </c>
      <c r="AD213" s="10">
        <v>0.3125</v>
      </c>
      <c r="AE213" s="11">
        <v>0.33333333333333331</v>
      </c>
      <c r="AF213" s="11">
        <v>0.375</v>
      </c>
      <c r="AG213" s="11">
        <v>0.41666666666666702</v>
      </c>
      <c r="AH213" s="11">
        <v>0.45833333333333298</v>
      </c>
      <c r="AI213" s="11">
        <v>0.5</v>
      </c>
      <c r="AJ213" s="11">
        <v>0.54166666666666696</v>
      </c>
      <c r="AK213" s="11">
        <v>0.58333333333333304</v>
      </c>
      <c r="AL213" s="11">
        <v>0.625</v>
      </c>
      <c r="AM213" s="11">
        <v>0.66666666666666696</v>
      </c>
      <c r="AN213" s="11">
        <v>0.70833333333333304</v>
      </c>
      <c r="AO213" s="11">
        <v>0.72916666666666663</v>
      </c>
      <c r="AP213" s="11">
        <v>0.75</v>
      </c>
      <c r="AQ213" s="11">
        <v>0.77083333333333337</v>
      </c>
      <c r="AR213" s="11">
        <v>0.79166666666666663</v>
      </c>
      <c r="AS213" s="11">
        <v>0.8125</v>
      </c>
      <c r="AT213" s="10">
        <v>0.83333333333333337</v>
      </c>
      <c r="AU213" s="10">
        <v>0.85416666666666663</v>
      </c>
      <c r="AV213" s="10">
        <v>0.875</v>
      </c>
      <c r="AW213" s="10">
        <v>0.91666666666666696</v>
      </c>
      <c r="AX213" s="10">
        <v>0.95833333333333304</v>
      </c>
    </row>
    <row r="214" spans="1:50" x14ac:dyDescent="0.25">
      <c r="A214" s="7" t="s">
        <v>7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</v>
      </c>
      <c r="T214" s="9">
        <f t="shared" ref="T214:AX214" si="58">B75</f>
        <v>3.54</v>
      </c>
      <c r="U214" s="9">
        <f t="shared" si="58"/>
        <v>3.54</v>
      </c>
      <c r="V214" s="9">
        <f t="shared" si="58"/>
        <v>3.54</v>
      </c>
      <c r="W214" s="9">
        <f t="shared" si="58"/>
        <v>3.54</v>
      </c>
      <c r="X214" s="9">
        <f t="shared" si="58"/>
        <v>3.54</v>
      </c>
      <c r="Y214" s="9">
        <f t="shared" si="58"/>
        <v>3.54</v>
      </c>
      <c r="Z214" s="9">
        <f t="shared" si="58"/>
        <v>3.54</v>
      </c>
      <c r="AA214" s="9">
        <f t="shared" si="58"/>
        <v>3.54</v>
      </c>
      <c r="AB214" s="9">
        <f t="shared" si="58"/>
        <v>3.54</v>
      </c>
      <c r="AC214" s="9">
        <f t="shared" si="58"/>
        <v>3.54</v>
      </c>
      <c r="AD214" s="9">
        <f t="shared" si="58"/>
        <v>3.54</v>
      </c>
      <c r="AE214" s="9">
        <f t="shared" si="58"/>
        <v>3.54</v>
      </c>
      <c r="AF214" s="9">
        <f t="shared" si="58"/>
        <v>3.54</v>
      </c>
      <c r="AG214" s="9">
        <f t="shared" si="58"/>
        <v>3.54</v>
      </c>
      <c r="AH214" s="9">
        <f t="shared" si="58"/>
        <v>3.54</v>
      </c>
      <c r="AI214" s="9">
        <f t="shared" si="58"/>
        <v>3.54</v>
      </c>
      <c r="AJ214" s="9">
        <f t="shared" si="58"/>
        <v>3.54</v>
      </c>
      <c r="AK214" s="9">
        <f t="shared" si="58"/>
        <v>3.54</v>
      </c>
      <c r="AL214" s="9">
        <f t="shared" si="58"/>
        <v>3.54</v>
      </c>
      <c r="AM214" s="9">
        <f t="shared" si="58"/>
        <v>3.54</v>
      </c>
      <c r="AN214" s="9">
        <f t="shared" si="58"/>
        <v>3.54</v>
      </c>
      <c r="AO214" s="9">
        <f t="shared" si="58"/>
        <v>3.54</v>
      </c>
      <c r="AP214" s="9">
        <f t="shared" si="58"/>
        <v>3.54</v>
      </c>
      <c r="AQ214" s="9">
        <f t="shared" si="58"/>
        <v>3.54</v>
      </c>
      <c r="AR214" s="9">
        <f t="shared" si="58"/>
        <v>3.54</v>
      </c>
      <c r="AS214" s="9">
        <f t="shared" si="58"/>
        <v>3.54</v>
      </c>
      <c r="AT214" s="9">
        <f t="shared" si="58"/>
        <v>3.54</v>
      </c>
      <c r="AU214" s="9">
        <f t="shared" si="58"/>
        <v>3.54</v>
      </c>
      <c r="AV214" s="9">
        <f t="shared" si="58"/>
        <v>3.54</v>
      </c>
      <c r="AW214" s="9">
        <f t="shared" si="58"/>
        <v>3.54</v>
      </c>
      <c r="AX214" s="9">
        <f t="shared" si="58"/>
        <v>3.54</v>
      </c>
    </row>
    <row r="215" spans="1:50" x14ac:dyDescent="0.25">
      <c r="A215" s="7" t="s">
        <v>5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50" x14ac:dyDescent="0.25">
      <c r="A216" s="7" t="s">
        <v>4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50" x14ac:dyDescent="0.25">
      <c r="A217" s="7" t="s">
        <v>3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50" x14ac:dyDescent="0.25">
      <c r="A218" s="7" t="s">
        <v>2</v>
      </c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50" x14ac:dyDescent="0.25">
      <c r="A219" s="7" t="s">
        <v>1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50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50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50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50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50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6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6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J226"/>
    </row>
    <row r="227" spans="1:36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J227"/>
    </row>
    <row r="228" spans="1:36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J228"/>
    </row>
    <row r="229" spans="1:36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J229"/>
    </row>
    <row r="230" spans="1:36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J230"/>
    </row>
    <row r="231" spans="1:36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J231"/>
    </row>
    <row r="232" spans="1:36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J232"/>
    </row>
    <row r="233" spans="1:36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J233"/>
    </row>
    <row r="234" spans="1:36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J234"/>
    </row>
    <row r="235" spans="1:36" x14ac:dyDescent="0.25">
      <c r="A235" s="5" t="s">
        <v>0</v>
      </c>
      <c r="B235" s="4">
        <f t="shared" ref="B235:AE235" si="59">C199</f>
        <v>0.64</v>
      </c>
      <c r="C235" s="4">
        <f t="shared" si="59"/>
        <v>0.64</v>
      </c>
      <c r="D235" s="4">
        <f t="shared" si="59"/>
        <v>0.64</v>
      </c>
      <c r="E235" s="4">
        <f t="shared" si="59"/>
        <v>0.64</v>
      </c>
      <c r="F235" s="4">
        <f t="shared" si="59"/>
        <v>0.64</v>
      </c>
      <c r="G235" s="4">
        <f t="shared" si="59"/>
        <v>0.64</v>
      </c>
      <c r="H235" s="4">
        <f t="shared" si="59"/>
        <v>0.64</v>
      </c>
      <c r="I235" s="4">
        <f t="shared" si="59"/>
        <v>0.64</v>
      </c>
      <c r="J235" s="4">
        <f t="shared" si="59"/>
        <v>0.64</v>
      </c>
      <c r="K235" s="4">
        <f t="shared" si="59"/>
        <v>0.64</v>
      </c>
      <c r="L235" s="4">
        <f t="shared" si="59"/>
        <v>0.64</v>
      </c>
      <c r="M235" s="4">
        <f t="shared" si="59"/>
        <v>0.64</v>
      </c>
      <c r="N235" s="4">
        <f t="shared" si="59"/>
        <v>0.64</v>
      </c>
      <c r="O235" s="4">
        <f t="shared" si="59"/>
        <v>0.64</v>
      </c>
      <c r="P235" s="4">
        <f t="shared" si="59"/>
        <v>0.64</v>
      </c>
      <c r="Q235" s="4">
        <f t="shared" si="59"/>
        <v>0.64</v>
      </c>
      <c r="R235" s="4">
        <f t="shared" si="59"/>
        <v>0.64</v>
      </c>
      <c r="S235" s="4">
        <f t="shared" si="59"/>
        <v>0.64</v>
      </c>
      <c r="T235" s="4">
        <f t="shared" si="59"/>
        <v>0.64</v>
      </c>
      <c r="U235" s="4">
        <f t="shared" si="59"/>
        <v>0.64</v>
      </c>
      <c r="V235" s="4">
        <f t="shared" si="59"/>
        <v>0.64</v>
      </c>
      <c r="W235" s="4">
        <f t="shared" si="59"/>
        <v>0.64</v>
      </c>
      <c r="X235" s="4">
        <f t="shared" si="59"/>
        <v>0.64</v>
      </c>
      <c r="Y235" s="4">
        <f t="shared" si="59"/>
        <v>0.64</v>
      </c>
      <c r="Z235" s="4">
        <f t="shared" si="59"/>
        <v>0.64</v>
      </c>
      <c r="AA235" s="4">
        <f t="shared" si="59"/>
        <v>0.64</v>
      </c>
      <c r="AB235" s="4">
        <f t="shared" si="59"/>
        <v>0.64</v>
      </c>
      <c r="AC235" s="4">
        <f t="shared" si="59"/>
        <v>0.64</v>
      </c>
      <c r="AD235" s="4">
        <f t="shared" si="59"/>
        <v>0.64</v>
      </c>
      <c r="AE235" s="4">
        <f t="shared" si="59"/>
        <v>0.64</v>
      </c>
      <c r="AF235" s="4">
        <f>B199</f>
        <v>0.64</v>
      </c>
      <c r="AG235" s="2"/>
      <c r="AH235" s="2"/>
      <c r="AJ235"/>
    </row>
    <row r="236" spans="1:36" x14ac:dyDescent="0.25">
      <c r="A236" s="3" t="str">
        <f>A203</f>
        <v>KGA</v>
      </c>
      <c r="B236" s="3" t="str">
        <f>IF(B203&lt;100,"",B203-520)</f>
        <v/>
      </c>
      <c r="C236" s="3" t="str">
        <f t="shared" ref="C236:AF236" si="60">IF(C203&lt;100,"",C203-520)</f>
        <v/>
      </c>
      <c r="D236" s="3" t="str">
        <f t="shared" si="60"/>
        <v/>
      </c>
      <c r="E236" s="3" t="str">
        <f t="shared" si="60"/>
        <v/>
      </c>
      <c r="F236" s="3" t="str">
        <f t="shared" si="60"/>
        <v/>
      </c>
      <c r="G236" s="3" t="str">
        <f t="shared" si="60"/>
        <v/>
      </c>
      <c r="H236" s="3" t="str">
        <f t="shared" si="60"/>
        <v/>
      </c>
      <c r="I236" s="3" t="str">
        <f t="shared" si="60"/>
        <v/>
      </c>
      <c r="J236" s="3" t="str">
        <f t="shared" si="60"/>
        <v/>
      </c>
      <c r="K236" s="3" t="str">
        <f t="shared" si="60"/>
        <v/>
      </c>
      <c r="L236" s="3" t="str">
        <f t="shared" si="60"/>
        <v/>
      </c>
      <c r="M236" s="3" t="str">
        <f t="shared" si="60"/>
        <v/>
      </c>
      <c r="N236" s="3" t="str">
        <f t="shared" si="60"/>
        <v/>
      </c>
      <c r="O236" s="3" t="str">
        <f t="shared" si="60"/>
        <v/>
      </c>
      <c r="P236" s="3" t="str">
        <f t="shared" si="60"/>
        <v/>
      </c>
      <c r="Q236" s="3" t="str">
        <f t="shared" si="60"/>
        <v/>
      </c>
      <c r="R236" s="3" t="str">
        <f t="shared" si="60"/>
        <v/>
      </c>
      <c r="S236" s="3" t="str">
        <f t="shared" si="60"/>
        <v/>
      </c>
      <c r="T236" s="3" t="str">
        <f t="shared" si="60"/>
        <v/>
      </c>
      <c r="U236" s="3" t="str">
        <f t="shared" si="60"/>
        <v/>
      </c>
      <c r="V236" s="3" t="str">
        <f t="shared" si="60"/>
        <v/>
      </c>
      <c r="W236" s="3" t="str">
        <f t="shared" si="60"/>
        <v/>
      </c>
      <c r="X236" s="3" t="str">
        <f t="shared" si="60"/>
        <v/>
      </c>
      <c r="Y236" s="3" t="str">
        <f t="shared" si="60"/>
        <v/>
      </c>
      <c r="Z236" s="3" t="str">
        <f t="shared" si="60"/>
        <v/>
      </c>
      <c r="AA236" s="3" t="str">
        <f t="shared" si="60"/>
        <v/>
      </c>
      <c r="AB236" s="3" t="str">
        <f t="shared" si="60"/>
        <v/>
      </c>
      <c r="AC236" s="3" t="str">
        <f t="shared" si="60"/>
        <v/>
      </c>
      <c r="AD236" s="3" t="str">
        <f t="shared" si="60"/>
        <v/>
      </c>
      <c r="AE236" s="3" t="str">
        <f t="shared" si="60"/>
        <v/>
      </c>
      <c r="AF236" s="3" t="str">
        <f t="shared" si="60"/>
        <v/>
      </c>
      <c r="AG236" s="2"/>
      <c r="AH236" s="2"/>
      <c r="AJ236"/>
    </row>
    <row r="237" spans="1:36" x14ac:dyDescent="0.25">
      <c r="A237" s="3" t="str">
        <f>A204</f>
        <v>MMRS</v>
      </c>
      <c r="B237" s="3" t="str">
        <f t="shared" ref="B237:AF237" si="61">IF(B204&lt;100,"",B204-620)</f>
        <v/>
      </c>
      <c r="C237" s="3" t="str">
        <f t="shared" si="61"/>
        <v/>
      </c>
      <c r="D237" s="3" t="str">
        <f t="shared" si="61"/>
        <v/>
      </c>
      <c r="E237" s="3" t="str">
        <f t="shared" si="61"/>
        <v/>
      </c>
      <c r="F237" s="3" t="str">
        <f t="shared" si="61"/>
        <v/>
      </c>
      <c r="G237" s="3" t="str">
        <f t="shared" si="61"/>
        <v/>
      </c>
      <c r="H237" s="3" t="str">
        <f t="shared" si="61"/>
        <v/>
      </c>
      <c r="I237" s="3" t="str">
        <f t="shared" si="61"/>
        <v/>
      </c>
      <c r="J237" s="3" t="str">
        <f t="shared" si="61"/>
        <v/>
      </c>
      <c r="K237" s="3" t="str">
        <f t="shared" si="61"/>
        <v/>
      </c>
      <c r="L237" s="3" t="str">
        <f t="shared" si="61"/>
        <v/>
      </c>
      <c r="M237" s="3" t="str">
        <f t="shared" si="61"/>
        <v/>
      </c>
      <c r="N237" s="3" t="str">
        <f t="shared" si="61"/>
        <v/>
      </c>
      <c r="O237" s="3" t="str">
        <f t="shared" si="61"/>
        <v/>
      </c>
      <c r="P237" s="3" t="str">
        <f t="shared" si="61"/>
        <v/>
      </c>
      <c r="Q237" s="3" t="str">
        <f t="shared" si="61"/>
        <v/>
      </c>
      <c r="R237" s="3" t="str">
        <f t="shared" si="61"/>
        <v/>
      </c>
      <c r="S237" s="3" t="str">
        <f t="shared" si="61"/>
        <v/>
      </c>
      <c r="T237" s="3" t="str">
        <f t="shared" si="61"/>
        <v/>
      </c>
      <c r="U237" s="3" t="str">
        <f t="shared" si="61"/>
        <v/>
      </c>
      <c r="V237" s="3" t="str">
        <f t="shared" si="61"/>
        <v/>
      </c>
      <c r="W237" s="3" t="str">
        <f t="shared" si="61"/>
        <v/>
      </c>
      <c r="X237" s="3" t="str">
        <f t="shared" si="61"/>
        <v/>
      </c>
      <c r="Y237" s="3" t="str">
        <f t="shared" si="61"/>
        <v/>
      </c>
      <c r="Z237" s="3" t="str">
        <f t="shared" si="61"/>
        <v/>
      </c>
      <c r="AA237" s="3" t="str">
        <f t="shared" si="61"/>
        <v/>
      </c>
      <c r="AB237" s="3" t="str">
        <f t="shared" si="61"/>
        <v/>
      </c>
      <c r="AC237" s="3" t="str">
        <f t="shared" si="61"/>
        <v/>
      </c>
      <c r="AD237" s="3" t="str">
        <f t="shared" si="61"/>
        <v/>
      </c>
      <c r="AE237" s="3" t="str">
        <f t="shared" si="61"/>
        <v/>
      </c>
      <c r="AF237" s="3" t="str">
        <f t="shared" si="61"/>
        <v/>
      </c>
      <c r="AG237" s="2"/>
      <c r="AH237" s="2"/>
      <c r="AJ237"/>
    </row>
    <row r="238" spans="1:36" x14ac:dyDescent="0.25">
      <c r="A238" s="3" t="str">
        <f>A205</f>
        <v>MRS</v>
      </c>
      <c r="B238" s="3" t="str">
        <f t="shared" ref="B238:AF238" si="62">IF(B205&lt;100,"",B205-330)</f>
        <v/>
      </c>
      <c r="C238" s="3" t="str">
        <f t="shared" si="62"/>
        <v/>
      </c>
      <c r="D238" s="3" t="str">
        <f t="shared" si="62"/>
        <v/>
      </c>
      <c r="E238" s="3" t="str">
        <f t="shared" si="62"/>
        <v/>
      </c>
      <c r="F238" s="3" t="str">
        <f t="shared" si="62"/>
        <v/>
      </c>
      <c r="G238" s="3" t="str">
        <f t="shared" si="62"/>
        <v/>
      </c>
      <c r="H238" s="3" t="str">
        <f t="shared" si="62"/>
        <v/>
      </c>
      <c r="I238" s="3" t="str">
        <f t="shared" si="62"/>
        <v/>
      </c>
      <c r="J238" s="3" t="str">
        <f t="shared" si="62"/>
        <v/>
      </c>
      <c r="K238" s="3" t="str">
        <f t="shared" si="62"/>
        <v/>
      </c>
      <c r="L238" s="3" t="str">
        <f t="shared" si="62"/>
        <v/>
      </c>
      <c r="M238" s="3" t="str">
        <f t="shared" si="62"/>
        <v/>
      </c>
      <c r="N238" s="3" t="str">
        <f t="shared" si="62"/>
        <v/>
      </c>
      <c r="O238" s="3" t="str">
        <f t="shared" si="62"/>
        <v/>
      </c>
      <c r="P238" s="3" t="str">
        <f t="shared" si="62"/>
        <v/>
      </c>
      <c r="Q238" s="3" t="str">
        <f t="shared" si="62"/>
        <v/>
      </c>
      <c r="R238" s="3" t="str">
        <f t="shared" si="62"/>
        <v/>
      </c>
      <c r="S238" s="3" t="str">
        <f t="shared" si="62"/>
        <v/>
      </c>
      <c r="T238" s="3" t="str">
        <f t="shared" si="62"/>
        <v/>
      </c>
      <c r="U238" s="3" t="str">
        <f t="shared" si="62"/>
        <v/>
      </c>
      <c r="V238" s="3" t="str">
        <f t="shared" si="62"/>
        <v/>
      </c>
      <c r="W238" s="3" t="str">
        <f t="shared" si="62"/>
        <v/>
      </c>
      <c r="X238" s="3" t="str">
        <f t="shared" si="62"/>
        <v/>
      </c>
      <c r="Y238" s="3" t="str">
        <f t="shared" si="62"/>
        <v/>
      </c>
      <c r="Z238" s="3" t="str">
        <f t="shared" si="62"/>
        <v/>
      </c>
      <c r="AA238" s="3" t="str">
        <f t="shared" si="62"/>
        <v/>
      </c>
      <c r="AB238" s="3" t="str">
        <f t="shared" si="62"/>
        <v/>
      </c>
      <c r="AC238" s="3" t="str">
        <f t="shared" si="62"/>
        <v/>
      </c>
      <c r="AD238" s="3" t="str">
        <f t="shared" si="62"/>
        <v/>
      </c>
      <c r="AE238" s="3" t="str">
        <f t="shared" si="62"/>
        <v/>
      </c>
      <c r="AF238" s="3" t="str">
        <f t="shared" si="62"/>
        <v/>
      </c>
      <c r="AG238" s="2"/>
      <c r="AH238" s="2"/>
      <c r="AJ238"/>
    </row>
    <row r="239" spans="1:36" x14ac:dyDescent="0.25">
      <c r="A239" s="3" t="str">
        <f>A206</f>
        <v>KL 1</v>
      </c>
      <c r="B239" s="3" t="str">
        <f>IF(B206&lt;100,"",B206-1500)</f>
        <v/>
      </c>
      <c r="C239" s="3" t="str">
        <f t="shared" ref="C239:AF239" si="63">IF(C206&lt;100,"",C206-1500)</f>
        <v/>
      </c>
      <c r="D239" s="3" t="str">
        <f t="shared" si="63"/>
        <v/>
      </c>
      <c r="E239" s="3" t="str">
        <f t="shared" si="63"/>
        <v/>
      </c>
      <c r="F239" s="3" t="str">
        <f t="shared" si="63"/>
        <v/>
      </c>
      <c r="G239" s="3" t="str">
        <f t="shared" si="63"/>
        <v/>
      </c>
      <c r="H239" s="3" t="str">
        <f t="shared" si="63"/>
        <v/>
      </c>
      <c r="I239" s="3" t="str">
        <f t="shared" si="63"/>
        <v/>
      </c>
      <c r="J239" s="3" t="str">
        <f t="shared" si="63"/>
        <v/>
      </c>
      <c r="K239" s="3" t="str">
        <f t="shared" si="63"/>
        <v/>
      </c>
      <c r="L239" s="3" t="str">
        <f t="shared" si="63"/>
        <v/>
      </c>
      <c r="M239" s="3" t="str">
        <f t="shared" si="63"/>
        <v/>
      </c>
      <c r="N239" s="3" t="str">
        <f t="shared" si="63"/>
        <v/>
      </c>
      <c r="O239" s="3" t="str">
        <f t="shared" si="63"/>
        <v/>
      </c>
      <c r="P239" s="3" t="str">
        <f t="shared" si="63"/>
        <v/>
      </c>
      <c r="Q239" s="3" t="str">
        <f t="shared" si="63"/>
        <v/>
      </c>
      <c r="R239" s="3" t="str">
        <f t="shared" si="63"/>
        <v/>
      </c>
      <c r="S239" s="3" t="str">
        <f t="shared" si="63"/>
        <v/>
      </c>
      <c r="T239" s="3" t="str">
        <f t="shared" si="63"/>
        <v/>
      </c>
      <c r="U239" s="3" t="str">
        <f t="shared" si="63"/>
        <v/>
      </c>
      <c r="V239" s="3" t="str">
        <f t="shared" si="63"/>
        <v/>
      </c>
      <c r="W239" s="3" t="str">
        <f t="shared" si="63"/>
        <v/>
      </c>
      <c r="X239" s="3" t="str">
        <f t="shared" si="63"/>
        <v/>
      </c>
      <c r="Y239" s="3" t="str">
        <f t="shared" si="63"/>
        <v/>
      </c>
      <c r="Z239" s="3" t="str">
        <f t="shared" si="63"/>
        <v/>
      </c>
      <c r="AA239" s="3" t="str">
        <f t="shared" si="63"/>
        <v/>
      </c>
      <c r="AB239" s="3" t="str">
        <f t="shared" si="63"/>
        <v/>
      </c>
      <c r="AC239" s="3" t="str">
        <f t="shared" si="63"/>
        <v/>
      </c>
      <c r="AD239" s="3" t="str">
        <f t="shared" si="63"/>
        <v/>
      </c>
      <c r="AE239" s="3" t="str">
        <f t="shared" si="63"/>
        <v/>
      </c>
      <c r="AF239" s="3" t="str">
        <f t="shared" si="63"/>
        <v/>
      </c>
      <c r="AG239" s="2"/>
      <c r="AH239" s="2"/>
      <c r="AJ239"/>
    </row>
    <row r="240" spans="1:36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J240"/>
    </row>
    <row r="241" spans="2:36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J241"/>
    </row>
    <row r="242" spans="2:36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J242"/>
    </row>
    <row r="243" spans="2:36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J243"/>
    </row>
    <row r="244" spans="2:36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J244"/>
    </row>
    <row r="245" spans="2:3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J245"/>
    </row>
    <row r="246" spans="2:3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D67 C60:O60 P39:R39 M39:O42 C61:N61 O61:O67 P40:Q42 R42 N45:R48 P60:R67 M12:R14 M16:R17 R40:T41 M19:R32 M11:Z11 M58:W59 Z12:Z14 M18:Y18 S19:Y30 U40:Y42 X85:AA91 Z27:AA27 AA11:AE14 Z16:AE26 Z28:AE31 Z40:AE43 AB81:AF81 B81:R81 C56:AF56 B82:AF83 D194:AF200 B194:B200 C68:AF72 AB84:AF91 B84:B91 M53:AF55 B73:AF80 B9:AF10 B192:AF192 AF57:AF67 B53:B72 D36:AF36 B36 AG73 AB94:AF100 B94:B100 U213:AF213">
    <cfRule type="expression" dxfId="267" priority="251">
      <formula>B$9&gt;=20/24</formula>
    </cfRule>
    <cfRule type="expression" dxfId="266" priority="252">
      <formula>AND(B$9&gt;=14/24,B$9&lt;20/24)</formula>
    </cfRule>
    <cfRule type="expression" dxfId="265" priority="253">
      <formula>AND(B$9&gt;=8/24,B$9&lt;14/24)</formula>
    </cfRule>
    <cfRule type="expression" dxfId="264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63" priority="246">
      <formula>M$9&gt;=20/24</formula>
    </cfRule>
    <cfRule type="expression" dxfId="262" priority="247">
      <formula>AND(M$9&gt;=14/24,M$9&lt;20/24)</formula>
    </cfRule>
    <cfRule type="expression" dxfId="261" priority="248">
      <formula>AND(M$9&gt;=8/24,M$9&lt;14/24)</formula>
    </cfRule>
    <cfRule type="expression" dxfId="260" priority="249">
      <formula>M$9&lt;8/24</formula>
    </cfRule>
  </conditionalFormatting>
  <conditionalFormatting sqref="M43:R43">
    <cfRule type="expression" dxfId="259" priority="242">
      <formula>M$9&gt;=20/24</formula>
    </cfRule>
    <cfRule type="expression" dxfId="258" priority="243">
      <formula>AND(M$9&gt;=14/24,M$9&lt;20/24)</formula>
    </cfRule>
    <cfRule type="expression" dxfId="257" priority="244">
      <formula>AND(M$9&gt;=8/24,M$9&lt;14/24)</formula>
    </cfRule>
    <cfRule type="expression" dxfId="256" priority="245">
      <formula>M$9&lt;8/24</formula>
    </cfRule>
  </conditionalFormatting>
  <conditionalFormatting sqref="Z32:AE32">
    <cfRule type="expression" dxfId="255" priority="238">
      <formula>Z$9&gt;=20/24</formula>
    </cfRule>
    <cfRule type="expression" dxfId="254" priority="239">
      <formula>AND(Z$9&gt;=14/24,Z$9&lt;20/24)</formula>
    </cfRule>
    <cfRule type="expression" dxfId="253" priority="240">
      <formula>AND(Z$9&gt;=8/24,Z$9&lt;14/24)</formula>
    </cfRule>
    <cfRule type="expression" dxfId="252" priority="241">
      <formula>Z$9&lt;8/24</formula>
    </cfRule>
  </conditionalFormatting>
  <conditionalFormatting sqref="S39:AE39">
    <cfRule type="expression" dxfId="251" priority="234">
      <formula>S$9&gt;=20/24</formula>
    </cfRule>
    <cfRule type="expression" dxfId="250" priority="235">
      <formula>AND(S$9&gt;=14/24,S$9&lt;20/24)</formula>
    </cfRule>
    <cfRule type="expression" dxfId="249" priority="236">
      <formula>AND(S$9&gt;=8/24,S$9&lt;14/24)</formula>
    </cfRule>
    <cfRule type="expression" dxfId="248" priority="237">
      <formula>S$9&lt;8/24</formula>
    </cfRule>
  </conditionalFormatting>
  <conditionalFormatting sqref="S57:AE57">
    <cfRule type="expression" dxfId="247" priority="230">
      <formula>S$9&gt;=20/24</formula>
    </cfRule>
    <cfRule type="expression" dxfId="246" priority="231">
      <formula>AND(S$9&gt;=14/24,S$9&lt;20/24)</formula>
    </cfRule>
    <cfRule type="expression" dxfId="245" priority="232">
      <formula>AND(S$9&gt;=8/24,S$9&lt;14/24)</formula>
    </cfRule>
    <cfRule type="expression" dxfId="244" priority="233">
      <formula>S$9&lt;8/24</formula>
    </cfRule>
  </conditionalFormatting>
  <conditionalFormatting sqref="S81:AA81">
    <cfRule type="expression" dxfId="243" priority="226">
      <formula>S$9&gt;=20/24</formula>
    </cfRule>
    <cfRule type="expression" dxfId="242" priority="227">
      <formula>AND(S$9&gt;=14/24,S$9&lt;20/24)</formula>
    </cfRule>
    <cfRule type="expression" dxfId="241" priority="228">
      <formula>AND(S$9&gt;=8/24,S$9&lt;14/24)</formula>
    </cfRule>
    <cfRule type="expression" dxfId="240" priority="229">
      <formula>S$9&lt;8/24</formula>
    </cfRule>
  </conditionalFormatting>
  <conditionalFormatting sqref="U84:AA84">
    <cfRule type="expression" dxfId="239" priority="222">
      <formula>U$9&gt;=20/24</formula>
    </cfRule>
    <cfRule type="expression" dxfId="238" priority="223">
      <formula>AND(U$9&gt;=14/24,U$9&lt;20/24)</formula>
    </cfRule>
    <cfRule type="expression" dxfId="237" priority="224">
      <formula>AND(U$9&gt;=8/24,U$9&lt;14/24)</formula>
    </cfRule>
    <cfRule type="expression" dxfId="236" priority="225">
      <formula>U$9&lt;8/24</formula>
    </cfRule>
  </conditionalFormatting>
  <conditionalFormatting sqref="M35:R35">
    <cfRule type="expression" dxfId="235" priority="218">
      <formula>M$9&gt;=20/24</formula>
    </cfRule>
    <cfRule type="expression" dxfId="234" priority="219">
      <formula>AND(M$9&gt;=14/24,M$9&lt;20/24)</formula>
    </cfRule>
    <cfRule type="expression" dxfId="233" priority="220">
      <formula>AND(M$9&gt;=8/24,M$9&lt;14/24)</formula>
    </cfRule>
    <cfRule type="expression" dxfId="232" priority="221">
      <formula>M$9&lt;8/24</formula>
    </cfRule>
  </conditionalFormatting>
  <conditionalFormatting sqref="M49:T49">
    <cfRule type="expression" dxfId="231" priority="214">
      <formula>M$9&gt;=20/24</formula>
    </cfRule>
    <cfRule type="expression" dxfId="230" priority="215">
      <formula>AND(M$9&gt;=14/24,M$9&lt;20/24)</formula>
    </cfRule>
    <cfRule type="expression" dxfId="229" priority="216">
      <formula>AND(M$9&gt;=8/24,M$9&lt;14/24)</formula>
    </cfRule>
    <cfRule type="expression" dxfId="228" priority="217">
      <formula>M$9&lt;8/24</formula>
    </cfRule>
  </conditionalFormatting>
  <conditionalFormatting sqref="M50:R50">
    <cfRule type="expression" dxfId="227" priority="210">
      <formula>M$9&gt;=20/24</formula>
    </cfRule>
    <cfRule type="expression" dxfId="226" priority="211">
      <formula>AND(M$9&gt;=14/24,M$9&lt;20/24)</formula>
    </cfRule>
    <cfRule type="expression" dxfId="225" priority="212">
      <formula>AND(M$9&gt;=8/24,M$9&lt;14/24)</formula>
    </cfRule>
    <cfRule type="expression" dxfId="224" priority="213">
      <formula>M$9&lt;8/24</formula>
    </cfRule>
  </conditionalFormatting>
  <conditionalFormatting sqref="M45:R48">
    <cfRule type="expression" dxfId="223" priority="206">
      <formula>M$9&gt;=20/24</formula>
    </cfRule>
    <cfRule type="expression" dxfId="222" priority="207">
      <formula>AND(M$9&gt;=14/24,M$9&lt;20/24)</formula>
    </cfRule>
    <cfRule type="expression" dxfId="221" priority="208">
      <formula>AND(M$9&gt;=8/24,M$9&lt;14/24)</formula>
    </cfRule>
    <cfRule type="expression" dxfId="220" priority="209">
      <formula>M$9&lt;8/24</formula>
    </cfRule>
  </conditionalFormatting>
  <conditionalFormatting sqref="S37:AE37">
    <cfRule type="expression" dxfId="219" priority="202">
      <formula>S$9&gt;=20/24</formula>
    </cfRule>
    <cfRule type="expression" dxfId="218" priority="203">
      <formula>AND(S$9&gt;=14/24,S$9&lt;20/24)</formula>
    </cfRule>
    <cfRule type="expression" dxfId="217" priority="204">
      <formula>AND(S$9&gt;=8/24,S$9&lt;14/24)</formula>
    </cfRule>
    <cfRule type="expression" dxfId="216" priority="205">
      <formula>S$9&lt;8/24</formula>
    </cfRule>
  </conditionalFormatting>
  <conditionalFormatting sqref="S31:Y32 S35:AE35">
    <cfRule type="expression" dxfId="215" priority="198">
      <formula>S$9&gt;=20/24</formula>
    </cfRule>
    <cfRule type="expression" dxfId="214" priority="199">
      <formula>AND(S$9&gt;=14/24,S$9&lt;20/24)</formula>
    </cfRule>
    <cfRule type="expression" dxfId="213" priority="200">
      <formula>AND(S$9&gt;=8/24,S$9&lt;14/24)</formula>
    </cfRule>
    <cfRule type="expression" dxfId="212" priority="201">
      <formula>S$9&lt;8/24</formula>
    </cfRule>
  </conditionalFormatting>
  <conditionalFormatting sqref="S42:T43 U43:Y43 S45:AE48">
    <cfRule type="expression" dxfId="211" priority="194">
      <formula>S$9&gt;=20/24</formula>
    </cfRule>
    <cfRule type="expression" dxfId="210" priority="195">
      <formula>AND(S$9&gt;=14/24,S$9&lt;20/24)</formula>
    </cfRule>
    <cfRule type="expression" dxfId="209" priority="196">
      <formula>AND(S$9&gt;=8/24,S$9&lt;14/24)</formula>
    </cfRule>
    <cfRule type="expression" dxfId="208" priority="197">
      <formula>S$9&lt;8/24</formula>
    </cfRule>
  </conditionalFormatting>
  <conditionalFormatting sqref="S49:AE49">
    <cfRule type="expression" dxfId="207" priority="190">
      <formula>S$9&gt;=20/24</formula>
    </cfRule>
    <cfRule type="expression" dxfId="206" priority="191">
      <formula>AND(S$9&gt;=14/24,S$9&lt;20/24)</formula>
    </cfRule>
    <cfRule type="expression" dxfId="205" priority="192">
      <formula>AND(S$9&gt;=8/24,S$9&lt;14/24)</formula>
    </cfRule>
    <cfRule type="expression" dxfId="204" priority="193">
      <formula>S$9&lt;8/24</formula>
    </cfRule>
  </conditionalFormatting>
  <conditionalFormatting sqref="S50:AE50">
    <cfRule type="expression" dxfId="203" priority="186">
      <formula>S$9&gt;=20/24</formula>
    </cfRule>
    <cfRule type="expression" dxfId="202" priority="187">
      <formula>AND(S$9&gt;=14/24,S$9&lt;20/24)</formula>
    </cfRule>
    <cfRule type="expression" dxfId="201" priority="188">
      <formula>AND(S$9&gt;=8/24,S$9&lt;14/24)</formula>
    </cfRule>
    <cfRule type="expression" dxfId="200" priority="189">
      <formula>S$9&lt;8/24</formula>
    </cfRule>
  </conditionalFormatting>
  <conditionalFormatting sqref="S60:T67 X60:AE67">
    <cfRule type="expression" dxfId="199" priority="182">
      <formula>S$9&gt;=20/24</formula>
    </cfRule>
    <cfRule type="expression" dxfId="198" priority="183">
      <formula>AND(S$9&gt;=14/24,S$9&lt;20/24)</formula>
    </cfRule>
    <cfRule type="expression" dxfId="197" priority="184">
      <formula>AND(S$9&gt;=8/24,S$9&lt;14/24)</formula>
    </cfRule>
    <cfRule type="expression" dxfId="196" priority="185">
      <formula>S$9&lt;8/24</formula>
    </cfRule>
  </conditionalFormatting>
  <conditionalFormatting sqref="C62:I62 I63:I67 J62:L67">
    <cfRule type="expression" dxfId="195" priority="178">
      <formula>C$9&gt;=20/24</formula>
    </cfRule>
    <cfRule type="expression" dxfId="194" priority="179">
      <formula>AND(C$9&gt;=14/24,C$9&lt;20/24)</formula>
    </cfRule>
    <cfRule type="expression" dxfId="193" priority="180">
      <formula>AND(C$9&gt;=8/24,C$9&lt;14/24)</formula>
    </cfRule>
    <cfRule type="expression" dxfId="192" priority="181">
      <formula>C$9&lt;8/24</formula>
    </cfRule>
  </conditionalFormatting>
  <conditionalFormatting sqref="U94:AA97">
    <cfRule type="expression" dxfId="191" priority="174">
      <formula>U$9&gt;=20/24</formula>
    </cfRule>
    <cfRule type="expression" dxfId="190" priority="175">
      <formula>AND(U$9&gt;=14/24,U$9&lt;20/24)</formula>
    </cfRule>
    <cfRule type="expression" dxfId="189" priority="176">
      <formula>AND(U$9&gt;=8/24,U$9&lt;14/24)</formula>
    </cfRule>
    <cfRule type="expression" dxfId="188" priority="177">
      <formula>U$9&lt;8/24</formula>
    </cfRule>
  </conditionalFormatting>
  <conditionalFormatting sqref="AG51 C12:R14 C16:R17 Z16:Z17 C18:Z32 C11:AF11 AA16:AF32 B34:AF56 Z12:AF15 B11:B32">
    <cfRule type="expression" dxfId="187" priority="173">
      <formula>B11&gt;$AG11</formula>
    </cfRule>
  </conditionalFormatting>
  <conditionalFormatting sqref="A101:A157 A84:A97 A11:A14 A16:A32 A45:A72 A80:A82 A74:A78 A35:A43 A170:A200">
    <cfRule type="expression" dxfId="186" priority="172">
      <formula>$AH11=0</formula>
    </cfRule>
  </conditionalFormatting>
  <conditionalFormatting sqref="U98:AA98">
    <cfRule type="expression" dxfId="185" priority="168">
      <formula>U$9&gt;=20/24</formula>
    </cfRule>
    <cfRule type="expression" dxfId="184" priority="169">
      <formula>AND(U$9&gt;=14/24,U$9&lt;20/24)</formula>
    </cfRule>
    <cfRule type="expression" dxfId="183" priority="170">
      <formula>AND(U$9&gt;=8/24,U$9&lt;14/24)</formula>
    </cfRule>
    <cfRule type="expression" dxfId="182" priority="171">
      <formula>U$9&lt;8/24</formula>
    </cfRule>
  </conditionalFormatting>
  <conditionalFormatting sqref="A98">
    <cfRule type="expression" dxfId="181" priority="167">
      <formula>$AH98=0</formula>
    </cfRule>
  </conditionalFormatting>
  <conditionalFormatting sqref="C36">
    <cfRule type="expression" dxfId="180" priority="163">
      <formula>C$9&gt;=20/24</formula>
    </cfRule>
    <cfRule type="expression" dxfId="179" priority="164">
      <formula>AND(C$9&gt;=14/24,C$9&lt;20/24)</formula>
    </cfRule>
    <cfRule type="expression" dxfId="178" priority="165">
      <formula>AND(C$9&gt;=8/24,C$9&lt;14/24)</formula>
    </cfRule>
    <cfRule type="expression" dxfId="177" priority="166">
      <formula>C$9&lt;8/24</formula>
    </cfRule>
  </conditionalFormatting>
  <conditionalFormatting sqref="E63:H67">
    <cfRule type="expression" dxfId="176" priority="159">
      <formula>E$9&gt;=20/24</formula>
    </cfRule>
    <cfRule type="expression" dxfId="175" priority="160">
      <formula>AND(E$9&gt;=14/24,E$9&lt;20/24)</formula>
    </cfRule>
    <cfRule type="expression" dxfId="174" priority="161">
      <formula>AND(E$9&gt;=8/24,E$9&lt;14/24)</formula>
    </cfRule>
    <cfRule type="expression" dxfId="173" priority="162">
      <formula>E$9&lt;8/24</formula>
    </cfRule>
  </conditionalFormatting>
  <conditionalFormatting sqref="M62:M67">
    <cfRule type="expression" dxfId="172" priority="155">
      <formula>M$9&gt;=20/24</formula>
    </cfRule>
    <cfRule type="expression" dxfId="171" priority="156">
      <formula>AND(M$9&gt;=14/24,M$9&lt;20/24)</formula>
    </cfRule>
    <cfRule type="expression" dxfId="170" priority="157">
      <formula>AND(M$9&gt;=8/24,M$9&lt;14/24)</formula>
    </cfRule>
    <cfRule type="expression" dxfId="169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168" priority="150">
      <formula>Z$9&gt;=20/24</formula>
    </cfRule>
    <cfRule type="expression" dxfId="167" priority="151">
      <formula>AND(Z$9&gt;=14/24,Z$9&lt;20/24)</formula>
    </cfRule>
    <cfRule type="expression" dxfId="166" priority="152">
      <formula>AND(Z$9&gt;=8/24,Z$9&lt;14/24)</formula>
    </cfRule>
    <cfRule type="expression" dxfId="165" priority="153">
      <formula>Z$9&lt;8/24</formula>
    </cfRule>
  </conditionalFormatting>
  <conditionalFormatting sqref="M34:R34">
    <cfRule type="expression" dxfId="164" priority="146">
      <formula>M$9&gt;=20/24</formula>
    </cfRule>
    <cfRule type="expression" dxfId="163" priority="147">
      <formula>AND(M$9&gt;=14/24,M$9&lt;20/24)</formula>
    </cfRule>
    <cfRule type="expression" dxfId="162" priority="148">
      <formula>AND(M$9&gt;=8/24,M$9&lt;14/24)</formula>
    </cfRule>
    <cfRule type="expression" dxfId="161" priority="149">
      <formula>M$9&lt;8/24</formula>
    </cfRule>
  </conditionalFormatting>
  <conditionalFormatting sqref="S34:Y34">
    <cfRule type="expression" dxfId="160" priority="142">
      <formula>S$9&gt;=20/24</formula>
    </cfRule>
    <cfRule type="expression" dxfId="159" priority="143">
      <formula>AND(S$9&gt;=14/24,S$9&lt;20/24)</formula>
    </cfRule>
    <cfRule type="expression" dxfId="158" priority="144">
      <formula>AND(S$9&gt;=8/24,S$9&lt;14/24)</formula>
    </cfRule>
    <cfRule type="expression" dxfId="157" priority="145">
      <formula>S$9&lt;8/24</formula>
    </cfRule>
  </conditionalFormatting>
  <conditionalFormatting sqref="A34">
    <cfRule type="expression" dxfId="156" priority="141">
      <formula>$AH34=0</formula>
    </cfRule>
  </conditionalFormatting>
  <conditionalFormatting sqref="A83">
    <cfRule type="expression" dxfId="155" priority="140">
      <formula>$AH83=0</formula>
    </cfRule>
  </conditionalFormatting>
  <conditionalFormatting sqref="Z15:AE15">
    <cfRule type="expression" dxfId="154" priority="136">
      <formula>Z$9&gt;=20/24</formula>
    </cfRule>
    <cfRule type="expression" dxfId="153" priority="137">
      <formula>AND(Z$9&gt;=14/24,Z$9&lt;20/24)</formula>
    </cfRule>
    <cfRule type="expression" dxfId="152" priority="138">
      <formula>AND(Z$9&gt;=8/24,Z$9&lt;14/24)</formula>
    </cfRule>
    <cfRule type="expression" dxfId="151" priority="139">
      <formula>Z$9&lt;8/24</formula>
    </cfRule>
  </conditionalFormatting>
  <conditionalFormatting sqref="M15:R15">
    <cfRule type="expression" dxfId="150" priority="132">
      <formula>M$9&gt;=20/24</formula>
    </cfRule>
    <cfRule type="expression" dxfId="149" priority="133">
      <formula>AND(M$9&gt;=14/24,M$9&lt;20/24)</formula>
    </cfRule>
    <cfRule type="expression" dxfId="148" priority="134">
      <formula>AND(M$9&gt;=8/24,M$9&lt;14/24)</formula>
    </cfRule>
    <cfRule type="expression" dxfId="147" priority="135">
      <formula>M$9&lt;8/24</formula>
    </cfRule>
  </conditionalFormatting>
  <conditionalFormatting sqref="C15:R15">
    <cfRule type="expression" dxfId="146" priority="131">
      <formula>C15&gt;$AG15</formula>
    </cfRule>
  </conditionalFormatting>
  <conditionalFormatting sqref="A15">
    <cfRule type="expression" dxfId="145" priority="130">
      <formula>$AH15=0</formula>
    </cfRule>
  </conditionalFormatting>
  <conditionalFormatting sqref="A164:A169">
    <cfRule type="expression" dxfId="144" priority="129">
      <formula>$AH164=0</formula>
    </cfRule>
  </conditionalFormatting>
  <conditionalFormatting sqref="A158:A163">
    <cfRule type="expression" dxfId="143" priority="128">
      <formula>$AH158=0</formula>
    </cfRule>
  </conditionalFormatting>
  <conditionalFormatting sqref="Z44:AE44">
    <cfRule type="expression" dxfId="142" priority="124">
      <formula>Z$9&gt;=20/24</formula>
    </cfRule>
    <cfRule type="expression" dxfId="141" priority="125">
      <formula>AND(Z$9&gt;=14/24,Z$9&lt;20/24)</formula>
    </cfRule>
    <cfRule type="expression" dxfId="140" priority="126">
      <formula>AND(Z$9&gt;=8/24,Z$9&lt;14/24)</formula>
    </cfRule>
    <cfRule type="expression" dxfId="139" priority="127">
      <formula>Z$9&lt;8/24</formula>
    </cfRule>
  </conditionalFormatting>
  <conditionalFormatting sqref="M44:R44">
    <cfRule type="expression" dxfId="138" priority="120">
      <formula>M$9&gt;=20/24</formula>
    </cfRule>
    <cfRule type="expression" dxfId="137" priority="121">
      <formula>AND(M$9&gt;=14/24,M$9&lt;20/24)</formula>
    </cfRule>
    <cfRule type="expression" dxfId="136" priority="122">
      <formula>AND(M$9&gt;=8/24,M$9&lt;14/24)</formula>
    </cfRule>
    <cfRule type="expression" dxfId="135" priority="123">
      <formula>M$9&lt;8/24</formula>
    </cfRule>
  </conditionalFormatting>
  <conditionalFormatting sqref="S44:Y44">
    <cfRule type="expression" dxfId="134" priority="116">
      <formula>S$9&gt;=20/24</formula>
    </cfRule>
    <cfRule type="expression" dxfId="133" priority="117">
      <formula>AND(S$9&gt;=14/24,S$9&lt;20/24)</formula>
    </cfRule>
    <cfRule type="expression" dxfId="132" priority="118">
      <formula>AND(S$9&gt;=8/24,S$9&lt;14/24)</formula>
    </cfRule>
    <cfRule type="expression" dxfId="131" priority="119">
      <formula>S$9&lt;8/24</formula>
    </cfRule>
  </conditionalFormatting>
  <conditionalFormatting sqref="A44">
    <cfRule type="expression" dxfId="130" priority="115">
      <formula>$AH44=0</formula>
    </cfRule>
  </conditionalFormatting>
  <conditionalFormatting sqref="A79">
    <cfRule type="expression" dxfId="129" priority="114">
      <formula>$AH79=0</formula>
    </cfRule>
  </conditionalFormatting>
  <conditionalFormatting sqref="A73">
    <cfRule type="expression" dxfId="128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27" priority="109">
      <formula>U$9&gt;=20/24</formula>
    </cfRule>
    <cfRule type="expression" dxfId="126" priority="110">
      <formula>AND(U$9&gt;=14/24,U$9&lt;20/24)</formula>
    </cfRule>
    <cfRule type="expression" dxfId="125" priority="111">
      <formula>AND(U$9&gt;=8/24,U$9&lt;14/24)</formula>
    </cfRule>
    <cfRule type="expression" dxfId="124" priority="112">
      <formula>U$9&lt;8/24</formula>
    </cfRule>
  </conditionalFormatting>
  <conditionalFormatting sqref="U85:W91">
    <cfRule type="expression" dxfId="123" priority="105">
      <formula>U$9&gt;=20/24</formula>
    </cfRule>
    <cfRule type="expression" dxfId="122" priority="106">
      <formula>AND(U$9&gt;=14/24,U$9&lt;20/24)</formula>
    </cfRule>
    <cfRule type="expression" dxfId="121" priority="107">
      <formula>AND(U$9&gt;=8/24,U$9&lt;14/24)</formula>
    </cfRule>
    <cfRule type="expression" dxfId="120" priority="108">
      <formula>U$9&lt;8/24</formula>
    </cfRule>
  </conditionalFormatting>
  <conditionalFormatting sqref="C84:R91 S85:T91">
    <cfRule type="expression" dxfId="119" priority="101">
      <formula>C$9&gt;=20/24</formula>
    </cfRule>
    <cfRule type="expression" dxfId="118" priority="102">
      <formula>AND(C$9&gt;=14/24,C$9&lt;20/24)</formula>
    </cfRule>
    <cfRule type="expression" dxfId="117" priority="103">
      <formula>AND(C$9&gt;=8/24,C$9&lt;14/24)</formula>
    </cfRule>
    <cfRule type="expression" dxfId="116" priority="104">
      <formula>C$9&lt;8/24</formula>
    </cfRule>
  </conditionalFormatting>
  <conditionalFormatting sqref="S84:T84">
    <cfRule type="expression" dxfId="115" priority="97">
      <formula>S$9&gt;=20/24</formula>
    </cfRule>
    <cfRule type="expression" dxfId="114" priority="98">
      <formula>AND(S$9&gt;=14/24,S$9&lt;20/24)</formula>
    </cfRule>
    <cfRule type="expression" dxfId="113" priority="99">
      <formula>AND(S$9&gt;=8/24,S$9&lt;14/24)</formula>
    </cfRule>
    <cfRule type="expression" dxfId="112" priority="100">
      <formula>S$9&lt;8/24</formula>
    </cfRule>
  </conditionalFormatting>
  <conditionalFormatting sqref="C95:M97 C94:F94">
    <cfRule type="expression" dxfId="111" priority="93">
      <formula>C$9&gt;=20/24</formula>
    </cfRule>
    <cfRule type="expression" dxfId="110" priority="94">
      <formula>AND(C$9&gt;=14/24,C$9&lt;20/24)</formula>
    </cfRule>
    <cfRule type="expression" dxfId="109" priority="95">
      <formula>AND(C$9&gt;=8/24,C$9&lt;14/24)</formula>
    </cfRule>
    <cfRule type="expression" dxfId="108" priority="96">
      <formula>C$9&lt;8/24</formula>
    </cfRule>
  </conditionalFormatting>
  <conditionalFormatting sqref="N95:R97 O94:R94">
    <cfRule type="expression" dxfId="107" priority="89">
      <formula>N$9&gt;=20/24</formula>
    </cfRule>
    <cfRule type="expression" dxfId="106" priority="90">
      <formula>AND(N$9&gt;=14/24,N$9&lt;20/24)</formula>
    </cfRule>
    <cfRule type="expression" dxfId="105" priority="91">
      <formula>AND(N$9&gt;=8/24,N$9&lt;14/24)</formula>
    </cfRule>
    <cfRule type="expression" dxfId="104" priority="92">
      <formula>N$9&lt;8/24</formula>
    </cfRule>
  </conditionalFormatting>
  <conditionalFormatting sqref="S94:T97">
    <cfRule type="expression" dxfId="103" priority="85">
      <formula>S$9&gt;=20/24</formula>
    </cfRule>
    <cfRule type="expression" dxfId="102" priority="86">
      <formula>AND(S$9&gt;=14/24,S$9&lt;20/24)</formula>
    </cfRule>
    <cfRule type="expression" dxfId="101" priority="87">
      <formula>AND(S$9&gt;=8/24,S$9&lt;14/24)</formula>
    </cfRule>
    <cfRule type="expression" dxfId="100" priority="88">
      <formula>S$9&lt;8/24</formula>
    </cfRule>
  </conditionalFormatting>
  <conditionalFormatting sqref="C98:M98">
    <cfRule type="expression" dxfId="99" priority="81">
      <formula>C$9&gt;=20/24</formula>
    </cfRule>
    <cfRule type="expression" dxfId="98" priority="82">
      <formula>AND(C$9&gt;=14/24,C$9&lt;20/24)</formula>
    </cfRule>
    <cfRule type="expression" dxfId="97" priority="83">
      <formula>AND(C$9&gt;=8/24,C$9&lt;14/24)</formula>
    </cfRule>
    <cfRule type="expression" dxfId="96" priority="84">
      <formula>C$9&lt;8/24</formula>
    </cfRule>
  </conditionalFormatting>
  <conditionalFormatting sqref="N98:R98">
    <cfRule type="expression" dxfId="95" priority="77">
      <formula>N$9&gt;=20/24</formula>
    </cfRule>
    <cfRule type="expression" dxfId="94" priority="78">
      <formula>AND(N$9&gt;=14/24,N$9&lt;20/24)</formula>
    </cfRule>
    <cfRule type="expression" dxfId="93" priority="79">
      <formula>AND(N$9&gt;=8/24,N$9&lt;14/24)</formula>
    </cfRule>
    <cfRule type="expression" dxfId="92" priority="80">
      <formula>N$9&lt;8/24</formula>
    </cfRule>
  </conditionalFormatting>
  <conditionalFormatting sqref="S98:T98">
    <cfRule type="expression" dxfId="91" priority="73">
      <formula>S$9&gt;=20/24</formula>
    </cfRule>
    <cfRule type="expression" dxfId="90" priority="74">
      <formula>AND(S$9&gt;=14/24,S$9&lt;20/24)</formula>
    </cfRule>
    <cfRule type="expression" dxfId="89" priority="75">
      <formula>AND(S$9&gt;=8/24,S$9&lt;14/24)</formula>
    </cfRule>
    <cfRule type="expression" dxfId="88" priority="76">
      <formula>S$9&lt;8/24</formula>
    </cfRule>
  </conditionalFormatting>
  <conditionalFormatting sqref="M94:N94">
    <cfRule type="expression" dxfId="87" priority="69">
      <formula>M$9&gt;=20/24</formula>
    </cfRule>
    <cfRule type="expression" dxfId="86" priority="70">
      <formula>AND(M$9&gt;=14/24,M$9&lt;20/24)</formula>
    </cfRule>
    <cfRule type="expression" dxfId="85" priority="71">
      <formula>AND(M$9&gt;=8/24,M$9&lt;14/24)</formula>
    </cfRule>
    <cfRule type="expression" dxfId="84" priority="72">
      <formula>M$9&lt;8/24</formula>
    </cfRule>
  </conditionalFormatting>
  <conditionalFormatting sqref="G94:L94">
    <cfRule type="expression" dxfId="83" priority="65">
      <formula>G$9&gt;=20/24</formula>
    </cfRule>
    <cfRule type="expression" dxfId="82" priority="66">
      <formula>AND(G$9&gt;=14/24,G$9&lt;20/24)</formula>
    </cfRule>
    <cfRule type="expression" dxfId="81" priority="67">
      <formula>AND(G$9&gt;=8/24,G$9&lt;14/24)</formula>
    </cfRule>
    <cfRule type="expression" dxfId="80" priority="68">
      <formula>G$9&lt;8/24</formula>
    </cfRule>
  </conditionalFormatting>
  <conditionalFormatting sqref="U94:W94">
    <cfRule type="expression" dxfId="79" priority="61">
      <formula>U$9&gt;=20/24</formula>
    </cfRule>
    <cfRule type="expression" dxfId="78" priority="62">
      <formula>AND(U$9&gt;=14/24,U$9&lt;20/24)</formula>
    </cfRule>
    <cfRule type="expression" dxfId="77" priority="63">
      <formula>AND(U$9&gt;=8/24,U$9&lt;14/24)</formula>
    </cfRule>
    <cfRule type="expression" dxfId="76" priority="64">
      <formula>U$9&lt;8/24</formula>
    </cfRule>
  </conditionalFormatting>
  <conditionalFormatting sqref="N94:T94">
    <cfRule type="expression" dxfId="75" priority="57">
      <formula>N$9&gt;=20/24</formula>
    </cfRule>
    <cfRule type="expression" dxfId="74" priority="58">
      <formula>AND(N$9&gt;=14/24,N$9&lt;20/24)</formula>
    </cfRule>
    <cfRule type="expression" dxfId="73" priority="59">
      <formula>AND(N$9&gt;=8/24,N$9&lt;14/24)</formula>
    </cfRule>
    <cfRule type="expression" dxfId="72" priority="60">
      <formula>N$9&lt;8/24</formula>
    </cfRule>
  </conditionalFormatting>
  <conditionalFormatting sqref="U99:AA100">
    <cfRule type="expression" dxfId="71" priority="53">
      <formula>U$9&gt;=20/24</formula>
    </cfRule>
    <cfRule type="expression" dxfId="70" priority="54">
      <formula>AND(U$9&gt;=14/24,U$9&lt;20/24)</formula>
    </cfRule>
    <cfRule type="expression" dxfId="69" priority="55">
      <formula>AND(U$9&gt;=8/24,U$9&lt;14/24)</formula>
    </cfRule>
    <cfRule type="expression" dxfId="68" priority="56">
      <formula>U$9&lt;8/24</formula>
    </cfRule>
  </conditionalFormatting>
  <conditionalFormatting sqref="C99:M100">
    <cfRule type="expression" dxfId="67" priority="49">
      <formula>C$9&gt;=20/24</formula>
    </cfRule>
    <cfRule type="expression" dxfId="66" priority="50">
      <formula>AND(C$9&gt;=14/24,C$9&lt;20/24)</formula>
    </cfRule>
    <cfRule type="expression" dxfId="65" priority="51">
      <formula>AND(C$9&gt;=8/24,C$9&lt;14/24)</formula>
    </cfRule>
    <cfRule type="expression" dxfId="64" priority="52">
      <formula>C$9&lt;8/24</formula>
    </cfRule>
  </conditionalFormatting>
  <conditionalFormatting sqref="N99:R100">
    <cfRule type="expression" dxfId="63" priority="45">
      <formula>N$9&gt;=20/24</formula>
    </cfRule>
    <cfRule type="expression" dxfId="62" priority="46">
      <formula>AND(N$9&gt;=14/24,N$9&lt;20/24)</formula>
    </cfRule>
    <cfRule type="expression" dxfId="61" priority="47">
      <formula>AND(N$9&gt;=8/24,N$9&lt;14/24)</formula>
    </cfRule>
    <cfRule type="expression" dxfId="60" priority="48">
      <formula>N$9&lt;8/24</formula>
    </cfRule>
  </conditionalFormatting>
  <conditionalFormatting sqref="S99:T100">
    <cfRule type="expression" dxfId="59" priority="41">
      <formula>S$9&gt;=20/24</formula>
    </cfRule>
    <cfRule type="expression" dxfId="58" priority="42">
      <formula>AND(S$9&gt;=14/24,S$9&lt;20/24)</formula>
    </cfRule>
    <cfRule type="expression" dxfId="57" priority="43">
      <formula>AND(S$9&gt;=8/24,S$9&lt;14/24)</formula>
    </cfRule>
    <cfRule type="expression" dxfId="56" priority="44">
      <formula>S$9&lt;8/24</formula>
    </cfRule>
  </conditionalFormatting>
  <conditionalFormatting sqref="S12:Y16">
    <cfRule type="expression" dxfId="55" priority="37">
      <formula>S$9&gt;=20/24</formula>
    </cfRule>
    <cfRule type="expression" dxfId="54" priority="38">
      <formula>AND(S$9&gt;=14/24,S$9&lt;20/24)</formula>
    </cfRule>
    <cfRule type="expression" dxfId="53" priority="39">
      <formula>AND(S$9&gt;=8/24,S$9&lt;14/24)</formula>
    </cfRule>
    <cfRule type="expression" dxfId="52" priority="40">
      <formula>S$9&lt;8/24</formula>
    </cfRule>
  </conditionalFormatting>
  <conditionalFormatting sqref="S17:Y17">
    <cfRule type="expression" dxfId="51" priority="33">
      <formula>S$9&gt;=20/24</formula>
    </cfRule>
    <cfRule type="expression" dxfId="50" priority="34">
      <formula>AND(S$9&gt;=14/24,S$9&lt;20/24)</formula>
    </cfRule>
    <cfRule type="expression" dxfId="49" priority="35">
      <formula>AND(S$9&gt;=8/24,S$9&lt;14/24)</formula>
    </cfRule>
    <cfRule type="expression" dxfId="48" priority="36">
      <formula>S$9&lt;8/24</formula>
    </cfRule>
  </conditionalFormatting>
  <conditionalFormatting sqref="S12:Y13">
    <cfRule type="expression" dxfId="47" priority="29">
      <formula>S$9&gt;=20/24</formula>
    </cfRule>
    <cfRule type="expression" dxfId="46" priority="30">
      <formula>AND(S$9&gt;=14/24,S$9&lt;20/24)</formula>
    </cfRule>
    <cfRule type="expression" dxfId="45" priority="31">
      <formula>AND(S$9&gt;=8/24,S$9&lt;14/24)</formula>
    </cfRule>
    <cfRule type="expression" dxfId="44" priority="32">
      <formula>S$9&lt;8/24</formula>
    </cfRule>
  </conditionalFormatting>
  <conditionalFormatting sqref="AB58:AE59">
    <cfRule type="expression" dxfId="43" priority="25">
      <formula>AB$9&gt;=20/24</formula>
    </cfRule>
    <cfRule type="expression" dxfId="42" priority="26">
      <formula>AND(AB$9&gt;=14/24,AB$9&lt;20/24)</formula>
    </cfRule>
    <cfRule type="expression" dxfId="41" priority="27">
      <formula>AND(AB$9&gt;=8/24,AB$9&lt;14/24)</formula>
    </cfRule>
    <cfRule type="expression" dxfId="40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" priority="258">
      <formula>C$9&gt;=20/24</formula>
    </cfRule>
    <cfRule type="expression" dxfId="38" priority="259">
      <formula>AND(C$9&gt;=14/24,C$9&lt;20/24)</formula>
    </cfRule>
    <cfRule type="expression" dxfId="37" priority="260">
      <formula>AND(C$9&gt;=8/24,C$9&lt;14/24)</formula>
    </cfRule>
    <cfRule type="expression" dxfId="36" priority="261">
      <formula>C$9&lt;8/24</formula>
    </cfRule>
  </conditionalFormatting>
  <conditionalFormatting sqref="A201">
    <cfRule type="expression" dxfId="35" priority="262">
      <formula>$AH201=0</formula>
    </cfRule>
  </conditionalFormatting>
  <conditionalFormatting sqref="AG213">
    <cfRule type="expression" dxfId="34" priority="263">
      <formula>B$9&gt;=20/24</formula>
    </cfRule>
    <cfRule type="expression" dxfId="33" priority="264">
      <formula>AND(B$9&gt;=14/24,B$9&lt;20/24)</formula>
    </cfRule>
    <cfRule type="expression" dxfId="32" priority="265">
      <formula>AND(B$9&gt;=8/24,B$9&lt;14/24)</formula>
    </cfRule>
    <cfRule type="expression" dxfId="31" priority="266">
      <formula>B$9&lt;8/24</formula>
    </cfRule>
  </conditionalFormatting>
  <conditionalFormatting sqref="S8">
    <cfRule type="expression" dxfId="30" priority="19">
      <formula>U$9&gt;=20/24</formula>
    </cfRule>
    <cfRule type="expression" dxfId="29" priority="20">
      <formula>AND(U$9&gt;=14/24,U$9&lt;20/24)</formula>
    </cfRule>
    <cfRule type="expression" dxfId="28" priority="21">
      <formula>AND(U$9&gt;=8/24,U$9&lt;14/24)</formula>
    </cfRule>
    <cfRule type="expression" dxfId="27" priority="22">
      <formula>U$9&lt;8/24</formula>
    </cfRule>
  </conditionalFormatting>
  <conditionalFormatting sqref="AB8">
    <cfRule type="expression" dxfId="26" priority="15">
      <formula>AD$9&gt;=20/24</formula>
    </cfRule>
    <cfRule type="expression" dxfId="25" priority="16">
      <formula>AND(AD$9&gt;=14/24,AD$9&lt;20/24)</formula>
    </cfRule>
    <cfRule type="expression" dxfId="24" priority="17">
      <formula>AND(AD$9&gt;=8/24,AD$9&lt;14/24)</formula>
    </cfRule>
    <cfRule type="expression" dxfId="23" priority="18">
      <formula>AD$9&lt;8/24</formula>
    </cfRule>
  </conditionalFormatting>
  <conditionalFormatting sqref="AH213:AX213">
    <cfRule type="expression" dxfId="22" priority="267">
      <formula>AG$9&gt;=20/24</formula>
    </cfRule>
    <cfRule type="expression" dxfId="21" priority="268">
      <formula>AND(AG$9&gt;=14/24,AG$9&lt;20/24)</formula>
    </cfRule>
    <cfRule type="expression" dxfId="20" priority="269">
      <formula>AND(AG$9&gt;=8/24,AG$9&lt;14/24)</formula>
    </cfRule>
    <cfRule type="expression" dxfId="19" priority="270">
      <formula>AG$9&lt;8/24</formula>
    </cfRule>
  </conditionalFormatting>
  <conditionalFormatting sqref="T213">
    <cfRule type="expression" dxfId="18" priority="271">
      <formula>AX$9&gt;=20/24</formula>
    </cfRule>
    <cfRule type="expression" dxfId="17" priority="272">
      <formula>AND(AX$9&gt;=14/24,AX$9&lt;20/24)</formula>
    </cfRule>
    <cfRule type="expression" dxfId="16" priority="273">
      <formula>AND(AX$9&gt;=8/24,AX$9&lt;14/24)</formula>
    </cfRule>
    <cfRule type="expression" dxfId="15" priority="274">
      <formula>AX$9&lt;8/24</formula>
    </cfRule>
  </conditionalFormatting>
  <conditionalFormatting sqref="A99:A100">
    <cfRule type="expression" dxfId="14" priority="14">
      <formula>$AH99=0</formula>
    </cfRule>
  </conditionalFormatting>
  <conditionalFormatting sqref="M33:R33">
    <cfRule type="expression" dxfId="13" priority="10">
      <formula>M$9&gt;=20/24</formula>
    </cfRule>
    <cfRule type="expression" dxfId="12" priority="11">
      <formula>AND(M$9&gt;=14/24,M$9&lt;20/24)</formula>
    </cfRule>
    <cfRule type="expression" dxfId="11" priority="12">
      <formula>AND(M$9&gt;=8/24,M$9&lt;14/24)</formula>
    </cfRule>
    <cfRule type="expression" dxfId="10" priority="13">
      <formula>M$9&lt;8/24</formula>
    </cfRule>
  </conditionalFormatting>
  <conditionalFormatting sqref="Z33:AE33">
    <cfRule type="expression" dxfId="9" priority="6">
      <formula>Z$9&gt;=20/24</formula>
    </cfRule>
    <cfRule type="expression" dxfId="8" priority="7">
      <formula>AND(Z$9&gt;=14/24,Z$9&lt;20/24)</formula>
    </cfRule>
    <cfRule type="expression" dxfId="7" priority="8">
      <formula>AND(Z$9&gt;=8/24,Z$9&lt;14/24)</formula>
    </cfRule>
    <cfRule type="expression" dxfId="6" priority="9">
      <formula>Z$9&lt;8/24</formula>
    </cfRule>
  </conditionalFormatting>
  <conditionalFormatting sqref="S33:Y33">
    <cfRule type="expression" dxfId="5" priority="2">
      <formula>S$9&gt;=20/24</formula>
    </cfRule>
    <cfRule type="expression" dxfId="4" priority="3">
      <formula>AND(S$9&gt;=14/24,S$9&lt;20/24)</formula>
    </cfRule>
    <cfRule type="expression" dxfId="3" priority="4">
      <formula>AND(S$9&gt;=8/24,S$9&lt;14/24)</formula>
    </cfRule>
    <cfRule type="expression" dxfId="2" priority="5">
      <formula>S$9&lt;8/24</formula>
    </cfRule>
  </conditionalFormatting>
  <conditionalFormatting sqref="B33:AF33">
    <cfRule type="expression" dxfId="1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A612DF40-A3A5-487F-BA51-791B00CADFC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3:AE30"/>
  <sheetViews>
    <sheetView workbookViewId="0">
      <selection activeCell="D12" sqref="D12"/>
    </sheetView>
  </sheetViews>
  <sheetFormatPr defaultRowHeight="15" x14ac:dyDescent="0.25"/>
  <sheetData>
    <row r="3" spans="1:31" x14ac:dyDescent="0.25">
      <c r="A3">
        <v>1205.06</v>
      </c>
      <c r="B3">
        <v>1165.44</v>
      </c>
      <c r="C3">
        <v>1143.24</v>
      </c>
      <c r="D3">
        <v>1094.4199999999998</v>
      </c>
      <c r="E3">
        <v>1083.1100000000001</v>
      </c>
      <c r="G3">
        <v>1141.74</v>
      </c>
      <c r="I3">
        <v>1261.04</v>
      </c>
      <c r="K3">
        <v>1375.5100000000002</v>
      </c>
      <c r="L3">
        <v>1369.94</v>
      </c>
      <c r="M3">
        <v>1360.74</v>
      </c>
      <c r="N3">
        <v>1297.44</v>
      </c>
      <c r="O3">
        <v>1335.7400000000002</v>
      </c>
      <c r="P3">
        <v>1321.24</v>
      </c>
      <c r="Q3">
        <v>1321.3400000000001</v>
      </c>
      <c r="R3">
        <v>1431.44</v>
      </c>
      <c r="S3">
        <v>1413.7400000000002</v>
      </c>
      <c r="T3">
        <v>1349.2400000000002</v>
      </c>
      <c r="V3">
        <v>1317.2400000000002</v>
      </c>
      <c r="X3">
        <v>1515.3400000000001</v>
      </c>
      <c r="Z3">
        <v>1588.8400000000001</v>
      </c>
      <c r="AB3">
        <v>1497.14</v>
      </c>
      <c r="AC3">
        <v>1453.14</v>
      </c>
      <c r="AD3">
        <v>1295.7800000000002</v>
      </c>
      <c r="AE3">
        <v>1220.1400000000001</v>
      </c>
    </row>
    <row r="7" spans="1:31" x14ac:dyDescent="0.25">
      <c r="A7">
        <v>1</v>
      </c>
      <c r="B7">
        <v>1205.06</v>
      </c>
    </row>
    <row r="8" spans="1:31" x14ac:dyDescent="0.25">
      <c r="A8">
        <v>2</v>
      </c>
      <c r="B8">
        <v>1165.44</v>
      </c>
    </row>
    <row r="9" spans="1:31" x14ac:dyDescent="0.25">
      <c r="A9">
        <v>3</v>
      </c>
      <c r="B9">
        <v>1143.24</v>
      </c>
    </row>
    <row r="10" spans="1:31" x14ac:dyDescent="0.25">
      <c r="A10">
        <v>4</v>
      </c>
      <c r="B10">
        <v>1094.4199999999998</v>
      </c>
    </row>
    <row r="11" spans="1:31" x14ac:dyDescent="0.25">
      <c r="A11">
        <v>5</v>
      </c>
      <c r="B11">
        <v>1083.1100000000001</v>
      </c>
    </row>
    <row r="12" spans="1:31" x14ac:dyDescent="0.25">
      <c r="A12">
        <v>6</v>
      </c>
      <c r="B12">
        <v>1141.74</v>
      </c>
      <c r="D12">
        <f>41938450.48/4209732.5</f>
        <v>9.9622601863657607</v>
      </c>
    </row>
    <row r="13" spans="1:31" x14ac:dyDescent="0.25">
      <c r="A13">
        <v>7</v>
      </c>
      <c r="B13">
        <v>1261.04</v>
      </c>
    </row>
    <row r="14" spans="1:31" x14ac:dyDescent="0.25">
      <c r="A14">
        <v>8</v>
      </c>
      <c r="B14">
        <v>1375.5100000000002</v>
      </c>
    </row>
    <row r="15" spans="1:31" x14ac:dyDescent="0.25">
      <c r="A15">
        <v>9</v>
      </c>
      <c r="B15">
        <v>1369.94</v>
      </c>
    </row>
    <row r="16" spans="1:31" x14ac:dyDescent="0.25">
      <c r="A16">
        <v>10</v>
      </c>
      <c r="B16">
        <v>1360.74</v>
      </c>
    </row>
    <row r="17" spans="1:2" x14ac:dyDescent="0.25">
      <c r="A17">
        <v>11</v>
      </c>
      <c r="B17">
        <v>1297.44</v>
      </c>
    </row>
    <row r="18" spans="1:2" x14ac:dyDescent="0.25">
      <c r="A18">
        <v>12</v>
      </c>
      <c r="B18">
        <v>1335.7400000000002</v>
      </c>
    </row>
    <row r="19" spans="1:2" x14ac:dyDescent="0.25">
      <c r="A19">
        <v>13</v>
      </c>
      <c r="B19">
        <v>1321.24</v>
      </c>
    </row>
    <row r="20" spans="1:2" x14ac:dyDescent="0.25">
      <c r="A20">
        <v>14</v>
      </c>
      <c r="B20">
        <v>1321.3400000000001</v>
      </c>
    </row>
    <row r="21" spans="1:2" x14ac:dyDescent="0.25">
      <c r="A21">
        <v>15</v>
      </c>
      <c r="B21">
        <v>1431.44</v>
      </c>
    </row>
    <row r="22" spans="1:2" x14ac:dyDescent="0.25">
      <c r="A22">
        <v>16</v>
      </c>
      <c r="B22">
        <v>1413.7400000000002</v>
      </c>
    </row>
    <row r="23" spans="1:2" x14ac:dyDescent="0.25">
      <c r="A23">
        <v>17</v>
      </c>
      <c r="B23">
        <v>1349.2400000000002</v>
      </c>
    </row>
    <row r="24" spans="1:2" x14ac:dyDescent="0.25">
      <c r="A24">
        <v>18</v>
      </c>
      <c r="B24">
        <v>1317.2400000000002</v>
      </c>
    </row>
    <row r="25" spans="1:2" x14ac:dyDescent="0.25">
      <c r="A25">
        <v>19</v>
      </c>
      <c r="B25">
        <v>1515.3400000000001</v>
      </c>
    </row>
    <row r="26" spans="1:2" x14ac:dyDescent="0.25">
      <c r="A26">
        <v>20</v>
      </c>
      <c r="B26">
        <v>1588.8400000000001</v>
      </c>
    </row>
    <row r="27" spans="1:2" x14ac:dyDescent="0.25">
      <c r="A27">
        <v>21</v>
      </c>
      <c r="B27">
        <v>1497.14</v>
      </c>
    </row>
    <row r="28" spans="1:2" x14ac:dyDescent="0.25">
      <c r="A28">
        <v>22</v>
      </c>
      <c r="B28">
        <v>1453.14</v>
      </c>
    </row>
    <row r="29" spans="1:2" x14ac:dyDescent="0.25">
      <c r="A29">
        <v>23</v>
      </c>
      <c r="B29">
        <v>1295.7800000000002</v>
      </c>
    </row>
    <row r="30" spans="1:2" x14ac:dyDescent="0.25">
      <c r="A30">
        <v>24</v>
      </c>
      <c r="B30">
        <v>1220.1400000000001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J1"/>
  <sheetViews>
    <sheetView workbookViewId="0">
      <selection activeCell="N25" sqref="N25"/>
    </sheetView>
  </sheetViews>
  <sheetFormatPr defaultRowHeight="15" x14ac:dyDescent="0.25"/>
  <cols>
    <col min="36" max="36" width="9.140625" style="1"/>
  </cols>
  <sheetData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sample</vt:lpstr>
      <vt:lpstr>Sheet5</vt:lpstr>
      <vt:lpstr>Sheet2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Data Server</cp:lastModifiedBy>
  <cp:lastPrinted>2022-03-27T06:30:58Z</cp:lastPrinted>
  <dcterms:created xsi:type="dcterms:W3CDTF">2022-03-14T18:27:09Z</dcterms:created>
  <dcterms:modified xsi:type="dcterms:W3CDTF">2022-05-07T12:13:05Z</dcterms:modified>
</cp:coreProperties>
</file>